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AD99B5E-6C62-42B0-BF15-1914F3E9AFAA}" xr6:coauthVersionLast="47" xr6:coauthVersionMax="47" xr10:uidLastSave="{00000000-0000-0000-0000-000000000000}"/>
  <bookViews>
    <workbookView xWindow="-110" yWindow="-110" windowWidth="19420" windowHeight="10420" xr2:uid="{00000000-000D-0000-FFFF-FFFF00000000}"/>
  </bookViews>
  <sheets>
    <sheet name="Summary" sheetId="7" r:id="rId1"/>
    <sheet name="Industry" sheetId="1" r:id="rId2"/>
    <sheet name="Agency" sheetId="2"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6" l="1"/>
  <c r="D8" i="6"/>
  <c r="B8" i="6"/>
  <c r="C8" i="6"/>
  <c r="I6" i="4" l="1"/>
  <c r="E4" i="5"/>
  <c r="I37" i="2"/>
  <c r="F37" i="2"/>
  <c r="F8" i="6"/>
  <c r="B6" i="7" l="1"/>
  <c r="B5" i="7" l="1"/>
  <c r="F95" i="1"/>
  <c r="F94" i="1"/>
  <c r="F85" i="1"/>
  <c r="B3" i="7"/>
  <c r="I96" i="1"/>
  <c r="B5" i="5"/>
  <c r="E5" i="5" s="1"/>
  <c r="B4" i="5"/>
  <c r="D6" i="4"/>
  <c r="D5" i="4"/>
  <c r="G6" i="4"/>
  <c r="G5" i="4"/>
  <c r="O9" i="2"/>
  <c r="O8" i="2"/>
  <c r="O7" i="2"/>
  <c r="N9" i="2"/>
  <c r="N8" i="2"/>
  <c r="N7" i="2"/>
  <c r="M9" i="2"/>
  <c r="M21" i="2"/>
  <c r="M20" i="2"/>
  <c r="M19" i="2"/>
  <c r="M19" i="1"/>
  <c r="M20" i="1"/>
  <c r="O9" i="1"/>
  <c r="O8" i="1"/>
  <c r="O7" i="1"/>
  <c r="N9" i="1"/>
  <c r="N8" i="1"/>
  <c r="N7" i="1"/>
  <c r="E6" i="5" l="1"/>
  <c r="B7" i="7" s="1"/>
  <c r="M21" i="1"/>
  <c r="M5" i="1"/>
  <c r="C7" i="6"/>
  <c r="F7" i="6" s="1"/>
  <c r="C6" i="6"/>
  <c r="F6" i="6" s="1"/>
  <c r="F5" i="6"/>
  <c r="O13" i="2" l="1"/>
  <c r="M15" i="2"/>
  <c r="O11" i="2"/>
  <c r="O4" i="2"/>
  <c r="O3" i="2"/>
  <c r="N3" i="2"/>
  <c r="M5" i="2" l="1"/>
  <c r="O5" i="2" s="1"/>
  <c r="N4" i="2"/>
  <c r="N15" i="2"/>
  <c r="O15" i="2"/>
  <c r="N12" i="2"/>
  <c r="M16" i="2"/>
  <c r="O12" i="2"/>
  <c r="N13" i="2"/>
  <c r="M17" i="2"/>
  <c r="N11" i="2"/>
  <c r="N5" i="2" l="1"/>
  <c r="N16" i="2"/>
  <c r="O16" i="2"/>
  <c r="O17" i="2"/>
  <c r="N17" i="2"/>
  <c r="O19" i="2"/>
  <c r="N19" i="2"/>
  <c r="O21" i="2" l="1"/>
  <c r="N21" i="2"/>
  <c r="O20" i="2"/>
  <c r="N20" i="2"/>
  <c r="O4" i="1"/>
  <c r="E10" i="1"/>
  <c r="E13" i="1" s="1"/>
  <c r="N13" i="1"/>
  <c r="E7" i="2"/>
  <c r="E17" i="2"/>
  <c r="E13" i="2"/>
  <c r="E3" i="2"/>
  <c r="E5" i="2"/>
  <c r="D36" i="2"/>
  <c r="D35" i="2"/>
  <c r="D33" i="2"/>
  <c r="D32" i="2"/>
  <c r="D30" i="2"/>
  <c r="D29" i="2"/>
  <c r="D26" i="2"/>
  <c r="D25" i="2"/>
  <c r="D23" i="2"/>
  <c r="D22" i="2"/>
  <c r="D20" i="2"/>
  <c r="D19" i="2"/>
  <c r="D18" i="2"/>
  <c r="D17" i="2"/>
  <c r="D15" i="2"/>
  <c r="D14" i="2"/>
  <c r="D13" i="2"/>
  <c r="D11" i="2"/>
  <c r="D10" i="2"/>
  <c r="D9" i="2"/>
  <c r="D7" i="2"/>
  <c r="D6" i="2"/>
  <c r="D5" i="2"/>
  <c r="D3" i="2"/>
  <c r="O11" i="1"/>
  <c r="N12" i="1" l="1"/>
  <c r="M16" i="1"/>
  <c r="M15" i="1"/>
  <c r="M17" i="1"/>
  <c r="F13" i="2"/>
  <c r="G13" i="2" s="1"/>
  <c r="O12" i="1"/>
  <c r="N4" i="1"/>
  <c r="N11" i="1"/>
  <c r="O13" i="1"/>
  <c r="F5" i="2"/>
  <c r="G5" i="2" s="1"/>
  <c r="F7" i="2"/>
  <c r="H7" i="2" s="1"/>
  <c r="F17" i="2"/>
  <c r="H17" i="2" s="1"/>
  <c r="E9" i="2"/>
  <c r="F9" i="2" s="1"/>
  <c r="E19" i="2"/>
  <c r="E20" i="2" s="1"/>
  <c r="F20" i="2" s="1"/>
  <c r="G20" i="2" s="1"/>
  <c r="E10" i="2"/>
  <c r="F10" i="2" s="1"/>
  <c r="E11" i="2"/>
  <c r="F11" i="2" s="1"/>
  <c r="H11" i="2" s="1"/>
  <c r="E15" i="2"/>
  <c r="F15" i="2" s="1"/>
  <c r="G15" i="2" s="1"/>
  <c r="F3" i="2"/>
  <c r="G3" i="2" s="1"/>
  <c r="H13" i="2"/>
  <c r="I13" i="2" s="1"/>
  <c r="E20" i="1" l="1"/>
  <c r="E16" i="1"/>
  <c r="E24" i="1"/>
  <c r="E28" i="1" s="1"/>
  <c r="E80" i="1"/>
  <c r="O17" i="1"/>
  <c r="E15" i="1"/>
  <c r="E40" i="1"/>
  <c r="E39" i="1"/>
  <c r="E37" i="1"/>
  <c r="E36" i="1"/>
  <c r="G7" i="2"/>
  <c r="E17" i="1"/>
  <c r="E83" i="1"/>
  <c r="H15" i="2"/>
  <c r="I15" i="2" s="1"/>
  <c r="E14" i="2"/>
  <c r="F14" i="2" s="1"/>
  <c r="H14" i="2" s="1"/>
  <c r="E19" i="1"/>
  <c r="O15" i="1"/>
  <c r="E23" i="1"/>
  <c r="E27" i="1" s="1"/>
  <c r="N15" i="1"/>
  <c r="E82" i="1"/>
  <c r="E84" i="1"/>
  <c r="N17" i="1"/>
  <c r="E25" i="1"/>
  <c r="E29" i="1" s="1"/>
  <c r="N16" i="1"/>
  <c r="E21" i="1"/>
  <c r="E79" i="1"/>
  <c r="E6" i="2"/>
  <c r="F6" i="2" s="1"/>
  <c r="E18" i="2"/>
  <c r="F18" i="2" s="1"/>
  <c r="E9" i="1"/>
  <c r="E12" i="1" s="1"/>
  <c r="O16" i="1"/>
  <c r="E78" i="1"/>
  <c r="E77" i="1"/>
  <c r="G10" i="2"/>
  <c r="H10" i="2"/>
  <c r="G17" i="2"/>
  <c r="I17" i="2" s="1"/>
  <c r="H5" i="2"/>
  <c r="I5" i="2" s="1"/>
  <c r="G9" i="2"/>
  <c r="H9" i="2"/>
  <c r="G11" i="2"/>
  <c r="I11" i="2" s="1"/>
  <c r="H20" i="2"/>
  <c r="I20" i="2" s="1"/>
  <c r="H3" i="2"/>
  <c r="I3" i="2" s="1"/>
  <c r="F19" i="2"/>
  <c r="G19" i="2" s="1"/>
  <c r="I7" i="2"/>
  <c r="D93" i="1"/>
  <c r="D92" i="1"/>
  <c r="D87" i="1"/>
  <c r="D84" i="1"/>
  <c r="D83" i="1"/>
  <c r="D82" i="1"/>
  <c r="D80" i="1"/>
  <c r="D79" i="1"/>
  <c r="D78" i="1"/>
  <c r="D77" i="1"/>
  <c r="D73" i="1"/>
  <c r="D72" i="1"/>
  <c r="D70" i="1"/>
  <c r="D69" i="1"/>
  <c r="D67" i="1"/>
  <c r="D66" i="1"/>
  <c r="D64" i="1"/>
  <c r="D63" i="1"/>
  <c r="D60" i="1"/>
  <c r="D59" i="1"/>
  <c r="D57" i="1"/>
  <c r="D56" i="1"/>
  <c r="D55" i="1"/>
  <c r="D53" i="1"/>
  <c r="D52" i="1"/>
  <c r="D49" i="1"/>
  <c r="D48" i="1"/>
  <c r="D47" i="1"/>
  <c r="D45" i="1"/>
  <c r="D44" i="1"/>
  <c r="D43" i="1"/>
  <c r="D40" i="1"/>
  <c r="D39" i="1"/>
  <c r="D37" i="1"/>
  <c r="D36" i="1"/>
  <c r="D33" i="1"/>
  <c r="D32" i="1"/>
  <c r="D29" i="1"/>
  <c r="D28" i="1"/>
  <c r="F28" i="1" s="1"/>
  <c r="D27" i="1"/>
  <c r="D25" i="1"/>
  <c r="D24" i="1"/>
  <c r="F24" i="1" s="1"/>
  <c r="G24" i="1" s="1"/>
  <c r="D23" i="1"/>
  <c r="D21" i="1"/>
  <c r="D20" i="1"/>
  <c r="F20" i="1" s="1"/>
  <c r="D19" i="1"/>
  <c r="D17" i="1"/>
  <c r="D16" i="1"/>
  <c r="D15" i="1"/>
  <c r="D13" i="1"/>
  <c r="F13" i="1" s="1"/>
  <c r="G13" i="1" s="1"/>
  <c r="D12" i="1"/>
  <c r="D10" i="1"/>
  <c r="F10" i="1" s="1"/>
  <c r="D9" i="1"/>
  <c r="F9" i="1" l="1"/>
  <c r="G9" i="1" s="1"/>
  <c r="F83" i="1"/>
  <c r="G83" i="1" s="1"/>
  <c r="F15" i="1"/>
  <c r="F16" i="1"/>
  <c r="G16" i="1" s="1"/>
  <c r="F19" i="1"/>
  <c r="G19" i="1" s="1"/>
  <c r="F82" i="1"/>
  <c r="H82" i="1" s="1"/>
  <c r="E55" i="1"/>
  <c r="E52" i="1"/>
  <c r="O19" i="1"/>
  <c r="E32" i="1"/>
  <c r="E33" i="1"/>
  <c r="E63" i="1"/>
  <c r="E56" i="1"/>
  <c r="E43" i="1"/>
  <c r="E47" i="1"/>
  <c r="E60" i="1"/>
  <c r="E53" i="1"/>
  <c r="F77" i="1"/>
  <c r="H77" i="1" s="1"/>
  <c r="F80" i="1"/>
  <c r="G80" i="1" s="1"/>
  <c r="F78" i="1"/>
  <c r="H78" i="1" s="1"/>
  <c r="F27" i="1"/>
  <c r="H27" i="1" s="1"/>
  <c r="F17" i="1"/>
  <c r="G17" i="1" s="1"/>
  <c r="F29" i="1"/>
  <c r="G29" i="1" s="1"/>
  <c r="G14" i="2"/>
  <c r="I14" i="2" s="1"/>
  <c r="F23" i="1"/>
  <c r="H23" i="1" s="1"/>
  <c r="I10" i="2"/>
  <c r="I9" i="2"/>
  <c r="F25" i="1"/>
  <c r="H25" i="1" s="1"/>
  <c r="F84" i="1"/>
  <c r="G84" i="1" s="1"/>
  <c r="H19" i="2"/>
  <c r="I19" i="2" s="1"/>
  <c r="F79" i="1"/>
  <c r="G79" i="1" s="1"/>
  <c r="G18" i="2"/>
  <c r="H18" i="2"/>
  <c r="H6" i="2"/>
  <c r="G6" i="2"/>
  <c r="F21" i="1"/>
  <c r="G21" i="1" s="1"/>
  <c r="F12" i="1"/>
  <c r="G12" i="1" s="1"/>
  <c r="H28" i="1"/>
  <c r="H24" i="1"/>
  <c r="I24" i="1" s="1"/>
  <c r="H20" i="1"/>
  <c r="H13" i="1"/>
  <c r="I13" i="1" s="1"/>
  <c r="G10" i="1"/>
  <c r="G28" i="1"/>
  <c r="G23" i="1"/>
  <c r="G20" i="1"/>
  <c r="H15" i="1"/>
  <c r="G15" i="1"/>
  <c r="H10" i="1"/>
  <c r="H9" i="1" l="1"/>
  <c r="I9" i="1" s="1"/>
  <c r="H83" i="1"/>
  <c r="I83" i="1" s="1"/>
  <c r="G82" i="1"/>
  <c r="H16" i="1"/>
  <c r="H19" i="1"/>
  <c r="E45" i="1"/>
  <c r="E44" i="1"/>
  <c r="G27" i="1"/>
  <c r="I27" i="1" s="1"/>
  <c r="H84" i="1"/>
  <c r="I84" i="1" s="1"/>
  <c r="E48" i="1"/>
  <c r="E49" i="1"/>
  <c r="I6" i="2"/>
  <c r="G78" i="1"/>
  <c r="I78" i="1" s="1"/>
  <c r="G77" i="1"/>
  <c r="I77" i="1" s="1"/>
  <c r="H80" i="1"/>
  <c r="I80" i="1" s="1"/>
  <c r="H17" i="1"/>
  <c r="I17" i="1" s="1"/>
  <c r="H79" i="1"/>
  <c r="I79" i="1" s="1"/>
  <c r="H29" i="1"/>
  <c r="I29" i="1" s="1"/>
  <c r="N3" i="1"/>
  <c r="O3" i="1"/>
  <c r="H12" i="1"/>
  <c r="I12" i="1" s="1"/>
  <c r="I18" i="2"/>
  <c r="G25" i="1"/>
  <c r="I25" i="1" s="1"/>
  <c r="H21" i="1"/>
  <c r="I21" i="1" s="1"/>
  <c r="I10" i="1"/>
  <c r="I16" i="1"/>
  <c r="I15" i="1"/>
  <c r="I19" i="1"/>
  <c r="I82" i="1"/>
  <c r="I20" i="1"/>
  <c r="I23" i="1"/>
  <c r="I28" i="1"/>
  <c r="E87" i="1" l="1"/>
  <c r="F87" i="1" s="1"/>
  <c r="F55" i="1"/>
  <c r="E66" i="1"/>
  <c r="F66" i="1" s="1"/>
  <c r="F32" i="1"/>
  <c r="E59" i="1"/>
  <c r="F59" i="1" s="1"/>
  <c r="F63" i="1"/>
  <c r="E67" i="1"/>
  <c r="F67" i="1" s="1"/>
  <c r="F33" i="1"/>
  <c r="E64" i="1"/>
  <c r="F64" i="1" s="1"/>
  <c r="N19" i="1"/>
  <c r="F52" i="1"/>
  <c r="O21" i="1"/>
  <c r="E57" i="1"/>
  <c r="F57" i="1" s="1"/>
  <c r="E72" i="1"/>
  <c r="F72" i="1" s="1"/>
  <c r="E69" i="1"/>
  <c r="E73" i="1"/>
  <c r="F73" i="1" s="1"/>
  <c r="F60" i="1"/>
  <c r="E70" i="1"/>
  <c r="F56" i="1"/>
  <c r="F53" i="1"/>
  <c r="N21" i="1"/>
  <c r="E29" i="2"/>
  <c r="F29" i="2" s="1"/>
  <c r="E30" i="2"/>
  <c r="F30" i="2" s="1"/>
  <c r="E35" i="2"/>
  <c r="F35" i="2" s="1"/>
  <c r="E25" i="2"/>
  <c r="F25" i="2" s="1"/>
  <c r="E26" i="2"/>
  <c r="F26" i="2" s="1"/>
  <c r="O20" i="1"/>
  <c r="N20" i="1"/>
  <c r="F39" i="1"/>
  <c r="F37" i="1"/>
  <c r="F36" i="1"/>
  <c r="F40" i="1"/>
  <c r="O5" i="1"/>
  <c r="N5" i="1"/>
  <c r="E93" i="1"/>
  <c r="F93" i="1" s="1"/>
  <c r="E92" i="1"/>
  <c r="F92" i="1" s="1"/>
  <c r="E22" i="2"/>
  <c r="F22" i="2" s="1"/>
  <c r="E32" i="2"/>
  <c r="F32" i="2" s="1"/>
  <c r="E23" i="2"/>
  <c r="F23" i="2" s="1"/>
  <c r="E33" i="2"/>
  <c r="F33" i="2" s="1"/>
  <c r="E36" i="2"/>
  <c r="F36" i="2" s="1"/>
  <c r="G23" i="2" l="1"/>
  <c r="H23" i="2"/>
  <c r="G53" i="1"/>
  <c r="H53" i="1"/>
  <c r="H57" i="1"/>
  <c r="G57" i="1"/>
  <c r="G64" i="1"/>
  <c r="H64" i="1"/>
  <c r="G40" i="1"/>
  <c r="H40" i="1"/>
  <c r="H35" i="2"/>
  <c r="G35" i="2"/>
  <c r="G56" i="1"/>
  <c r="H56" i="1"/>
  <c r="G33" i="1"/>
  <c r="H33" i="1"/>
  <c r="G33" i="2"/>
  <c r="H33" i="2"/>
  <c r="H36" i="1"/>
  <c r="G36" i="1"/>
  <c r="H67" i="1"/>
  <c r="G67" i="1"/>
  <c r="H22" i="2"/>
  <c r="G22" i="2"/>
  <c r="H37" i="1"/>
  <c r="G37" i="1"/>
  <c r="F70" i="1"/>
  <c r="H63" i="1"/>
  <c r="G63" i="1"/>
  <c r="H25" i="2"/>
  <c r="G25" i="2"/>
  <c r="G30" i="2"/>
  <c r="H30" i="2"/>
  <c r="G92" i="1"/>
  <c r="H92" i="1"/>
  <c r="G39" i="1"/>
  <c r="H39" i="1"/>
  <c r="G29" i="2"/>
  <c r="H29" i="2"/>
  <c r="H60" i="1"/>
  <c r="G60" i="1"/>
  <c r="G59" i="1"/>
  <c r="H59" i="1"/>
  <c r="G32" i="2"/>
  <c r="H32" i="2"/>
  <c r="F43" i="1"/>
  <c r="F44" i="1"/>
  <c r="F45" i="1"/>
  <c r="H36" i="2"/>
  <c r="G36" i="2"/>
  <c r="H87" i="1"/>
  <c r="G87" i="1"/>
  <c r="G73" i="1"/>
  <c r="H73" i="1"/>
  <c r="H32" i="1"/>
  <c r="G32" i="1"/>
  <c r="H93" i="1"/>
  <c r="G93" i="1"/>
  <c r="F49" i="1"/>
  <c r="F47" i="1"/>
  <c r="F48" i="1"/>
  <c r="F69" i="1"/>
  <c r="H52" i="1"/>
  <c r="G52" i="1"/>
  <c r="H66" i="1"/>
  <c r="G66" i="1"/>
  <c r="H26" i="2"/>
  <c r="G26" i="2"/>
  <c r="I26" i="2" s="1"/>
  <c r="G72" i="1"/>
  <c r="H72" i="1"/>
  <c r="H55" i="1"/>
  <c r="G55" i="1"/>
  <c r="I36" i="1" l="1"/>
  <c r="I35" i="2"/>
  <c r="I53" i="1"/>
  <c r="I37" i="1"/>
  <c r="I72" i="1"/>
  <c r="I60" i="1"/>
  <c r="I33" i="1"/>
  <c r="I32" i="2"/>
  <c r="I63" i="1"/>
  <c r="I67" i="1"/>
  <c r="I57" i="1"/>
  <c r="I66" i="1"/>
  <c r="I92" i="1"/>
  <c r="I22" i="2"/>
  <c r="I87" i="1"/>
  <c r="I39" i="1"/>
  <c r="I59" i="1"/>
  <c r="I56" i="1"/>
  <c r="I52" i="1"/>
  <c r="I30" i="2"/>
  <c r="I93" i="1"/>
  <c r="I36" i="2"/>
  <c r="I32" i="1"/>
  <c r="G45" i="1"/>
  <c r="H45" i="1"/>
  <c r="I33" i="2"/>
  <c r="I73" i="1"/>
  <c r="H43" i="1"/>
  <c r="G43" i="1"/>
  <c r="G70" i="1"/>
  <c r="H70" i="1"/>
  <c r="H69" i="1"/>
  <c r="G69" i="1"/>
  <c r="G44" i="1"/>
  <c r="H44" i="1"/>
  <c r="G48" i="1"/>
  <c r="H48" i="1"/>
  <c r="I29" i="2"/>
  <c r="I40" i="1"/>
  <c r="I23" i="2"/>
  <c r="G47" i="1"/>
  <c r="H47" i="1"/>
  <c r="I55" i="1"/>
  <c r="H49" i="1"/>
  <c r="G49" i="1"/>
  <c r="I25" i="2"/>
  <c r="I64" i="1"/>
  <c r="I69" i="1" l="1"/>
  <c r="I45" i="1"/>
  <c r="I70" i="1"/>
  <c r="I48" i="1"/>
  <c r="I47" i="1"/>
  <c r="I44" i="1"/>
  <c r="I43" i="1"/>
  <c r="I94" i="1"/>
  <c r="I49" i="1"/>
  <c r="B4" i="7" l="1"/>
  <c r="K96" i="1"/>
  <c r="B2" i="7" s="1"/>
  <c r="I85" i="1"/>
  <c r="I95" i="1" s="1"/>
  <c r="I97" i="1" s="1"/>
</calcChain>
</file>

<file path=xl/sharedStrings.xml><?xml version="1.0" encoding="utf-8"?>
<sst xmlns="http://schemas.openxmlformats.org/spreadsheetml/2006/main" count="288" uniqueCount="182">
  <si>
    <t>Burden Item</t>
  </si>
  <si>
    <t>1. Applicants</t>
  </si>
  <si>
    <t>N/A</t>
  </si>
  <si>
    <t>2. Survey and Studies</t>
  </si>
  <si>
    <r>
      <t xml:space="preserve">3. Reporting Requirements </t>
    </r>
    <r>
      <rPr>
        <b/>
        <vertAlign val="superscript"/>
        <sz val="9"/>
        <color theme="1"/>
        <rFont val="Times New Roman"/>
        <family val="1"/>
      </rPr>
      <t>c</t>
    </r>
  </si>
  <si>
    <t>See 4A</t>
  </si>
  <si>
    <t>B. Required activities</t>
  </si>
  <si>
    <t>Initial Performance Test</t>
  </si>
  <si>
    <r>
      <t xml:space="preserve">PM </t>
    </r>
    <r>
      <rPr>
        <b/>
        <vertAlign val="superscript"/>
        <sz val="9"/>
        <color theme="1"/>
        <rFont val="Times New Roman"/>
        <family val="1"/>
      </rPr>
      <t>c</t>
    </r>
  </si>
  <si>
    <r>
      <t xml:space="preserve">24 hour test for Gas Units </t>
    </r>
    <r>
      <rPr>
        <b/>
        <vertAlign val="superscript"/>
        <sz val="9"/>
        <color theme="1"/>
        <rFont val="Times New Roman"/>
        <family val="1"/>
      </rPr>
      <t>d</t>
    </r>
  </si>
  <si>
    <r>
      <t xml:space="preserve">Repeat of Performance Test </t>
    </r>
    <r>
      <rPr>
        <vertAlign val="superscript"/>
        <sz val="9"/>
        <color theme="1"/>
        <rFont val="Times New Roman"/>
        <family val="1"/>
      </rPr>
      <t>e</t>
    </r>
  </si>
  <si>
    <r>
      <t xml:space="preserve">24 hour tests for Gas Units </t>
    </r>
    <r>
      <rPr>
        <b/>
        <vertAlign val="superscript"/>
        <sz val="9"/>
        <color theme="1"/>
        <rFont val="Times New Roman"/>
        <family val="1"/>
      </rPr>
      <t>d</t>
    </r>
  </si>
  <si>
    <r>
      <t xml:space="preserve">Report of Initial Performance Test </t>
    </r>
    <r>
      <rPr>
        <b/>
        <vertAlign val="superscript"/>
        <sz val="9"/>
        <color theme="1"/>
        <rFont val="Times New Roman"/>
        <family val="1"/>
      </rPr>
      <t>d</t>
    </r>
  </si>
  <si>
    <r>
      <t>SO</t>
    </r>
    <r>
      <rPr>
        <b/>
        <vertAlign val="subscript"/>
        <sz val="9"/>
        <color theme="1"/>
        <rFont val="Times New Roman"/>
        <family val="1"/>
      </rPr>
      <t>2</t>
    </r>
  </si>
  <si>
    <t>PM</t>
  </si>
  <si>
    <r>
      <t>NO</t>
    </r>
    <r>
      <rPr>
        <b/>
        <vertAlign val="subscript"/>
        <sz val="9"/>
        <color theme="1"/>
        <rFont val="Times New Roman"/>
        <family val="1"/>
      </rPr>
      <t>x</t>
    </r>
  </si>
  <si>
    <r>
      <t xml:space="preserve">Notification of CEMS Demonstration </t>
    </r>
    <r>
      <rPr>
        <b/>
        <vertAlign val="superscript"/>
        <sz val="9"/>
        <color theme="1"/>
        <rFont val="Times New Roman"/>
        <family val="1"/>
      </rPr>
      <t>d</t>
    </r>
  </si>
  <si>
    <r>
      <t xml:space="preserve">Demonstration of CEMS </t>
    </r>
    <r>
      <rPr>
        <b/>
        <vertAlign val="superscript"/>
        <sz val="9"/>
        <color theme="1"/>
        <rFont val="Times New Roman"/>
        <family val="1"/>
      </rPr>
      <t>d</t>
    </r>
  </si>
  <si>
    <r>
      <t xml:space="preserve">Repeat Demonstration of CEMS </t>
    </r>
    <r>
      <rPr>
        <b/>
        <vertAlign val="superscript"/>
        <sz val="9"/>
        <color theme="1"/>
        <rFont val="Times New Roman"/>
        <family val="1"/>
      </rPr>
      <t>d, e</t>
    </r>
  </si>
  <si>
    <r>
      <t xml:space="preserve">Report of CEMS Demonstration </t>
    </r>
    <r>
      <rPr>
        <b/>
        <vertAlign val="superscript"/>
        <sz val="9"/>
        <color theme="1"/>
        <rFont val="Times New Roman"/>
        <family val="1"/>
      </rPr>
      <t>d</t>
    </r>
  </si>
  <si>
    <t>See 3B</t>
  </si>
  <si>
    <r>
      <t>Reports for SO</t>
    </r>
    <r>
      <rPr>
        <b/>
        <vertAlign val="subscript"/>
        <sz val="9"/>
        <color theme="1"/>
        <rFont val="Times New Roman"/>
        <family val="1"/>
      </rPr>
      <t>2</t>
    </r>
    <r>
      <rPr>
        <b/>
        <vertAlign val="superscript"/>
        <sz val="9"/>
        <color theme="1"/>
        <rFont val="Times New Roman"/>
        <family val="1"/>
      </rPr>
      <t>f</t>
    </r>
  </si>
  <si>
    <r>
      <t xml:space="preserve">Quarterly </t>
    </r>
    <r>
      <rPr>
        <b/>
        <vertAlign val="superscript"/>
        <sz val="9"/>
        <color theme="1"/>
        <rFont val="Times New Roman"/>
        <family val="1"/>
      </rPr>
      <t>g</t>
    </r>
  </si>
  <si>
    <t>Semiannual</t>
  </si>
  <si>
    <r>
      <t xml:space="preserve">Reports for PM </t>
    </r>
    <r>
      <rPr>
        <b/>
        <vertAlign val="superscript"/>
        <sz val="9"/>
        <color theme="1"/>
        <rFont val="Times New Roman"/>
        <family val="1"/>
      </rPr>
      <t>f, h</t>
    </r>
  </si>
  <si>
    <t>Excess</t>
  </si>
  <si>
    <t>No Excess</t>
  </si>
  <si>
    <r>
      <t>Reports for NO</t>
    </r>
    <r>
      <rPr>
        <b/>
        <vertAlign val="subscript"/>
        <sz val="9"/>
        <color theme="1"/>
        <rFont val="Times New Roman"/>
        <family val="1"/>
      </rPr>
      <t xml:space="preserve">x </t>
    </r>
    <r>
      <rPr>
        <b/>
        <vertAlign val="superscript"/>
        <sz val="9"/>
        <color theme="1"/>
        <rFont val="Times New Roman"/>
        <family val="1"/>
      </rPr>
      <t>f, h</t>
    </r>
  </si>
  <si>
    <t>CEMS Compliance</t>
  </si>
  <si>
    <r>
      <t xml:space="preserve">Appendix F Report </t>
    </r>
    <r>
      <rPr>
        <b/>
        <vertAlign val="superscript"/>
        <sz val="9"/>
        <color theme="1"/>
        <rFont val="Times New Roman"/>
        <family val="1"/>
      </rPr>
      <t>f</t>
    </r>
  </si>
  <si>
    <r>
      <t>Annual Compliance Tests for NO</t>
    </r>
    <r>
      <rPr>
        <b/>
        <vertAlign val="subscript"/>
        <sz val="9"/>
        <color theme="1"/>
        <rFont val="Times New Roman"/>
        <family val="1"/>
      </rPr>
      <t xml:space="preserve">x </t>
    </r>
    <r>
      <rPr>
        <b/>
        <vertAlign val="superscript"/>
        <sz val="9"/>
        <color theme="1"/>
        <rFont val="Times New Roman"/>
        <family val="1"/>
      </rPr>
      <t>f</t>
    </r>
  </si>
  <si>
    <r>
      <t xml:space="preserve">Appendix F Annual Accuracy Test </t>
    </r>
    <r>
      <rPr>
        <b/>
        <vertAlign val="superscript"/>
        <sz val="9"/>
        <color theme="1"/>
        <rFont val="Times New Roman"/>
        <family val="1"/>
      </rPr>
      <t>f</t>
    </r>
  </si>
  <si>
    <r>
      <t xml:space="preserve">Appendix F Audits </t>
    </r>
    <r>
      <rPr>
        <b/>
        <vertAlign val="superscript"/>
        <sz val="9"/>
        <color theme="1"/>
        <rFont val="Times New Roman"/>
        <family val="1"/>
      </rPr>
      <t>f, i</t>
    </r>
  </si>
  <si>
    <r>
      <t>SO</t>
    </r>
    <r>
      <rPr>
        <b/>
        <vertAlign val="subscript"/>
        <sz val="9"/>
        <color theme="1"/>
        <rFont val="Times New Roman"/>
        <family val="1"/>
      </rPr>
      <t>2</t>
    </r>
    <r>
      <rPr>
        <sz val="9"/>
        <color theme="1"/>
        <rFont val="Times New Roman"/>
        <family val="1"/>
      </rPr>
      <t xml:space="preserve"> - In Situ</t>
    </r>
  </si>
  <si>
    <r>
      <t>SO</t>
    </r>
    <r>
      <rPr>
        <b/>
        <vertAlign val="subscript"/>
        <sz val="9"/>
        <color theme="1"/>
        <rFont val="Times New Roman"/>
        <family val="1"/>
      </rPr>
      <t>2</t>
    </r>
    <r>
      <rPr>
        <sz val="9"/>
        <color theme="1"/>
        <rFont val="Times New Roman"/>
        <family val="1"/>
      </rPr>
      <t xml:space="preserve"> – Extractive</t>
    </r>
  </si>
  <si>
    <r>
      <t>SO</t>
    </r>
    <r>
      <rPr>
        <b/>
        <vertAlign val="subscript"/>
        <sz val="9"/>
        <color theme="1"/>
        <rFont val="Times New Roman"/>
        <family val="1"/>
      </rPr>
      <t>2</t>
    </r>
    <r>
      <rPr>
        <sz val="9"/>
        <color theme="1"/>
        <rFont val="Times New Roman"/>
        <family val="1"/>
      </rPr>
      <t xml:space="preserve"> - Extractive</t>
    </r>
  </si>
  <si>
    <r>
      <t>NO</t>
    </r>
    <r>
      <rPr>
        <b/>
        <vertAlign val="subscript"/>
        <sz val="9"/>
        <color theme="1"/>
        <rFont val="Times New Roman"/>
        <family val="1"/>
      </rPr>
      <t>x</t>
    </r>
    <r>
      <rPr>
        <sz val="9"/>
        <color theme="1"/>
        <rFont val="Times New Roman"/>
        <family val="1"/>
      </rPr>
      <t xml:space="preserve"> - In Situ</t>
    </r>
  </si>
  <si>
    <r>
      <t>NO</t>
    </r>
    <r>
      <rPr>
        <b/>
        <vertAlign val="subscript"/>
        <sz val="9"/>
        <color theme="1"/>
        <rFont val="Times New Roman"/>
        <family val="1"/>
      </rPr>
      <t>x</t>
    </r>
    <r>
      <rPr>
        <sz val="9"/>
        <color theme="1"/>
        <rFont val="Times New Roman"/>
        <family val="1"/>
      </rPr>
      <t xml:space="preserve"> - Extractive</t>
    </r>
  </si>
  <si>
    <r>
      <t xml:space="preserve">C. Create Information </t>
    </r>
    <r>
      <rPr>
        <b/>
        <vertAlign val="superscript"/>
        <sz val="9"/>
        <color theme="1"/>
        <rFont val="Times New Roman"/>
        <family val="1"/>
      </rPr>
      <t>d</t>
    </r>
  </si>
  <si>
    <t>D. Gather Existing Information</t>
  </si>
  <si>
    <t>E. Write Report</t>
  </si>
  <si>
    <r>
      <t xml:space="preserve">        Notify of construction/reconstruction </t>
    </r>
    <r>
      <rPr>
        <vertAlign val="superscript"/>
        <sz val="9"/>
        <color theme="1"/>
        <rFont val="Times New Roman"/>
        <family val="1"/>
      </rPr>
      <t xml:space="preserve">d </t>
    </r>
    <r>
      <rPr>
        <sz val="9"/>
        <color theme="1"/>
        <rFont val="Times New Roman"/>
        <family val="1"/>
      </rPr>
      <t xml:space="preserve">                                    </t>
    </r>
  </si>
  <si>
    <r>
      <t xml:space="preserve">        Notify of Anticipated Startup </t>
    </r>
    <r>
      <rPr>
        <vertAlign val="superscript"/>
        <sz val="9"/>
        <color theme="1"/>
        <rFont val="Times New Roman"/>
        <family val="1"/>
      </rPr>
      <t>d</t>
    </r>
  </si>
  <si>
    <r>
      <t xml:space="preserve">        Notify of Actual Startup </t>
    </r>
    <r>
      <rPr>
        <vertAlign val="superscript"/>
        <sz val="9"/>
        <color theme="1"/>
        <rFont val="Times New Roman"/>
        <family val="1"/>
      </rPr>
      <t>d</t>
    </r>
  </si>
  <si>
    <r>
      <t xml:space="preserve">        Monitoring Plan </t>
    </r>
    <r>
      <rPr>
        <vertAlign val="superscript"/>
        <sz val="9"/>
        <color theme="1"/>
        <rFont val="Times New Roman"/>
        <family val="1"/>
      </rPr>
      <t>d</t>
    </r>
  </si>
  <si>
    <r>
      <t xml:space="preserve">        Notification of initial performance test </t>
    </r>
    <r>
      <rPr>
        <vertAlign val="superscript"/>
        <sz val="9"/>
        <color theme="1"/>
        <rFont val="Times New Roman"/>
        <family val="1"/>
      </rPr>
      <t>d</t>
    </r>
  </si>
  <si>
    <r>
      <t xml:space="preserve">                        SO</t>
    </r>
    <r>
      <rPr>
        <b/>
        <vertAlign val="subscript"/>
        <sz val="9"/>
        <color theme="1"/>
        <rFont val="Times New Roman"/>
        <family val="1"/>
      </rPr>
      <t>2</t>
    </r>
  </si>
  <si>
    <t xml:space="preserve">                        PM</t>
  </si>
  <si>
    <r>
      <t xml:space="preserve">                        NO</t>
    </r>
    <r>
      <rPr>
        <b/>
        <vertAlign val="subscript"/>
        <sz val="9"/>
        <color theme="1"/>
        <rFont val="Times New Roman"/>
        <family val="1"/>
      </rPr>
      <t>x</t>
    </r>
  </si>
  <si>
    <t xml:space="preserve">Subtotal for Reporting Requirements </t>
  </si>
  <si>
    <t>4. Recordkeeping Requirements</t>
  </si>
  <si>
    <t xml:space="preserve">    B. Plan activities</t>
  </si>
  <si>
    <t xml:space="preserve">    C. Implement activities</t>
  </si>
  <si>
    <t xml:space="preserve">    D. Develop record system</t>
  </si>
  <si>
    <t xml:space="preserve">    E. Time to enter information</t>
  </si>
  <si>
    <t xml:space="preserve">    F. Records of startup, shutdown, malfunction                           </t>
  </si>
  <si>
    <t>G. Records of All Measurements</t>
  </si>
  <si>
    <t>Subtotal for Recordkeeping Requirements</t>
  </si>
  <si>
    <t>(A) Hours per Occurrence</t>
  </si>
  <si>
    <t>(B) Number of occurrences per respondent per year</t>
  </si>
  <si>
    <t>(C) Hours per respondent per year (AxB)</t>
  </si>
  <si>
    <r>
      <t xml:space="preserve">(D) Respondents per Year </t>
    </r>
    <r>
      <rPr>
        <b/>
        <vertAlign val="superscript"/>
        <sz val="9"/>
        <color theme="1"/>
        <rFont val="Times New Roman"/>
        <family val="1"/>
      </rPr>
      <t>a</t>
    </r>
  </si>
  <si>
    <t>(E) Technical hours per year (CxD)</t>
  </si>
  <si>
    <t>(F) Management hours per year (Ex0.05)</t>
  </si>
  <si>
    <t>(G) Clerical hours per year (Ex0.1)</t>
  </si>
  <si>
    <r>
      <t>(H) Total cost per year, $</t>
    </r>
    <r>
      <rPr>
        <b/>
        <vertAlign val="superscript"/>
        <sz val="9"/>
        <color theme="1"/>
        <rFont val="Times New Roman"/>
        <family val="1"/>
      </rPr>
      <t>b</t>
    </r>
  </si>
  <si>
    <t>Existing</t>
  </si>
  <si>
    <t>New</t>
  </si>
  <si>
    <t>Total</t>
  </si>
  <si>
    <t>Respondents</t>
  </si>
  <si>
    <t>SO2</t>
  </si>
  <si>
    <t>NOX</t>
  </si>
  <si>
    <t>A. Familiarization with the regulatory requirements</t>
  </si>
  <si>
    <t xml:space="preserve">    A. Familiarization with the regulatory requirements</t>
  </si>
  <si>
    <t>Gas-fired (NOX)</t>
  </si>
  <si>
    <t>Coal-fired (SO2,NOX,PM)</t>
  </si>
  <si>
    <t>Biomass-fired (PM, NOX)</t>
  </si>
  <si>
    <t>New_Reorganized</t>
  </si>
  <si>
    <t>Existing and New</t>
  </si>
  <si>
    <t>Updates:</t>
  </si>
  <si>
    <t>Labor Rates</t>
  </si>
  <si>
    <t>Respondent Universe</t>
  </si>
  <si>
    <t>Assumptions:</t>
  </si>
  <si>
    <r>
      <t>e.</t>
    </r>
    <r>
      <rPr>
        <sz val="10"/>
        <color theme="1"/>
        <rFont val="Times New Roman"/>
        <family val="1"/>
      </rPr>
      <t xml:space="preserve">  Assume 20 percent of initial performance tests and CEMS demonstrations are repeated due to failures.</t>
    </r>
  </si>
  <si>
    <r>
      <t>g.</t>
    </r>
    <r>
      <rPr>
        <sz val="10"/>
        <color theme="1"/>
        <rFont val="Times New Roman"/>
        <family val="1"/>
      </rPr>
      <t xml:space="preserve">  Assume that 20 percent of respondents will choose to report quarterly.</t>
    </r>
  </si>
  <si>
    <r>
      <t>h.</t>
    </r>
    <r>
      <rPr>
        <sz val="10"/>
        <color theme="1"/>
        <rFont val="Times New Roman"/>
        <family val="1"/>
      </rPr>
      <t xml:space="preserve">  Assume the 20 percent of units are found to be in excess of emission standard and 80 percent are found not to be in excess.</t>
    </r>
  </si>
  <si>
    <r>
      <t>i.</t>
    </r>
    <r>
      <rPr>
        <sz val="10"/>
        <color theme="1"/>
        <rFont val="Times New Roman"/>
        <family val="1"/>
      </rPr>
      <t xml:space="preserve">  Assume that 25 percent of units have in situ CEMS and 75 percent have extractive CEMS.</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</si>
  <si>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</si>
  <si>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 xml:space="preserve">TOTAL COST: </t>
    </r>
    <r>
      <rPr>
        <b/>
        <vertAlign val="superscript"/>
        <sz val="8"/>
        <rFont val="Times New Roman"/>
        <family val="1"/>
      </rPr>
      <t>j</t>
    </r>
  </si>
  <si>
    <r>
      <t xml:space="preserve">Capital and O&amp;M Cost (see Section 6(b)(iii)): </t>
    </r>
    <r>
      <rPr>
        <b/>
        <vertAlign val="superscript"/>
        <sz val="8"/>
        <rFont val="Times New Roman"/>
        <family val="1"/>
      </rPr>
      <t>j</t>
    </r>
  </si>
  <si>
    <r>
      <t xml:space="preserve">TOTAL LABOR BURDEN AND COST (rounded) </t>
    </r>
    <r>
      <rPr>
        <b/>
        <vertAlign val="superscript"/>
        <sz val="9"/>
        <color theme="1"/>
        <rFont val="Times New Roman"/>
        <family val="1"/>
      </rPr>
      <t>j</t>
    </r>
  </si>
  <si>
    <r>
      <t xml:space="preserve">Report review for construction, anticipated startup, actual startup </t>
    </r>
    <r>
      <rPr>
        <b/>
        <vertAlign val="superscript"/>
        <sz val="9"/>
        <color theme="1"/>
        <rFont val="Times New Roman"/>
        <family val="1"/>
      </rPr>
      <t>c</t>
    </r>
  </si>
  <si>
    <r>
      <t xml:space="preserve">Review  notification of initial test </t>
    </r>
    <r>
      <rPr>
        <vertAlign val="superscript"/>
        <sz val="9"/>
        <color theme="1"/>
        <rFont val="Times New Roman"/>
        <family val="1"/>
      </rPr>
      <t>c</t>
    </r>
  </si>
  <si>
    <r>
      <t>SO</t>
    </r>
    <r>
      <rPr>
        <b/>
        <vertAlign val="subscript"/>
        <sz val="9"/>
        <color theme="1"/>
        <rFont val="Times New Roman"/>
        <family val="1"/>
      </rPr>
      <t>2</t>
    </r>
    <r>
      <rPr>
        <b/>
        <vertAlign val="superscript"/>
        <sz val="9"/>
        <color theme="1"/>
        <rFont val="Times New Roman"/>
        <family val="1"/>
      </rPr>
      <t>d</t>
    </r>
  </si>
  <si>
    <r>
      <t xml:space="preserve">PM </t>
    </r>
    <r>
      <rPr>
        <b/>
        <vertAlign val="superscript"/>
        <sz val="9"/>
        <color theme="1"/>
        <rFont val="Times New Roman"/>
        <family val="1"/>
      </rPr>
      <t>d</t>
    </r>
  </si>
  <si>
    <r>
      <t xml:space="preserve">Nox </t>
    </r>
    <r>
      <rPr>
        <b/>
        <vertAlign val="superscript"/>
        <sz val="9"/>
        <color theme="1"/>
        <rFont val="Times New Roman"/>
        <family val="1"/>
      </rPr>
      <t>d</t>
    </r>
  </si>
  <si>
    <r>
      <t xml:space="preserve">Review initial test results </t>
    </r>
    <r>
      <rPr>
        <vertAlign val="superscript"/>
        <sz val="9"/>
        <color theme="1"/>
        <rFont val="Times New Roman"/>
        <family val="1"/>
      </rPr>
      <t>c</t>
    </r>
  </si>
  <si>
    <r>
      <t xml:space="preserve">Review notification of CMS demonstration </t>
    </r>
    <r>
      <rPr>
        <vertAlign val="superscript"/>
        <sz val="9"/>
        <color theme="1"/>
        <rFont val="Times New Roman"/>
        <family val="1"/>
      </rPr>
      <t>c</t>
    </r>
  </si>
  <si>
    <r>
      <t xml:space="preserve">Review CMS performance demonstration </t>
    </r>
    <r>
      <rPr>
        <vertAlign val="superscript"/>
        <sz val="9"/>
        <color theme="1"/>
        <rFont val="Times New Roman"/>
        <family val="1"/>
      </rPr>
      <t>c</t>
    </r>
  </si>
  <si>
    <r>
      <t xml:space="preserve">Review monitoring plan </t>
    </r>
    <r>
      <rPr>
        <b/>
        <vertAlign val="superscript"/>
        <sz val="9"/>
        <color theme="1"/>
        <rFont val="Times New Roman"/>
        <family val="1"/>
      </rPr>
      <t>c</t>
    </r>
  </si>
  <si>
    <r>
      <t xml:space="preserve">Review NOx compliance reports </t>
    </r>
    <r>
      <rPr>
        <b/>
        <vertAlign val="superscript"/>
        <sz val="9"/>
        <color theme="1"/>
        <rFont val="Times New Roman"/>
        <family val="1"/>
      </rPr>
      <t>e, f</t>
    </r>
  </si>
  <si>
    <t>Quarterly</t>
  </si>
  <si>
    <r>
      <t>Review SO</t>
    </r>
    <r>
      <rPr>
        <b/>
        <vertAlign val="subscript"/>
        <sz val="9"/>
        <color theme="1"/>
        <rFont val="Times New Roman"/>
        <family val="1"/>
      </rPr>
      <t>2</t>
    </r>
    <r>
      <rPr>
        <sz val="9"/>
        <color theme="1"/>
        <rFont val="Times New Roman"/>
        <family val="1"/>
      </rPr>
      <t xml:space="preserve"> compliance reports </t>
    </r>
    <r>
      <rPr>
        <b/>
        <vertAlign val="superscript"/>
        <sz val="9"/>
        <color theme="1"/>
        <rFont val="Times New Roman"/>
        <family val="1"/>
      </rPr>
      <t>e, f</t>
    </r>
  </si>
  <si>
    <r>
      <t xml:space="preserve">Review excess emissions reports </t>
    </r>
    <r>
      <rPr>
        <b/>
        <vertAlign val="superscript"/>
        <sz val="9"/>
        <color theme="1"/>
        <rFont val="Times New Roman"/>
        <family val="1"/>
      </rPr>
      <t>e, f</t>
    </r>
  </si>
  <si>
    <t xml:space="preserve">                   Quarterly</t>
  </si>
  <si>
    <t xml:space="preserve">                   Semiannual</t>
  </si>
  <si>
    <t>NOx</t>
  </si>
  <si>
    <t xml:space="preserve">                  Quarterly</t>
  </si>
  <si>
    <t xml:space="preserve">                  Semiannual</t>
  </si>
  <si>
    <r>
      <t xml:space="preserve">Review appendix F QA data assessment reports </t>
    </r>
    <r>
      <rPr>
        <b/>
        <vertAlign val="superscript"/>
        <sz val="9"/>
        <color theme="1"/>
        <rFont val="Times New Roman"/>
        <family val="1"/>
      </rPr>
      <t>e</t>
    </r>
  </si>
  <si>
    <t>(A) EPA hours per occurrence</t>
  </si>
  <si>
    <t>(B) Number of occurrences per plant per year</t>
  </si>
  <si>
    <t>(C) EPA hours per plant per year (AxB)</t>
  </si>
  <si>
    <r>
      <t xml:space="preserve">(D) Plants per year </t>
    </r>
    <r>
      <rPr>
        <b/>
        <vertAlign val="superscript"/>
        <sz val="9"/>
        <color theme="1"/>
        <rFont val="Times New Roman"/>
        <family val="1"/>
      </rPr>
      <t>a</t>
    </r>
  </si>
  <si>
    <t>(E) EPA Technical hours per plant per year (CxD)</t>
  </si>
  <si>
    <t>(F) EPA Managerial hours per year (Ex0.05)</t>
  </si>
  <si>
    <t>(G) EPA Clerical hours per year (Ex0.1)</t>
  </si>
  <si>
    <r>
      <t xml:space="preserve">(H) Total cost per year </t>
    </r>
    <r>
      <rPr>
        <b/>
        <vertAlign val="superscript"/>
        <sz val="9"/>
        <color theme="1"/>
        <rFont val="Times New Roman"/>
        <family val="1"/>
      </rPr>
      <t>b</t>
    </r>
  </si>
  <si>
    <r>
      <t>f.</t>
    </r>
    <r>
      <rPr>
        <sz val="10"/>
        <color theme="1"/>
        <rFont val="Times New Roman"/>
        <family val="1"/>
      </rPr>
      <t xml:space="preserve">  We assume that 20 percent of respondents will choose to report quarterly.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</si>
  <si>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</si>
  <si>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hr per resp</t>
  </si>
  <si>
    <t>Number of Respondents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</si>
  <si>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</si>
  <si>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</si>
  <si>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</si>
  <si>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</si>
  <si>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</si>
  <si>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</si>
  <si>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</si>
  <si>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</si>
  <si>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</si>
  <si>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</si>
  <si>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r>
      <t xml:space="preserve">TOTAL ANNUAL  BURDEN AND COST (rounded) </t>
    </r>
    <r>
      <rPr>
        <b/>
        <vertAlign val="superscript"/>
        <sz val="9"/>
        <color theme="1"/>
        <rFont val="Times New Roman"/>
        <family val="1"/>
      </rPr>
      <t>g</t>
    </r>
  </si>
  <si>
    <t>Existing and New (Previous ICR)</t>
  </si>
  <si>
    <r>
      <t>c.</t>
    </r>
    <r>
      <rPr>
        <sz val="10"/>
        <color theme="1"/>
        <rFont val="Times New Roman"/>
        <family val="1"/>
      </rPr>
      <t xml:space="preserve">  All new plants subject to the standard must provide reports of these events as required by section 60.7.  These are one-time-only costs associated with the anticipated 37 new sources per year over the next three years.  According to the 2003 ICR renewal, approximately half of all new sources will submit a monitoring plan.</t>
    </r>
  </si>
  <si>
    <r>
      <t>d.</t>
    </r>
    <r>
      <rPr>
        <sz val="10"/>
        <color theme="1"/>
        <rFont val="Times New Roman"/>
        <family val="1"/>
      </rPr>
      <t xml:space="preserve">  EPA estimates that there will be 33 new gas-fired steam generating units per year (which require NO</t>
    </r>
    <r>
      <rPr>
        <vertAlign val="subscript"/>
        <sz val="10"/>
        <color theme="1"/>
        <rFont val="Times New Roman"/>
        <family val="1"/>
      </rPr>
      <t>x</t>
    </r>
    <r>
      <rPr>
        <sz val="10"/>
        <color theme="1"/>
        <rFont val="Times New Roman"/>
        <family val="1"/>
      </rPr>
      <t xml:space="preserve"> controls), 0 new coal-fired steam generating units per year (which require SO2, NOx, and PM controls), and 4 new biomass/wood-fired steam generating units per year (which require NOx and PM controls).</t>
    </r>
  </si>
  <si>
    <r>
      <t>a.</t>
    </r>
    <r>
      <rPr>
        <sz val="10"/>
        <color theme="1"/>
        <rFont val="Times New Roman"/>
        <family val="1"/>
      </rPr>
      <t xml:space="preserve">  We have assumed that the average number of respondents that will be subject to the rule will be 2,068.  There will be 37 additional new sources that will become subject to the rule over the three-year period of this ICR.</t>
    </r>
  </si>
  <si>
    <r>
      <t>b.</t>
    </r>
    <r>
      <rPr>
        <sz val="10"/>
        <color theme="1"/>
        <rFont val="Times New Roman"/>
        <family val="1"/>
      </rPr>
      <t xml:space="preserve">  This cost is based on the average hourly labor rate as follows: Technical $52.37 (GS-12, Step 1, $32.73 + 60%); Managerial $70.56 (GS-13, Step 5, $44.10 + 60%); and Clerical $28.34 (GS-6, Step 3, $17.17 + 60%).  This ICR assumes that Managerial hours are 5 percent of Technical hours, and Clerical hours are 10 percent of Technical hours.  These rates are from the OPM, 2022 General Schedule, which excludes locality, rates of pay.  The rates have been increased by 60 percent to account for the benefit packages available to government employees.</t>
    </r>
  </si>
  <si>
    <r>
      <t>c.</t>
    </r>
    <r>
      <rPr>
        <sz val="10"/>
        <color theme="1"/>
        <rFont val="Times New Roman"/>
        <family val="1"/>
      </rPr>
      <t xml:space="preserve">  EPA estimates that there will be 33 new gas-fired steam generating units per year (which require NO</t>
    </r>
    <r>
      <rPr>
        <vertAlign val="subscript"/>
        <sz val="10"/>
        <color theme="1"/>
        <rFont val="Times New Roman"/>
        <family val="1"/>
      </rPr>
      <t>x</t>
    </r>
    <r>
      <rPr>
        <sz val="10"/>
        <color theme="1"/>
        <rFont val="Times New Roman"/>
        <family val="1"/>
      </rPr>
      <t xml:space="preserve"> controls), 0 new coal-fired steam generating units per year (which require SO2, NOx, and PM controls), and 4 new biomass/wood-fired steam generating units per year (which require NOx and PM controls).</t>
    </r>
  </si>
  <si>
    <r>
      <t>d.</t>
    </r>
    <r>
      <rPr>
        <sz val="10"/>
        <color theme="1"/>
        <rFont val="Times New Roman"/>
        <family val="1"/>
      </rPr>
      <t xml:space="preserve">  One-time only costs associated with the anticipated 37 new sources per year over the next three years.  According to the 2003 ICR renewal, approximately half of all new sources will submit a monitoring plan.</t>
    </r>
  </si>
  <si>
    <r>
      <t>Capital/Startup vs. Operation and Maintenance (O&amp;M) Costs</t>
    </r>
    <r>
      <rPr>
        <sz val="10"/>
        <color rgb="FF000000"/>
        <rFont val="Times New Roman"/>
        <family val="1"/>
      </rPr>
      <t> </t>
    </r>
  </si>
  <si>
    <t>(F)</t>
  </si>
  <si>
    <t>(G)</t>
  </si>
  <si>
    <t>Continuous Monitoring Device</t>
  </si>
  <si>
    <t>Capital/Startup Cost for One Respondent</t>
  </si>
  <si>
    <r>
      <t xml:space="preserve">Number of New  Respondents </t>
    </r>
    <r>
      <rPr>
        <b/>
        <vertAlign val="superscript"/>
        <sz val="10"/>
        <color rgb="FF000000"/>
        <rFont val="Times New Roman"/>
        <family val="1"/>
      </rPr>
      <t>a</t>
    </r>
  </si>
  <si>
    <t>Total Capital/Startup Cost,  (B X C)</t>
  </si>
  <si>
    <t>Annual O&amp;M Costs for One Respondent</t>
  </si>
  <si>
    <r>
      <t>Number of Respondents with O&amp;M</t>
    </r>
    <r>
      <rPr>
        <b/>
        <vertAlign val="superscript"/>
        <sz val="10"/>
        <color rgb="FF000000"/>
        <rFont val="Times New Roman"/>
        <family val="1"/>
      </rPr>
      <t xml:space="preserve"> b</t>
    </r>
  </si>
  <si>
    <t>Total O&amp;M,</t>
  </si>
  <si>
    <t>(E X F)</t>
  </si>
  <si>
    <r>
      <t>Totals</t>
    </r>
    <r>
      <rPr>
        <sz val="10"/>
        <color rgb="FF000000"/>
        <rFont val="Times New Roman"/>
        <family val="1"/>
      </rPr>
      <t xml:space="preserve"> (rounded)</t>
    </r>
    <r>
      <rPr>
        <b/>
        <sz val="10"/>
        <color rgb="FF000000"/>
        <rFont val="Times New Roman"/>
        <family val="1"/>
      </rPr>
      <t xml:space="preserve"> </t>
    </r>
    <r>
      <rPr>
        <b/>
        <vertAlign val="superscript"/>
        <sz val="10"/>
        <color rgb="FF000000"/>
        <rFont val="Times New Roman"/>
        <family val="1"/>
      </rPr>
      <t>b</t>
    </r>
  </si>
  <si>
    <r>
      <t>b</t>
    </r>
    <r>
      <rPr>
        <sz val="10"/>
        <color rgb="FF000000"/>
        <rFont val="Times New Roman"/>
        <family val="1"/>
      </rPr>
      <t xml:space="preserve"> Totals have been rounded to 3 significant digits. Figures may not add exactly due to rounding. </t>
    </r>
  </si>
  <si>
    <r>
      <t>SO</t>
    </r>
    <r>
      <rPr>
        <vertAlign val="subscript"/>
        <sz val="10"/>
        <color theme="1"/>
        <rFont val="Times New Roman"/>
        <family val="1"/>
      </rPr>
      <t>2</t>
    </r>
    <r>
      <rPr>
        <sz val="10"/>
        <color theme="1"/>
        <rFont val="Times New Roman"/>
        <family val="1"/>
      </rPr>
      <t>, PM, and NOx</t>
    </r>
  </si>
  <si>
    <r>
      <t xml:space="preserve">a  </t>
    </r>
    <r>
      <rPr>
        <sz val="10"/>
        <color rgb="FF000000"/>
        <rFont val="Times New Roman"/>
        <family val="1"/>
      </rPr>
      <t>EPA estimates that there will be 33 new gas-fired steam generating units per year (which require NOx controls), 0 new coal-fired steam generating units per year (which require SO2, NOx, and PM controls), and 4 new biomass/wood-fired steam generating units per year (which require NOx and PM controls).</t>
    </r>
  </si>
  <si>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</si>
  <si>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</si>
  <si>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</si>
  <si>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</si>
  <si>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</si>
  <si>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</si>
  <si>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r>
      <t>Semiannual excess emissions</t>
    </r>
    <r>
      <rPr>
        <vertAlign val="superscript"/>
        <sz val="10"/>
        <color theme="1"/>
        <rFont val="Times New Roman"/>
        <family val="1"/>
      </rPr>
      <t>b</t>
    </r>
  </si>
  <si>
    <r>
      <t>Quarterly SO</t>
    </r>
    <r>
      <rPr>
        <vertAlign val="subscript"/>
        <sz val="10"/>
        <color theme="1"/>
        <rFont val="Times New Roman"/>
        <family val="1"/>
      </rPr>
      <t>2</t>
    </r>
    <r>
      <rPr>
        <sz val="10"/>
        <color theme="1"/>
        <rFont val="Times New Roman"/>
        <family val="1"/>
      </rPr>
      <t>, PM, and NO</t>
    </r>
    <r>
      <rPr>
        <vertAlign val="subscript"/>
        <sz val="10"/>
        <color theme="1"/>
        <rFont val="Times New Roman"/>
        <family val="1"/>
      </rPr>
      <t>x</t>
    </r>
    <r>
      <rPr>
        <sz val="10"/>
        <color theme="1"/>
        <rFont val="Times New Roman"/>
        <family val="1"/>
      </rPr>
      <t xml:space="preserve"> reporting</t>
    </r>
    <r>
      <rPr>
        <vertAlign val="superscript"/>
        <sz val="10"/>
        <color theme="1"/>
        <rFont val="Times New Roman"/>
        <family val="1"/>
      </rPr>
      <t>b</t>
    </r>
  </si>
  <si>
    <r>
      <t>a</t>
    </r>
    <r>
      <rPr>
        <sz val="10"/>
        <color rgb="FF000000"/>
        <rFont val="Times New Roman"/>
        <family val="1"/>
      </rPr>
      <t xml:space="preserve">  We have assumed that the average number of respondents that will be subject to the rule will be 2,068.  There will be 37 additional new sources that will become subject to the rule over the three-year period of this ICR.</t>
    </r>
  </si>
  <si>
    <r>
      <t>b</t>
    </r>
    <r>
      <rPr>
        <sz val="10"/>
        <rFont val="Times New Roman"/>
        <family val="1"/>
      </rPr>
      <t xml:space="preserve">  This ICR assumes that 80 percent of all respondents will submit semiannual reports, and assumes that 20 percent of all respondents will submit quarterly reports.</t>
    </r>
  </si>
  <si>
    <t>Respondents That Submit Reports</t>
  </si>
  <si>
    <t>Respondents That Do Not Submit Any Reports</t>
  </si>
  <si>
    <r>
      <t xml:space="preserve">Number of New Respondents </t>
    </r>
    <r>
      <rPr>
        <b/>
        <vertAlign val="superscript"/>
        <sz val="10"/>
        <color rgb="FF000000"/>
        <rFont val="Times New Roman"/>
        <family val="1"/>
      </rPr>
      <t>a</t>
    </r>
  </si>
  <si>
    <t>Number of Respondents (E=A+B+C-D)</t>
  </si>
  <si>
    <r>
      <t xml:space="preserve">a </t>
    </r>
    <r>
      <rPr>
        <sz val="10"/>
        <color rgb="FF000000"/>
        <rFont val="Times New Roman"/>
        <family val="1"/>
      </rPr>
      <t xml:space="preserve">  New respondents include sources with constructed and reconstructed affected facilities.</t>
    </r>
  </si>
  <si>
    <t>ICR Summary Information</t>
  </si>
  <si>
    <t>Hours per Response</t>
  </si>
  <si>
    <t>Total Estimated Burden Hours</t>
  </si>
  <si>
    <t>Total Estimated Costs</t>
  </si>
  <si>
    <t>Annualized Capital O&amp;M</t>
  </si>
  <si>
    <r>
      <t>b.</t>
    </r>
    <r>
      <rPr>
        <sz val="10"/>
        <color theme="1"/>
        <rFont val="Times New Roman"/>
        <family val="1"/>
      </rPr>
      <t xml:space="preserve">  This ICR uses the following labor rates: Technical $123.94 ($59.02 + 110%); Managerial $157.61 ($75.05 + 110%) ; and Clerical $62.52 ($29.77 + 110%). These rates are from the United States Department of Labor, Bureau of Labor Statistics, Septembe</t>
    </r>
    <r>
      <rPr>
        <sz val="10"/>
        <rFont val="Times New Roman"/>
        <family val="1"/>
      </rPr>
      <t>r 2021</t>
    </r>
    <r>
      <rPr>
        <sz val="10"/>
        <color theme="1"/>
        <rFont val="Times New Roman"/>
        <family val="1"/>
      </rPr>
      <t>,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</si>
  <si>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f.</t>
    </r>
    <r>
      <rPr>
        <sz val="10"/>
        <color theme="1"/>
        <rFont val="Times New Roman"/>
        <family val="1"/>
      </rPr>
      <t xml:space="preserve">  EPA assum</t>
    </r>
    <r>
      <rPr>
        <sz val="10"/>
        <rFont val="Times New Roman"/>
        <family val="1"/>
      </rPr>
      <t>es, based on the 2003 ICR renewal and additional sources since that time, there are 862</t>
    </r>
    <r>
      <rPr>
        <sz val="10"/>
        <color theme="1"/>
        <rFont val="Times New Roman"/>
        <family val="1"/>
      </rPr>
      <t xml:space="preserve"> sources that must report SO2 emissions, </t>
    </r>
    <r>
      <rPr>
        <sz val="10"/>
        <rFont val="Times New Roman"/>
        <family val="1"/>
      </rPr>
      <t xml:space="preserve">919 sources that must report PM emissions, and 2,068 sources that must report NOx emissions. </t>
    </r>
    <r>
      <rPr>
        <sz val="10"/>
        <color theme="1"/>
        <rFont val="Times New Roman"/>
        <family val="1"/>
      </rPr>
      <t xml:space="preserve">
</t>
    </r>
  </si>
  <si>
    <t>The number of units in these cells are updated based on the ratio of affected units/total count of units from the prior renewal.</t>
  </si>
  <si>
    <r>
      <t>e.</t>
    </r>
    <r>
      <rPr>
        <sz val="10"/>
        <color theme="1"/>
        <rFont val="Times New Roman"/>
        <family val="1"/>
      </rPr>
      <t xml:space="preserve">   EPA assumes, based on the 2003 ICR renewal and additional sou</t>
    </r>
    <r>
      <rPr>
        <sz val="10"/>
        <rFont val="Times New Roman"/>
        <family val="1"/>
      </rPr>
      <t>rces since that time, there are 862</t>
    </r>
    <r>
      <rPr>
        <sz val="10"/>
        <color theme="1"/>
        <rFont val="Times New Roman"/>
        <family val="1"/>
      </rPr>
      <t xml:space="preserve"> sources that must report SO2 emissions, </t>
    </r>
    <r>
      <rPr>
        <sz val="10"/>
        <rFont val="Times New Roman"/>
        <family val="1"/>
      </rPr>
      <t>919 sources that must report PM emissions, and 2,068 sources that must report NOx emissions.</t>
    </r>
    <r>
      <rPr>
        <sz val="10"/>
        <color theme="1"/>
        <rFont val="Times New Roman"/>
        <family val="1"/>
      </rPr>
      <t xml:space="preserve">
</t>
    </r>
  </si>
  <si>
    <t>Total Capital O&amp;M Costs</t>
  </si>
  <si>
    <t>Form Number</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</si>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</sst>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37" x14ac:knownFonts="1">
    <font>
      <sz val="11"/>
      <color theme="1"/>
      <name val="Calibri"/>
      <family val="2"/>
      <scheme val="minor"/>
    </font>
    <font>
      <sz val="10"/>
      <color theme="1"/>
      <name val="Times New Roman"/>
      <family val="1"/>
    </font>
    <font>
      <b/>
      <sz val="9"/>
      <color theme="1"/>
      <name val="Times New Roman"/>
      <family val="1"/>
    </font>
    <font>
      <b/>
      <vertAlign val="superscript"/>
      <sz val="9"/>
      <color theme="1"/>
      <name val="Times New Roman"/>
      <family val="1"/>
    </font>
    <font>
      <sz val="9"/>
      <color theme="1"/>
      <name val="Times New Roman"/>
      <family val="1"/>
    </font>
    <font>
      <vertAlign val="superscript"/>
      <sz val="9"/>
      <color theme="1"/>
      <name val="Times New Roman"/>
      <family val="1"/>
    </font>
    <font>
      <b/>
      <vertAlign val="subscript"/>
      <sz val="9"/>
      <color theme="1"/>
      <name val="Times New Roman"/>
      <family val="1"/>
    </font>
    <font>
      <b/>
      <i/>
      <sz val="9"/>
      <color theme="1"/>
      <name val="Times New Roman"/>
      <family val="1"/>
    </font>
    <font>
      <sz val="11"/>
      <color rgb="FFFF0000"/>
      <name val="Calibri"/>
      <family val="2"/>
      <scheme val="minor"/>
    </font>
    <font>
      <b/>
      <sz val="11"/>
      <color theme="1"/>
      <name val="Calibri"/>
      <family val="2"/>
      <scheme val="minor"/>
    </font>
    <font>
      <sz val="12"/>
      <color rgb="FF000000"/>
      <name val="Times New Roman"/>
      <family val="1"/>
    </font>
    <font>
      <sz val="12"/>
      <color theme="1"/>
      <name val="Times New Roman"/>
      <family val="1"/>
    </font>
    <font>
      <sz val="9"/>
      <color rgb="FF000000"/>
      <name val="Times New Roman"/>
      <family val="1"/>
    </font>
    <font>
      <b/>
      <sz val="8"/>
      <name val="Times New Roman"/>
      <family val="1"/>
    </font>
    <font>
      <u/>
      <sz val="10"/>
      <color theme="1"/>
      <name val="Times New Roman"/>
      <family val="1"/>
    </font>
    <font>
      <vertAlign val="superscript"/>
      <sz val="11"/>
      <color theme="1"/>
      <name val="Times New Roman"/>
      <family val="1"/>
    </font>
    <font>
      <vertAlign val="superscript"/>
      <sz val="10"/>
      <color theme="1"/>
      <name val="Times New Roman"/>
      <family val="1"/>
    </font>
    <font>
      <vertAlign val="subscript"/>
      <sz val="10"/>
      <color theme="1"/>
      <name val="Times New Roman"/>
      <family val="1"/>
    </font>
    <font>
      <b/>
      <vertAlign val="superscript"/>
      <sz val="8"/>
      <name val="Times New Roman"/>
      <family val="1"/>
    </font>
    <font>
      <b/>
      <sz val="9"/>
      <color rgb="FF00000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b/>
      <i/>
      <sz val="10"/>
      <color theme="1"/>
      <name val="Times New Roman"/>
      <family val="1"/>
    </font>
    <font>
      <b/>
      <sz val="10"/>
      <color rgb="FF000000"/>
      <name val="Times New Roman"/>
      <family val="1"/>
    </font>
    <font>
      <b/>
      <vertAlign val="superscript"/>
      <sz val="10"/>
      <color rgb="FF000000"/>
      <name val="Times New Roman"/>
      <family val="1"/>
    </font>
    <font>
      <sz val="10"/>
      <name val="Times New Roman"/>
      <family val="1"/>
    </font>
    <font>
      <sz val="10"/>
      <color rgb="FF000000"/>
      <name val="Calibri"/>
      <family val="2"/>
      <scheme val="minor"/>
    </font>
    <font>
      <sz val="10"/>
      <color theme="1"/>
      <name val="Calibri"/>
      <family val="2"/>
      <scheme val="minor"/>
    </font>
    <font>
      <vertAlign val="superscript"/>
      <sz val="10"/>
      <name val="Times New Roman"/>
      <family val="1"/>
    </font>
    <font>
      <b/>
      <sz val="10"/>
      <color theme="1"/>
      <name val="Times New Roman"/>
      <family val="1"/>
    </font>
    <font>
      <sz val="11"/>
      <color rgb="FF000000"/>
      <name val="Calibri"/>
      <family val="2"/>
      <scheme val="minor"/>
    </font>
    <font>
      <sz val="11"/>
      <color rgb="FFC00000"/>
      <name val="Calibri"/>
      <family val="2"/>
      <scheme val="minor"/>
    </font>
    <font>
      <sz val="10"/>
      <color rgb="FFFF0000"/>
      <name val="Calibri"/>
      <family val="2"/>
      <scheme val="minor"/>
    </font>
    <font>
      <b/>
      <sz val="10"/>
      <name val="Times New Roman"/>
      <family val="1"/>
    </font>
    <font>
      <sz val="10"/>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1">
    <xf numFmtId="0" fontId="0" fillId="0" borderId="0"/>
  </cellStyleXfs>
  <cellXfs count="116">
    <xf numFmtId="0" fontId="0" fillId="0" borderId="0" xfId="0"/>
    <xf numFmtId="0" fontId="2" fillId="0" borderId="1" xfId="0" applyFont="1" applyBorder="1" applyAlignment="1">
      <alignment vertical="center"/>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top"/>
    </xf>
    <xf numFmtId="0" fontId="4" fillId="0" borderId="1" xfId="0" applyFont="1" applyBorder="1" applyAlignment="1">
      <alignment horizontal="left" vertical="center"/>
    </xf>
    <xf numFmtId="3" fontId="4" fillId="0" borderId="1" xfId="0" applyNumberFormat="1"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vertical="center"/>
    </xf>
    <xf numFmtId="0" fontId="7" fillId="0" borderId="1" xfId="0" applyFont="1" applyBorder="1" applyAlignment="1">
      <alignment vertical="center"/>
    </xf>
    <xf numFmtId="6" fontId="2" fillId="0" borderId="1" xfId="0" applyNumberFormat="1" applyFont="1" applyBorder="1" applyAlignment="1">
      <alignment horizontal="right" vertical="center"/>
    </xf>
    <xf numFmtId="0" fontId="0" fillId="0" borderId="0" xfId="0" applyAlignment="1">
      <alignment wrapText="1"/>
    </xf>
    <xf numFmtId="8" fontId="10" fillId="0" borderId="0" xfId="0" applyNumberFormat="1" applyFont="1"/>
    <xf numFmtId="0" fontId="2" fillId="0" borderId="1" xfId="0" applyFont="1" applyBorder="1" applyAlignment="1">
      <alignment horizontal="center" vertical="center" wrapText="1"/>
    </xf>
    <xf numFmtId="0" fontId="13" fillId="0" borderId="1" xfId="0" applyFont="1" applyBorder="1" applyAlignment="1">
      <alignment vertical="center"/>
    </xf>
    <xf numFmtId="0" fontId="0" fillId="0" borderId="1" xfId="0" applyBorder="1"/>
    <xf numFmtId="1" fontId="0" fillId="0" borderId="1" xfId="0" applyNumberFormat="1" applyBorder="1"/>
    <xf numFmtId="0" fontId="9" fillId="0" borderId="1" xfId="0" applyFont="1" applyBorder="1" applyAlignment="1">
      <alignment wrapText="1"/>
    </xf>
    <xf numFmtId="0" fontId="9" fillId="0" borderId="1" xfId="0" applyFont="1" applyBorder="1" applyAlignment="1"/>
    <xf numFmtId="9" fontId="9" fillId="0" borderId="1" xfId="0" applyNumberFormat="1" applyFont="1" applyBorder="1" applyAlignment="1">
      <alignment wrapText="1"/>
    </xf>
    <xf numFmtId="1" fontId="4" fillId="0" borderId="1" xfId="0" applyNumberFormat="1" applyFont="1" applyBorder="1" applyAlignment="1">
      <alignment horizontal="center" vertical="center"/>
    </xf>
    <xf numFmtId="2" fontId="0" fillId="0" borderId="0" xfId="0" applyNumberFormat="1"/>
    <xf numFmtId="164" fontId="4" fillId="0" borderId="1" xfId="0" applyNumberFormat="1" applyFont="1" applyBorder="1" applyAlignment="1">
      <alignment horizontal="center" vertical="center"/>
    </xf>
    <xf numFmtId="0" fontId="8" fillId="0" borderId="0" xfId="0" applyFont="1"/>
    <xf numFmtId="0" fontId="8" fillId="0" borderId="0" xfId="0" applyFont="1" applyAlignment="1">
      <alignment wrapText="1"/>
    </xf>
    <xf numFmtId="0" fontId="14" fillId="0" borderId="0" xfId="0" applyFont="1" applyAlignment="1">
      <alignment vertical="center"/>
    </xf>
    <xf numFmtId="0" fontId="12" fillId="0" borderId="1" xfId="0" applyFont="1" applyBorder="1" applyAlignment="1">
      <alignment horizontal="center" vertical="center"/>
    </xf>
    <xf numFmtId="8" fontId="12" fillId="0" borderId="1" xfId="0" applyNumberFormat="1" applyFont="1" applyBorder="1" applyAlignment="1">
      <alignment horizontal="right" vertical="center"/>
    </xf>
    <xf numFmtId="0" fontId="12" fillId="0" borderId="1" xfId="0" applyFont="1" applyBorder="1" applyAlignment="1">
      <alignment horizontal="right" vertical="center"/>
    </xf>
    <xf numFmtId="3" fontId="12" fillId="0" borderId="1" xfId="0" applyNumberFormat="1" applyFont="1" applyBorder="1" applyAlignment="1">
      <alignment horizontal="center" vertical="center"/>
    </xf>
    <xf numFmtId="0" fontId="11" fillId="0" borderId="0" xfId="0" applyFont="1" applyAlignment="1">
      <alignment vertical="center"/>
    </xf>
    <xf numFmtId="164" fontId="12" fillId="0" borderId="1" xfId="0" applyNumberFormat="1" applyFont="1" applyBorder="1" applyAlignment="1">
      <alignment horizontal="center" vertical="center"/>
    </xf>
    <xf numFmtId="0" fontId="2" fillId="0" borderId="1" xfId="0" applyFont="1" applyBorder="1" applyAlignment="1">
      <alignment horizontal="center" vertical="center"/>
    </xf>
    <xf numFmtId="6" fontId="19" fillId="0" borderId="1" xfId="0" applyNumberFormat="1" applyFont="1" applyBorder="1" applyAlignment="1">
      <alignment horizontal="right" vertical="center"/>
    </xf>
    <xf numFmtId="37" fontId="0" fillId="0" borderId="1" xfId="0" applyNumberFormat="1" applyBorder="1"/>
    <xf numFmtId="37" fontId="0" fillId="2" borderId="1" xfId="0" applyNumberFormat="1" applyFill="1" applyBorder="1"/>
    <xf numFmtId="0" fontId="0" fillId="2" borderId="1" xfId="0" applyFill="1" applyBorder="1"/>
    <xf numFmtId="37" fontId="0" fillId="0" borderId="1" xfId="0" applyNumberFormat="1" applyFont="1" applyFill="1" applyBorder="1"/>
    <xf numFmtId="3" fontId="0" fillId="0" borderId="0" xfId="0" applyNumberFormat="1"/>
    <xf numFmtId="0" fontId="23" fillId="0" borderId="1" xfId="0" applyFont="1" applyBorder="1" applyAlignment="1">
      <alignment vertical="center"/>
    </xf>
    <xf numFmtId="8" fontId="7" fillId="0" borderId="1" xfId="0" applyNumberFormat="1" applyFont="1" applyBorder="1" applyAlignment="1">
      <alignment horizontal="right" vertical="center"/>
    </xf>
    <xf numFmtId="0" fontId="4" fillId="0" borderId="1" xfId="0" applyFont="1" applyBorder="1" applyAlignment="1">
      <alignment horizontal="left" vertical="center" indent="2"/>
    </xf>
    <xf numFmtId="0" fontId="4" fillId="0" borderId="1" xfId="0" applyFont="1" applyBorder="1" applyAlignment="1">
      <alignment horizontal="left" vertical="center" indent="1"/>
    </xf>
    <xf numFmtId="0" fontId="16" fillId="0" borderId="0" xfId="0" applyFont="1" applyAlignment="1">
      <alignment vertical="top"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7" fillId="0" borderId="0" xfId="0" applyFont="1"/>
    <xf numFmtId="0" fontId="24" fillId="0" borderId="1" xfId="0" applyFont="1" applyBorder="1" applyAlignment="1">
      <alignment vertical="center" wrapText="1"/>
    </xf>
    <xf numFmtId="0" fontId="24" fillId="0" borderId="0" xfId="0" applyFont="1" applyAlignment="1">
      <alignment vertical="center" wrapText="1"/>
    </xf>
    <xf numFmtId="0" fontId="21" fillId="0" borderId="0" xfId="0" applyFont="1" applyAlignment="1">
      <alignment horizontal="center" vertical="center" wrapText="1"/>
    </xf>
    <xf numFmtId="0" fontId="28" fillId="0" borderId="0" xfId="0" applyFont="1"/>
    <xf numFmtId="0" fontId="24" fillId="0" borderId="7" xfId="0" applyFont="1" applyBorder="1" applyAlignment="1">
      <alignment horizontal="center" vertical="center" wrapText="1"/>
    </xf>
    <xf numFmtId="0" fontId="24" fillId="0" borderId="6" xfId="0" applyFont="1" applyBorder="1" applyAlignment="1">
      <alignment vertical="center" wrapText="1"/>
    </xf>
    <xf numFmtId="0" fontId="21" fillId="0" borderId="6" xfId="0" applyFont="1" applyBorder="1" applyAlignment="1">
      <alignment horizontal="center" vertical="center" wrapText="1"/>
    </xf>
    <xf numFmtId="6" fontId="24"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8" fillId="0" borderId="0" xfId="0" applyFont="1" applyBorder="1" applyAlignment="1">
      <alignment horizontal="center"/>
    </xf>
    <xf numFmtId="0" fontId="21" fillId="0" borderId="8" xfId="0" applyFont="1" applyBorder="1" applyAlignment="1">
      <alignment vertical="center" wrapText="1"/>
    </xf>
    <xf numFmtId="0" fontId="21"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1" fillId="0" borderId="1" xfId="0" applyFont="1" applyBorder="1" applyAlignment="1">
      <alignment vertical="center" wrapText="1"/>
    </xf>
    <xf numFmtId="0" fontId="30" fillId="0" borderId="1" xfId="0" applyFont="1" applyBorder="1" applyAlignment="1">
      <alignment horizontal="center" vertical="center" wrapText="1"/>
    </xf>
    <xf numFmtId="0" fontId="22" fillId="0" borderId="0" xfId="0" applyFont="1" applyAlignment="1">
      <alignment vertical="center"/>
    </xf>
    <xf numFmtId="3" fontId="21" fillId="0" borderId="1" xfId="0" applyNumberFormat="1" applyFont="1" applyBorder="1" applyAlignment="1">
      <alignment horizontal="center" vertical="center" wrapText="1"/>
    </xf>
    <xf numFmtId="0" fontId="31" fillId="0" borderId="0" xfId="0" applyFont="1"/>
    <xf numFmtId="3" fontId="31" fillId="0" borderId="0" xfId="0" applyNumberFormat="1" applyFont="1"/>
    <xf numFmtId="1" fontId="31" fillId="0" borderId="0" xfId="0" applyNumberFormat="1" applyFont="1"/>
    <xf numFmtId="0" fontId="32" fillId="0" borderId="0" xfId="0" applyFont="1"/>
    <xf numFmtId="3" fontId="32" fillId="0" borderId="0" xfId="0" applyNumberFormat="1" applyFont="1"/>
    <xf numFmtId="6" fontId="32" fillId="0" borderId="0" xfId="0" applyNumberFormat="1" applyFont="1"/>
    <xf numFmtId="3" fontId="31" fillId="0" borderId="0" xfId="0" applyNumberFormat="1" applyFont="1" applyFill="1"/>
    <xf numFmtId="3" fontId="1" fillId="0" borderId="1" xfId="0" applyNumberFormat="1" applyFont="1" applyFill="1" applyBorder="1" applyAlignment="1">
      <alignment horizontal="center" vertical="center" wrapText="1"/>
    </xf>
    <xf numFmtId="6" fontId="31" fillId="0" borderId="0" xfId="0" applyNumberFormat="1" applyFont="1" applyFill="1"/>
    <xf numFmtId="37" fontId="0" fillId="0" borderId="1" xfId="0" applyNumberFormat="1" applyFill="1" applyBorder="1"/>
    <xf numFmtId="6" fontId="2" fillId="0" borderId="1" xfId="0" applyNumberFormat="1" applyFont="1" applyFill="1" applyBorder="1" applyAlignment="1">
      <alignment horizontal="right" vertical="center"/>
    </xf>
    <xf numFmtId="1" fontId="1" fillId="0" borderId="1" xfId="0" applyNumberFormat="1" applyFont="1" applyFill="1" applyBorder="1" applyAlignment="1">
      <alignment horizontal="center" vertical="center" wrapText="1"/>
    </xf>
    <xf numFmtId="0" fontId="33" fillId="0" borderId="0" xfId="0" applyFont="1"/>
    <xf numFmtId="3" fontId="26" fillId="0" borderId="1" xfId="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 fontId="36" fillId="0" borderId="0" xfId="0" applyNumberFormat="1" applyFont="1" applyFill="1"/>
    <xf numFmtId="0" fontId="36" fillId="0" borderId="0" xfId="0" applyFont="1"/>
    <xf numFmtId="0" fontId="31" fillId="0" borderId="0" xfId="0" applyFont="1" applyAlignment="1">
      <alignment horizontal="center"/>
    </xf>
    <xf numFmtId="0" fontId="0" fillId="0" borderId="9" xfId="0" applyBorder="1" applyAlignment="1">
      <alignment horizontal="center" wrapText="1"/>
    </xf>
    <xf numFmtId="0" fontId="0" fillId="0" borderId="0" xfId="0" applyAlignment="1">
      <alignment horizontal="center" wrapText="1"/>
    </xf>
    <xf numFmtId="3" fontId="7" fillId="0" borderId="1" xfId="0" applyNumberFormat="1" applyFont="1" applyBorder="1" applyAlignment="1">
      <alignment horizontal="center" vertical="center"/>
    </xf>
    <xf numFmtId="0" fontId="15" fillId="0" borderId="0" xfId="0" applyFont="1" applyAlignment="1">
      <alignment horizontal="left" vertical="top" wrapText="1"/>
    </xf>
    <xf numFmtId="0" fontId="16" fillId="0" borderId="0" xfId="0" applyFont="1" applyFill="1" applyAlignment="1">
      <alignment horizontal="left" vertical="top" wrapText="1"/>
    </xf>
    <xf numFmtId="0" fontId="16" fillId="0" borderId="0" xfId="0" applyFont="1" applyAlignment="1">
      <alignment horizontal="left" vertical="top" wrapText="1"/>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 fillId="0" borderId="0" xfId="0" applyFont="1" applyAlignment="1">
      <alignment horizontal="left" vertical="top" wrapText="1"/>
    </xf>
    <xf numFmtId="3" fontId="2" fillId="0" borderId="1" xfId="0" applyNumberFormat="1" applyFont="1" applyBorder="1" applyAlignment="1">
      <alignment horizontal="center" vertical="center"/>
    </xf>
    <xf numFmtId="0" fontId="16" fillId="0" borderId="0" xfId="0" applyFont="1" applyAlignment="1">
      <alignment horizontal="left" vertical="top"/>
    </xf>
    <xf numFmtId="6" fontId="0" fillId="0" borderId="0" xfId="0" applyNumberFormat="1" applyAlignment="1">
      <alignment horizontal="center"/>
    </xf>
    <xf numFmtId="0" fontId="35" fillId="0" borderId="0" xfId="0" applyFont="1" applyBorder="1" applyAlignment="1">
      <alignment horizontal="center"/>
    </xf>
    <xf numFmtId="0" fontId="22" fillId="0" borderId="0" xfId="0" applyFont="1" applyAlignment="1">
      <alignment vertical="center" wrapText="1"/>
    </xf>
    <xf numFmtId="0" fontId="22" fillId="0" borderId="0" xfId="0" applyFont="1" applyAlignment="1">
      <alignment horizontal="left" vertical="top"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0" xfId="0" applyFont="1" applyAlignment="1">
      <alignment horizontal="left" vertical="top" wrapText="1"/>
    </xf>
    <xf numFmtId="0" fontId="24" fillId="0" borderId="2" xfId="0" applyFont="1" applyBorder="1" applyAlignment="1">
      <alignment vertical="center" wrapText="1"/>
    </xf>
    <xf numFmtId="0" fontId="24"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3B3E-2C17-403E-A576-631D6F114DBB}">
  <dimension ref="A1:D8"/>
  <sheetViews>
    <sheetView tabSelected="1" workbookViewId="0">
      <selection activeCell="A9" sqref="A9"/>
    </sheetView>
  </sheetViews>
  <sheetFormatPr defaultRowHeight="14.5" x14ac:dyDescent="0.35"/>
  <cols>
    <col min="1" max="1" width="25.7265625" bestFit="1" customWidth="1"/>
    <col min="2" max="2" width="13.453125" customWidth="1"/>
    <col min="3" max="3" width="12.81640625" bestFit="1" customWidth="1"/>
  </cols>
  <sheetData>
    <row r="1" spans="1:4" x14ac:dyDescent="0.35">
      <c r="A1" s="85" t="s">
        <v>170</v>
      </c>
      <c r="B1" s="85"/>
      <c r="C1" s="70"/>
    </row>
    <row r="2" spans="1:4" x14ac:dyDescent="0.35">
      <c r="A2" s="67" t="s">
        <v>171</v>
      </c>
      <c r="B2" s="69">
        <f>Industry!K96</f>
        <v>380.80270793036743</v>
      </c>
    </row>
    <row r="3" spans="1:4" x14ac:dyDescent="0.35">
      <c r="A3" s="67" t="s">
        <v>121</v>
      </c>
      <c r="B3" s="68">
        <f>Respondents!F8</f>
        <v>2068</v>
      </c>
    </row>
    <row r="4" spans="1:4" x14ac:dyDescent="0.35">
      <c r="A4" s="67" t="s">
        <v>172</v>
      </c>
      <c r="B4" s="73">
        <f>Industry!$F$95</f>
        <v>1890000</v>
      </c>
      <c r="C4" s="71"/>
    </row>
    <row r="5" spans="1:4" x14ac:dyDescent="0.35">
      <c r="A5" s="67" t="s">
        <v>173</v>
      </c>
      <c r="B5" s="75">
        <f>Industry!I97</f>
        <v>265000000</v>
      </c>
      <c r="C5" s="72"/>
      <c r="D5" s="70"/>
    </row>
    <row r="6" spans="1:4" x14ac:dyDescent="0.35">
      <c r="A6" s="67" t="s">
        <v>174</v>
      </c>
      <c r="B6" s="75">
        <f>'Capital O&amp;M'!G6+'Capital O&amp;M'!D6</f>
        <v>37900000</v>
      </c>
      <c r="C6" s="72"/>
      <c r="D6" s="70"/>
    </row>
    <row r="7" spans="1:4" x14ac:dyDescent="0.35">
      <c r="A7" s="67" t="s">
        <v>155</v>
      </c>
      <c r="B7" s="68">
        <f>Responses!E6</f>
        <v>4963.2000000000007</v>
      </c>
    </row>
    <row r="8" spans="1:4" x14ac:dyDescent="0.35">
      <c r="A8" s="67" t="s">
        <v>180</v>
      </c>
      <c r="B8" t="s">
        <v>181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0"/>
  <sheetViews>
    <sheetView zoomScaleNormal="100" workbookViewId="0">
      <selection activeCell="K96" sqref="K96:L96"/>
    </sheetView>
  </sheetViews>
  <sheetFormatPr defaultRowHeight="14.5" x14ac:dyDescent="0.35"/>
  <cols>
    <col min="1" max="1" width="30.81640625" customWidth="1"/>
    <col min="2" max="2" width="10.7265625" customWidth="1"/>
    <col min="3" max="3" width="11.54296875" customWidth="1"/>
    <col min="9" max="9" width="13.26953125" bestFit="1" customWidth="1"/>
    <col min="11" max="11" width="22" style="23" customWidth="1"/>
    <col min="12" max="12" width="24.1796875" customWidth="1"/>
    <col min="13" max="13" width="13" customWidth="1"/>
  </cols>
  <sheetData>
    <row r="1" spans="1:15" ht="15.5" x14ac:dyDescent="0.35">
      <c r="F1" s="12">
        <v>123.94</v>
      </c>
      <c r="G1" s="12">
        <v>157.61000000000001</v>
      </c>
      <c r="H1" s="12">
        <v>62.52</v>
      </c>
    </row>
    <row r="2" spans="1:15" s="11" customFormat="1" ht="57.5" x14ac:dyDescent="0.35">
      <c r="A2" s="13" t="s">
        <v>0</v>
      </c>
      <c r="B2" s="13" t="s">
        <v>58</v>
      </c>
      <c r="C2" s="13" t="s">
        <v>59</v>
      </c>
      <c r="D2" s="13" t="s">
        <v>60</v>
      </c>
      <c r="E2" s="13" t="s">
        <v>61</v>
      </c>
      <c r="F2" s="13" t="s">
        <v>62</v>
      </c>
      <c r="G2" s="13" t="s">
        <v>63</v>
      </c>
      <c r="H2" s="13" t="s">
        <v>64</v>
      </c>
      <c r="I2" s="13" t="s">
        <v>65</v>
      </c>
      <c r="K2" s="24" t="s">
        <v>79</v>
      </c>
      <c r="L2" s="17"/>
      <c r="M2" s="18" t="s">
        <v>69</v>
      </c>
      <c r="N2" s="19">
        <v>0.2</v>
      </c>
      <c r="O2" s="19">
        <v>0.8</v>
      </c>
    </row>
    <row r="3" spans="1:15" x14ac:dyDescent="0.35">
      <c r="A3" s="1" t="s">
        <v>1</v>
      </c>
      <c r="B3" s="2" t="s">
        <v>2</v>
      </c>
      <c r="C3" s="3"/>
      <c r="D3" s="3"/>
      <c r="E3" s="3"/>
      <c r="F3" s="4"/>
      <c r="G3" s="4"/>
      <c r="H3" s="4"/>
      <c r="I3" s="3"/>
      <c r="K3" s="23" t="s">
        <v>80</v>
      </c>
      <c r="L3" s="15" t="s">
        <v>66</v>
      </c>
      <c r="M3" s="35">
        <v>2031</v>
      </c>
      <c r="N3" s="16">
        <f>ROUND(M3*0.2,0)</f>
        <v>406</v>
      </c>
      <c r="O3" s="15">
        <f>ROUND(M3*0.8,0)</f>
        <v>1625</v>
      </c>
    </row>
    <row r="4" spans="1:15" x14ac:dyDescent="0.35">
      <c r="A4" s="1" t="s">
        <v>3</v>
      </c>
      <c r="B4" s="2" t="s">
        <v>2</v>
      </c>
      <c r="C4" s="3"/>
      <c r="D4" s="3"/>
      <c r="E4" s="3"/>
      <c r="F4" s="3"/>
      <c r="G4" s="3"/>
      <c r="H4" s="3"/>
      <c r="I4" s="3"/>
      <c r="K4" s="23" t="s">
        <v>81</v>
      </c>
      <c r="L4" s="15" t="s">
        <v>67</v>
      </c>
      <c r="M4" s="36">
        <v>37</v>
      </c>
      <c r="N4" s="16">
        <f t="shared" ref="N4:N21" si="0">ROUND(M4*0.2,0)</f>
        <v>7</v>
      </c>
      <c r="O4" s="15">
        <f t="shared" ref="O4:O21" si="1">ROUND(M4*0.8,0)</f>
        <v>30</v>
      </c>
    </row>
    <row r="5" spans="1:15" x14ac:dyDescent="0.35">
      <c r="A5" s="1" t="s">
        <v>4</v>
      </c>
      <c r="B5" s="3"/>
      <c r="C5" s="3"/>
      <c r="D5" s="3"/>
      <c r="E5" s="3"/>
      <c r="F5" s="3"/>
      <c r="G5" s="3"/>
      <c r="H5" s="3"/>
      <c r="I5" s="3"/>
      <c r="L5" s="15" t="s">
        <v>68</v>
      </c>
      <c r="M5" s="34">
        <f>SUM(M3:M4)</f>
        <v>2068</v>
      </c>
      <c r="N5" s="16">
        <f t="shared" si="0"/>
        <v>414</v>
      </c>
      <c r="O5" s="15">
        <f t="shared" si="1"/>
        <v>1654</v>
      </c>
    </row>
    <row r="6" spans="1:15" x14ac:dyDescent="0.35">
      <c r="A6" s="5" t="s">
        <v>72</v>
      </c>
      <c r="B6" s="2" t="s">
        <v>5</v>
      </c>
      <c r="C6" s="3"/>
      <c r="D6" s="3"/>
      <c r="E6" s="3"/>
      <c r="F6" s="3"/>
      <c r="G6" s="3"/>
      <c r="H6" s="3"/>
      <c r="I6" s="3"/>
      <c r="L6" s="92" t="s">
        <v>133</v>
      </c>
      <c r="M6" s="93"/>
      <c r="N6" s="93"/>
      <c r="O6" s="94"/>
    </row>
    <row r="7" spans="1:15" x14ac:dyDescent="0.35">
      <c r="A7" s="5" t="s">
        <v>6</v>
      </c>
      <c r="B7" s="3"/>
      <c r="C7" s="3"/>
      <c r="D7" s="3"/>
      <c r="E7" s="3"/>
      <c r="F7" s="3"/>
      <c r="G7" s="3"/>
      <c r="H7" s="3"/>
      <c r="I7" s="3"/>
      <c r="L7" s="15" t="s">
        <v>70</v>
      </c>
      <c r="M7" s="37">
        <v>816</v>
      </c>
      <c r="N7" s="16">
        <f t="shared" si="0"/>
        <v>163</v>
      </c>
      <c r="O7" s="15">
        <f t="shared" ref="O7:O9" si="2">ROUND(M7*0.8,0)</f>
        <v>653</v>
      </c>
    </row>
    <row r="8" spans="1:15" x14ac:dyDescent="0.35">
      <c r="A8" s="5" t="s">
        <v>7</v>
      </c>
      <c r="B8" s="3"/>
      <c r="C8" s="3"/>
      <c r="D8" s="3"/>
      <c r="E8" s="3"/>
      <c r="F8" s="3"/>
      <c r="G8" s="3"/>
      <c r="H8" s="3"/>
      <c r="I8" s="3"/>
      <c r="L8" s="15" t="s">
        <v>14</v>
      </c>
      <c r="M8" s="37">
        <v>869</v>
      </c>
      <c r="N8" s="16">
        <f t="shared" si="0"/>
        <v>174</v>
      </c>
      <c r="O8" s="15">
        <f t="shared" si="2"/>
        <v>695</v>
      </c>
    </row>
    <row r="9" spans="1:15" x14ac:dyDescent="0.35">
      <c r="A9" s="41" t="s">
        <v>8</v>
      </c>
      <c r="B9" s="2">
        <v>330</v>
      </c>
      <c r="C9" s="2">
        <v>1</v>
      </c>
      <c r="D9" s="2">
        <f>B9*C9</f>
        <v>330</v>
      </c>
      <c r="E9" s="2">
        <f>M16</f>
        <v>4</v>
      </c>
      <c r="F9" s="6">
        <f>D9*E9</f>
        <v>1320</v>
      </c>
      <c r="G9" s="2">
        <f>F9*0.05</f>
        <v>66</v>
      </c>
      <c r="H9" s="2">
        <f>F9*0.1</f>
        <v>132</v>
      </c>
      <c r="I9" s="7">
        <f>F9*F$1+G9*G$1+H9*H$1</f>
        <v>182255.7</v>
      </c>
      <c r="L9" s="15" t="s">
        <v>71</v>
      </c>
      <c r="M9" s="37">
        <v>1957</v>
      </c>
      <c r="N9" s="16">
        <f t="shared" si="0"/>
        <v>391</v>
      </c>
      <c r="O9" s="15">
        <f t="shared" si="2"/>
        <v>1566</v>
      </c>
    </row>
    <row r="10" spans="1:15" x14ac:dyDescent="0.35">
      <c r="A10" s="41" t="s">
        <v>9</v>
      </c>
      <c r="B10" s="2">
        <v>250</v>
      </c>
      <c r="C10" s="2">
        <v>1</v>
      </c>
      <c r="D10" s="2">
        <f>B10*C10</f>
        <v>250</v>
      </c>
      <c r="E10" s="2">
        <f>M11</f>
        <v>33</v>
      </c>
      <c r="F10" s="6">
        <f>D10*E10</f>
        <v>8250</v>
      </c>
      <c r="G10" s="2">
        <f>F10*0.05</f>
        <v>412.5</v>
      </c>
      <c r="H10" s="2">
        <f>F10*0.1</f>
        <v>825</v>
      </c>
      <c r="I10" s="7">
        <f>F10*F$1+G10*G$1+H10*H$1</f>
        <v>1139098.125</v>
      </c>
      <c r="L10" s="95" t="s">
        <v>67</v>
      </c>
      <c r="M10" s="96"/>
      <c r="N10" s="96"/>
      <c r="O10" s="97"/>
    </row>
    <row r="11" spans="1:15" x14ac:dyDescent="0.35">
      <c r="A11" s="5" t="s">
        <v>10</v>
      </c>
      <c r="B11" s="3"/>
      <c r="C11" s="3"/>
      <c r="D11" s="3"/>
      <c r="E11" s="3"/>
      <c r="F11" s="3"/>
      <c r="G11" s="3"/>
      <c r="H11" s="3"/>
      <c r="I11" s="3"/>
      <c r="L11" s="15" t="s">
        <v>74</v>
      </c>
      <c r="M11" s="36">
        <v>33</v>
      </c>
      <c r="N11" s="16">
        <f t="shared" si="0"/>
        <v>7</v>
      </c>
      <c r="O11" s="15">
        <f t="shared" si="1"/>
        <v>26</v>
      </c>
    </row>
    <row r="12" spans="1:15" x14ac:dyDescent="0.35">
      <c r="A12" s="41" t="s">
        <v>8</v>
      </c>
      <c r="B12" s="2">
        <v>330</v>
      </c>
      <c r="C12" s="2">
        <v>1</v>
      </c>
      <c r="D12" s="2">
        <f t="shared" ref="D12:D13" si="3">B12*C12</f>
        <v>330</v>
      </c>
      <c r="E12" s="20">
        <f>ROUND(E9*0.2,0)</f>
        <v>1</v>
      </c>
      <c r="F12" s="6">
        <f t="shared" ref="F12:F13" si="4">D12*E12</f>
        <v>330</v>
      </c>
      <c r="G12" s="2">
        <f t="shared" ref="G12:G13" si="5">F12*0.05</f>
        <v>16.5</v>
      </c>
      <c r="H12" s="2">
        <f t="shared" ref="H12:H13" si="6">F12*0.1</f>
        <v>33</v>
      </c>
      <c r="I12" s="7">
        <f>F12*F$1+G12*G$1+H12*H$1</f>
        <v>45563.925000000003</v>
      </c>
      <c r="L12" s="15" t="s">
        <v>75</v>
      </c>
      <c r="M12" s="36">
        <v>0</v>
      </c>
      <c r="N12" s="16">
        <f t="shared" si="0"/>
        <v>0</v>
      </c>
      <c r="O12" s="15">
        <f t="shared" si="1"/>
        <v>0</v>
      </c>
    </row>
    <row r="13" spans="1:15" x14ac:dyDescent="0.35">
      <c r="A13" s="41" t="s">
        <v>11</v>
      </c>
      <c r="B13" s="2">
        <v>250</v>
      </c>
      <c r="C13" s="2">
        <v>1</v>
      </c>
      <c r="D13" s="2">
        <f t="shared" si="3"/>
        <v>250</v>
      </c>
      <c r="E13" s="20">
        <f>ROUND(E10*0.2,0)</f>
        <v>7</v>
      </c>
      <c r="F13" s="6">
        <f t="shared" si="4"/>
        <v>1750</v>
      </c>
      <c r="G13" s="2">
        <f t="shared" si="5"/>
        <v>87.5</v>
      </c>
      <c r="H13" s="2">
        <f t="shared" si="6"/>
        <v>175</v>
      </c>
      <c r="I13" s="7">
        <f>F13*F$1+G13*G$1+H13*H$1</f>
        <v>241626.875</v>
      </c>
      <c r="L13" s="15" t="s">
        <v>76</v>
      </c>
      <c r="M13" s="36">
        <v>4</v>
      </c>
      <c r="N13" s="16">
        <f t="shared" si="0"/>
        <v>1</v>
      </c>
      <c r="O13" s="15">
        <f t="shared" si="1"/>
        <v>3</v>
      </c>
    </row>
    <row r="14" spans="1:15" x14ac:dyDescent="0.35">
      <c r="A14" s="5" t="s">
        <v>12</v>
      </c>
      <c r="B14" s="3"/>
      <c r="C14" s="3"/>
      <c r="D14" s="3"/>
      <c r="E14" s="3"/>
      <c r="F14" s="3"/>
      <c r="G14" s="3"/>
      <c r="H14" s="3"/>
      <c r="I14" s="3"/>
      <c r="L14" s="95" t="s">
        <v>77</v>
      </c>
      <c r="M14" s="96"/>
      <c r="N14" s="96"/>
      <c r="O14" s="97"/>
    </row>
    <row r="15" spans="1:15" x14ac:dyDescent="0.35">
      <c r="A15" s="41" t="s">
        <v>13</v>
      </c>
      <c r="B15" s="2">
        <v>16</v>
      </c>
      <c r="C15" s="2">
        <v>1</v>
      </c>
      <c r="D15" s="2">
        <f t="shared" ref="D15:D17" si="7">B15*C15</f>
        <v>16</v>
      </c>
      <c r="E15" s="2">
        <f>M15</f>
        <v>0</v>
      </c>
      <c r="F15" s="6">
        <f t="shared" ref="F15:F17" si="8">D15*E15</f>
        <v>0</v>
      </c>
      <c r="G15" s="2">
        <f t="shared" ref="G15:G17" si="9">F15*0.05</f>
        <v>0</v>
      </c>
      <c r="H15" s="2">
        <f t="shared" ref="H15:H17" si="10">F15*0.1</f>
        <v>0</v>
      </c>
      <c r="I15" s="7">
        <f>F15*F$1+G15*G$1+H15*H$1</f>
        <v>0</v>
      </c>
      <c r="L15" s="15" t="s">
        <v>70</v>
      </c>
      <c r="M15" s="15">
        <f>M12</f>
        <v>0</v>
      </c>
      <c r="N15" s="16">
        <f t="shared" si="0"/>
        <v>0</v>
      </c>
      <c r="O15" s="15">
        <f t="shared" si="1"/>
        <v>0</v>
      </c>
    </row>
    <row r="16" spans="1:15" x14ac:dyDescent="0.35">
      <c r="A16" s="41" t="s">
        <v>14</v>
      </c>
      <c r="B16" s="2">
        <v>16</v>
      </c>
      <c r="C16" s="2">
        <v>1</v>
      </c>
      <c r="D16" s="2">
        <f t="shared" si="7"/>
        <v>16</v>
      </c>
      <c r="E16" s="2">
        <f>M16</f>
        <v>4</v>
      </c>
      <c r="F16" s="6">
        <f t="shared" si="8"/>
        <v>64</v>
      </c>
      <c r="G16" s="2">
        <f t="shared" si="9"/>
        <v>3.2</v>
      </c>
      <c r="H16" s="2">
        <f t="shared" si="10"/>
        <v>6.4</v>
      </c>
      <c r="I16" s="7">
        <f>F16*F$1+G16*G$1+H16*H$1</f>
        <v>8836.6400000000012</v>
      </c>
      <c r="L16" s="15" t="s">
        <v>14</v>
      </c>
      <c r="M16" s="15">
        <f>M12+M13</f>
        <v>4</v>
      </c>
      <c r="N16" s="16">
        <f t="shared" si="0"/>
        <v>1</v>
      </c>
      <c r="O16" s="15">
        <f t="shared" si="1"/>
        <v>3</v>
      </c>
    </row>
    <row r="17" spans="1:19" x14ac:dyDescent="0.35">
      <c r="A17" s="41" t="s">
        <v>15</v>
      </c>
      <c r="B17" s="2">
        <v>16</v>
      </c>
      <c r="C17" s="2">
        <v>1</v>
      </c>
      <c r="D17" s="2">
        <f t="shared" si="7"/>
        <v>16</v>
      </c>
      <c r="E17" s="2">
        <f>M17</f>
        <v>37</v>
      </c>
      <c r="F17" s="6">
        <f t="shared" si="8"/>
        <v>592</v>
      </c>
      <c r="G17" s="2">
        <f t="shared" si="9"/>
        <v>29.6</v>
      </c>
      <c r="H17" s="2">
        <f t="shared" si="10"/>
        <v>59.2</v>
      </c>
      <c r="I17" s="7">
        <f>F17*F$1+G17*G$1+H17*H$1</f>
        <v>81738.919999999984</v>
      </c>
      <c r="L17" s="15" t="s">
        <v>71</v>
      </c>
      <c r="M17" s="15">
        <f>SUM(M11:M13)</f>
        <v>37</v>
      </c>
      <c r="N17" s="16">
        <f t="shared" si="0"/>
        <v>7</v>
      </c>
      <c r="O17" s="15">
        <f t="shared" si="1"/>
        <v>30</v>
      </c>
    </row>
    <row r="18" spans="1:19" x14ac:dyDescent="0.35">
      <c r="A18" s="5" t="s">
        <v>16</v>
      </c>
      <c r="B18" s="3"/>
      <c r="C18" s="3"/>
      <c r="D18" s="3"/>
      <c r="E18" s="3"/>
      <c r="F18" s="3"/>
      <c r="G18" s="3"/>
      <c r="H18" s="3"/>
      <c r="I18" s="3"/>
      <c r="L18" s="92" t="s">
        <v>78</v>
      </c>
      <c r="M18" s="93"/>
      <c r="N18" s="93"/>
      <c r="O18" s="94"/>
      <c r="P18" s="86" t="s">
        <v>177</v>
      </c>
      <c r="Q18" s="87"/>
      <c r="R18" s="87"/>
      <c r="S18" s="87"/>
    </row>
    <row r="19" spans="1:19" x14ac:dyDescent="0.35">
      <c r="A19" s="41" t="s">
        <v>13</v>
      </c>
      <c r="B19" s="2">
        <v>2</v>
      </c>
      <c r="C19" s="2">
        <v>1</v>
      </c>
      <c r="D19" s="2">
        <f t="shared" ref="D19:D21" si="11">B19*C19</f>
        <v>2</v>
      </c>
      <c r="E19" s="2">
        <f>M15</f>
        <v>0</v>
      </c>
      <c r="F19" s="6">
        <f t="shared" ref="F19:F21" si="12">D19*E19</f>
        <v>0</v>
      </c>
      <c r="G19" s="2">
        <f t="shared" ref="G19:G21" si="13">F19*0.05</f>
        <v>0</v>
      </c>
      <c r="H19" s="2">
        <f t="shared" ref="H19:H21" si="14">F19*0.1</f>
        <v>0</v>
      </c>
      <c r="I19" s="7">
        <f>F19*F$1+G19*G$1+H19*H$1</f>
        <v>0</v>
      </c>
      <c r="L19" s="15" t="s">
        <v>70</v>
      </c>
      <c r="M19" s="76">
        <f>M21*0.417</f>
        <v>862.35599999999999</v>
      </c>
      <c r="N19" s="16">
        <f t="shared" si="0"/>
        <v>172</v>
      </c>
      <c r="O19" s="15">
        <f>ROUND(M19*0.8,0)</f>
        <v>690</v>
      </c>
      <c r="P19" s="86"/>
      <c r="Q19" s="87"/>
      <c r="R19" s="87"/>
      <c r="S19" s="87"/>
    </row>
    <row r="20" spans="1:19" x14ac:dyDescent="0.35">
      <c r="A20" s="41" t="s">
        <v>14</v>
      </c>
      <c r="B20" s="2">
        <v>2</v>
      </c>
      <c r="C20" s="2">
        <v>1</v>
      </c>
      <c r="D20" s="2">
        <f t="shared" si="11"/>
        <v>2</v>
      </c>
      <c r="E20" s="2">
        <f>M16</f>
        <v>4</v>
      </c>
      <c r="F20" s="6">
        <f t="shared" si="12"/>
        <v>8</v>
      </c>
      <c r="G20" s="2">
        <f t="shared" si="13"/>
        <v>0.4</v>
      </c>
      <c r="H20" s="2">
        <f t="shared" si="14"/>
        <v>0.8</v>
      </c>
      <c r="I20" s="7">
        <f>F20*F$1+G20*G$1+H20*H$1</f>
        <v>1104.5800000000002</v>
      </c>
      <c r="L20" s="15" t="s">
        <v>14</v>
      </c>
      <c r="M20" s="76">
        <f>M21*0.444</f>
        <v>918.19200000000001</v>
      </c>
      <c r="N20" s="16">
        <f t="shared" si="0"/>
        <v>184</v>
      </c>
      <c r="O20" s="15">
        <f t="shared" si="1"/>
        <v>735</v>
      </c>
      <c r="P20" s="86"/>
      <c r="Q20" s="87"/>
      <c r="R20" s="87"/>
      <c r="S20" s="87"/>
    </row>
    <row r="21" spans="1:19" x14ac:dyDescent="0.35">
      <c r="A21" s="41" t="s">
        <v>15</v>
      </c>
      <c r="B21" s="2">
        <v>2</v>
      </c>
      <c r="C21" s="2">
        <v>1</v>
      </c>
      <c r="D21" s="2">
        <f t="shared" si="11"/>
        <v>2</v>
      </c>
      <c r="E21" s="2">
        <f>M17</f>
        <v>37</v>
      </c>
      <c r="F21" s="6">
        <f t="shared" si="12"/>
        <v>74</v>
      </c>
      <c r="G21" s="2">
        <f t="shared" si="13"/>
        <v>3.7</v>
      </c>
      <c r="H21" s="2">
        <f t="shared" si="14"/>
        <v>7.4</v>
      </c>
      <c r="I21" s="7">
        <f>F21*F$1+G21*G$1+H21*H$1</f>
        <v>10217.364999999998</v>
      </c>
      <c r="L21" s="15" t="s">
        <v>71</v>
      </c>
      <c r="M21" s="76">
        <f>M5</f>
        <v>2068</v>
      </c>
      <c r="N21" s="16">
        <f t="shared" si="0"/>
        <v>414</v>
      </c>
      <c r="O21" s="15">
        <f t="shared" si="1"/>
        <v>1654</v>
      </c>
      <c r="P21" s="86"/>
      <c r="Q21" s="87"/>
      <c r="R21" s="87"/>
      <c r="S21" s="87"/>
    </row>
    <row r="22" spans="1:19" x14ac:dyDescent="0.35">
      <c r="A22" s="5" t="s">
        <v>17</v>
      </c>
      <c r="B22" s="3"/>
      <c r="C22" s="3"/>
      <c r="D22" s="3"/>
      <c r="E22" s="3"/>
      <c r="F22" s="3"/>
      <c r="G22" s="3"/>
      <c r="H22" s="3"/>
      <c r="I22" s="3"/>
    </row>
    <row r="23" spans="1:19" x14ac:dyDescent="0.35">
      <c r="A23" s="41" t="s">
        <v>13</v>
      </c>
      <c r="B23" s="2">
        <v>150</v>
      </c>
      <c r="C23" s="2">
        <v>1</v>
      </c>
      <c r="D23" s="2">
        <f t="shared" ref="D23:D25" si="15">B23*C23</f>
        <v>150</v>
      </c>
      <c r="E23" s="2">
        <f>M15</f>
        <v>0</v>
      </c>
      <c r="F23" s="6">
        <f t="shared" ref="F23:F25" si="16">D23*E23</f>
        <v>0</v>
      </c>
      <c r="G23" s="2">
        <f t="shared" ref="G23:G25" si="17">F23*0.05</f>
        <v>0</v>
      </c>
      <c r="H23" s="2">
        <f t="shared" ref="H23:H25" si="18">F23*0.1</f>
        <v>0</v>
      </c>
      <c r="I23" s="7">
        <f>F23*F$1+G23*G$1+H23*H$1</f>
        <v>0</v>
      </c>
    </row>
    <row r="24" spans="1:19" x14ac:dyDescent="0.35">
      <c r="A24" s="41" t="s">
        <v>14</v>
      </c>
      <c r="B24" s="2">
        <v>100</v>
      </c>
      <c r="C24" s="2">
        <v>1</v>
      </c>
      <c r="D24" s="2">
        <f t="shared" si="15"/>
        <v>100</v>
      </c>
      <c r="E24" s="2">
        <f>M16</f>
        <v>4</v>
      </c>
      <c r="F24" s="6">
        <f t="shared" si="16"/>
        <v>400</v>
      </c>
      <c r="G24" s="2">
        <f t="shared" si="17"/>
        <v>20</v>
      </c>
      <c r="H24" s="2">
        <f t="shared" si="18"/>
        <v>40</v>
      </c>
      <c r="I24" s="7">
        <f>F24*F$1+G24*G$1+H24*H$1</f>
        <v>55229</v>
      </c>
    </row>
    <row r="25" spans="1:19" x14ac:dyDescent="0.35">
      <c r="A25" s="41" t="s">
        <v>15</v>
      </c>
      <c r="B25" s="2">
        <v>350</v>
      </c>
      <c r="C25" s="2">
        <v>1</v>
      </c>
      <c r="D25" s="2">
        <f t="shared" si="15"/>
        <v>350</v>
      </c>
      <c r="E25" s="2">
        <f>M17</f>
        <v>37</v>
      </c>
      <c r="F25" s="6">
        <f t="shared" si="16"/>
        <v>12950</v>
      </c>
      <c r="G25" s="2">
        <f t="shared" si="17"/>
        <v>647.5</v>
      </c>
      <c r="H25" s="2">
        <f t="shared" si="18"/>
        <v>1295</v>
      </c>
      <c r="I25" s="7">
        <f>F25*F$1+G25*G$1+H25*H$1</f>
        <v>1788038.875</v>
      </c>
    </row>
    <row r="26" spans="1:19" x14ac:dyDescent="0.35">
      <c r="A26" s="5" t="s">
        <v>18</v>
      </c>
      <c r="B26" s="3"/>
      <c r="C26" s="3"/>
      <c r="D26" s="3"/>
      <c r="E26" s="3"/>
      <c r="F26" s="3"/>
      <c r="G26" s="3"/>
      <c r="H26" s="3"/>
      <c r="I26" s="3"/>
    </row>
    <row r="27" spans="1:19" x14ac:dyDescent="0.35">
      <c r="A27" s="41" t="s">
        <v>13</v>
      </c>
      <c r="B27" s="2">
        <v>150</v>
      </c>
      <c r="C27" s="2">
        <v>1</v>
      </c>
      <c r="D27" s="2">
        <f t="shared" ref="D27:D29" si="19">B27*C27</f>
        <v>150</v>
      </c>
      <c r="E27" s="2">
        <f>ROUND(E23*0.2,0)</f>
        <v>0</v>
      </c>
      <c r="F27" s="6">
        <f t="shared" ref="F27:F29" si="20">D27*E27</f>
        <v>0</v>
      </c>
      <c r="G27" s="2">
        <f t="shared" ref="G27:G29" si="21">F27*0.05</f>
        <v>0</v>
      </c>
      <c r="H27" s="2">
        <f t="shared" ref="H27:H29" si="22">F27*0.1</f>
        <v>0</v>
      </c>
      <c r="I27" s="7">
        <f>F27*F$1+G27*G$1+H27*H$1</f>
        <v>0</v>
      </c>
    </row>
    <row r="28" spans="1:19" x14ac:dyDescent="0.35">
      <c r="A28" s="41" t="s">
        <v>14</v>
      </c>
      <c r="B28" s="2">
        <v>100</v>
      </c>
      <c r="C28" s="2">
        <v>1</v>
      </c>
      <c r="D28" s="2">
        <f t="shared" si="19"/>
        <v>100</v>
      </c>
      <c r="E28" s="2">
        <f>ROUND(E24*0.2,0)</f>
        <v>1</v>
      </c>
      <c r="F28" s="6">
        <f t="shared" si="20"/>
        <v>100</v>
      </c>
      <c r="G28" s="2">
        <f t="shared" si="21"/>
        <v>5</v>
      </c>
      <c r="H28" s="2">
        <f t="shared" si="22"/>
        <v>10</v>
      </c>
      <c r="I28" s="7">
        <f>F28*F$1+G28*G$1+H28*H$1</f>
        <v>13807.25</v>
      </c>
    </row>
    <row r="29" spans="1:19" x14ac:dyDescent="0.35">
      <c r="A29" s="41" t="s">
        <v>15</v>
      </c>
      <c r="B29" s="2">
        <v>350</v>
      </c>
      <c r="C29" s="2">
        <v>1</v>
      </c>
      <c r="D29" s="2">
        <f t="shared" si="19"/>
        <v>350</v>
      </c>
      <c r="E29" s="2">
        <f>ROUND(E25*0.2,0)</f>
        <v>7</v>
      </c>
      <c r="F29" s="6">
        <f t="shared" si="20"/>
        <v>2450</v>
      </c>
      <c r="G29" s="2">
        <f t="shared" si="21"/>
        <v>122.5</v>
      </c>
      <c r="H29" s="2">
        <f t="shared" si="22"/>
        <v>245</v>
      </c>
      <c r="I29" s="7">
        <f>F29*F$1+G29*G$1+H29*H$1</f>
        <v>338277.625</v>
      </c>
    </row>
    <row r="30" spans="1:19" x14ac:dyDescent="0.35">
      <c r="A30" s="5" t="s">
        <v>19</v>
      </c>
      <c r="B30" s="2" t="s">
        <v>20</v>
      </c>
      <c r="C30" s="3"/>
      <c r="D30" s="3"/>
      <c r="E30" s="3"/>
      <c r="F30" s="3"/>
      <c r="G30" s="3"/>
      <c r="H30" s="3"/>
      <c r="I30" s="3"/>
    </row>
    <row r="31" spans="1:19" x14ac:dyDescent="0.35">
      <c r="A31" s="5" t="s">
        <v>21</v>
      </c>
      <c r="B31" s="3"/>
      <c r="C31" s="3"/>
      <c r="D31" s="3"/>
      <c r="E31" s="3"/>
      <c r="F31" s="3"/>
      <c r="G31" s="3"/>
      <c r="H31" s="3"/>
      <c r="I31" s="3"/>
    </row>
    <row r="32" spans="1:19" x14ac:dyDescent="0.35">
      <c r="A32" s="42" t="s">
        <v>22</v>
      </c>
      <c r="B32" s="2">
        <v>16</v>
      </c>
      <c r="C32" s="2">
        <v>4</v>
      </c>
      <c r="D32" s="2">
        <f t="shared" ref="D32:D33" si="23">B32*C32</f>
        <v>64</v>
      </c>
      <c r="E32" s="2">
        <f>ROUND(M19*0.2,0)</f>
        <v>172</v>
      </c>
      <c r="F32" s="6">
        <f t="shared" ref="F32:F33" si="24">D32*E32</f>
        <v>11008</v>
      </c>
      <c r="G32" s="2">
        <f t="shared" ref="G32:G33" si="25">F32*0.05</f>
        <v>550.4</v>
      </c>
      <c r="H32" s="2">
        <f t="shared" ref="H32:H33" si="26">F32*0.1</f>
        <v>1100.8</v>
      </c>
      <c r="I32" s="7">
        <f>F32*F$1+G32*G$1+H32*H$1</f>
        <v>1519902.08</v>
      </c>
    </row>
    <row r="33" spans="1:9" x14ac:dyDescent="0.35">
      <c r="A33" s="42" t="s">
        <v>23</v>
      </c>
      <c r="B33" s="2">
        <v>16</v>
      </c>
      <c r="C33" s="2">
        <v>2</v>
      </c>
      <c r="D33" s="2">
        <f t="shared" si="23"/>
        <v>32</v>
      </c>
      <c r="E33" s="2">
        <f>ROUND(M19*0.8,0)</f>
        <v>690</v>
      </c>
      <c r="F33" s="6">
        <f t="shared" si="24"/>
        <v>22080</v>
      </c>
      <c r="G33" s="2">
        <f t="shared" si="25"/>
        <v>1104</v>
      </c>
      <c r="H33" s="2">
        <f t="shared" si="26"/>
        <v>2208</v>
      </c>
      <c r="I33" s="7">
        <f>F33*F$1+G33*G$1+H33*H$1</f>
        <v>3048640.8</v>
      </c>
    </row>
    <row r="34" spans="1:9" x14ac:dyDescent="0.35">
      <c r="A34" s="5" t="s">
        <v>24</v>
      </c>
      <c r="B34" s="3"/>
      <c r="C34" s="3"/>
      <c r="D34" s="3"/>
      <c r="E34" s="3"/>
      <c r="F34" s="3"/>
      <c r="G34" s="3"/>
      <c r="H34" s="3"/>
      <c r="I34" s="3"/>
    </row>
    <row r="35" spans="1:9" x14ac:dyDescent="0.35">
      <c r="A35" s="5" t="s">
        <v>22</v>
      </c>
      <c r="B35" s="3"/>
      <c r="C35" s="3"/>
      <c r="D35" s="3"/>
      <c r="E35" s="3"/>
      <c r="F35" s="3"/>
      <c r="G35" s="3"/>
      <c r="H35" s="3"/>
      <c r="I35" s="3"/>
    </row>
    <row r="36" spans="1:9" x14ac:dyDescent="0.35">
      <c r="A36" s="42" t="s">
        <v>25</v>
      </c>
      <c r="B36" s="2">
        <v>16</v>
      </c>
      <c r="C36" s="2">
        <v>4</v>
      </c>
      <c r="D36" s="2">
        <f t="shared" ref="D36:D37" si="27">B36*C36</f>
        <v>64</v>
      </c>
      <c r="E36" s="2">
        <f>ROUND(M20*0.2*0.2,0)</f>
        <v>37</v>
      </c>
      <c r="F36" s="6">
        <f t="shared" ref="F36:F37" si="28">D36*E36</f>
        <v>2368</v>
      </c>
      <c r="G36" s="2">
        <f t="shared" ref="G36:G37" si="29">F36*0.05</f>
        <v>118.4</v>
      </c>
      <c r="H36" s="2">
        <f t="shared" ref="H36:H37" si="30">F36*0.1</f>
        <v>236.8</v>
      </c>
      <c r="I36" s="7">
        <f>F36*F$1+G36*G$1+H36*H$1</f>
        <v>326955.67999999993</v>
      </c>
    </row>
    <row r="37" spans="1:9" x14ac:dyDescent="0.35">
      <c r="A37" s="42" t="s">
        <v>26</v>
      </c>
      <c r="B37" s="2">
        <v>8</v>
      </c>
      <c r="C37" s="2">
        <v>4</v>
      </c>
      <c r="D37" s="2">
        <f t="shared" si="27"/>
        <v>32</v>
      </c>
      <c r="E37" s="2">
        <f>ROUND(M20*0.2*0.8,0)</f>
        <v>147</v>
      </c>
      <c r="F37" s="6">
        <f t="shared" si="28"/>
        <v>4704</v>
      </c>
      <c r="G37" s="2">
        <f t="shared" si="29"/>
        <v>235.20000000000002</v>
      </c>
      <c r="H37" s="2">
        <f t="shared" si="30"/>
        <v>470.40000000000003</v>
      </c>
      <c r="I37" s="7">
        <f>F37*F$1+G37*G$1+H37*H$1</f>
        <v>649493.04</v>
      </c>
    </row>
    <row r="38" spans="1:9" x14ac:dyDescent="0.35">
      <c r="A38" s="5" t="s">
        <v>23</v>
      </c>
      <c r="B38" s="3"/>
      <c r="C38" s="3"/>
      <c r="D38" s="3"/>
      <c r="E38" s="3"/>
      <c r="F38" s="3"/>
      <c r="G38" s="3"/>
      <c r="H38" s="3"/>
      <c r="I38" s="3"/>
    </row>
    <row r="39" spans="1:9" x14ac:dyDescent="0.35">
      <c r="A39" s="42" t="s">
        <v>25</v>
      </c>
      <c r="B39" s="2">
        <v>16</v>
      </c>
      <c r="C39" s="2">
        <v>2</v>
      </c>
      <c r="D39" s="2">
        <f t="shared" ref="D39:D40" si="31">B39*C39</f>
        <v>32</v>
      </c>
      <c r="E39" s="2">
        <f>ROUND(M20*0.8*0.2,0)</f>
        <v>147</v>
      </c>
      <c r="F39" s="6">
        <f t="shared" ref="F39:F40" si="32">D39*E39</f>
        <v>4704</v>
      </c>
      <c r="G39" s="2">
        <f t="shared" ref="G39:G40" si="33">F39*0.05</f>
        <v>235.20000000000002</v>
      </c>
      <c r="H39" s="2">
        <f t="shared" ref="H39:H40" si="34">F39*0.1</f>
        <v>470.40000000000003</v>
      </c>
      <c r="I39" s="7">
        <f>F39*F$1+G39*G$1+H39*H$1</f>
        <v>649493.04</v>
      </c>
    </row>
    <row r="40" spans="1:9" x14ac:dyDescent="0.35">
      <c r="A40" s="42" t="s">
        <v>26</v>
      </c>
      <c r="B40" s="2">
        <v>8</v>
      </c>
      <c r="C40" s="2">
        <v>2</v>
      </c>
      <c r="D40" s="2">
        <f t="shared" si="31"/>
        <v>16</v>
      </c>
      <c r="E40" s="2">
        <f>ROUND(M20*0.8*0.8,0)</f>
        <v>588</v>
      </c>
      <c r="F40" s="6">
        <f t="shared" si="32"/>
        <v>9408</v>
      </c>
      <c r="G40" s="2">
        <f t="shared" si="33"/>
        <v>470.40000000000003</v>
      </c>
      <c r="H40" s="2">
        <f t="shared" si="34"/>
        <v>940.80000000000007</v>
      </c>
      <c r="I40" s="7">
        <f>F40*F$1+G40*G$1+H40*H$1</f>
        <v>1298986.08</v>
      </c>
    </row>
    <row r="41" spans="1:9" x14ac:dyDescent="0.35">
      <c r="A41" s="5" t="s">
        <v>27</v>
      </c>
      <c r="B41" s="3"/>
      <c r="C41" s="3"/>
      <c r="D41" s="3"/>
      <c r="E41" s="3"/>
      <c r="F41" s="3"/>
      <c r="G41" s="3"/>
      <c r="H41" s="3"/>
      <c r="I41" s="3"/>
    </row>
    <row r="42" spans="1:9" x14ac:dyDescent="0.35">
      <c r="A42" s="5" t="s">
        <v>22</v>
      </c>
      <c r="B42" s="3"/>
      <c r="C42" s="3"/>
      <c r="D42" s="3"/>
      <c r="E42" s="3"/>
      <c r="F42" s="3"/>
      <c r="G42" s="3"/>
      <c r="H42" s="3"/>
      <c r="I42" s="3"/>
    </row>
    <row r="43" spans="1:9" x14ac:dyDescent="0.35">
      <c r="A43" s="5" t="s">
        <v>28</v>
      </c>
      <c r="B43" s="2">
        <v>16</v>
      </c>
      <c r="C43" s="2">
        <v>4</v>
      </c>
      <c r="D43" s="2">
        <f t="shared" ref="D43:D45" si="35">B43*C43</f>
        <v>64</v>
      </c>
      <c r="E43" s="2">
        <f>ROUND(M21*0.2,0)</f>
        <v>414</v>
      </c>
      <c r="F43" s="6">
        <f t="shared" ref="F43:F45" si="36">D43*E43</f>
        <v>26496</v>
      </c>
      <c r="G43" s="2">
        <f t="shared" ref="G43:G45" si="37">F43*0.05</f>
        <v>1324.8000000000002</v>
      </c>
      <c r="H43" s="2">
        <f t="shared" ref="H43:H45" si="38">F43*0.1</f>
        <v>2649.6000000000004</v>
      </c>
      <c r="I43" s="7">
        <f>F43*F$1+G43*G$1+H43*H$1</f>
        <v>3658368.96</v>
      </c>
    </row>
    <row r="44" spans="1:9" x14ac:dyDescent="0.35">
      <c r="A44" s="42" t="s">
        <v>25</v>
      </c>
      <c r="B44" s="2">
        <v>16</v>
      </c>
      <c r="C44" s="2">
        <v>4</v>
      </c>
      <c r="D44" s="2">
        <f t="shared" si="35"/>
        <v>64</v>
      </c>
      <c r="E44" s="2">
        <f>ROUND(E43*0.2,0)</f>
        <v>83</v>
      </c>
      <c r="F44" s="6">
        <f t="shared" si="36"/>
        <v>5312</v>
      </c>
      <c r="G44" s="2">
        <f t="shared" si="37"/>
        <v>265.60000000000002</v>
      </c>
      <c r="H44" s="2">
        <f t="shared" si="38"/>
        <v>531.20000000000005</v>
      </c>
      <c r="I44" s="7">
        <f>F44*F$1+G44*G$1+H44*H$1</f>
        <v>733441.12</v>
      </c>
    </row>
    <row r="45" spans="1:9" x14ac:dyDescent="0.35">
      <c r="A45" s="42" t="s">
        <v>26</v>
      </c>
      <c r="B45" s="2">
        <v>8</v>
      </c>
      <c r="C45" s="2">
        <v>4</v>
      </c>
      <c r="D45" s="2">
        <f t="shared" si="35"/>
        <v>32</v>
      </c>
      <c r="E45" s="2">
        <f>ROUND(E43*0.8,0)</f>
        <v>331</v>
      </c>
      <c r="F45" s="6">
        <f t="shared" si="36"/>
        <v>10592</v>
      </c>
      <c r="G45" s="2">
        <f t="shared" si="37"/>
        <v>529.6</v>
      </c>
      <c r="H45" s="2">
        <f t="shared" si="38"/>
        <v>1059.2</v>
      </c>
      <c r="I45" s="7">
        <f>F45*F$1+G45*G$1+H45*H$1</f>
        <v>1462463.92</v>
      </c>
    </row>
    <row r="46" spans="1:9" x14ac:dyDescent="0.35">
      <c r="A46" s="5" t="s">
        <v>23</v>
      </c>
      <c r="B46" s="3"/>
      <c r="C46" s="3"/>
      <c r="D46" s="3"/>
      <c r="E46" s="3"/>
      <c r="F46" s="3"/>
      <c r="G46" s="3"/>
      <c r="H46" s="3"/>
      <c r="I46" s="3"/>
    </row>
    <row r="47" spans="1:9" x14ac:dyDescent="0.35">
      <c r="A47" s="42" t="s">
        <v>28</v>
      </c>
      <c r="B47" s="2">
        <v>16</v>
      </c>
      <c r="C47" s="2">
        <v>2</v>
      </c>
      <c r="D47" s="2">
        <f t="shared" ref="D47:D49" si="39">B47*C47</f>
        <v>32</v>
      </c>
      <c r="E47" s="6">
        <f>ROUND(M21*0.8,0)</f>
        <v>1654</v>
      </c>
      <c r="F47" s="6">
        <f t="shared" ref="F47:F49" si="40">D47*E47</f>
        <v>52928</v>
      </c>
      <c r="G47" s="2">
        <f t="shared" ref="G47:G49" si="41">F47*0.05</f>
        <v>2646.4</v>
      </c>
      <c r="H47" s="2">
        <f t="shared" ref="H47:H49" si="42">F47*0.1</f>
        <v>5292.8</v>
      </c>
      <c r="I47" s="7">
        <f>F47*F$1+G47*G$1+H47*H$1</f>
        <v>7307901.2800000003</v>
      </c>
    </row>
    <row r="48" spans="1:9" x14ac:dyDescent="0.35">
      <c r="A48" s="42" t="s">
        <v>25</v>
      </c>
      <c r="B48" s="2">
        <v>16</v>
      </c>
      <c r="C48" s="2">
        <v>2</v>
      </c>
      <c r="D48" s="2">
        <f t="shared" si="39"/>
        <v>32</v>
      </c>
      <c r="E48" s="2">
        <f>ROUND(E47*0.2,0)</f>
        <v>331</v>
      </c>
      <c r="F48" s="6">
        <f t="shared" si="40"/>
        <v>10592</v>
      </c>
      <c r="G48" s="2">
        <f t="shared" si="41"/>
        <v>529.6</v>
      </c>
      <c r="H48" s="2">
        <f t="shared" si="42"/>
        <v>1059.2</v>
      </c>
      <c r="I48" s="7">
        <f>F48*F$1+G48*G$1+H48*H$1</f>
        <v>1462463.92</v>
      </c>
    </row>
    <row r="49" spans="1:9" x14ac:dyDescent="0.35">
      <c r="A49" s="42" t="s">
        <v>26</v>
      </c>
      <c r="B49" s="2">
        <v>8</v>
      </c>
      <c r="C49" s="2">
        <v>2</v>
      </c>
      <c r="D49" s="2">
        <f t="shared" si="39"/>
        <v>16</v>
      </c>
      <c r="E49" s="6">
        <f>ROUND(E47*0.8,0)</f>
        <v>1323</v>
      </c>
      <c r="F49" s="6">
        <f t="shared" si="40"/>
        <v>21168</v>
      </c>
      <c r="G49" s="2">
        <f t="shared" si="41"/>
        <v>1058.4000000000001</v>
      </c>
      <c r="H49" s="2">
        <f t="shared" si="42"/>
        <v>2116.8000000000002</v>
      </c>
      <c r="I49" s="7">
        <f>F49*F$1+G49*G$1+H49*H$1</f>
        <v>2922718.68</v>
      </c>
    </row>
    <row r="50" spans="1:9" x14ac:dyDescent="0.35">
      <c r="A50" s="5" t="s">
        <v>29</v>
      </c>
      <c r="B50" s="3"/>
      <c r="C50" s="3"/>
      <c r="D50" s="3"/>
      <c r="E50" s="3"/>
      <c r="F50" s="3"/>
      <c r="G50" s="3"/>
      <c r="H50" s="3"/>
      <c r="I50" s="3"/>
    </row>
    <row r="51" spans="1:9" x14ac:dyDescent="0.35">
      <c r="A51" s="5" t="s">
        <v>22</v>
      </c>
      <c r="B51" s="3"/>
      <c r="C51" s="3"/>
      <c r="D51" s="3"/>
      <c r="E51" s="3"/>
      <c r="F51" s="3"/>
      <c r="G51" s="3"/>
      <c r="H51" s="3"/>
      <c r="I51" s="3"/>
    </row>
    <row r="52" spans="1:9" x14ac:dyDescent="0.35">
      <c r="A52" s="42" t="s">
        <v>13</v>
      </c>
      <c r="B52" s="2">
        <v>11</v>
      </c>
      <c r="C52" s="2">
        <v>4</v>
      </c>
      <c r="D52" s="2">
        <f t="shared" ref="D52:D53" si="43">B52*C52</f>
        <v>44</v>
      </c>
      <c r="E52" s="2">
        <f>ROUND(M19*0.2,0)</f>
        <v>172</v>
      </c>
      <c r="F52" s="6">
        <f t="shared" ref="F52:F53" si="44">D52*E52</f>
        <v>7568</v>
      </c>
      <c r="G52" s="2">
        <f t="shared" ref="G52:G53" si="45">F52*0.05</f>
        <v>378.40000000000003</v>
      </c>
      <c r="H52" s="2">
        <f t="shared" ref="H52:H53" si="46">F52*0.1</f>
        <v>756.80000000000007</v>
      </c>
      <c r="I52" s="7">
        <f>F52*F$1+G52*G$1+H52*H$1</f>
        <v>1044932.68</v>
      </c>
    </row>
    <row r="53" spans="1:9" x14ac:dyDescent="0.35">
      <c r="A53" s="42" t="s">
        <v>15</v>
      </c>
      <c r="B53" s="2">
        <v>11</v>
      </c>
      <c r="C53" s="2">
        <v>4</v>
      </c>
      <c r="D53" s="2">
        <f t="shared" si="43"/>
        <v>44</v>
      </c>
      <c r="E53" s="2">
        <f>ROUND(M21*0.2,0)</f>
        <v>414</v>
      </c>
      <c r="F53" s="6">
        <f t="shared" si="44"/>
        <v>18216</v>
      </c>
      <c r="G53" s="2">
        <f t="shared" si="45"/>
        <v>910.80000000000007</v>
      </c>
      <c r="H53" s="2">
        <f t="shared" si="46"/>
        <v>1821.6000000000001</v>
      </c>
      <c r="I53" s="7">
        <f>F53*F$1+G53*G$1+H53*H$1</f>
        <v>2515128.66</v>
      </c>
    </row>
    <row r="54" spans="1:9" x14ac:dyDescent="0.35">
      <c r="A54" s="5" t="s">
        <v>23</v>
      </c>
      <c r="B54" s="3"/>
      <c r="C54" s="3"/>
      <c r="D54" s="3"/>
      <c r="E54" s="3"/>
      <c r="F54" s="3"/>
      <c r="G54" s="3"/>
      <c r="H54" s="3"/>
      <c r="I54" s="3"/>
    </row>
    <row r="55" spans="1:9" x14ac:dyDescent="0.35">
      <c r="A55" s="42" t="s">
        <v>13</v>
      </c>
      <c r="B55" s="2">
        <v>11</v>
      </c>
      <c r="C55" s="2">
        <v>2</v>
      </c>
      <c r="D55" s="2">
        <f t="shared" ref="D55:D57" si="47">B55*C55</f>
        <v>22</v>
      </c>
      <c r="E55" s="2">
        <f>ROUND(M19*0.8,0)</f>
        <v>690</v>
      </c>
      <c r="F55" s="6">
        <f t="shared" ref="F55:F57" si="48">D55*E55</f>
        <v>15180</v>
      </c>
      <c r="G55" s="22">
        <f t="shared" ref="G55:G57" si="49">F55*0.05</f>
        <v>759</v>
      </c>
      <c r="H55" s="22">
        <f t="shared" ref="H55:H57" si="50">F55*0.1</f>
        <v>1518</v>
      </c>
      <c r="I55" s="7">
        <f>F55*F$1+G55*G$1+H55*H$1</f>
        <v>2095940.55</v>
      </c>
    </row>
    <row r="56" spans="1:9" x14ac:dyDescent="0.35">
      <c r="A56" s="42" t="s">
        <v>15</v>
      </c>
      <c r="B56" s="2">
        <v>11</v>
      </c>
      <c r="C56" s="2">
        <v>2</v>
      </c>
      <c r="D56" s="2">
        <f t="shared" si="47"/>
        <v>22</v>
      </c>
      <c r="E56" s="6">
        <f>ROUND(M21*0.8,0)</f>
        <v>1654</v>
      </c>
      <c r="F56" s="6">
        <f t="shared" si="48"/>
        <v>36388</v>
      </c>
      <c r="G56" s="22">
        <f t="shared" si="49"/>
        <v>1819.4</v>
      </c>
      <c r="H56" s="22">
        <f t="shared" si="50"/>
        <v>3638.8</v>
      </c>
      <c r="I56" s="7">
        <f>F56*F$1+G56*G$1+H56*H$1</f>
        <v>5024182.129999999</v>
      </c>
    </row>
    <row r="57" spans="1:9" x14ac:dyDescent="0.35">
      <c r="A57" s="5" t="s">
        <v>30</v>
      </c>
      <c r="B57" s="2">
        <v>250</v>
      </c>
      <c r="C57" s="2">
        <v>1</v>
      </c>
      <c r="D57" s="2">
        <f t="shared" si="47"/>
        <v>250</v>
      </c>
      <c r="E57" s="6">
        <f>M21</f>
        <v>2068</v>
      </c>
      <c r="F57" s="6">
        <f t="shared" si="48"/>
        <v>517000</v>
      </c>
      <c r="G57" s="2">
        <f t="shared" si="49"/>
        <v>25850</v>
      </c>
      <c r="H57" s="2">
        <f t="shared" si="50"/>
        <v>51700</v>
      </c>
      <c r="I57" s="7">
        <f>F57*F$1+G57*G$1+H57*H$1</f>
        <v>71383482.5</v>
      </c>
    </row>
    <row r="58" spans="1:9" x14ac:dyDescent="0.35">
      <c r="A58" s="5" t="s">
        <v>31</v>
      </c>
      <c r="B58" s="3"/>
      <c r="C58" s="3"/>
      <c r="D58" s="3"/>
      <c r="E58" s="3"/>
      <c r="F58" s="3"/>
      <c r="G58" s="3"/>
      <c r="H58" s="3"/>
      <c r="I58" s="3"/>
    </row>
    <row r="59" spans="1:9" x14ac:dyDescent="0.35">
      <c r="A59" s="42" t="s">
        <v>13</v>
      </c>
      <c r="B59" s="2">
        <v>36</v>
      </c>
      <c r="C59" s="2">
        <v>1</v>
      </c>
      <c r="D59" s="2">
        <f t="shared" ref="D59:D60" si="51">B59*C59</f>
        <v>36</v>
      </c>
      <c r="E59" s="20">
        <f>M19</f>
        <v>862.35599999999999</v>
      </c>
      <c r="F59" s="6">
        <f t="shared" ref="F59:F60" si="52">D59*E59</f>
        <v>31044.815999999999</v>
      </c>
      <c r="G59" s="6">
        <f t="shared" ref="G59:G60" si="53">F59*0.05</f>
        <v>1552.2408</v>
      </c>
      <c r="H59" s="6">
        <f t="shared" ref="H59:H60" si="54">F59*0.1</f>
        <v>3104.4816000000001</v>
      </c>
      <c r="I59" s="7">
        <f>F59*F$1+G59*G$1+H59*H$1</f>
        <v>4286435.3571600001</v>
      </c>
    </row>
    <row r="60" spans="1:9" x14ac:dyDescent="0.35">
      <c r="A60" s="42" t="s">
        <v>15</v>
      </c>
      <c r="B60" s="2">
        <v>36</v>
      </c>
      <c r="C60" s="2">
        <v>1</v>
      </c>
      <c r="D60" s="2">
        <f t="shared" si="51"/>
        <v>36</v>
      </c>
      <c r="E60" s="6">
        <f>M21</f>
        <v>2068</v>
      </c>
      <c r="F60" s="6">
        <f t="shared" si="52"/>
        <v>74448</v>
      </c>
      <c r="G60" s="22">
        <f t="shared" si="53"/>
        <v>3722.4</v>
      </c>
      <c r="H60" s="22">
        <f t="shared" si="54"/>
        <v>7444.8</v>
      </c>
      <c r="I60" s="7">
        <f>F60*F$1+G60*G$1+H60*H$1</f>
        <v>10279221.479999999</v>
      </c>
    </row>
    <row r="61" spans="1:9" x14ac:dyDescent="0.35">
      <c r="A61" s="5" t="s">
        <v>32</v>
      </c>
      <c r="B61" s="3"/>
      <c r="C61" s="3"/>
      <c r="D61" s="3"/>
      <c r="E61" s="3"/>
      <c r="F61" s="3"/>
      <c r="G61" s="3"/>
      <c r="H61" s="3"/>
      <c r="I61" s="3"/>
    </row>
    <row r="62" spans="1:9" x14ac:dyDescent="0.35">
      <c r="A62" s="5" t="s">
        <v>22</v>
      </c>
      <c r="B62" s="3"/>
      <c r="C62" s="3"/>
      <c r="D62" s="3"/>
      <c r="E62" s="3"/>
      <c r="F62" s="3"/>
      <c r="G62" s="3"/>
      <c r="H62" s="3"/>
      <c r="I62" s="3"/>
    </row>
    <row r="63" spans="1:9" x14ac:dyDescent="0.35">
      <c r="A63" s="42" t="s">
        <v>33</v>
      </c>
      <c r="B63" s="2">
        <v>125</v>
      </c>
      <c r="C63" s="2">
        <v>4</v>
      </c>
      <c r="D63" s="2">
        <f t="shared" ref="D63:D64" si="55">B63*C63</f>
        <v>500</v>
      </c>
      <c r="E63" s="2">
        <f>ROUND(M19*0.2*0.25,0)</f>
        <v>43</v>
      </c>
      <c r="F63" s="6">
        <f t="shared" ref="F63:F64" si="56">D63*E63</f>
        <v>21500</v>
      </c>
      <c r="G63" s="6">
        <f t="shared" ref="G63:G64" si="57">F63*0.05</f>
        <v>1075</v>
      </c>
      <c r="H63" s="6">
        <f t="shared" ref="H63:H64" si="58">F63*0.1</f>
        <v>2150</v>
      </c>
      <c r="I63" s="7">
        <f>F63*F$1+G63*G$1+H63*H$1</f>
        <v>2968558.75</v>
      </c>
    </row>
    <row r="64" spans="1:9" x14ac:dyDescent="0.35">
      <c r="A64" s="42" t="s">
        <v>34</v>
      </c>
      <c r="B64" s="2">
        <v>36</v>
      </c>
      <c r="C64" s="2">
        <v>4</v>
      </c>
      <c r="D64" s="2">
        <f t="shared" si="55"/>
        <v>144</v>
      </c>
      <c r="E64" s="2">
        <f>ROUND(M19*0.2*0.75,0)</f>
        <v>129</v>
      </c>
      <c r="F64" s="6">
        <f t="shared" si="56"/>
        <v>18576</v>
      </c>
      <c r="G64" s="22">
        <f t="shared" si="57"/>
        <v>928.80000000000007</v>
      </c>
      <c r="H64" s="22">
        <f t="shared" si="58"/>
        <v>1857.6000000000001</v>
      </c>
      <c r="I64" s="7">
        <f>F64*F$1+G64*G$1+H64*H$1</f>
        <v>2564834.7600000002</v>
      </c>
    </row>
    <row r="65" spans="1:10" x14ac:dyDescent="0.35">
      <c r="A65" s="5" t="s">
        <v>23</v>
      </c>
      <c r="B65" s="3"/>
      <c r="C65" s="3"/>
      <c r="D65" s="3"/>
      <c r="E65" s="3"/>
      <c r="F65" s="3"/>
      <c r="G65" s="3"/>
      <c r="H65" s="3"/>
      <c r="I65" s="3"/>
    </row>
    <row r="66" spans="1:10" x14ac:dyDescent="0.35">
      <c r="A66" s="42" t="s">
        <v>33</v>
      </c>
      <c r="B66" s="2">
        <v>125</v>
      </c>
      <c r="C66" s="2">
        <v>2</v>
      </c>
      <c r="D66" s="2">
        <f t="shared" ref="D66:D67" si="59">B66*C66</f>
        <v>250</v>
      </c>
      <c r="E66" s="2">
        <f>ROUND(M19*0.8*0.25,0)</f>
        <v>172</v>
      </c>
      <c r="F66" s="6">
        <f t="shared" ref="F66:F67" si="60">D66*E66</f>
        <v>43000</v>
      </c>
      <c r="G66" s="6">
        <f t="shared" ref="G66:G67" si="61">F66*0.05</f>
        <v>2150</v>
      </c>
      <c r="H66" s="6">
        <f t="shared" ref="H66:H67" si="62">F66*0.1</f>
        <v>4300</v>
      </c>
      <c r="I66" s="7">
        <f>F66*F$1+G66*G$1+H66*H$1</f>
        <v>5937117.5</v>
      </c>
    </row>
    <row r="67" spans="1:10" x14ac:dyDescent="0.35">
      <c r="A67" s="42" t="s">
        <v>35</v>
      </c>
      <c r="B67" s="2">
        <v>36</v>
      </c>
      <c r="C67" s="2">
        <v>2</v>
      </c>
      <c r="D67" s="2">
        <f t="shared" si="59"/>
        <v>72</v>
      </c>
      <c r="E67" s="2">
        <f>ROUND(M19*0.8*0.75,0)</f>
        <v>517</v>
      </c>
      <c r="F67" s="6">
        <f t="shared" si="60"/>
        <v>37224</v>
      </c>
      <c r="G67" s="22">
        <f t="shared" si="61"/>
        <v>1861.2</v>
      </c>
      <c r="H67" s="22">
        <f t="shared" si="62"/>
        <v>3722.4</v>
      </c>
      <c r="I67" s="7">
        <f>F67*F$1+G67*G$1+H67*H$1</f>
        <v>5139610.7399999993</v>
      </c>
    </row>
    <row r="68" spans="1:10" x14ac:dyDescent="0.35">
      <c r="A68" s="5" t="s">
        <v>22</v>
      </c>
      <c r="B68" s="3"/>
      <c r="C68" s="3"/>
      <c r="D68" s="3"/>
      <c r="E68" s="3"/>
      <c r="F68" s="3"/>
      <c r="G68" s="3"/>
      <c r="H68" s="3"/>
      <c r="I68" s="3"/>
    </row>
    <row r="69" spans="1:10" x14ac:dyDescent="0.35">
      <c r="A69" s="42" t="s">
        <v>36</v>
      </c>
      <c r="B69" s="2">
        <v>125</v>
      </c>
      <c r="C69" s="2">
        <v>4</v>
      </c>
      <c r="D69" s="2">
        <f t="shared" ref="D69:D70" si="63">B69*C69</f>
        <v>500</v>
      </c>
      <c r="E69" s="2">
        <f>ROUND(M21*0.2*0.25,0)</f>
        <v>103</v>
      </c>
      <c r="F69" s="6">
        <f t="shared" ref="F69:F70" si="64">D69*E69</f>
        <v>51500</v>
      </c>
      <c r="G69" s="6">
        <f t="shared" ref="G69:G70" si="65">F69*0.05</f>
        <v>2575</v>
      </c>
      <c r="H69" s="6">
        <f t="shared" ref="H69:H70" si="66">F69*0.1</f>
        <v>5150</v>
      </c>
      <c r="I69" s="7">
        <f>F69*F$1+G69*G$1+H69*H$1</f>
        <v>7110733.75</v>
      </c>
      <c r="J69" s="21"/>
    </row>
    <row r="70" spans="1:10" x14ac:dyDescent="0.35">
      <c r="A70" s="42" t="s">
        <v>37</v>
      </c>
      <c r="B70" s="2">
        <v>36</v>
      </c>
      <c r="C70" s="2">
        <v>4</v>
      </c>
      <c r="D70" s="2">
        <f t="shared" si="63"/>
        <v>144</v>
      </c>
      <c r="E70" s="2">
        <f>ROUND(M21*0.2*0.75,0)</f>
        <v>310</v>
      </c>
      <c r="F70" s="6">
        <f t="shared" si="64"/>
        <v>44640</v>
      </c>
      <c r="G70" s="22">
        <f t="shared" si="65"/>
        <v>2232</v>
      </c>
      <c r="H70" s="22">
        <f t="shared" si="66"/>
        <v>4464</v>
      </c>
      <c r="I70" s="7">
        <f>F70*F$1+G70*G$1+H70*H$1</f>
        <v>6163556.3999999994</v>
      </c>
      <c r="J70" s="21"/>
    </row>
    <row r="71" spans="1:10" x14ac:dyDescent="0.35">
      <c r="A71" s="5" t="s">
        <v>23</v>
      </c>
      <c r="B71" s="3"/>
      <c r="C71" s="3"/>
      <c r="D71" s="3"/>
      <c r="E71" s="3"/>
      <c r="F71" s="3"/>
      <c r="G71" s="3"/>
      <c r="H71" s="3"/>
      <c r="I71" s="3"/>
    </row>
    <row r="72" spans="1:10" x14ac:dyDescent="0.35">
      <c r="A72" s="42" t="s">
        <v>36</v>
      </c>
      <c r="B72" s="2">
        <v>125</v>
      </c>
      <c r="C72" s="2">
        <v>2</v>
      </c>
      <c r="D72" s="2">
        <f t="shared" ref="D72:D73" si="67">B72*C72</f>
        <v>250</v>
      </c>
      <c r="E72" s="6">
        <f>ROUND(M21*0.8*0.25,0)</f>
        <v>414</v>
      </c>
      <c r="F72" s="6">
        <f t="shared" ref="F72:F73" si="68">D72*E72</f>
        <v>103500</v>
      </c>
      <c r="G72" s="6">
        <f t="shared" ref="G72:G73" si="69">F72*0.05</f>
        <v>5175</v>
      </c>
      <c r="H72" s="6">
        <f t="shared" ref="H72:H73" si="70">F72*0.1</f>
        <v>10350</v>
      </c>
      <c r="I72" s="7">
        <f>F72*F$1+G72*G$1+H72*H$1</f>
        <v>14290503.75</v>
      </c>
    </row>
    <row r="73" spans="1:10" x14ac:dyDescent="0.35">
      <c r="A73" s="42" t="s">
        <v>37</v>
      </c>
      <c r="B73" s="2">
        <v>36</v>
      </c>
      <c r="C73" s="2">
        <v>2</v>
      </c>
      <c r="D73" s="2">
        <f t="shared" si="67"/>
        <v>72</v>
      </c>
      <c r="E73" s="6">
        <f>ROUND(M21*0.8*0.75,0)</f>
        <v>1241</v>
      </c>
      <c r="F73" s="6">
        <f t="shared" si="68"/>
        <v>89352</v>
      </c>
      <c r="G73" s="22">
        <f t="shared" si="69"/>
        <v>4467.6000000000004</v>
      </c>
      <c r="H73" s="22">
        <f t="shared" si="70"/>
        <v>8935.2000000000007</v>
      </c>
      <c r="I73" s="7">
        <f>F73*F$1+G73*G$1+H73*H$1</f>
        <v>12337054.02</v>
      </c>
    </row>
    <row r="74" spans="1:10" x14ac:dyDescent="0.35">
      <c r="A74" s="5" t="s">
        <v>38</v>
      </c>
      <c r="B74" s="2" t="s">
        <v>20</v>
      </c>
      <c r="C74" s="3"/>
      <c r="D74" s="3"/>
      <c r="E74" s="3"/>
      <c r="F74" s="3"/>
      <c r="G74" s="3"/>
      <c r="H74" s="3"/>
      <c r="I74" s="3"/>
    </row>
    <row r="75" spans="1:10" x14ac:dyDescent="0.35">
      <c r="A75" s="5" t="s">
        <v>39</v>
      </c>
      <c r="B75" s="2" t="s">
        <v>20</v>
      </c>
      <c r="C75" s="3"/>
      <c r="D75" s="3"/>
      <c r="E75" s="3"/>
      <c r="F75" s="3"/>
      <c r="G75" s="3"/>
      <c r="H75" s="3"/>
      <c r="I75" s="3"/>
    </row>
    <row r="76" spans="1:10" x14ac:dyDescent="0.35">
      <c r="A76" s="5" t="s">
        <v>40</v>
      </c>
      <c r="B76" s="3"/>
      <c r="C76" s="3"/>
      <c r="D76" s="3"/>
      <c r="E76" s="3"/>
      <c r="F76" s="3"/>
      <c r="G76" s="3"/>
      <c r="H76" s="3"/>
      <c r="I76" s="3"/>
    </row>
    <row r="77" spans="1:10" x14ac:dyDescent="0.35">
      <c r="A77" s="8" t="s">
        <v>41</v>
      </c>
      <c r="B77" s="2">
        <v>2</v>
      </c>
      <c r="C77" s="2">
        <v>1</v>
      </c>
      <c r="D77" s="2">
        <f t="shared" ref="D77:D80" si="71">B77*C77</f>
        <v>2</v>
      </c>
      <c r="E77" s="2">
        <f>M$17</f>
        <v>37</v>
      </c>
      <c r="F77" s="6">
        <f t="shared" ref="F77:F80" si="72">D77*E77</f>
        <v>74</v>
      </c>
      <c r="G77" s="2">
        <f t="shared" ref="G77:G80" si="73">F77*0.05</f>
        <v>3.7</v>
      </c>
      <c r="H77" s="2">
        <f t="shared" ref="H77:H80" si="74">F77*0.1</f>
        <v>7.4</v>
      </c>
      <c r="I77" s="7">
        <f>F77*F$1+G77*G$1+H77*H$1</f>
        <v>10217.364999999998</v>
      </c>
    </row>
    <row r="78" spans="1:10" x14ac:dyDescent="0.35">
      <c r="A78" s="8" t="s">
        <v>42</v>
      </c>
      <c r="B78" s="2">
        <v>2</v>
      </c>
      <c r="C78" s="2">
        <v>1</v>
      </c>
      <c r="D78" s="2">
        <f t="shared" si="71"/>
        <v>2</v>
      </c>
      <c r="E78" s="2">
        <f>M$17</f>
        <v>37</v>
      </c>
      <c r="F78" s="6">
        <f t="shared" si="72"/>
        <v>74</v>
      </c>
      <c r="G78" s="2">
        <f t="shared" si="73"/>
        <v>3.7</v>
      </c>
      <c r="H78" s="2">
        <f t="shared" si="74"/>
        <v>7.4</v>
      </c>
      <c r="I78" s="7">
        <f>F78*F$1+G78*G$1+H78*H$1</f>
        <v>10217.364999999998</v>
      </c>
    </row>
    <row r="79" spans="1:10" x14ac:dyDescent="0.35">
      <c r="A79" s="8" t="s">
        <v>43</v>
      </c>
      <c r="B79" s="2">
        <v>2</v>
      </c>
      <c r="C79" s="2">
        <v>1</v>
      </c>
      <c r="D79" s="2">
        <f t="shared" si="71"/>
        <v>2</v>
      </c>
      <c r="E79" s="2">
        <f>M$17</f>
        <v>37</v>
      </c>
      <c r="F79" s="6">
        <f t="shared" si="72"/>
        <v>74</v>
      </c>
      <c r="G79" s="2">
        <f t="shared" si="73"/>
        <v>3.7</v>
      </c>
      <c r="H79" s="2">
        <f t="shared" si="74"/>
        <v>7.4</v>
      </c>
      <c r="I79" s="7">
        <f>F79*F$1+G79*G$1+H79*H$1</f>
        <v>10217.364999999998</v>
      </c>
    </row>
    <row r="80" spans="1:10" x14ac:dyDescent="0.35">
      <c r="A80" s="8" t="s">
        <v>44</v>
      </c>
      <c r="B80" s="2">
        <v>4</v>
      </c>
      <c r="C80" s="2">
        <v>1</v>
      </c>
      <c r="D80" s="2">
        <f t="shared" si="71"/>
        <v>4</v>
      </c>
      <c r="E80" s="2">
        <f>ROUND(M$17/2,0)</f>
        <v>19</v>
      </c>
      <c r="F80" s="6">
        <f t="shared" si="72"/>
        <v>76</v>
      </c>
      <c r="G80" s="2">
        <f t="shared" si="73"/>
        <v>3.8000000000000003</v>
      </c>
      <c r="H80" s="2">
        <f t="shared" si="74"/>
        <v>7.6000000000000005</v>
      </c>
      <c r="I80" s="7">
        <f>F80*F$1+G80*G$1+H80*H$1</f>
        <v>10493.51</v>
      </c>
    </row>
    <row r="81" spans="1:13" x14ac:dyDescent="0.35">
      <c r="A81" s="8" t="s">
        <v>45</v>
      </c>
      <c r="B81" s="3"/>
      <c r="C81" s="3"/>
      <c r="D81" s="3"/>
      <c r="E81" s="3"/>
      <c r="F81" s="3"/>
      <c r="G81" s="3"/>
      <c r="H81" s="3"/>
      <c r="I81" s="3"/>
    </row>
    <row r="82" spans="1:13" x14ac:dyDescent="0.35">
      <c r="A82" s="8" t="s">
        <v>46</v>
      </c>
      <c r="B82" s="2">
        <v>2</v>
      </c>
      <c r="C82" s="2">
        <v>1</v>
      </c>
      <c r="D82" s="2">
        <f t="shared" ref="D82:D84" si="75">B82*C82</f>
        <v>2</v>
      </c>
      <c r="E82" s="2">
        <f>M15</f>
        <v>0</v>
      </c>
      <c r="F82" s="6">
        <f t="shared" ref="F82:F84" si="76">D82*E82</f>
        <v>0</v>
      </c>
      <c r="G82" s="2">
        <f t="shared" ref="G82:G84" si="77">F82*0.05</f>
        <v>0</v>
      </c>
      <c r="H82" s="2">
        <f t="shared" ref="H82:H84" si="78">F82*0.1</f>
        <v>0</v>
      </c>
      <c r="I82" s="7">
        <f>F82*F$1+G82*G$1+H82*H$1</f>
        <v>0</v>
      </c>
    </row>
    <row r="83" spans="1:13" x14ac:dyDescent="0.35">
      <c r="A83" s="8" t="s">
        <v>47</v>
      </c>
      <c r="B83" s="2">
        <v>2</v>
      </c>
      <c r="C83" s="2">
        <v>1</v>
      </c>
      <c r="D83" s="2">
        <f t="shared" si="75"/>
        <v>2</v>
      </c>
      <c r="E83" s="2">
        <f t="shared" ref="E83:E84" si="79">M16</f>
        <v>4</v>
      </c>
      <c r="F83" s="6">
        <f t="shared" si="76"/>
        <v>8</v>
      </c>
      <c r="G83" s="2">
        <f t="shared" si="77"/>
        <v>0.4</v>
      </c>
      <c r="H83" s="2">
        <f t="shared" si="78"/>
        <v>0.8</v>
      </c>
      <c r="I83" s="7">
        <f>F83*F$1+G83*G$1+H83*H$1</f>
        <v>1104.5800000000002</v>
      </c>
    </row>
    <row r="84" spans="1:13" x14ac:dyDescent="0.35">
      <c r="A84" s="8" t="s">
        <v>48</v>
      </c>
      <c r="B84" s="2">
        <v>2</v>
      </c>
      <c r="C84" s="2">
        <v>1</v>
      </c>
      <c r="D84" s="2">
        <f t="shared" si="75"/>
        <v>2</v>
      </c>
      <c r="E84" s="2">
        <f t="shared" si="79"/>
        <v>37</v>
      </c>
      <c r="F84" s="6">
        <f t="shared" si="76"/>
        <v>74</v>
      </c>
      <c r="G84" s="2">
        <f t="shared" si="77"/>
        <v>3.7</v>
      </c>
      <c r="H84" s="2">
        <f t="shared" si="78"/>
        <v>7.4</v>
      </c>
      <c r="I84" s="7">
        <f>F84*F$1+G84*G$1+H84*H$1</f>
        <v>10217.364999999998</v>
      </c>
    </row>
    <row r="85" spans="1:13" x14ac:dyDescent="0.35">
      <c r="A85" s="9" t="s">
        <v>49</v>
      </c>
      <c r="B85" s="39"/>
      <c r="C85" s="39"/>
      <c r="D85" s="39"/>
      <c r="E85" s="39"/>
      <c r="F85" s="88">
        <f>SUM(F3:H84)</f>
        <v>1517039.5383999997</v>
      </c>
      <c r="G85" s="88"/>
      <c r="H85" s="88"/>
      <c r="I85" s="40">
        <f>SUM(I3:I84)</f>
        <v>182140384.05716008</v>
      </c>
    </row>
    <row r="86" spans="1:13" x14ac:dyDescent="0.35">
      <c r="A86" s="1" t="s">
        <v>50</v>
      </c>
      <c r="B86" s="3"/>
      <c r="C86" s="3"/>
      <c r="D86" s="3"/>
      <c r="E86" s="3"/>
      <c r="F86" s="3"/>
      <c r="G86" s="3"/>
      <c r="H86" s="3"/>
      <c r="I86" s="3"/>
    </row>
    <row r="87" spans="1:13" x14ac:dyDescent="0.35">
      <c r="A87" s="8" t="s">
        <v>73</v>
      </c>
      <c r="B87" s="2">
        <v>1</v>
      </c>
      <c r="C87" s="2">
        <v>1</v>
      </c>
      <c r="D87" s="2">
        <f>B87*C87</f>
        <v>1</v>
      </c>
      <c r="E87" s="6">
        <f>M5</f>
        <v>2068</v>
      </c>
      <c r="F87" s="6">
        <f>D87*E87</f>
        <v>2068</v>
      </c>
      <c r="G87" s="2">
        <f>F87*0.05</f>
        <v>103.4</v>
      </c>
      <c r="H87" s="2">
        <f>F87*0.1</f>
        <v>206.8</v>
      </c>
      <c r="I87" s="7">
        <f>F87*F$1+G87*G$1+H87*H$1</f>
        <v>285533.93</v>
      </c>
    </row>
    <row r="88" spans="1:13" x14ac:dyDescent="0.35">
      <c r="A88" s="8" t="s">
        <v>51</v>
      </c>
      <c r="B88" s="2" t="s">
        <v>2</v>
      </c>
      <c r="C88" s="3"/>
      <c r="D88" s="3"/>
      <c r="E88" s="3"/>
      <c r="F88" s="3"/>
      <c r="G88" s="3"/>
      <c r="H88" s="3"/>
      <c r="I88" s="3"/>
    </row>
    <row r="89" spans="1:13" x14ac:dyDescent="0.35">
      <c r="A89" s="8" t="s">
        <v>52</v>
      </c>
      <c r="B89" s="2" t="s">
        <v>2</v>
      </c>
      <c r="C89" s="3"/>
      <c r="D89" s="3"/>
      <c r="E89" s="3"/>
      <c r="F89" s="3"/>
      <c r="G89" s="3"/>
      <c r="H89" s="3"/>
      <c r="I89" s="3"/>
    </row>
    <row r="90" spans="1:13" x14ac:dyDescent="0.35">
      <c r="A90" s="8" t="s">
        <v>53</v>
      </c>
      <c r="B90" s="2" t="s">
        <v>2</v>
      </c>
      <c r="C90" s="3"/>
      <c r="D90" s="3"/>
      <c r="E90" s="3"/>
      <c r="F90" s="3"/>
      <c r="G90" s="3"/>
      <c r="H90" s="3"/>
      <c r="I90" s="3"/>
    </row>
    <row r="91" spans="1:13" x14ac:dyDescent="0.35">
      <c r="A91" s="8" t="s">
        <v>54</v>
      </c>
      <c r="B91" s="2" t="s">
        <v>2</v>
      </c>
      <c r="C91" s="3"/>
      <c r="D91" s="3"/>
      <c r="E91" s="3"/>
      <c r="F91" s="3"/>
      <c r="G91" s="3"/>
      <c r="H91" s="3"/>
      <c r="I91" s="3"/>
    </row>
    <row r="92" spans="1:13" x14ac:dyDescent="0.35">
      <c r="A92" s="8" t="s">
        <v>55</v>
      </c>
      <c r="B92" s="2">
        <v>1.5</v>
      </c>
      <c r="C92" s="2">
        <v>52</v>
      </c>
      <c r="D92" s="2">
        <f t="shared" ref="D92:D93" si="80">B92*C92</f>
        <v>78</v>
      </c>
      <c r="E92" s="6">
        <f>M5</f>
        <v>2068</v>
      </c>
      <c r="F92" s="6">
        <f t="shared" ref="F92:F93" si="81">D92*E92</f>
        <v>161304</v>
      </c>
      <c r="G92" s="2">
        <f t="shared" ref="G92:G93" si="82">F92*0.05</f>
        <v>8065.2000000000007</v>
      </c>
      <c r="H92" s="2">
        <f t="shared" ref="H92:H93" si="83">F92*0.1</f>
        <v>16130.400000000001</v>
      </c>
      <c r="I92" s="7">
        <f>F92*F$1+G92*G$1+H92*H$1</f>
        <v>22271646.539999995</v>
      </c>
    </row>
    <row r="93" spans="1:13" x14ac:dyDescent="0.35">
      <c r="A93" s="5" t="s">
        <v>56</v>
      </c>
      <c r="B93" s="2">
        <v>1.5</v>
      </c>
      <c r="C93" s="2">
        <v>52</v>
      </c>
      <c r="D93" s="2">
        <f t="shared" si="80"/>
        <v>78</v>
      </c>
      <c r="E93" s="6">
        <f>M5</f>
        <v>2068</v>
      </c>
      <c r="F93" s="6">
        <f t="shared" si="81"/>
        <v>161304</v>
      </c>
      <c r="G93" s="2">
        <f t="shared" si="82"/>
        <v>8065.2000000000007</v>
      </c>
      <c r="H93" s="2">
        <f t="shared" si="83"/>
        <v>16130.400000000001</v>
      </c>
      <c r="I93" s="7">
        <f>F93*F$1+G93*G$1+H93*H$1</f>
        <v>22271646.539999995</v>
      </c>
    </row>
    <row r="94" spans="1:13" x14ac:dyDescent="0.35">
      <c r="A94" s="9" t="s">
        <v>57</v>
      </c>
      <c r="B94" s="39"/>
      <c r="C94" s="39"/>
      <c r="D94" s="39"/>
      <c r="E94" s="39"/>
      <c r="F94" s="88">
        <f>SUM(F86:H93)</f>
        <v>373377.40000000008</v>
      </c>
      <c r="G94" s="88"/>
      <c r="H94" s="88"/>
      <c r="I94" s="40">
        <f>SUM(I86:I93)</f>
        <v>44828827.00999999</v>
      </c>
    </row>
    <row r="95" spans="1:13" x14ac:dyDescent="0.35">
      <c r="A95" s="1" t="s">
        <v>90</v>
      </c>
      <c r="B95" s="3"/>
      <c r="C95" s="3"/>
      <c r="D95" s="3"/>
      <c r="E95" s="3"/>
      <c r="F95" s="99">
        <f>ROUND(F94+F85,-4)</f>
        <v>1890000</v>
      </c>
      <c r="G95" s="99"/>
      <c r="H95" s="99"/>
      <c r="I95" s="10">
        <f>ROUND(I94+I85,-6)</f>
        <v>227000000</v>
      </c>
    </row>
    <row r="96" spans="1:13" x14ac:dyDescent="0.35">
      <c r="A96" s="14" t="s">
        <v>89</v>
      </c>
      <c r="B96" s="15"/>
      <c r="C96" s="15"/>
      <c r="D96" s="15"/>
      <c r="E96" s="15"/>
      <c r="F96" s="15"/>
      <c r="G96" s="15"/>
      <c r="H96" s="15"/>
      <c r="I96" s="77">
        <f>'Capital O&amp;M'!D6+'Capital O&amp;M'!G6</f>
        <v>37900000</v>
      </c>
      <c r="K96" s="83">
        <f>F95/Responses!E6</f>
        <v>380.80270793036743</v>
      </c>
      <c r="L96" s="84" t="s">
        <v>120</v>
      </c>
      <c r="M96" s="38"/>
    </row>
    <row r="97" spans="1:10" x14ac:dyDescent="0.35">
      <c r="A97" s="14" t="s">
        <v>88</v>
      </c>
      <c r="B97" s="15"/>
      <c r="C97" s="15"/>
      <c r="D97" s="15"/>
      <c r="E97" s="15"/>
      <c r="F97" s="15"/>
      <c r="G97" s="15"/>
      <c r="H97" s="15"/>
      <c r="I97" s="10">
        <f>ROUND(I96+I95,-6)</f>
        <v>265000000</v>
      </c>
    </row>
    <row r="100" spans="1:10" x14ac:dyDescent="0.35">
      <c r="A100" s="25" t="s">
        <v>82</v>
      </c>
    </row>
    <row r="101" spans="1:10" ht="33" customHeight="1" x14ac:dyDescent="0.35">
      <c r="A101" s="89" t="s">
        <v>136</v>
      </c>
      <c r="B101" s="89"/>
      <c r="C101" s="89"/>
      <c r="D101" s="89"/>
      <c r="E101" s="89"/>
      <c r="F101" s="89"/>
      <c r="G101" s="89"/>
      <c r="H101" s="89"/>
      <c r="I101" s="89"/>
    </row>
    <row r="102" spans="1:10" ht="75" customHeight="1" x14ac:dyDescent="0.35">
      <c r="A102" s="90" t="s">
        <v>175</v>
      </c>
      <c r="B102" s="90"/>
      <c r="C102" s="90"/>
      <c r="D102" s="90"/>
      <c r="E102" s="90"/>
      <c r="F102" s="90"/>
      <c r="G102" s="90"/>
      <c r="H102" s="90"/>
      <c r="I102" s="90"/>
    </row>
    <row r="103" spans="1:10" ht="45.65" customHeight="1" x14ac:dyDescent="0.35">
      <c r="A103" s="91" t="s">
        <v>138</v>
      </c>
      <c r="B103" s="91"/>
      <c r="C103" s="91"/>
      <c r="D103" s="91"/>
      <c r="E103" s="91"/>
      <c r="F103" s="91"/>
      <c r="G103" s="91"/>
      <c r="H103" s="91"/>
      <c r="I103" s="91"/>
    </row>
    <row r="104" spans="1:10" ht="32.5" customHeight="1" x14ac:dyDescent="0.35">
      <c r="A104" s="91" t="s">
        <v>139</v>
      </c>
      <c r="B104" s="91"/>
      <c r="C104" s="91"/>
      <c r="D104" s="91"/>
      <c r="E104" s="91"/>
      <c r="F104" s="91"/>
      <c r="G104" s="91"/>
      <c r="H104" s="91"/>
      <c r="I104" s="91"/>
    </row>
    <row r="105" spans="1:10" ht="15.5" x14ac:dyDescent="0.35">
      <c r="A105" s="91" t="s">
        <v>83</v>
      </c>
      <c r="B105" s="91"/>
      <c r="C105" s="91"/>
      <c r="D105" s="91"/>
      <c r="E105" s="91"/>
      <c r="F105" s="91"/>
      <c r="G105" s="91"/>
      <c r="H105" s="91"/>
      <c r="I105" s="91"/>
    </row>
    <row r="106" spans="1:10" ht="34.9" customHeight="1" x14ac:dyDescent="0.35">
      <c r="A106" s="90" t="s">
        <v>176</v>
      </c>
      <c r="B106" s="90"/>
      <c r="C106" s="90"/>
      <c r="D106" s="90"/>
      <c r="E106" s="90"/>
      <c r="F106" s="90"/>
      <c r="G106" s="90"/>
      <c r="H106" s="90"/>
      <c r="I106" s="90"/>
      <c r="J106" s="43"/>
    </row>
    <row r="107" spans="1:10" ht="15.5" x14ac:dyDescent="0.35">
      <c r="A107" s="91" t="s">
        <v>84</v>
      </c>
      <c r="B107" s="91"/>
      <c r="C107" s="91"/>
      <c r="D107" s="91"/>
      <c r="E107" s="91"/>
      <c r="F107" s="91"/>
      <c r="G107" s="91"/>
      <c r="H107" s="91"/>
      <c r="I107" s="91"/>
    </row>
    <row r="108" spans="1:10" ht="15.5" x14ac:dyDescent="0.35">
      <c r="A108" s="91" t="s">
        <v>85</v>
      </c>
      <c r="B108" s="91"/>
      <c r="C108" s="91"/>
      <c r="D108" s="91"/>
      <c r="E108" s="91"/>
      <c r="F108" s="91"/>
      <c r="G108" s="91"/>
      <c r="H108" s="91"/>
      <c r="I108" s="91"/>
    </row>
    <row r="109" spans="1:10" ht="15.5" x14ac:dyDescent="0.35">
      <c r="A109" s="91" t="s">
        <v>86</v>
      </c>
      <c r="B109" s="91"/>
      <c r="C109" s="91"/>
      <c r="D109" s="91"/>
      <c r="E109" s="91"/>
      <c r="F109" s="91"/>
      <c r="G109" s="91"/>
      <c r="H109" s="91"/>
      <c r="I109" s="91"/>
    </row>
    <row r="110" spans="1:10" ht="17.5" customHeight="1" x14ac:dyDescent="0.35">
      <c r="A110" s="98" t="s">
        <v>87</v>
      </c>
      <c r="B110" s="98"/>
      <c r="C110" s="98"/>
      <c r="D110" s="98"/>
      <c r="E110" s="98"/>
      <c r="F110" s="98"/>
      <c r="G110" s="98"/>
      <c r="H110" s="98"/>
      <c r="I110" s="98"/>
    </row>
  </sheetData>
  <mergeCells count="18">
    <mergeCell ref="A107:I107"/>
    <mergeCell ref="A108:I108"/>
    <mergeCell ref="A109:I109"/>
    <mergeCell ref="A110:I110"/>
    <mergeCell ref="F95:H95"/>
    <mergeCell ref="A105:I105"/>
    <mergeCell ref="A106:I106"/>
    <mergeCell ref="A104:I104"/>
    <mergeCell ref="L6:O6"/>
    <mergeCell ref="L18:O18"/>
    <mergeCell ref="L10:O10"/>
    <mergeCell ref="L14:O14"/>
    <mergeCell ref="F85:H85"/>
    <mergeCell ref="P18:S21"/>
    <mergeCell ref="F94:H94"/>
    <mergeCell ref="A101:I101"/>
    <mergeCell ref="A102:I102"/>
    <mergeCell ref="A103:I10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topLeftCell="A43" workbookViewId="0">
      <selection activeCell="I38" sqref="I38"/>
    </sheetView>
  </sheetViews>
  <sheetFormatPr defaultRowHeight="14.5" x14ac:dyDescent="0.35"/>
  <cols>
    <col min="1" max="1" width="41.453125" customWidth="1"/>
    <col min="9" max="9" width="12.26953125" bestFit="1" customWidth="1"/>
    <col min="11" max="11" width="19.54296875" customWidth="1"/>
    <col min="12" max="12" width="21.54296875" customWidth="1"/>
  </cols>
  <sheetData>
    <row r="1" spans="1:15" x14ac:dyDescent="0.35">
      <c r="F1">
        <v>52.37</v>
      </c>
      <c r="G1">
        <v>70.56</v>
      </c>
      <c r="H1">
        <v>28.34</v>
      </c>
    </row>
    <row r="2" spans="1:15" ht="57.5" x14ac:dyDescent="0.35">
      <c r="A2" s="32" t="s">
        <v>0</v>
      </c>
      <c r="B2" s="13" t="s">
        <v>110</v>
      </c>
      <c r="C2" s="13" t="s">
        <v>111</v>
      </c>
      <c r="D2" s="13" t="s">
        <v>112</v>
      </c>
      <c r="E2" s="13" t="s">
        <v>113</v>
      </c>
      <c r="F2" s="13" t="s">
        <v>114</v>
      </c>
      <c r="G2" s="13" t="s">
        <v>115</v>
      </c>
      <c r="H2" s="13" t="s">
        <v>116</v>
      </c>
      <c r="I2" s="13" t="s">
        <v>117</v>
      </c>
      <c r="K2" s="24" t="s">
        <v>79</v>
      </c>
      <c r="L2" s="17"/>
      <c r="M2" s="18" t="s">
        <v>69</v>
      </c>
      <c r="N2" s="19">
        <v>0.2</v>
      </c>
      <c r="O2" s="19">
        <v>0.8</v>
      </c>
    </row>
    <row r="3" spans="1:15" x14ac:dyDescent="0.35">
      <c r="A3" s="8" t="s">
        <v>91</v>
      </c>
      <c r="B3" s="26">
        <v>1</v>
      </c>
      <c r="C3" s="26">
        <v>116</v>
      </c>
      <c r="D3" s="2">
        <f>B3*C3</f>
        <v>116</v>
      </c>
      <c r="E3" s="2">
        <f>M4</f>
        <v>37</v>
      </c>
      <c r="F3" s="6">
        <f>D3*E3</f>
        <v>4292</v>
      </c>
      <c r="G3" s="2">
        <f>F3*0.05</f>
        <v>214.60000000000002</v>
      </c>
      <c r="H3" s="26">
        <f>F3*0.1</f>
        <v>429.20000000000005</v>
      </c>
      <c r="I3" s="27">
        <f>F3*F$1+G3*G$1+H3*H$1</f>
        <v>252077.74399999998</v>
      </c>
      <c r="K3" s="23" t="s">
        <v>80</v>
      </c>
      <c r="L3" s="15" t="s">
        <v>66</v>
      </c>
      <c r="M3" s="35">
        <v>2031</v>
      </c>
      <c r="N3" s="16">
        <f>ROUND(M3*0.2,0)</f>
        <v>406</v>
      </c>
      <c r="O3" s="15">
        <f>ROUND(M3*0.8,0)</f>
        <v>1625</v>
      </c>
    </row>
    <row r="4" spans="1:15" x14ac:dyDescent="0.35">
      <c r="A4" s="8" t="s">
        <v>92</v>
      </c>
      <c r="B4" s="26"/>
      <c r="C4" s="26"/>
      <c r="D4" s="2"/>
      <c r="E4" s="2"/>
      <c r="F4" s="2"/>
      <c r="G4" s="2"/>
      <c r="H4" s="26"/>
      <c r="I4" s="28"/>
      <c r="K4" s="23" t="s">
        <v>81</v>
      </c>
      <c r="L4" s="15" t="s">
        <v>67</v>
      </c>
      <c r="M4" s="36">
        <v>37</v>
      </c>
      <c r="N4" s="16">
        <f t="shared" ref="N4:N21" si="0">ROUND(M4*0.2,0)</f>
        <v>7</v>
      </c>
      <c r="O4" s="15">
        <f t="shared" ref="O4:O21" si="1">ROUND(M4*0.8,0)</f>
        <v>30</v>
      </c>
    </row>
    <row r="5" spans="1:15" x14ac:dyDescent="0.35">
      <c r="A5" s="5" t="s">
        <v>93</v>
      </c>
      <c r="B5" s="26">
        <v>1</v>
      </c>
      <c r="C5" s="26">
        <v>70</v>
      </c>
      <c r="D5" s="2">
        <f t="shared" ref="D5:D7" si="2">B5*C5</f>
        <v>70</v>
      </c>
      <c r="E5" s="2">
        <f>M$15</f>
        <v>0</v>
      </c>
      <c r="F5" s="6">
        <f t="shared" ref="F5:F7" si="3">D5*E5</f>
        <v>0</v>
      </c>
      <c r="G5" s="2">
        <f t="shared" ref="G5:G7" si="4">F5*0.05</f>
        <v>0</v>
      </c>
      <c r="H5" s="26">
        <f t="shared" ref="H5:H7" si="5">F5*0.1</f>
        <v>0</v>
      </c>
      <c r="I5" s="27">
        <f>F5*F$1+G5*G$1+H5*H$1</f>
        <v>0</v>
      </c>
      <c r="K5" s="23"/>
      <c r="L5" s="15" t="s">
        <v>68</v>
      </c>
      <c r="M5" s="34">
        <f>SUM(M3:M4)</f>
        <v>2068</v>
      </c>
      <c r="N5" s="16">
        <f t="shared" si="0"/>
        <v>414</v>
      </c>
      <c r="O5" s="15">
        <f t="shared" si="1"/>
        <v>1654</v>
      </c>
    </row>
    <row r="6" spans="1:15" x14ac:dyDescent="0.35">
      <c r="A6" s="5" t="s">
        <v>94</v>
      </c>
      <c r="B6" s="26">
        <v>1</v>
      </c>
      <c r="C6" s="26">
        <v>72</v>
      </c>
      <c r="D6" s="2">
        <f t="shared" si="2"/>
        <v>72</v>
      </c>
      <c r="E6" s="2">
        <f>M$16</f>
        <v>4</v>
      </c>
      <c r="F6" s="6">
        <f t="shared" si="3"/>
        <v>288</v>
      </c>
      <c r="G6" s="2">
        <f t="shared" si="4"/>
        <v>14.4</v>
      </c>
      <c r="H6" s="26">
        <f t="shared" si="5"/>
        <v>28.8</v>
      </c>
      <c r="I6" s="27">
        <f>F6*F$1+G6*G$1+H6*H$1</f>
        <v>16914.815999999999</v>
      </c>
      <c r="K6" s="23"/>
      <c r="L6" s="92" t="s">
        <v>133</v>
      </c>
      <c r="M6" s="93"/>
      <c r="N6" s="93"/>
      <c r="O6" s="94"/>
    </row>
    <row r="7" spans="1:15" x14ac:dyDescent="0.35">
      <c r="A7" s="5" t="s">
        <v>95</v>
      </c>
      <c r="B7" s="26">
        <v>1</v>
      </c>
      <c r="C7" s="26">
        <v>104</v>
      </c>
      <c r="D7" s="2">
        <f t="shared" si="2"/>
        <v>104</v>
      </c>
      <c r="E7" s="2">
        <f>M$17</f>
        <v>37</v>
      </c>
      <c r="F7" s="6">
        <f t="shared" si="3"/>
        <v>3848</v>
      </c>
      <c r="G7" s="2">
        <f t="shared" si="4"/>
        <v>192.4</v>
      </c>
      <c r="H7" s="26">
        <f t="shared" si="5"/>
        <v>384.8</v>
      </c>
      <c r="I7" s="27">
        <f>F7*F$1+G7*G$1+H7*H$1</f>
        <v>226000.73599999998</v>
      </c>
      <c r="K7" s="23"/>
      <c r="L7" s="15" t="s">
        <v>70</v>
      </c>
      <c r="M7" s="37">
        <v>816</v>
      </c>
      <c r="N7" s="16">
        <f t="shared" si="0"/>
        <v>163</v>
      </c>
      <c r="O7" s="15">
        <f t="shared" ref="O7:O9" si="6">ROUND(M7*0.8,0)</f>
        <v>653</v>
      </c>
    </row>
    <row r="8" spans="1:15" x14ac:dyDescent="0.35">
      <c r="A8" s="8" t="s">
        <v>96</v>
      </c>
      <c r="B8" s="26"/>
      <c r="C8" s="26"/>
      <c r="D8" s="2"/>
      <c r="E8" s="2"/>
      <c r="F8" s="2"/>
      <c r="G8" s="2"/>
      <c r="H8" s="26"/>
      <c r="I8" s="28"/>
      <c r="K8" s="23"/>
      <c r="L8" s="15" t="s">
        <v>14</v>
      </c>
      <c r="M8" s="37">
        <v>869</v>
      </c>
      <c r="N8" s="16">
        <f t="shared" si="0"/>
        <v>174</v>
      </c>
      <c r="O8" s="15">
        <f t="shared" si="6"/>
        <v>695</v>
      </c>
    </row>
    <row r="9" spans="1:15" x14ac:dyDescent="0.35">
      <c r="A9" s="5" t="s">
        <v>93</v>
      </c>
      <c r="B9" s="26">
        <v>1</v>
      </c>
      <c r="C9" s="26">
        <v>280</v>
      </c>
      <c r="D9" s="2">
        <f t="shared" ref="D9:D11" si="7">B9*C9</f>
        <v>280</v>
      </c>
      <c r="E9" s="2">
        <f>M$15</f>
        <v>0</v>
      </c>
      <c r="F9" s="6">
        <f t="shared" ref="F9:F11" si="8">D9*E9</f>
        <v>0</v>
      </c>
      <c r="G9" s="2">
        <f t="shared" ref="G9:G11" si="9">F9*0.05</f>
        <v>0</v>
      </c>
      <c r="H9" s="26">
        <f t="shared" ref="H9:H11" si="10">F9*0.1</f>
        <v>0</v>
      </c>
      <c r="I9" s="27">
        <f>F9*F$1+G9*G$1+H9*H$1</f>
        <v>0</v>
      </c>
      <c r="K9" s="23"/>
      <c r="L9" s="15" t="s">
        <v>71</v>
      </c>
      <c r="M9" s="37">
        <f>Industry!M9</f>
        <v>1957</v>
      </c>
      <c r="N9" s="16">
        <f t="shared" si="0"/>
        <v>391</v>
      </c>
      <c r="O9" s="15">
        <f t="shared" si="6"/>
        <v>1566</v>
      </c>
    </row>
    <row r="10" spans="1:15" x14ac:dyDescent="0.35">
      <c r="A10" s="5" t="s">
        <v>94</v>
      </c>
      <c r="B10" s="26">
        <v>1</v>
      </c>
      <c r="C10" s="26">
        <v>288</v>
      </c>
      <c r="D10" s="2">
        <f t="shared" si="7"/>
        <v>288</v>
      </c>
      <c r="E10" s="2">
        <f>M$16</f>
        <v>4</v>
      </c>
      <c r="F10" s="6">
        <f t="shared" si="8"/>
        <v>1152</v>
      </c>
      <c r="G10" s="2">
        <f t="shared" si="9"/>
        <v>57.6</v>
      </c>
      <c r="H10" s="26">
        <f t="shared" si="10"/>
        <v>115.2</v>
      </c>
      <c r="I10" s="27">
        <f>F10*F$1+G10*G$1+H10*H$1</f>
        <v>67659.263999999996</v>
      </c>
      <c r="K10" s="23"/>
      <c r="L10" s="95" t="s">
        <v>67</v>
      </c>
      <c r="M10" s="96"/>
      <c r="N10" s="96"/>
      <c r="O10" s="97"/>
    </row>
    <row r="11" spans="1:15" x14ac:dyDescent="0.35">
      <c r="A11" s="5" t="s">
        <v>95</v>
      </c>
      <c r="B11" s="26">
        <v>1</v>
      </c>
      <c r="C11" s="26">
        <v>416</v>
      </c>
      <c r="D11" s="2">
        <f t="shared" si="7"/>
        <v>416</v>
      </c>
      <c r="E11" s="2">
        <f>M$17</f>
        <v>37</v>
      </c>
      <c r="F11" s="6">
        <f t="shared" si="8"/>
        <v>15392</v>
      </c>
      <c r="G11" s="2">
        <f t="shared" si="9"/>
        <v>769.6</v>
      </c>
      <c r="H11" s="26">
        <f t="shared" si="10"/>
        <v>1539.2</v>
      </c>
      <c r="I11" s="27">
        <f>F11*F$1+G11*G$1+H11*H$1</f>
        <v>904002.9439999999</v>
      </c>
      <c r="K11" s="23"/>
      <c r="L11" s="15" t="s">
        <v>74</v>
      </c>
      <c r="M11" s="36">
        <v>33</v>
      </c>
      <c r="N11" s="16">
        <f t="shared" si="0"/>
        <v>7</v>
      </c>
      <c r="O11" s="15">
        <f t="shared" si="1"/>
        <v>26</v>
      </c>
    </row>
    <row r="12" spans="1:15" x14ac:dyDescent="0.35">
      <c r="A12" s="8" t="s">
        <v>97</v>
      </c>
      <c r="B12" s="26"/>
      <c r="C12" s="26"/>
      <c r="D12" s="2"/>
      <c r="E12" s="2"/>
      <c r="F12" s="2"/>
      <c r="G12" s="2"/>
      <c r="H12" s="26"/>
      <c r="I12" s="28"/>
      <c r="K12" s="23"/>
      <c r="L12" s="15" t="s">
        <v>75</v>
      </c>
      <c r="M12" s="36">
        <v>0</v>
      </c>
      <c r="N12" s="16">
        <f t="shared" si="0"/>
        <v>0</v>
      </c>
      <c r="O12" s="15">
        <f t="shared" si="1"/>
        <v>0</v>
      </c>
    </row>
    <row r="13" spans="1:15" x14ac:dyDescent="0.35">
      <c r="A13" s="5" t="s">
        <v>93</v>
      </c>
      <c r="B13" s="26">
        <v>1</v>
      </c>
      <c r="C13" s="26">
        <v>56</v>
      </c>
      <c r="D13" s="2">
        <f t="shared" ref="D13:D26" si="11">B13*C13</f>
        <v>56</v>
      </c>
      <c r="E13" s="2">
        <f>M$15</f>
        <v>0</v>
      </c>
      <c r="F13" s="6">
        <f t="shared" ref="F13:F15" si="12">D13*E13</f>
        <v>0</v>
      </c>
      <c r="G13" s="2">
        <f t="shared" ref="G13:G15" si="13">F13*0.05</f>
        <v>0</v>
      </c>
      <c r="H13" s="26">
        <f t="shared" ref="H13:H15" si="14">F13*0.1</f>
        <v>0</v>
      </c>
      <c r="I13" s="27">
        <f t="shared" ref="I13:I15" si="15">F13*F$1+G13*G$1+H13*H$1</f>
        <v>0</v>
      </c>
      <c r="K13" s="23"/>
      <c r="L13" s="15" t="s">
        <v>76</v>
      </c>
      <c r="M13" s="36">
        <v>4</v>
      </c>
      <c r="N13" s="16">
        <f t="shared" si="0"/>
        <v>1</v>
      </c>
      <c r="O13" s="15">
        <f t="shared" si="1"/>
        <v>3</v>
      </c>
    </row>
    <row r="14" spans="1:15" x14ac:dyDescent="0.35">
      <c r="A14" s="5" t="s">
        <v>94</v>
      </c>
      <c r="B14" s="26">
        <v>1</v>
      </c>
      <c r="C14" s="26">
        <v>82</v>
      </c>
      <c r="D14" s="2">
        <f t="shared" si="11"/>
        <v>82</v>
      </c>
      <c r="E14" s="2">
        <f>M$16</f>
        <v>4</v>
      </c>
      <c r="F14" s="6">
        <f t="shared" si="12"/>
        <v>328</v>
      </c>
      <c r="G14" s="2">
        <f t="shared" si="13"/>
        <v>16.400000000000002</v>
      </c>
      <c r="H14" s="26">
        <f t="shared" si="14"/>
        <v>32.800000000000004</v>
      </c>
      <c r="I14" s="27">
        <f t="shared" si="15"/>
        <v>19264.096000000001</v>
      </c>
      <c r="K14" s="23"/>
      <c r="L14" s="95" t="s">
        <v>77</v>
      </c>
      <c r="M14" s="96"/>
      <c r="N14" s="96"/>
      <c r="O14" s="97"/>
    </row>
    <row r="15" spans="1:15" x14ac:dyDescent="0.35">
      <c r="A15" s="5" t="s">
        <v>95</v>
      </c>
      <c r="B15" s="26">
        <v>1</v>
      </c>
      <c r="C15" s="26">
        <v>42</v>
      </c>
      <c r="D15" s="2">
        <f t="shared" si="11"/>
        <v>42</v>
      </c>
      <c r="E15" s="2">
        <f>M$17</f>
        <v>37</v>
      </c>
      <c r="F15" s="6">
        <f t="shared" si="12"/>
        <v>1554</v>
      </c>
      <c r="G15" s="2">
        <f t="shared" si="13"/>
        <v>77.7</v>
      </c>
      <c r="H15" s="26">
        <f t="shared" si="14"/>
        <v>155.4</v>
      </c>
      <c r="I15" s="27">
        <f t="shared" si="15"/>
        <v>91269.527999999991</v>
      </c>
      <c r="K15" s="23"/>
      <c r="L15" s="15" t="s">
        <v>70</v>
      </c>
      <c r="M15" s="15">
        <f>M12</f>
        <v>0</v>
      </c>
      <c r="N15" s="16">
        <f t="shared" si="0"/>
        <v>0</v>
      </c>
      <c r="O15" s="15">
        <f t="shared" si="1"/>
        <v>0</v>
      </c>
    </row>
    <row r="16" spans="1:15" x14ac:dyDescent="0.35">
      <c r="A16" s="8" t="s">
        <v>98</v>
      </c>
      <c r="B16" s="26"/>
      <c r="C16" s="26"/>
      <c r="D16" s="2"/>
      <c r="E16" s="2"/>
      <c r="F16" s="2"/>
      <c r="G16" s="2"/>
      <c r="H16" s="26"/>
      <c r="I16" s="28"/>
      <c r="K16" s="23"/>
      <c r="L16" s="15" t="s">
        <v>14</v>
      </c>
      <c r="M16" s="15">
        <f>M12+M13</f>
        <v>4</v>
      </c>
      <c r="N16" s="16">
        <f t="shared" si="0"/>
        <v>1</v>
      </c>
      <c r="O16" s="15">
        <f t="shared" si="1"/>
        <v>3</v>
      </c>
    </row>
    <row r="17" spans="1:19" x14ac:dyDescent="0.35">
      <c r="A17" s="5" t="s">
        <v>93</v>
      </c>
      <c r="B17" s="26">
        <v>1</v>
      </c>
      <c r="C17" s="26">
        <v>448</v>
      </c>
      <c r="D17" s="2">
        <f t="shared" si="11"/>
        <v>448</v>
      </c>
      <c r="E17" s="2">
        <f>M$15</f>
        <v>0</v>
      </c>
      <c r="F17" s="6">
        <f t="shared" ref="F17:F20" si="16">D17*E17</f>
        <v>0</v>
      </c>
      <c r="G17" s="2">
        <f t="shared" ref="G17:G20" si="17">F17*0.05</f>
        <v>0</v>
      </c>
      <c r="H17" s="26">
        <f t="shared" ref="H17:H20" si="18">F17*0.1</f>
        <v>0</v>
      </c>
      <c r="I17" s="27">
        <f t="shared" ref="I17:I20" si="19">F17*F$1+G17*G$1+H17*H$1</f>
        <v>0</v>
      </c>
      <c r="K17" s="23"/>
      <c r="L17" s="15" t="s">
        <v>71</v>
      </c>
      <c r="M17" s="15">
        <f>SUM(M11:M13)</f>
        <v>37</v>
      </c>
      <c r="N17" s="16">
        <f t="shared" si="0"/>
        <v>7</v>
      </c>
      <c r="O17" s="15">
        <f t="shared" si="1"/>
        <v>30</v>
      </c>
    </row>
    <row r="18" spans="1:19" x14ac:dyDescent="0.35">
      <c r="A18" s="5" t="s">
        <v>94</v>
      </c>
      <c r="B18" s="26">
        <v>1</v>
      </c>
      <c r="C18" s="26">
        <v>656</v>
      </c>
      <c r="D18" s="2">
        <f t="shared" si="11"/>
        <v>656</v>
      </c>
      <c r="E18" s="2">
        <f>M$16</f>
        <v>4</v>
      </c>
      <c r="F18" s="6">
        <f t="shared" si="16"/>
        <v>2624</v>
      </c>
      <c r="G18" s="2">
        <f t="shared" si="17"/>
        <v>131.20000000000002</v>
      </c>
      <c r="H18" s="31">
        <f t="shared" si="18"/>
        <v>262.40000000000003</v>
      </c>
      <c r="I18" s="27">
        <f t="shared" si="19"/>
        <v>154112.76800000001</v>
      </c>
      <c r="L18" s="92" t="s">
        <v>78</v>
      </c>
      <c r="M18" s="93"/>
      <c r="N18" s="93"/>
      <c r="O18" s="94"/>
      <c r="P18" s="86" t="s">
        <v>177</v>
      </c>
      <c r="Q18" s="87"/>
      <c r="R18" s="87"/>
      <c r="S18" s="87"/>
    </row>
    <row r="19" spans="1:19" x14ac:dyDescent="0.35">
      <c r="A19" s="5" t="s">
        <v>95</v>
      </c>
      <c r="B19" s="26">
        <v>1</v>
      </c>
      <c r="C19" s="26">
        <v>336</v>
      </c>
      <c r="D19" s="2">
        <f t="shared" si="11"/>
        <v>336</v>
      </c>
      <c r="E19" s="2">
        <f>M$17</f>
        <v>37</v>
      </c>
      <c r="F19" s="6">
        <f t="shared" si="16"/>
        <v>12432</v>
      </c>
      <c r="G19" s="2">
        <f t="shared" si="17"/>
        <v>621.6</v>
      </c>
      <c r="H19" s="29">
        <f t="shared" si="18"/>
        <v>1243.2</v>
      </c>
      <c r="I19" s="27">
        <f t="shared" si="19"/>
        <v>730156.22399999993</v>
      </c>
      <c r="L19" s="15" t="s">
        <v>70</v>
      </c>
      <c r="M19" s="76">
        <f>Industry!M19</f>
        <v>862.35599999999999</v>
      </c>
      <c r="N19" s="16">
        <f t="shared" si="0"/>
        <v>172</v>
      </c>
      <c r="O19" s="15">
        <f>ROUND(M19*0.8,0)</f>
        <v>690</v>
      </c>
      <c r="P19" s="86"/>
      <c r="Q19" s="87"/>
      <c r="R19" s="87"/>
      <c r="S19" s="87"/>
    </row>
    <row r="20" spans="1:19" x14ac:dyDescent="0.35">
      <c r="A20" s="8" t="s">
        <v>99</v>
      </c>
      <c r="B20" s="26">
        <v>1</v>
      </c>
      <c r="C20" s="26">
        <v>108</v>
      </c>
      <c r="D20" s="2">
        <f t="shared" si="11"/>
        <v>108</v>
      </c>
      <c r="E20" s="2">
        <f>ROUND(E19/2,0)</f>
        <v>19</v>
      </c>
      <c r="F20" s="6">
        <f t="shared" si="16"/>
        <v>2052</v>
      </c>
      <c r="G20" s="2">
        <f t="shared" si="17"/>
        <v>102.60000000000001</v>
      </c>
      <c r="H20" s="26">
        <f t="shared" si="18"/>
        <v>205.20000000000002</v>
      </c>
      <c r="I20" s="27">
        <f t="shared" si="19"/>
        <v>120518.064</v>
      </c>
      <c r="L20" s="15" t="s">
        <v>14</v>
      </c>
      <c r="M20" s="76">
        <f>Industry!M20</f>
        <v>918.19200000000001</v>
      </c>
      <c r="N20" s="16">
        <f t="shared" si="0"/>
        <v>184</v>
      </c>
      <c r="O20" s="15">
        <f t="shared" si="1"/>
        <v>735</v>
      </c>
      <c r="P20" s="86"/>
      <c r="Q20" s="87"/>
      <c r="R20" s="87"/>
      <c r="S20" s="87"/>
    </row>
    <row r="21" spans="1:19" x14ac:dyDescent="0.35">
      <c r="A21" s="8" t="s">
        <v>100</v>
      </c>
      <c r="B21" s="26"/>
      <c r="C21" s="26"/>
      <c r="D21" s="2"/>
      <c r="E21" s="2"/>
      <c r="F21" s="2"/>
      <c r="G21" s="2"/>
      <c r="H21" s="26"/>
      <c r="I21" s="28"/>
      <c r="L21" s="15" t="s">
        <v>71</v>
      </c>
      <c r="M21" s="76">
        <f>Industry!M21</f>
        <v>2068</v>
      </c>
      <c r="N21" s="16">
        <f t="shared" si="0"/>
        <v>414</v>
      </c>
      <c r="O21" s="15">
        <f t="shared" si="1"/>
        <v>1654</v>
      </c>
      <c r="P21" s="86"/>
      <c r="Q21" s="87"/>
      <c r="R21" s="87"/>
      <c r="S21" s="87"/>
    </row>
    <row r="22" spans="1:19" x14ac:dyDescent="0.35">
      <c r="A22" s="5" t="s">
        <v>101</v>
      </c>
      <c r="B22" s="26">
        <v>4</v>
      </c>
      <c r="C22" s="26">
        <v>42</v>
      </c>
      <c r="D22" s="2">
        <f t="shared" si="11"/>
        <v>168</v>
      </c>
      <c r="E22" s="2">
        <f>ROUND(M21*0.2,0)</f>
        <v>414</v>
      </c>
      <c r="F22" s="6">
        <f t="shared" ref="F22:F23" si="20">D22*E22</f>
        <v>69552</v>
      </c>
      <c r="G22" s="22">
        <f t="shared" ref="G22:G23" si="21">F22*0.05</f>
        <v>3477.6000000000004</v>
      </c>
      <c r="H22" s="31">
        <f t="shared" ref="H22:H23" si="22">F22*0.1</f>
        <v>6955.2000000000007</v>
      </c>
      <c r="I22" s="27">
        <f t="shared" ref="I22:I23" si="23">F22*F$1+G22*G$1+H22*H$1</f>
        <v>4084928.0640000002</v>
      </c>
    </row>
    <row r="23" spans="1:19" x14ac:dyDescent="0.35">
      <c r="A23" s="5" t="s">
        <v>23</v>
      </c>
      <c r="B23" s="26">
        <v>2</v>
      </c>
      <c r="C23" s="26">
        <v>42</v>
      </c>
      <c r="D23" s="2">
        <f t="shared" si="11"/>
        <v>84</v>
      </c>
      <c r="E23" s="6">
        <f>ROUND(M21*0.8,0)</f>
        <v>1654</v>
      </c>
      <c r="F23" s="6">
        <f t="shared" si="20"/>
        <v>138936</v>
      </c>
      <c r="G23" s="22">
        <f t="shared" si="21"/>
        <v>6946.8</v>
      </c>
      <c r="H23" s="31">
        <f t="shared" si="22"/>
        <v>13893.6</v>
      </c>
      <c r="I23" s="27">
        <f t="shared" si="23"/>
        <v>8159989.1519999988</v>
      </c>
    </row>
    <row r="24" spans="1:19" x14ac:dyDescent="0.35">
      <c r="A24" s="8" t="s">
        <v>102</v>
      </c>
      <c r="B24" s="26"/>
      <c r="C24" s="26"/>
      <c r="D24" s="2"/>
      <c r="E24" s="2"/>
      <c r="F24" s="2"/>
      <c r="G24" s="2"/>
      <c r="H24" s="26"/>
      <c r="I24" s="28"/>
    </row>
    <row r="25" spans="1:19" x14ac:dyDescent="0.35">
      <c r="A25" s="5" t="s">
        <v>101</v>
      </c>
      <c r="B25" s="26">
        <v>4</v>
      </c>
      <c r="C25" s="26">
        <v>70</v>
      </c>
      <c r="D25" s="2">
        <f t="shared" si="11"/>
        <v>280</v>
      </c>
      <c r="E25" s="2">
        <f>ROUND(M19*0.2,0)</f>
        <v>172</v>
      </c>
      <c r="F25" s="6">
        <f t="shared" ref="F25:F26" si="24">D25*E25</f>
        <v>48160</v>
      </c>
      <c r="G25" s="6">
        <f t="shared" ref="G25:G26" si="25">F25*0.05</f>
        <v>2408</v>
      </c>
      <c r="H25" s="29">
        <f t="shared" ref="H25:H26" si="26">F25*0.1</f>
        <v>4816</v>
      </c>
      <c r="I25" s="27">
        <f t="shared" ref="I25:I26" si="27">F25*F$1+G25*G$1+H25*H$1</f>
        <v>2828533.1199999996</v>
      </c>
    </row>
    <row r="26" spans="1:19" x14ac:dyDescent="0.35">
      <c r="A26" s="5" t="s">
        <v>23</v>
      </c>
      <c r="B26" s="26">
        <v>2</v>
      </c>
      <c r="C26" s="26">
        <v>70</v>
      </c>
      <c r="D26" s="2">
        <f t="shared" si="11"/>
        <v>140</v>
      </c>
      <c r="E26" s="2">
        <f>ROUND(M19*0.8,0)</f>
        <v>690</v>
      </c>
      <c r="F26" s="6">
        <f t="shared" si="24"/>
        <v>96600</v>
      </c>
      <c r="G26" s="6">
        <f t="shared" si="25"/>
        <v>4830</v>
      </c>
      <c r="H26" s="29">
        <f t="shared" si="26"/>
        <v>9660</v>
      </c>
      <c r="I26" s="27">
        <f t="shared" si="27"/>
        <v>5673511.2000000002</v>
      </c>
    </row>
    <row r="27" spans="1:19" x14ac:dyDescent="0.35">
      <c r="A27" s="8" t="s">
        <v>103</v>
      </c>
      <c r="B27" s="26"/>
      <c r="C27" s="26"/>
      <c r="D27" s="2"/>
      <c r="E27" s="2"/>
      <c r="F27" s="2"/>
      <c r="G27" s="2"/>
      <c r="H27" s="26"/>
      <c r="I27" s="28"/>
    </row>
    <row r="28" spans="1:19" x14ac:dyDescent="0.35">
      <c r="A28" s="5" t="s">
        <v>13</v>
      </c>
      <c r="B28" s="26"/>
      <c r="C28" s="26"/>
      <c r="D28" s="2"/>
      <c r="E28" s="2"/>
      <c r="F28" s="2"/>
      <c r="G28" s="2"/>
      <c r="H28" s="26"/>
      <c r="I28" s="28"/>
    </row>
    <row r="29" spans="1:19" x14ac:dyDescent="0.35">
      <c r="A29" s="8" t="s">
        <v>104</v>
      </c>
      <c r="B29" s="26">
        <v>4</v>
      </c>
      <c r="C29" s="26">
        <v>130</v>
      </c>
      <c r="D29" s="2">
        <f t="shared" ref="D29:D30" si="28">B29*C29</f>
        <v>520</v>
      </c>
      <c r="E29" s="2">
        <f>ROUND(M19*0.2,0)</f>
        <v>172</v>
      </c>
      <c r="F29" s="6">
        <f t="shared" ref="F29:F30" si="29">D29*E29</f>
        <v>89440</v>
      </c>
      <c r="G29" s="6">
        <f t="shared" ref="G29:G30" si="30">F29*0.05</f>
        <v>4472</v>
      </c>
      <c r="H29" s="29">
        <f t="shared" ref="H29:H30" si="31">F29*0.1</f>
        <v>8944</v>
      </c>
      <c r="I29" s="27">
        <f t="shared" ref="I29:I30" si="32">F29*F$1+G29*G$1+H29*H$1</f>
        <v>5252990.08</v>
      </c>
    </row>
    <row r="30" spans="1:19" x14ac:dyDescent="0.35">
      <c r="A30" s="8" t="s">
        <v>105</v>
      </c>
      <c r="B30" s="26">
        <v>2</v>
      </c>
      <c r="C30" s="26">
        <v>130</v>
      </c>
      <c r="D30" s="2">
        <f t="shared" si="28"/>
        <v>260</v>
      </c>
      <c r="E30" s="2">
        <f>ROUND(M19*0.8,0)</f>
        <v>690</v>
      </c>
      <c r="F30" s="6">
        <f t="shared" si="29"/>
        <v>179400</v>
      </c>
      <c r="G30" s="6">
        <f t="shared" si="30"/>
        <v>8970</v>
      </c>
      <c r="H30" s="29">
        <f t="shared" si="31"/>
        <v>17940</v>
      </c>
      <c r="I30" s="27">
        <f t="shared" si="32"/>
        <v>10536520.799999999</v>
      </c>
    </row>
    <row r="31" spans="1:19" x14ac:dyDescent="0.35">
      <c r="A31" s="5" t="s">
        <v>106</v>
      </c>
      <c r="B31" s="26"/>
      <c r="C31" s="26"/>
      <c r="D31" s="2"/>
      <c r="E31" s="2"/>
      <c r="F31" s="2"/>
      <c r="G31" s="2"/>
      <c r="H31" s="26"/>
      <c r="I31" s="28"/>
    </row>
    <row r="32" spans="1:19" x14ac:dyDescent="0.35">
      <c r="A32" s="8" t="s">
        <v>107</v>
      </c>
      <c r="B32" s="26">
        <v>4</v>
      </c>
      <c r="C32" s="26">
        <v>92</v>
      </c>
      <c r="D32" s="2">
        <f t="shared" ref="D32:D33" si="33">B32*C32</f>
        <v>368</v>
      </c>
      <c r="E32" s="2">
        <f>ROUND(M21*0.2,0)</f>
        <v>414</v>
      </c>
      <c r="F32" s="6">
        <f t="shared" ref="F32:F33" si="34">D32*E32</f>
        <v>152352</v>
      </c>
      <c r="G32" s="22">
        <f t="shared" ref="G32:G33" si="35">F32*0.05</f>
        <v>7617.6</v>
      </c>
      <c r="H32" s="31">
        <f t="shared" ref="H32:H33" si="36">F32*0.1</f>
        <v>15235.2</v>
      </c>
      <c r="I32" s="27">
        <f t="shared" ref="I32:I33" si="37">F32*F$1+G32*G$1+H32*H$1</f>
        <v>8947937.6639999989</v>
      </c>
    </row>
    <row r="33" spans="1:16" x14ac:dyDescent="0.35">
      <c r="A33" s="8" t="s">
        <v>108</v>
      </c>
      <c r="B33" s="26">
        <v>2</v>
      </c>
      <c r="C33" s="26">
        <v>92</v>
      </c>
      <c r="D33" s="2">
        <f t="shared" si="33"/>
        <v>184</v>
      </c>
      <c r="E33" s="6">
        <f>ROUND(M21*0.8,0)</f>
        <v>1654</v>
      </c>
      <c r="F33" s="6">
        <f t="shared" si="34"/>
        <v>304336</v>
      </c>
      <c r="G33" s="22">
        <f t="shared" si="35"/>
        <v>15216.800000000001</v>
      </c>
      <c r="H33" s="31">
        <f t="shared" si="36"/>
        <v>30433.600000000002</v>
      </c>
      <c r="I33" s="27">
        <f t="shared" si="37"/>
        <v>17874261.952</v>
      </c>
    </row>
    <row r="34" spans="1:16" x14ac:dyDescent="0.35">
      <c r="A34" s="8" t="s">
        <v>109</v>
      </c>
      <c r="B34" s="26"/>
      <c r="C34" s="26"/>
      <c r="D34" s="2"/>
      <c r="E34" s="2"/>
      <c r="F34" s="2"/>
      <c r="G34" s="2"/>
      <c r="H34" s="26"/>
      <c r="I34" s="28"/>
    </row>
    <row r="35" spans="1:16" x14ac:dyDescent="0.35">
      <c r="A35" s="5" t="s">
        <v>13</v>
      </c>
      <c r="B35" s="26">
        <v>1</v>
      </c>
      <c r="C35" s="26">
        <v>42</v>
      </c>
      <c r="D35" s="2">
        <f t="shared" ref="D35:D36" si="38">B35*C35</f>
        <v>42</v>
      </c>
      <c r="E35" s="20">
        <f>M19</f>
        <v>862.35599999999999</v>
      </c>
      <c r="F35" s="6">
        <f t="shared" ref="F35:F36" si="39">D35*E35</f>
        <v>36218.951999999997</v>
      </c>
      <c r="G35" s="6">
        <f t="shared" ref="G35:G36" si="40">F35*0.05</f>
        <v>1810.9476</v>
      </c>
      <c r="H35" s="29">
        <f t="shared" ref="H35:H36" si="41">F35*0.1</f>
        <v>3621.8951999999999</v>
      </c>
      <c r="I35" s="27">
        <f t="shared" ref="I35:I36" si="42">F35*F$1+G35*G$1+H35*H$1</f>
        <v>2127211.488864</v>
      </c>
    </row>
    <row r="36" spans="1:16" x14ac:dyDescent="0.35">
      <c r="A36" s="5" t="s">
        <v>106</v>
      </c>
      <c r="B36" s="26">
        <v>1</v>
      </c>
      <c r="C36" s="26">
        <v>56</v>
      </c>
      <c r="D36" s="2">
        <f t="shared" si="38"/>
        <v>56</v>
      </c>
      <c r="E36" s="6">
        <f>M21</f>
        <v>2068</v>
      </c>
      <c r="F36" s="6">
        <f t="shared" si="39"/>
        <v>115808</v>
      </c>
      <c r="G36" s="22">
        <f t="shared" si="40"/>
        <v>5790.4000000000005</v>
      </c>
      <c r="H36" s="31">
        <f t="shared" si="41"/>
        <v>11580.800000000001</v>
      </c>
      <c r="I36" s="27">
        <f t="shared" si="42"/>
        <v>6801635.4560000002</v>
      </c>
    </row>
    <row r="37" spans="1:16" x14ac:dyDescent="0.35">
      <c r="A37" s="1" t="s">
        <v>132</v>
      </c>
      <c r="B37" s="3"/>
      <c r="C37" s="3"/>
      <c r="D37" s="3"/>
      <c r="E37" s="3"/>
      <c r="F37" s="99">
        <f>ROUND(SUM(F3:H36),-4)</f>
        <v>1470000</v>
      </c>
      <c r="G37" s="99"/>
      <c r="H37" s="99"/>
      <c r="I37" s="33">
        <f>ROUND(SUM(I3:I36),-5)</f>
        <v>74900000</v>
      </c>
    </row>
    <row r="38" spans="1:16" ht="15.5" x14ac:dyDescent="0.35">
      <c r="P38" s="30"/>
    </row>
    <row r="39" spans="1:16" ht="15.5" x14ac:dyDescent="0.35">
      <c r="A39" s="25" t="s">
        <v>82</v>
      </c>
      <c r="P39" s="30"/>
    </row>
    <row r="40" spans="1:16" ht="33.65" customHeight="1" x14ac:dyDescent="0.35">
      <c r="A40" s="89" t="s">
        <v>136</v>
      </c>
      <c r="B40" s="89"/>
      <c r="C40" s="89"/>
      <c r="D40" s="89"/>
      <c r="E40" s="89"/>
      <c r="F40" s="89"/>
      <c r="G40" s="89"/>
      <c r="H40" s="89"/>
      <c r="I40" s="89"/>
    </row>
    <row r="41" spans="1:16" ht="58.15" customHeight="1" x14ac:dyDescent="0.35">
      <c r="A41" s="91" t="s">
        <v>137</v>
      </c>
      <c r="B41" s="91"/>
      <c r="C41" s="91"/>
      <c r="D41" s="91"/>
      <c r="E41" s="91"/>
      <c r="F41" s="91"/>
      <c r="G41" s="91"/>
      <c r="H41" s="91"/>
      <c r="I41" s="91"/>
      <c r="M41" s="30"/>
      <c r="N41" s="30"/>
    </row>
    <row r="42" spans="1:16" ht="42.65" customHeight="1" x14ac:dyDescent="0.35">
      <c r="A42" s="91" t="s">
        <v>134</v>
      </c>
      <c r="B42" s="91"/>
      <c r="C42" s="91"/>
      <c r="D42" s="91"/>
      <c r="E42" s="91"/>
      <c r="F42" s="91"/>
      <c r="G42" s="91"/>
      <c r="H42" s="91"/>
      <c r="I42" s="91"/>
    </row>
    <row r="43" spans="1:16" ht="34.15" customHeight="1" x14ac:dyDescent="0.35">
      <c r="A43" s="91" t="s">
        <v>135</v>
      </c>
      <c r="B43" s="91"/>
      <c r="C43" s="91"/>
      <c r="D43" s="91"/>
      <c r="E43" s="91"/>
      <c r="F43" s="91"/>
      <c r="G43" s="91"/>
      <c r="H43" s="91"/>
      <c r="I43" s="91"/>
    </row>
    <row r="44" spans="1:16" ht="31.15" customHeight="1" x14ac:dyDescent="0.35">
      <c r="A44" s="90" t="s">
        <v>178</v>
      </c>
      <c r="B44" s="90"/>
      <c r="C44" s="90"/>
      <c r="D44" s="90"/>
      <c r="E44" s="90"/>
      <c r="F44" s="90"/>
      <c r="G44" s="90"/>
      <c r="H44" s="90"/>
      <c r="I44" s="90"/>
    </row>
    <row r="45" spans="1:16" ht="15.5" x14ac:dyDescent="0.35">
      <c r="A45" s="100" t="s">
        <v>118</v>
      </c>
      <c r="B45" s="100"/>
      <c r="C45" s="100"/>
      <c r="D45" s="100"/>
      <c r="E45" s="100"/>
      <c r="F45" s="100"/>
      <c r="G45" s="100"/>
      <c r="H45" s="100"/>
      <c r="I45" s="100"/>
    </row>
    <row r="46" spans="1:16" ht="16.149999999999999" customHeight="1" x14ac:dyDescent="0.35">
      <c r="A46" s="98" t="s">
        <v>119</v>
      </c>
      <c r="B46" s="98"/>
      <c r="C46" s="98"/>
      <c r="D46" s="98"/>
      <c r="E46" s="98"/>
      <c r="F46" s="98"/>
      <c r="G46" s="98"/>
      <c r="H46" s="98"/>
      <c r="I46" s="98"/>
    </row>
  </sheetData>
  <mergeCells count="13">
    <mergeCell ref="L6:O6"/>
    <mergeCell ref="A45:I45"/>
    <mergeCell ref="A46:I46"/>
    <mergeCell ref="A40:I40"/>
    <mergeCell ref="A41:I41"/>
    <mergeCell ref="A42:I42"/>
    <mergeCell ref="A43:I43"/>
    <mergeCell ref="A44:I44"/>
    <mergeCell ref="P18:S21"/>
    <mergeCell ref="F37:H37"/>
    <mergeCell ref="L10:O10"/>
    <mergeCell ref="L14:O14"/>
    <mergeCell ref="L18:O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4E9F-F7AA-49DC-ACD1-16ECE86C36C4}">
  <dimension ref="A1:J9"/>
  <sheetViews>
    <sheetView workbookViewId="0">
      <selection activeCell="I5" sqref="I5:J5"/>
    </sheetView>
  </sheetViews>
  <sheetFormatPr defaultRowHeight="14.5" x14ac:dyDescent="0.35"/>
  <cols>
    <col min="1" max="1" width="22.1796875" customWidth="1"/>
    <col min="2" max="7" width="17.7265625" customWidth="1"/>
    <col min="9" max="9" width="11.81640625" bestFit="1" customWidth="1"/>
  </cols>
  <sheetData>
    <row r="1" spans="1:10" x14ac:dyDescent="0.35">
      <c r="A1" s="105" t="s">
        <v>140</v>
      </c>
      <c r="B1" s="106"/>
      <c r="C1" s="106"/>
      <c r="D1" s="106"/>
      <c r="E1" s="106"/>
      <c r="F1" s="106"/>
      <c r="G1" s="107"/>
    </row>
    <row r="2" spans="1:10" x14ac:dyDescent="0.35">
      <c r="A2" s="45" t="s">
        <v>123</v>
      </c>
      <c r="B2" s="45" t="s">
        <v>124</v>
      </c>
      <c r="C2" s="45" t="s">
        <v>126</v>
      </c>
      <c r="D2" s="45" t="s">
        <v>128</v>
      </c>
      <c r="E2" s="45" t="s">
        <v>130</v>
      </c>
      <c r="F2" s="45" t="s">
        <v>141</v>
      </c>
      <c r="G2" s="45" t="s">
        <v>142</v>
      </c>
    </row>
    <row r="3" spans="1:10" ht="64.900000000000006" customHeight="1" x14ac:dyDescent="0.35">
      <c r="A3" s="108" t="s">
        <v>143</v>
      </c>
      <c r="B3" s="108" t="s">
        <v>144</v>
      </c>
      <c r="C3" s="108" t="s">
        <v>145</v>
      </c>
      <c r="D3" s="108" t="s">
        <v>146</v>
      </c>
      <c r="E3" s="108" t="s">
        <v>147</v>
      </c>
      <c r="F3" s="108" t="s">
        <v>148</v>
      </c>
      <c r="G3" s="46" t="s">
        <v>149</v>
      </c>
    </row>
    <row r="4" spans="1:10" x14ac:dyDescent="0.35">
      <c r="A4" s="109"/>
      <c r="B4" s="109"/>
      <c r="C4" s="109"/>
      <c r="D4" s="109"/>
      <c r="E4" s="109"/>
      <c r="F4" s="109"/>
      <c r="G4" s="53" t="s">
        <v>150</v>
      </c>
    </row>
    <row r="5" spans="1:10" s="59" customFormat="1" ht="15" x14ac:dyDescent="0.3">
      <c r="A5" s="57" t="s">
        <v>153</v>
      </c>
      <c r="B5" s="58">
        <v>200000</v>
      </c>
      <c r="C5" s="57">
        <v>37</v>
      </c>
      <c r="D5" s="58">
        <f>B5*C5</f>
        <v>7400000</v>
      </c>
      <c r="E5" s="58">
        <v>15000</v>
      </c>
      <c r="F5" s="74">
        <v>2031</v>
      </c>
      <c r="G5" s="58">
        <f>E5*F5</f>
        <v>30465000</v>
      </c>
      <c r="I5" s="102" t="s">
        <v>179</v>
      </c>
      <c r="J5" s="102"/>
    </row>
    <row r="6" spans="1:10" ht="15" x14ac:dyDescent="0.35">
      <c r="A6" s="54" t="s">
        <v>151</v>
      </c>
      <c r="B6" s="55"/>
      <c r="C6" s="55"/>
      <c r="D6" s="56">
        <f>ROUND(D5,-5)</f>
        <v>7400000</v>
      </c>
      <c r="E6" s="55"/>
      <c r="F6" s="55"/>
      <c r="G6" s="56">
        <f>ROUND(G5,-5)</f>
        <v>30500000</v>
      </c>
      <c r="I6" s="101">
        <f>G6+D6</f>
        <v>37900000</v>
      </c>
      <c r="J6" s="101"/>
    </row>
    <row r="7" spans="1:10" x14ac:dyDescent="0.35">
      <c r="A7" s="50"/>
      <c r="B7" s="51"/>
      <c r="C7" s="51"/>
      <c r="D7" s="44"/>
      <c r="E7" s="51"/>
      <c r="F7" s="51"/>
      <c r="G7" s="44"/>
    </row>
    <row r="8" spans="1:10" ht="30.65" customHeight="1" x14ac:dyDescent="0.35">
      <c r="A8" s="103" t="s">
        <v>154</v>
      </c>
      <c r="B8" s="103"/>
      <c r="C8" s="103"/>
      <c r="D8" s="103"/>
      <c r="E8" s="103"/>
      <c r="F8" s="103"/>
      <c r="G8" s="103"/>
    </row>
    <row r="9" spans="1:10" ht="15.5" x14ac:dyDescent="0.35">
      <c r="A9" s="104" t="s">
        <v>152</v>
      </c>
      <c r="B9" s="104"/>
      <c r="C9" s="104"/>
      <c r="D9" s="104"/>
      <c r="E9" s="104"/>
      <c r="F9" s="104"/>
      <c r="G9" s="104"/>
    </row>
  </sheetData>
  <mergeCells count="11">
    <mergeCell ref="I6:J6"/>
    <mergeCell ref="I5:J5"/>
    <mergeCell ref="A8:G8"/>
    <mergeCell ref="A9:G9"/>
    <mergeCell ref="A1:G1"/>
    <mergeCell ref="A3:A4"/>
    <mergeCell ref="B3:B4"/>
    <mergeCell ref="C3:C4"/>
    <mergeCell ref="D3:D4"/>
    <mergeCell ref="E3:E4"/>
    <mergeCell ref="F3: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A2AB-9192-4397-89EA-D15FFCA3B710}">
  <dimension ref="A1:F9"/>
  <sheetViews>
    <sheetView workbookViewId="0">
      <selection activeCell="E6" sqref="E6"/>
    </sheetView>
  </sheetViews>
  <sheetFormatPr defaultRowHeight="14.5" x14ac:dyDescent="0.35"/>
  <cols>
    <col min="1" max="1" width="21.1796875" customWidth="1"/>
    <col min="2" max="2" width="16.26953125" customWidth="1"/>
    <col min="3" max="3" width="13.7265625" customWidth="1"/>
    <col min="4" max="4" width="18" customWidth="1"/>
    <col min="5" max="5" width="17.81640625" customWidth="1"/>
  </cols>
  <sheetData>
    <row r="1" spans="1:6" ht="15.65" customHeight="1" x14ac:dyDescent="0.35">
      <c r="A1" s="110" t="s">
        <v>155</v>
      </c>
      <c r="B1" s="111"/>
      <c r="C1" s="111"/>
      <c r="D1" s="111"/>
      <c r="E1" s="112"/>
    </row>
    <row r="2" spans="1:6" x14ac:dyDescent="0.35">
      <c r="A2" s="47" t="s">
        <v>123</v>
      </c>
      <c r="B2" s="47" t="s">
        <v>124</v>
      </c>
      <c r="C2" s="47" t="s">
        <v>126</v>
      </c>
      <c r="D2" s="47" t="s">
        <v>128</v>
      </c>
      <c r="E2" s="47" t="s">
        <v>130</v>
      </c>
    </row>
    <row r="3" spans="1:6" ht="52" x14ac:dyDescent="0.35">
      <c r="A3" s="47" t="s">
        <v>156</v>
      </c>
      <c r="B3" s="47" t="s">
        <v>157</v>
      </c>
      <c r="C3" s="47" t="s">
        <v>158</v>
      </c>
      <c r="D3" s="47" t="s">
        <v>159</v>
      </c>
      <c r="E3" s="47" t="s">
        <v>160</v>
      </c>
    </row>
    <row r="4" spans="1:6" s="52" customFormat="1" ht="28.5" x14ac:dyDescent="0.3">
      <c r="A4" s="63" t="s">
        <v>161</v>
      </c>
      <c r="B4" s="74">
        <f>Respondents!F8*0.8</f>
        <v>1654.4</v>
      </c>
      <c r="C4" s="57">
        <v>2</v>
      </c>
      <c r="D4" s="57">
        <v>0</v>
      </c>
      <c r="E4" s="80">
        <f>(B4*C4)+D4</f>
        <v>3308.8</v>
      </c>
      <c r="F4" s="79"/>
    </row>
    <row r="5" spans="1:6" s="52" customFormat="1" ht="31.5" x14ac:dyDescent="0.3">
      <c r="A5" s="63" t="s">
        <v>162</v>
      </c>
      <c r="B5" s="78">
        <f>Respondents!F8*0.2</f>
        <v>413.6</v>
      </c>
      <c r="C5" s="57">
        <v>4</v>
      </c>
      <c r="D5" s="57">
        <v>0</v>
      </c>
      <c r="E5" s="80">
        <f>(B5*C5)+D5</f>
        <v>1654.4</v>
      </c>
      <c r="F5" s="79"/>
    </row>
    <row r="6" spans="1:6" s="52" customFormat="1" ht="13" x14ac:dyDescent="0.3">
      <c r="A6" s="63"/>
      <c r="B6" s="47"/>
      <c r="C6" s="47"/>
      <c r="D6" s="64" t="s">
        <v>68</v>
      </c>
      <c r="E6" s="81">
        <f xml:space="preserve"> SUM(E4:E5)</f>
        <v>4963.2000000000007</v>
      </c>
      <c r="F6" s="79"/>
    </row>
    <row r="7" spans="1:6" x14ac:dyDescent="0.35">
      <c r="A7" s="60"/>
      <c r="B7" s="61"/>
      <c r="C7" s="61"/>
      <c r="D7" s="62"/>
      <c r="E7" s="62"/>
    </row>
    <row r="8" spans="1:6" ht="34.15" customHeight="1" x14ac:dyDescent="0.35">
      <c r="A8" s="104" t="s">
        <v>163</v>
      </c>
      <c r="B8" s="104"/>
      <c r="C8" s="104"/>
      <c r="D8" s="104"/>
      <c r="E8" s="104"/>
    </row>
    <row r="9" spans="1:6" ht="32.5" customHeight="1" x14ac:dyDescent="0.35">
      <c r="A9" s="113" t="s">
        <v>164</v>
      </c>
      <c r="B9" s="113"/>
      <c r="C9" s="113"/>
      <c r="D9" s="113"/>
      <c r="E9" s="113"/>
    </row>
  </sheetData>
  <mergeCells count="3">
    <mergeCell ref="A1:E1"/>
    <mergeCell ref="A9:E9"/>
    <mergeCell ref="A8:E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AEDE-2408-4503-B488-EA7EA876602D}">
  <dimension ref="A1:G9"/>
  <sheetViews>
    <sheetView workbookViewId="0">
      <selection activeCell="F8" sqref="F8"/>
    </sheetView>
  </sheetViews>
  <sheetFormatPr defaultRowHeight="14.5" x14ac:dyDescent="0.35"/>
  <cols>
    <col min="2" max="2" width="17" customWidth="1"/>
    <col min="3" max="3" width="17.26953125" customWidth="1"/>
    <col min="4" max="4" width="23" customWidth="1"/>
    <col min="5" max="5" width="20.7265625" customWidth="1"/>
    <col min="6" max="6" width="15.26953125" customWidth="1"/>
  </cols>
  <sheetData>
    <row r="1" spans="1:7" ht="15.65" customHeight="1" x14ac:dyDescent="0.35">
      <c r="A1" s="110" t="s">
        <v>121</v>
      </c>
      <c r="B1" s="111"/>
      <c r="C1" s="111"/>
      <c r="D1" s="111"/>
      <c r="E1" s="111"/>
      <c r="F1" s="112"/>
    </row>
    <row r="2" spans="1:7" ht="26" x14ac:dyDescent="0.35">
      <c r="A2" s="49"/>
      <c r="B2" s="114" t="s">
        <v>165</v>
      </c>
      <c r="C2" s="115"/>
      <c r="D2" s="49" t="s">
        <v>166</v>
      </c>
      <c r="E2" s="114"/>
      <c r="F2" s="115"/>
    </row>
    <row r="3" spans="1:7" x14ac:dyDescent="0.35">
      <c r="A3" s="49"/>
      <c r="B3" s="45" t="s">
        <v>123</v>
      </c>
      <c r="C3" s="45" t="s">
        <v>124</v>
      </c>
      <c r="D3" s="45" t="s">
        <v>126</v>
      </c>
      <c r="E3" s="45" t="s">
        <v>128</v>
      </c>
      <c r="F3" s="45" t="s">
        <v>130</v>
      </c>
    </row>
    <row r="4" spans="1:7" ht="52" x14ac:dyDescent="0.35">
      <c r="A4" s="45" t="s">
        <v>122</v>
      </c>
      <c r="B4" s="49" t="s">
        <v>167</v>
      </c>
      <c r="C4" s="49" t="s">
        <v>125</v>
      </c>
      <c r="D4" s="49" t="s">
        <v>127</v>
      </c>
      <c r="E4" s="49" t="s">
        <v>129</v>
      </c>
      <c r="F4" s="49" t="s">
        <v>168</v>
      </c>
    </row>
    <row r="5" spans="1:7" x14ac:dyDescent="0.35">
      <c r="A5" s="47">
        <v>1</v>
      </c>
      <c r="B5" s="47">
        <v>37</v>
      </c>
      <c r="C5" s="66">
        <v>1994</v>
      </c>
      <c r="D5" s="47">
        <v>0</v>
      </c>
      <c r="E5" s="47">
        <v>0</v>
      </c>
      <c r="F5" s="66">
        <f>B5+C5+D5-E5</f>
        <v>2031</v>
      </c>
    </row>
    <row r="6" spans="1:7" x14ac:dyDescent="0.35">
      <c r="A6" s="47">
        <v>2</v>
      </c>
      <c r="B6" s="47">
        <v>37</v>
      </c>
      <c r="C6" s="66">
        <f>F5</f>
        <v>2031</v>
      </c>
      <c r="D6" s="47">
        <v>0</v>
      </c>
      <c r="E6" s="47">
        <v>0</v>
      </c>
      <c r="F6" s="66">
        <f>B6+C6+D6-E6</f>
        <v>2068</v>
      </c>
    </row>
    <row r="7" spans="1:7" x14ac:dyDescent="0.35">
      <c r="A7" s="47">
        <v>3</v>
      </c>
      <c r="B7" s="47">
        <v>37</v>
      </c>
      <c r="C7" s="66">
        <f>F6</f>
        <v>2068</v>
      </c>
      <c r="D7" s="47">
        <v>0</v>
      </c>
      <c r="E7" s="47">
        <v>0</v>
      </c>
      <c r="F7" s="66">
        <f>B7+C7+D7-E7</f>
        <v>2105</v>
      </c>
    </row>
    <row r="8" spans="1:7" x14ac:dyDescent="0.35">
      <c r="A8" s="47" t="s">
        <v>131</v>
      </c>
      <c r="B8" s="82">
        <f>AVERAGE(B5:B7)</f>
        <v>37</v>
      </c>
      <c r="C8" s="82">
        <f>AVERAGE(C5:C7)</f>
        <v>2031</v>
      </c>
      <c r="D8" s="82">
        <f>AVERAGE(D5:D7)</f>
        <v>0</v>
      </c>
      <c r="E8" s="82">
        <f>AVERAGE(E5:E7)</f>
        <v>0</v>
      </c>
      <c r="F8" s="82">
        <f>AVERAGE(F5:F7)</f>
        <v>2068</v>
      </c>
      <c r="G8" s="23"/>
    </row>
    <row r="9" spans="1:7" ht="15.5" x14ac:dyDescent="0.35">
      <c r="A9" s="65" t="s">
        <v>169</v>
      </c>
      <c r="B9" s="48"/>
      <c r="C9" s="48"/>
      <c r="D9" s="48"/>
      <c r="E9" s="48"/>
      <c r="F9" s="48"/>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Industry</vt:lpstr>
      <vt:lpstr>Agency</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2016-03-08T20:40:25Z</dcterms:created>
  <dcterms:modified xsi:type="dcterms:W3CDTF">2022-08-25T19:16:21Z</dcterms:modified>
</cp:coreProperties>
</file>