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64D4C6A-702E-4385-9087-F5D26719FFF2}" xr6:coauthVersionLast="47" xr6:coauthVersionMax="47" xr10:uidLastSave="{00000000-0000-0000-0000-000000000000}"/>
  <bookViews>
    <workbookView xWindow="-110" yWindow="-110" windowWidth="19420" windowHeight="10420" xr2:uid="{060F477A-0CB0-45BC-8915-B0B4D0549C6A}"/>
  </bookViews>
  <sheets>
    <sheet name="Summary" sheetId="1" r:id="rId1"/>
    <sheet name="Table 1" sheetId="2" r:id="rId2"/>
    <sheet name="Table 2" sheetId="3"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1" l="1"/>
  <c r="B7" i="1"/>
  <c r="B6" i="1"/>
  <c r="B5" i="1"/>
  <c r="B3" i="1"/>
  <c r="B2" i="1"/>
  <c r="E11" i="5"/>
  <c r="I49" i="2"/>
  <c r="J52" i="2"/>
  <c r="E13" i="5"/>
  <c r="I9" i="2"/>
  <c r="E5" i="5" l="1"/>
  <c r="E6" i="5"/>
  <c r="E7" i="5"/>
  <c r="E8" i="5"/>
  <c r="E9" i="5"/>
  <c r="E10" i="5"/>
  <c r="E12" i="5"/>
  <c r="E4" i="5"/>
  <c r="D8" i="4" l="1"/>
  <c r="D9" i="4"/>
  <c r="G6" i="4"/>
  <c r="G7" i="4"/>
  <c r="G8" i="4"/>
  <c r="G9" i="4"/>
  <c r="G10" i="4"/>
  <c r="G11" i="4"/>
  <c r="G5" i="4"/>
  <c r="G12" i="4" s="1"/>
  <c r="D11" i="4"/>
  <c r="D10" i="4"/>
  <c r="D7" i="4"/>
  <c r="I16" i="3" l="1"/>
  <c r="I15" i="3"/>
  <c r="I14" i="3"/>
  <c r="I13" i="3"/>
  <c r="I12" i="3"/>
  <c r="I11" i="3"/>
  <c r="I7" i="3"/>
  <c r="I6" i="3"/>
  <c r="I5" i="3"/>
  <c r="I45" i="2"/>
  <c r="I44" i="2"/>
  <c r="I43" i="2"/>
  <c r="I40" i="2"/>
  <c r="I39" i="2"/>
  <c r="I38" i="2"/>
  <c r="I34" i="2"/>
  <c r="I33" i="2"/>
  <c r="I27" i="2"/>
  <c r="I26" i="2"/>
  <c r="I24" i="2"/>
  <c r="I23" i="2"/>
  <c r="I22" i="2"/>
  <c r="I18" i="2"/>
  <c r="I13" i="2"/>
  <c r="I12" i="2"/>
  <c r="I11" i="2"/>
  <c r="I7" i="2"/>
  <c r="C8" i="6" l="1"/>
  <c r="B8" i="6"/>
  <c r="F7" i="6"/>
  <c r="F6" i="6"/>
  <c r="F5" i="6"/>
  <c r="F16" i="3"/>
  <c r="D16" i="3"/>
  <c r="D15" i="3"/>
  <c r="F15" i="3" s="1"/>
  <c r="D14" i="3"/>
  <c r="F14" i="3" s="1"/>
  <c r="D13" i="3"/>
  <c r="F13" i="3" s="1"/>
  <c r="D12" i="3"/>
  <c r="F12" i="3" s="1"/>
  <c r="D11" i="3"/>
  <c r="F11" i="3" s="1"/>
  <c r="F7" i="3"/>
  <c r="H7" i="3" s="1"/>
  <c r="D7" i="3"/>
  <c r="F6" i="3"/>
  <c r="G6" i="3" s="1"/>
  <c r="D6" i="3"/>
  <c r="F5" i="3"/>
  <c r="D5" i="3"/>
  <c r="D45" i="2"/>
  <c r="F45" i="2" s="1"/>
  <c r="D44" i="2"/>
  <c r="F44" i="2" s="1"/>
  <c r="D43" i="2"/>
  <c r="F43" i="2" s="1"/>
  <c r="F40" i="2"/>
  <c r="D40" i="2"/>
  <c r="F39" i="2"/>
  <c r="D39" i="2"/>
  <c r="H38" i="2"/>
  <c r="F38" i="2"/>
  <c r="G38" i="2" s="1"/>
  <c r="D38" i="2"/>
  <c r="D34" i="2"/>
  <c r="F34" i="2" s="1"/>
  <c r="D33" i="2"/>
  <c r="F33" i="2" s="1"/>
  <c r="D27" i="2"/>
  <c r="F27" i="2" s="1"/>
  <c r="F26" i="2"/>
  <c r="D26" i="2"/>
  <c r="F24" i="2"/>
  <c r="D24" i="2"/>
  <c r="H23" i="2"/>
  <c r="F23" i="2"/>
  <c r="G23" i="2" s="1"/>
  <c r="D23" i="2"/>
  <c r="D22" i="2"/>
  <c r="F22" i="2" s="1"/>
  <c r="D18" i="2"/>
  <c r="F18" i="2" s="1"/>
  <c r="D13" i="2"/>
  <c r="F13" i="2" s="1"/>
  <c r="D12" i="2"/>
  <c r="F12" i="2" s="1"/>
  <c r="D11" i="2"/>
  <c r="F11" i="2" s="1"/>
  <c r="F9" i="2"/>
  <c r="G9" i="2" s="1"/>
  <c r="D9" i="2"/>
  <c r="F7" i="2"/>
  <c r="D7" i="2"/>
  <c r="D6" i="4"/>
  <c r="D5" i="4"/>
  <c r="F8" i="6" l="1"/>
  <c r="D12" i="4"/>
  <c r="G11" i="3"/>
  <c r="H11" i="3"/>
  <c r="H14" i="3"/>
  <c r="G14" i="3"/>
  <c r="G15" i="3"/>
  <c r="H15" i="3"/>
  <c r="G12" i="3"/>
  <c r="H12" i="3"/>
  <c r="H13" i="3"/>
  <c r="G13" i="3"/>
  <c r="H6" i="3"/>
  <c r="G5" i="3"/>
  <c r="G16" i="3"/>
  <c r="H5" i="3"/>
  <c r="F17" i="3" s="1"/>
  <c r="H16" i="3"/>
  <c r="G7" i="3"/>
  <c r="H18" i="2"/>
  <c r="G18" i="2"/>
  <c r="H12" i="2"/>
  <c r="G12" i="2"/>
  <c r="H27" i="2"/>
  <c r="G27" i="2"/>
  <c r="G13" i="2"/>
  <c r="H13" i="2"/>
  <c r="F47" i="2"/>
  <c r="H33" i="2"/>
  <c r="G33" i="2"/>
  <c r="H22" i="2"/>
  <c r="G22" i="2"/>
  <c r="H34" i="2"/>
  <c r="G34" i="2"/>
  <c r="H43" i="2"/>
  <c r="G43" i="2"/>
  <c r="H44" i="2"/>
  <c r="G44" i="2"/>
  <c r="H11" i="2"/>
  <c r="G11" i="2"/>
  <c r="G45" i="2"/>
  <c r="H45" i="2"/>
  <c r="G40" i="2"/>
  <c r="H9" i="2"/>
  <c r="H26" i="2"/>
  <c r="H40" i="2"/>
  <c r="G26" i="2"/>
  <c r="G39" i="2"/>
  <c r="H7" i="2"/>
  <c r="H24" i="2"/>
  <c r="H39" i="2"/>
  <c r="G7" i="2"/>
  <c r="G24" i="2"/>
  <c r="I12" i="4" l="1"/>
  <c r="I17" i="3"/>
  <c r="I28" i="2"/>
  <c r="I47" i="2"/>
  <c r="F28" i="2"/>
  <c r="F48" i="2" s="1"/>
  <c r="I48" i="2" l="1"/>
  <c r="I50" i="2" s="1"/>
</calcChain>
</file>

<file path=xl/sharedStrings.xml><?xml version="1.0" encoding="utf-8"?>
<sst xmlns="http://schemas.openxmlformats.org/spreadsheetml/2006/main" count="223" uniqueCount="171">
  <si>
    <t>ICR Summary Information</t>
  </si>
  <si>
    <t>Hours per Response</t>
  </si>
  <si>
    <t>Number of Respondents</t>
  </si>
  <si>
    <t>Total Estimated Burden Hours</t>
  </si>
  <si>
    <t>Total Estimated Costs</t>
  </si>
  <si>
    <t>Annualized Capital O&amp;M</t>
  </si>
  <si>
    <t>Total Annual Responses</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</si>
  <si>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</si>
  <si>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</si>
  <si>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</si>
  <si>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</si>
  <si>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</si>
  <si>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</si>
  <si>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</si>
  <si>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</si>
  <si>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</si>
  <si>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</si>
  <si>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Annual O&amp;M Costs for One Respondent</t>
  </si>
  <si>
    <t>Table 1:  Annual Respondent Burden and Cost – NESHAP for Secondary Aluminum Production (40 CFR Part 63, Subpart
 RRR) (Renewal)</t>
  </si>
  <si>
    <t>Burden item</t>
  </si>
  <si>
    <t>(H)</t>
  </si>
  <si>
    <t>Person hours per occurrence</t>
  </si>
  <si>
    <t>No. of occurrences per respondent per year</t>
  </si>
  <si>
    <t>Person hours per respondent per year
(C=AxB)</t>
  </si>
  <si>
    <r>
      <t xml:space="preserve">Respondents per year  </t>
    </r>
    <r>
      <rPr>
        <b/>
        <vertAlign val="superscript"/>
        <sz val="12"/>
        <rFont val="Times New Roman"/>
        <family val="1"/>
      </rPr>
      <t>a</t>
    </r>
  </si>
  <si>
    <t>Technical person- hours per year
(E=CxD)</t>
  </si>
  <si>
    <t>Management person hours per year
(Ex0.05)</t>
  </si>
  <si>
    <t>Clerical person hours per year
(Ex0.1)</t>
  </si>
  <si>
    <r>
      <t xml:space="preserve">Total Cost 
Per year </t>
    </r>
    <r>
      <rPr>
        <b/>
        <vertAlign val="superscript"/>
        <sz val="10"/>
        <rFont val="Times New Roman"/>
        <family val="1"/>
      </rPr>
      <t>b</t>
    </r>
  </si>
  <si>
    <t>1.  Applications</t>
  </si>
  <si>
    <t>N/A</t>
  </si>
  <si>
    <t>2.  Surveys and studies</t>
  </si>
  <si>
    <r>
      <t xml:space="preserve">3.  Acquisition, installation, and utilization of  technology and systems </t>
    </r>
    <r>
      <rPr>
        <vertAlign val="superscript"/>
        <sz val="10"/>
        <rFont val="Times New Roman"/>
        <family val="1"/>
      </rPr>
      <t>c</t>
    </r>
  </si>
  <si>
    <t>4.  Reporting requirements</t>
  </si>
  <si>
    <r>
      <t xml:space="preserve">     a.  Familiarization with Regulatory Requirements </t>
    </r>
    <r>
      <rPr>
        <vertAlign val="superscript"/>
        <sz val="10"/>
        <rFont val="Times New Roman"/>
        <family val="1"/>
      </rPr>
      <t>d</t>
    </r>
    <r>
      <rPr>
        <sz val="10"/>
        <rFont val="Times New Roman"/>
        <family val="1"/>
      </rPr>
      <t xml:space="preserve"> </t>
    </r>
  </si>
  <si>
    <t xml:space="preserve">     b.  Required activities</t>
  </si>
  <si>
    <r>
      <t xml:space="preserve">        Initial performance test </t>
    </r>
    <r>
      <rPr>
        <vertAlign val="superscript"/>
        <sz val="10"/>
        <rFont val="Times New Roman"/>
        <family val="1"/>
      </rPr>
      <t>e, f</t>
    </r>
  </si>
  <si>
    <r>
      <t xml:space="preserve">        Repeat performance test </t>
    </r>
    <r>
      <rPr>
        <vertAlign val="superscript"/>
        <sz val="10"/>
        <rFont val="Times New Roman"/>
        <family val="1"/>
      </rPr>
      <t>e, f</t>
    </r>
  </si>
  <si>
    <r>
      <t xml:space="preserve">        Operating, maintenance and monitoring plan </t>
    </r>
    <r>
      <rPr>
        <vertAlign val="superscript"/>
        <sz val="10"/>
        <rFont val="Times New Roman"/>
        <family val="1"/>
      </rPr>
      <t>e, f</t>
    </r>
  </si>
  <si>
    <r>
      <t xml:space="preserve">        Startup, shutdown, malfunction (SSM) plan </t>
    </r>
    <r>
      <rPr>
        <vertAlign val="superscript"/>
        <sz val="10"/>
        <rFont val="Times New Roman"/>
        <family val="1"/>
      </rPr>
      <t>g</t>
    </r>
  </si>
  <si>
    <t xml:space="preserve">     c.  Create information</t>
  </si>
  <si>
    <t>See 4B</t>
  </si>
  <si>
    <t xml:space="preserve">     d.  Gather existing information</t>
  </si>
  <si>
    <t xml:space="preserve">     e.  Write report</t>
  </si>
  <si>
    <r>
      <t xml:space="preserve">        Notification of applicability </t>
    </r>
    <r>
      <rPr>
        <vertAlign val="superscript"/>
        <sz val="10"/>
        <rFont val="Times New Roman"/>
        <family val="1"/>
      </rPr>
      <t>e, f</t>
    </r>
  </si>
  <si>
    <t xml:space="preserve">        Notification of construction/reconstruction</t>
  </si>
  <si>
    <t xml:space="preserve">        Notification/report of actual startup</t>
  </si>
  <si>
    <t xml:space="preserve">        Notification of special compliance requirements</t>
  </si>
  <si>
    <r>
      <t xml:space="preserve">        Notification of performance test </t>
    </r>
    <r>
      <rPr>
        <vertAlign val="superscript"/>
        <sz val="10"/>
        <rFont val="Times New Roman"/>
        <family val="1"/>
      </rPr>
      <t>e</t>
    </r>
  </si>
  <si>
    <r>
      <t xml:space="preserve">        Notification of compliance status </t>
    </r>
    <r>
      <rPr>
        <vertAlign val="superscript"/>
        <sz val="10"/>
        <rFont val="Times New Roman"/>
        <family val="1"/>
      </rPr>
      <t>e</t>
    </r>
  </si>
  <si>
    <r>
      <t xml:space="preserve">        Waiver application </t>
    </r>
    <r>
      <rPr>
        <vertAlign val="superscript"/>
        <sz val="10"/>
        <rFont val="Times New Roman"/>
        <family val="1"/>
      </rPr>
      <t>g</t>
    </r>
  </si>
  <si>
    <t xml:space="preserve">        Report of performance test</t>
  </si>
  <si>
    <r>
      <t xml:space="preserve">        Semiannual reports </t>
    </r>
    <r>
      <rPr>
        <vertAlign val="superscript"/>
        <sz val="10"/>
        <rFont val="Times New Roman"/>
        <family val="1"/>
      </rPr>
      <t>h</t>
    </r>
  </si>
  <si>
    <r>
      <t xml:space="preserve">        Changing furnace classification </t>
    </r>
    <r>
      <rPr>
        <vertAlign val="superscript"/>
        <sz val="10"/>
        <rFont val="Times New Roman"/>
        <family val="1"/>
      </rPr>
      <t>i</t>
    </r>
  </si>
  <si>
    <t>Subtotal  for Reporting  Requirements</t>
  </si>
  <si>
    <t>5.  Recordkeeping requirements</t>
  </si>
  <si>
    <t xml:space="preserve">     a.  Familarization with Regulatory Requirements</t>
  </si>
  <si>
    <t>See 4A</t>
  </si>
  <si>
    <t xml:space="preserve">     b.  Plan activities </t>
  </si>
  <si>
    <t>See 4E</t>
  </si>
  <si>
    <t xml:space="preserve">     c.  Implement activities</t>
  </si>
  <si>
    <t xml:space="preserve">        Verify lime injection rate</t>
  </si>
  <si>
    <t xml:space="preserve">     d.  Develop record system</t>
  </si>
  <si>
    <t xml:space="preserve">     e.  Time to enter/transmit information</t>
  </si>
  <si>
    <t xml:space="preserve">         Records of all information required by the standards </t>
  </si>
  <si>
    <r>
      <t xml:space="preserve">               Major sources </t>
    </r>
    <r>
      <rPr>
        <vertAlign val="superscript"/>
        <sz val="10"/>
        <rFont val="Times New Roman"/>
        <family val="1"/>
      </rPr>
      <t>j</t>
    </r>
  </si>
  <si>
    <r>
      <t xml:space="preserve">               Area sources </t>
    </r>
    <r>
      <rPr>
        <vertAlign val="superscript"/>
        <sz val="10"/>
        <rFont val="Times New Roman"/>
        <family val="1"/>
      </rPr>
      <t>k</t>
    </r>
  </si>
  <si>
    <r>
      <t xml:space="preserve">     f.  Time to train personnel </t>
    </r>
    <r>
      <rPr>
        <vertAlign val="superscript"/>
        <sz val="10"/>
        <rFont val="Times New Roman"/>
        <family val="1"/>
      </rPr>
      <t>l</t>
    </r>
  </si>
  <si>
    <t xml:space="preserve">    g.  Time to adjust existing ways to comply with previous applicable requirements</t>
  </si>
  <si>
    <t xml:space="preserve">    h.  Time to disclose information</t>
  </si>
  <si>
    <r>
      <t xml:space="preserve">              New sources </t>
    </r>
    <r>
      <rPr>
        <vertAlign val="superscript"/>
        <sz val="10"/>
        <rFont val="Times New Roman"/>
        <family val="1"/>
      </rPr>
      <t>m</t>
    </r>
  </si>
  <si>
    <r>
      <t xml:space="preserve">              All sources </t>
    </r>
    <r>
      <rPr>
        <vertAlign val="superscript"/>
        <sz val="10"/>
        <rFont val="Times New Roman"/>
        <family val="1"/>
      </rPr>
      <t>n</t>
    </r>
  </si>
  <si>
    <r>
      <t xml:space="preserve">              Sources that changed furnace classification </t>
    </r>
    <r>
      <rPr>
        <vertAlign val="superscript"/>
        <sz val="10"/>
        <rFont val="Times New Roman"/>
        <family val="1"/>
      </rPr>
      <t>i</t>
    </r>
  </si>
  <si>
    <t xml:space="preserve">    i.  Time for audits</t>
  </si>
  <si>
    <t xml:space="preserve">N/A                </t>
  </si>
  <si>
    <t xml:space="preserve">Subtotal  for Recordkeeping Requirements  </t>
  </si>
  <si>
    <r>
      <t>TOTAL LABOR BURDEN AND COST (rounded)</t>
    </r>
    <r>
      <rPr>
        <b/>
        <vertAlign val="superscript"/>
        <sz val="10"/>
        <rFont val="Times New Roman"/>
        <family val="1"/>
      </rPr>
      <t>o</t>
    </r>
  </si>
  <si>
    <r>
      <t>Total Capital/O&amp;M Costs (rounded)</t>
    </r>
    <r>
      <rPr>
        <b/>
        <vertAlign val="superscript"/>
        <sz val="10"/>
        <rFont val="Times New Roman"/>
        <family val="1"/>
      </rPr>
      <t>o</t>
    </r>
  </si>
  <si>
    <r>
      <t>Grand Total (Labor and Capital/O&amp;M Costs)(rounded)</t>
    </r>
    <r>
      <rPr>
        <b/>
        <vertAlign val="superscript"/>
        <sz val="10"/>
        <rFont val="Times New Roman"/>
        <family val="1"/>
      </rPr>
      <t>o</t>
    </r>
  </si>
  <si>
    <t>Assumptions:</t>
  </si>
  <si>
    <t>hr/response</t>
  </si>
  <si>
    <r>
      <t>a</t>
    </r>
    <r>
      <rPr>
        <sz val="10"/>
        <rFont val="Times New Roman"/>
        <family val="1"/>
      </rPr>
      <t xml:space="preserve">  We have assumed that the average number of respondents that will be subject to this rule will be 161, of which 53 are major sources. There will be no additional new major or area sources over the three-year period of this ICR.</t>
    </r>
  </si>
  <si>
    <r>
      <t>c</t>
    </r>
    <r>
      <rPr>
        <sz val="10"/>
        <rFont val="Times New Roman"/>
        <family val="1"/>
      </rPr>
      <t xml:space="preserve">  We have assumed that it will take each new respondent 54 hours to complete the task.  This burden cost is associated with the monitoring of all control equipment ensuring that respondents of new respondents meet the required specifications of this subpart.  No additional new major or areas sources are anticipated over the three-year period of this ICR.</t>
    </r>
  </si>
  <si>
    <r>
      <t>d</t>
    </r>
    <r>
      <rPr>
        <sz val="10"/>
        <rFont val="Times New Roman"/>
        <family val="1"/>
      </rPr>
      <t xml:space="preserve">  We have assumed that it will take each respondent one hour to read and understand the reporting requirements. </t>
    </r>
  </si>
  <si>
    <r>
      <t>e</t>
    </r>
    <r>
      <rPr>
        <sz val="10"/>
        <rFont val="Times New Roman"/>
        <family val="1"/>
      </rPr>
      <t xml:space="preserve"> It is assumed that new area sources will comply by meeting the equipment specifications rather than by conducting performance tests.  Respondents that are major sources are required to demonstrate initial compliance with the applicable emission limit, equipment, work practice, or operational standard for affected source or emission unit and report results in the notification of compliance status repo</t>
    </r>
    <r>
      <rPr>
        <sz val="10"/>
        <color theme="1"/>
        <rFont val="Times New Roman"/>
        <family val="1"/>
      </rPr>
      <t xml:space="preserve">rt. Since there are no new respondents estimated, the inital requirements do not apply. </t>
    </r>
  </si>
  <si>
    <r>
      <t>f</t>
    </r>
    <r>
      <rPr>
        <sz val="10"/>
        <rFont val="Times New Roman"/>
        <family val="1"/>
      </rPr>
      <t xml:space="preserve">  Since we have assumed that there will be no new sources over the next three-year period of this ICR, there will be no new sources conducting initial performance tests.  We have determined that respondents of new area sources will not be required to conduct emissions testing to show compliance with the emission limit, since it was determined that sweat furnaces sold in the United States now have an afterburner installed and meet the design residence time of 0.8 seconds or greater and an operating temperature of 1600 </t>
    </r>
    <r>
      <rPr>
        <vertAlign val="superscript"/>
        <sz val="10"/>
        <rFont val="Times New Roman"/>
        <family val="1"/>
      </rPr>
      <t>o</t>
    </r>
    <r>
      <rPr>
        <sz val="10"/>
        <rFont val="Times New Roman"/>
        <family val="1"/>
      </rPr>
      <t>F or greater.  All new respondents are required to submit for approval an operation, maintenance and monitoring plan for affected sources.</t>
    </r>
  </si>
  <si>
    <r>
      <t>g</t>
    </r>
    <r>
      <rPr>
        <sz val="10"/>
        <rFont val="Times New Roman"/>
        <family val="1"/>
      </rPr>
      <t xml:space="preserve">  It is assumed that there will be no new sources requiring a waiver from the performance test requirements.</t>
    </r>
  </si>
  <si>
    <r>
      <t>h</t>
    </r>
    <r>
      <rPr>
        <sz val="10"/>
        <rFont val="Times New Roman"/>
        <family val="1"/>
      </rPr>
      <t xml:space="preserve">  It is assumed that each respondent will take 8 hours to write semiannual report of excess emissions or no excess emissions.</t>
    </r>
  </si>
  <si>
    <r>
      <t>i</t>
    </r>
    <r>
      <rPr>
        <sz val="10"/>
        <rFont val="Times New Roman"/>
        <family val="1"/>
      </rPr>
      <t xml:space="preserve"> An estimated 50 facilities would change furnace classifications once per year. </t>
    </r>
  </si>
  <si>
    <r>
      <t>j</t>
    </r>
    <r>
      <rPr>
        <sz val="10"/>
        <rFont val="Times New Roman"/>
        <family val="1"/>
      </rPr>
      <t xml:space="preserve">  It is assumed that it will take 1.5 hours for major source respondents to enter and transmit records.</t>
    </r>
  </si>
  <si>
    <r>
      <t>k</t>
    </r>
    <r>
      <rPr>
        <sz val="10"/>
        <rFont val="Times New Roman"/>
        <family val="1"/>
      </rPr>
      <t xml:space="preserve">  It is assumed that it will take 0.5 hours for existing area source respondents to enter and transmit records.</t>
    </r>
  </si>
  <si>
    <r>
      <t>l</t>
    </r>
    <r>
      <rPr>
        <sz val="10"/>
        <rFont val="Times New Roman"/>
        <family val="1"/>
      </rPr>
      <t xml:space="preserve">  We have assumed that it will take 4 hours to train new employees.</t>
    </r>
  </si>
  <si>
    <r>
      <t>m</t>
    </r>
    <r>
      <rPr>
        <sz val="10"/>
        <rFont val="Times New Roman"/>
        <family val="1"/>
      </rPr>
      <t xml:space="preserve">  We have assumed that it will take 0.25 hours to each new respondent to disclose information.</t>
    </r>
  </si>
  <si>
    <r>
      <t>n</t>
    </r>
    <r>
      <rPr>
        <sz val="10"/>
        <rFont val="Times New Roman"/>
        <family val="1"/>
      </rPr>
      <t xml:space="preserve">  We have assumed that it will take 0.25 hours for each respondent to disclose information.</t>
    </r>
  </si>
  <si>
    <r>
      <t xml:space="preserve">o </t>
    </r>
    <r>
      <rPr>
        <sz val="10"/>
        <rFont val="Times New Roman"/>
        <family val="1"/>
      </rPr>
      <t xml:space="preserve">Totals have been rounded to 3 significant figures.  Figures may not add exactly due to rounding. </t>
    </r>
  </si>
  <si>
    <t xml:space="preserve"> </t>
  </si>
  <si>
    <t xml:space="preserve">Table 2:  Average Annual EPA Burden and Cost - NESHAP for Secondary Aluminum Production (40 CFR Part 63, Subpart
  RRR) (Renewal)
</t>
  </si>
  <si>
    <t>Activity</t>
  </si>
  <si>
    <t>EPA person- hours per occurrence</t>
  </si>
  <si>
    <t>No. of occurrences per plant per year</t>
  </si>
  <si>
    <t>EPA person- hours per plant per year
(C=AxB)</t>
  </si>
  <si>
    <r>
      <t xml:space="preserve">Plants per year  </t>
    </r>
    <r>
      <rPr>
        <b/>
        <vertAlign val="superscript"/>
        <sz val="12"/>
        <rFont val="Times New Roman"/>
        <family val="1"/>
      </rPr>
      <t>a</t>
    </r>
  </si>
  <si>
    <t>Management person-hours per year
(Ex0.05)</t>
  </si>
  <si>
    <t>Clerical person-hours per year
(Ex0.1)</t>
  </si>
  <si>
    <r>
      <t xml:space="preserve">Cost, $ </t>
    </r>
    <r>
      <rPr>
        <b/>
        <vertAlign val="superscript"/>
        <sz val="12"/>
        <rFont val="Times New Roman"/>
        <family val="1"/>
      </rPr>
      <t>b</t>
    </r>
  </si>
  <si>
    <t>Initial performance tests</t>
  </si>
  <si>
    <r>
      <t xml:space="preserve">Report performance test including retesting </t>
    </r>
    <r>
      <rPr>
        <vertAlign val="superscript"/>
        <sz val="10"/>
        <rFont val="Times New Roman"/>
        <family val="1"/>
      </rPr>
      <t>c</t>
    </r>
  </si>
  <si>
    <t xml:space="preserve">Notification of applicability </t>
  </si>
  <si>
    <t xml:space="preserve">Notification of construction/reconstruction </t>
  </si>
  <si>
    <t>Notification of actual startup</t>
  </si>
  <si>
    <t>Notification of special compliance requirements</t>
  </si>
  <si>
    <t>Notification of performance test</t>
  </si>
  <si>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</si>
  <si>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c</t>
    </r>
  </si>
  <si>
    <r>
      <t xml:space="preserve">Repeat of performance test report </t>
    </r>
    <r>
      <rPr>
        <vertAlign val="superscript"/>
        <sz val="10"/>
        <rFont val="Times New Roman"/>
        <family val="1"/>
      </rPr>
      <t>c</t>
    </r>
  </si>
  <si>
    <r>
      <t xml:space="preserve">Semiannual reports </t>
    </r>
    <r>
      <rPr>
        <vertAlign val="superscript"/>
        <sz val="10"/>
        <rFont val="Times New Roman"/>
        <family val="1"/>
      </rPr>
      <t>e</t>
    </r>
  </si>
  <si>
    <r>
      <t xml:space="preserve">Review performance test reports and reports from facilities changing furnace classification </t>
    </r>
    <r>
      <rPr>
        <vertAlign val="superscript"/>
        <sz val="10"/>
        <rFont val="Times New Roman"/>
        <family val="1"/>
      </rPr>
      <t>f</t>
    </r>
  </si>
  <si>
    <r>
      <t>TOTAL ANNUAL BURDEN AND COST (rounded)</t>
    </r>
    <r>
      <rPr>
        <b/>
        <vertAlign val="superscript"/>
        <sz val="10"/>
        <rFont val="Times New Roman"/>
        <family val="1"/>
      </rPr>
      <t>g</t>
    </r>
  </si>
  <si>
    <r>
      <t>c</t>
    </r>
    <r>
      <rPr>
        <sz val="10"/>
        <rFont val="Times New Roman"/>
        <family val="1"/>
      </rPr>
      <t xml:space="preserve">  We have assumed that all existing respondents are in compliance with the initial rule requirements.  It is further assumed that new sweat furnaces will comply by meeting the equipment specification than by conducting performance test.</t>
    </r>
  </si>
  <si>
    <r>
      <t>d</t>
    </r>
    <r>
      <rPr>
        <sz val="10"/>
        <rFont val="Times New Roman"/>
        <family val="1"/>
      </rPr>
      <t xml:space="preserve"> We have assumed that it will take 2 hours for each respondent to complete notification of compliance status.</t>
    </r>
  </si>
  <si>
    <r>
      <t>e</t>
    </r>
    <r>
      <rPr>
        <sz val="10"/>
        <rFont val="Times New Roman"/>
        <family val="1"/>
      </rPr>
      <t xml:space="preserve">  We have assumed that each existing respondent will take 4 hours two times per year to complete the semiannual reports.</t>
    </r>
  </si>
  <si>
    <r>
      <t xml:space="preserve">g  </t>
    </r>
    <r>
      <rPr>
        <sz val="10"/>
        <rFont val="Times New Roman"/>
        <family val="1"/>
      </rPr>
      <t xml:space="preserve">Totals have been rounded to 3 significant figures.  Figures may not add exactly due to rounding. </t>
    </r>
  </si>
  <si>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</si>
  <si>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</si>
  <si>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</si>
  <si>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</si>
  <si>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</si>
  <si>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compliance status</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</si>
  <si>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</si>
  <si>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</si>
  <si>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</si>
  <si>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</si>
  <si>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</si>
  <si>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</si>
  <si>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</si>
  <si>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</si>
  <si>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</si>
  <si>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</si>
  <si>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</si>
  <si>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Labor Rates:</t>
  </si>
  <si>
    <t>Management</t>
  </si>
  <si>
    <t>Technical</t>
  </si>
  <si>
    <t>Clerical</t>
  </si>
  <si>
    <r>
      <t>b</t>
    </r>
    <r>
      <rPr>
        <sz val="10"/>
        <color theme="1"/>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t>
    </r>
    <r>
      <rPr>
        <sz val="10"/>
        <rFont val="Times New Roman"/>
        <family val="1"/>
      </rPr>
      <t xml:space="preserve"> September</t>
    </r>
    <r>
      <rPr>
        <sz val="10"/>
        <color rgb="FFFF0000"/>
        <rFont val="Times New Roman"/>
        <family val="1"/>
      </rPr>
      <t xml:space="preserve"> </t>
    </r>
    <r>
      <rPr>
        <sz val="10"/>
        <color theme="1"/>
        <rFont val="Times New Roman"/>
        <family val="1"/>
      </rPr>
      <t>2021, “Table 2. Civilian Workers, by Occupational and Industry group.”  The rates are from column 1, “Total Compensation.”  The rates have been increased by 110% to account for the benefit packages available to those employed by private industry.</t>
    </r>
  </si>
  <si>
    <r>
      <t>b.</t>
    </r>
    <r>
      <rPr>
        <sz val="10"/>
        <color rgb="FF000000"/>
        <rFont val="Times New Roman"/>
        <family val="1"/>
      </rPr>
      <t xml:space="preserve">  </t>
    </r>
    <r>
      <rPr>
        <sz val="10"/>
        <color theme="1"/>
        <rFont val="Times New Roman"/>
        <family val="1"/>
      </rPr>
      <t xml:space="preserve">This cost is based on the following labor rates which incorporates a 1.6 benefits multiplication factor to account for government overhead expenses:  Managerial rate of $70.56 (GS-13, Step 5, $44.10 + 60%), Technical rate of $52.37 (GS-12, Step 1, $32.73 + 60%), and Clerical rate of $26.34 (GS-6, Step 3, $17.17 + 60%).  These rates are from the Office of Personnel Management (OPM) “2022 General Schedule” which excludes locality rates of pay. </t>
    </r>
  </si>
  <si>
    <r>
      <t>1</t>
    </r>
    <r>
      <rPr>
        <vertAlign val="superscript"/>
        <sz val="7"/>
        <color theme="1"/>
        <rFont val="Times New Roman"/>
        <family val="1"/>
      </rPr>
      <t xml:space="preserve">            </t>
    </r>
    <r>
      <rPr>
        <sz val="10"/>
        <color theme="1"/>
        <rFont val="Times New Roman"/>
        <family val="1"/>
      </rPr>
      <t>Assume that 34 percent of major sources (or 18 respondents) will use bag leak detectors on fabric filters with an average cost to industry at $291,111.  The actual cost of the bag leak detectors depends on the number of probes on the unit, and O&amp;M costs for bag leak detectors is approximately $66,667.</t>
    </r>
  </si>
  <si>
    <r>
      <t>2</t>
    </r>
    <r>
      <rPr>
        <vertAlign val="superscript"/>
        <sz val="7"/>
        <color theme="1"/>
        <rFont val="Times New Roman"/>
        <family val="1"/>
      </rPr>
      <t xml:space="preserve">            </t>
    </r>
    <r>
      <rPr>
        <sz val="10"/>
        <color theme="1"/>
        <rFont val="Times New Roman"/>
        <family val="1"/>
      </rPr>
      <t>All chlorine injection systems already have chlorine flow meters and the operation and maintenance costs are negligible.</t>
    </r>
  </si>
  <si>
    <r>
      <t>3</t>
    </r>
    <r>
      <rPr>
        <vertAlign val="superscript"/>
        <sz val="7"/>
        <color theme="1"/>
        <rFont val="Times New Roman"/>
        <family val="1"/>
      </rPr>
      <t xml:space="preserve">            </t>
    </r>
    <r>
      <rPr>
        <sz val="10"/>
        <color theme="1"/>
        <rFont val="Times New Roman"/>
        <family val="1"/>
      </rPr>
      <t>Sources with fabric filters will be complying with the monitoring requirements through the use of a bag leak detector or visible emissions observations and not continuous opacity monitors.</t>
    </r>
  </si>
  <si>
    <r>
      <t>4</t>
    </r>
    <r>
      <rPr>
        <vertAlign val="superscript"/>
        <sz val="7"/>
        <color theme="1"/>
        <rFont val="Times New Roman"/>
        <family val="1"/>
      </rPr>
      <t xml:space="preserve">            </t>
    </r>
    <r>
      <rPr>
        <sz val="10"/>
        <color theme="1"/>
        <rFont val="Times New Roman"/>
        <family val="1"/>
      </rPr>
      <t>An estimated 107 furnaces and 27 facilities would need temporary hoods installed every 5 years and testing conducted for a total capital cost of $17.3 million and a total annualized capital cost of $2.3 million. Total annualized cost per furnace would average $21,650 per year.</t>
    </r>
  </si>
  <si>
    <r>
      <t>5</t>
    </r>
    <r>
      <rPr>
        <vertAlign val="superscript"/>
        <sz val="7"/>
        <color theme="1"/>
        <rFont val="Times New Roman"/>
        <family val="1"/>
      </rPr>
      <t xml:space="preserve">            </t>
    </r>
    <r>
      <rPr>
        <sz val="10"/>
        <color theme="1"/>
        <rFont val="Times New Roman"/>
        <family val="1"/>
      </rPr>
      <t>An estimated 8 affected facilities would incur a total annual O&amp;M cost of $11,000 for measurement of hydrogen fluoride (HF) emissions.</t>
    </r>
  </si>
  <si>
    <r>
      <t>6</t>
    </r>
    <r>
      <rPr>
        <vertAlign val="superscript"/>
        <sz val="7"/>
        <color theme="1"/>
        <rFont val="Times New Roman"/>
        <family val="1"/>
      </rPr>
      <t xml:space="preserve">            </t>
    </r>
    <r>
      <rPr>
        <sz val="10"/>
        <color theme="1"/>
        <rFont val="Times New Roman"/>
        <family val="1"/>
      </rPr>
      <t>Switching furnace classifications would result in total annual O&amp;M costs for testing of $500,000/yr or, for an estimated 50 furnaces, a cost of $10,000 per furnace.</t>
    </r>
  </si>
  <si>
    <r>
      <t>7</t>
    </r>
    <r>
      <rPr>
        <vertAlign val="superscript"/>
        <sz val="7"/>
        <color theme="1"/>
        <rFont val="Times New Roman"/>
        <family val="1"/>
      </rPr>
      <t xml:space="preserve">            </t>
    </r>
    <r>
      <rPr>
        <sz val="10"/>
        <color theme="1"/>
        <rFont val="Times New Roman"/>
        <family val="1"/>
      </rPr>
      <t>Temperature monitors will be installed at new sweat furnaces at a cost of $1,200. The O&amp;M costs for temperature monitors are negligible.</t>
    </r>
  </si>
  <si>
    <r>
      <t>8</t>
    </r>
    <r>
      <rPr>
        <vertAlign val="superscript"/>
        <sz val="7"/>
        <color theme="1"/>
        <rFont val="Times New Roman"/>
        <family val="1"/>
      </rPr>
      <t xml:space="preserve">            </t>
    </r>
    <r>
      <rPr>
        <sz val="10"/>
        <color theme="1"/>
        <rFont val="Times New Roman"/>
        <family val="1"/>
      </rPr>
      <t xml:space="preserve">Totals have been rounded to 3 significant figures.  Figures may not add exactly due to rounding. </t>
    </r>
  </si>
  <si>
    <r>
      <t>Totals</t>
    </r>
    <r>
      <rPr>
        <sz val="10"/>
        <color theme="1"/>
        <rFont val="Times New Roman"/>
        <family val="1"/>
      </rPr>
      <t xml:space="preserve"> (rounded)</t>
    </r>
  </si>
  <si>
    <r>
      <t>Bag leak detectors</t>
    </r>
    <r>
      <rPr>
        <vertAlign val="superscript"/>
        <sz val="10"/>
        <rFont val="Times New Roman"/>
        <family val="1"/>
      </rPr>
      <t>1</t>
    </r>
  </si>
  <si>
    <r>
      <t>Flow Meters</t>
    </r>
    <r>
      <rPr>
        <vertAlign val="superscript"/>
        <sz val="10"/>
        <color theme="1"/>
        <rFont val="Times New Roman"/>
        <family val="1"/>
      </rPr>
      <t>2</t>
    </r>
  </si>
  <si>
    <r>
      <t>Continuous opacity monitors</t>
    </r>
    <r>
      <rPr>
        <vertAlign val="superscript"/>
        <sz val="10"/>
        <color theme="1"/>
        <rFont val="Times New Roman"/>
        <family val="1"/>
      </rPr>
      <t>3</t>
    </r>
  </si>
  <si>
    <r>
      <t>Temporary hoods</t>
    </r>
    <r>
      <rPr>
        <vertAlign val="superscript"/>
        <sz val="10"/>
        <rFont val="Times New Roman"/>
        <family val="1"/>
      </rPr>
      <t>4</t>
    </r>
  </si>
  <si>
    <r>
      <t>HF testing</t>
    </r>
    <r>
      <rPr>
        <vertAlign val="superscript"/>
        <sz val="10"/>
        <rFont val="Times New Roman"/>
        <family val="1"/>
      </rPr>
      <t>5</t>
    </r>
  </si>
  <si>
    <r>
      <t>Furnace testing</t>
    </r>
    <r>
      <rPr>
        <vertAlign val="superscript"/>
        <sz val="10"/>
        <rFont val="Times New Roman"/>
        <family val="1"/>
      </rPr>
      <t>6</t>
    </r>
  </si>
  <si>
    <r>
      <t>Temperature monitors</t>
    </r>
    <r>
      <rPr>
        <vertAlign val="superscript"/>
        <sz val="10"/>
        <rFont val="Times New Roman"/>
        <family val="1"/>
      </rPr>
      <t>6</t>
    </r>
  </si>
  <si>
    <r>
      <t>Total Capital/Startup Cost,  (B X C)</t>
    </r>
    <r>
      <rPr>
        <b/>
        <vertAlign val="superscript"/>
        <sz val="10"/>
        <color theme="1"/>
        <rFont val="Times New Roman"/>
        <family val="1"/>
      </rPr>
      <t>7</t>
    </r>
  </si>
  <si>
    <r>
      <t>Total O&amp;M, 
(E X F)</t>
    </r>
    <r>
      <rPr>
        <b/>
        <vertAlign val="superscript"/>
        <sz val="10"/>
        <color theme="1"/>
        <rFont val="Times New Roman"/>
        <family val="1"/>
      </rPr>
      <t>8</t>
    </r>
  </si>
  <si>
    <r>
      <t>Number of Respondents with O&amp;M</t>
    </r>
    <r>
      <rPr>
        <b/>
        <vertAlign val="superscript"/>
        <sz val="10"/>
        <color theme="1"/>
        <rFont val="Times New Roman"/>
        <family val="1"/>
      </rPr>
      <t xml:space="preserve"> </t>
    </r>
  </si>
  <si>
    <t xml:space="preserve">Number of New  Respondents </t>
  </si>
  <si>
    <t>Notification of applicability</t>
  </si>
  <si>
    <t>Notification of construction/reconstruction</t>
  </si>
  <si>
    <t>Waiver application</t>
  </si>
  <si>
    <t>Semiannual reports</t>
  </si>
  <si>
    <t>Changing furnace classification</t>
  </si>
  <si>
    <r>
      <t>f</t>
    </r>
    <r>
      <rPr>
        <sz val="10"/>
        <color theme="1"/>
        <rFont val="Times New Roman"/>
        <family val="1"/>
      </rPr>
      <t xml:space="preserve">  Assumes Agency will review all annual reports, including 4 HF tests/yr, 5 tests/yr for uncontrolled furnaces, and 50 reports/yr for changing furnace classification.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</si>
</sst>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General_)"/>
    <numFmt numFmtId="165" formatCode="&quot;$&quot;#,##0.00"/>
    <numFmt numFmtId="166" formatCode="#,##0.0"/>
  </numFmts>
  <fonts count="25" x14ac:knownFonts="1">
    <font>
      <sz val="11"/>
      <color theme="1"/>
      <name val="Calibri"/>
      <family val="2"/>
      <scheme val="minor"/>
    </font>
    <font>
      <sz val="11"/>
      <color rgb="FFFF0000"/>
      <name val="Calibri"/>
      <family val="2"/>
      <scheme val="minor"/>
    </font>
    <font>
      <sz val="8"/>
      <name val="Helv"/>
    </font>
    <font>
      <sz val="10"/>
      <name val="Times New Roman"/>
      <family val="1"/>
    </font>
    <font>
      <sz val="10"/>
      <color theme="1"/>
      <name val="Calibri"/>
      <family val="2"/>
      <scheme val="minor"/>
    </font>
    <font>
      <b/>
      <sz val="10"/>
      <color theme="1"/>
      <name val="Times New Roman"/>
      <family val="1"/>
    </font>
    <font>
      <sz val="10"/>
      <color theme="1"/>
      <name val="Times New Roman"/>
      <family val="1"/>
    </font>
    <font>
      <b/>
      <vertAlign val="superscript"/>
      <sz val="10"/>
      <color theme="1"/>
      <name val="Times New Roman"/>
      <family val="1"/>
    </font>
    <font>
      <sz val="10"/>
      <name val="Calibri"/>
      <family val="2"/>
      <scheme val="minor"/>
    </font>
    <font>
      <vertAlign val="superscript"/>
      <sz val="10"/>
      <color theme="1"/>
      <name val="Times New Roman"/>
      <family val="1"/>
    </font>
    <font>
      <b/>
      <sz val="11"/>
      <name val="Calibri"/>
      <family val="2"/>
      <scheme val="minor"/>
    </font>
    <font>
      <sz val="11"/>
      <name val="Calibri"/>
      <family val="2"/>
      <scheme val="minor"/>
    </font>
    <font>
      <b/>
      <sz val="10"/>
      <name val="Times New Roman"/>
      <family val="1"/>
    </font>
    <font>
      <b/>
      <vertAlign val="superscript"/>
      <sz val="12"/>
      <name val="Times New Roman"/>
      <family val="1"/>
    </font>
    <font>
      <b/>
      <vertAlign val="superscript"/>
      <sz val="10"/>
      <name val="Times New Roman"/>
      <family val="1"/>
    </font>
    <font>
      <vertAlign val="superscript"/>
      <sz val="10"/>
      <name val="Times New Roman"/>
      <family val="1"/>
    </font>
    <font>
      <vertAlign val="superscript"/>
      <sz val="12"/>
      <name val="Times New Roman"/>
      <family val="1"/>
    </font>
    <font>
      <vertAlign val="superscript"/>
      <sz val="12"/>
      <color theme="1"/>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10"/>
      <color rgb="FF000000"/>
      <name val="Times New Roman"/>
      <family val="1"/>
    </font>
    <font>
      <b/>
      <vertAlign val="superscript"/>
      <sz val="10"/>
      <color rgb="FF000000"/>
      <name val="Times New Roman"/>
      <family val="1"/>
    </font>
    <font>
      <vertAlign val="superscript"/>
      <sz val="7"/>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164" fontId="2" fillId="0" borderId="0"/>
  </cellStyleXfs>
  <cellXfs count="101">
    <xf numFmtId="0" fontId="0" fillId="0" borderId="0" xfId="0"/>
    <xf numFmtId="41" fontId="0" fillId="0" borderId="0" xfId="0" applyNumberFormat="1"/>
    <xf numFmtId="3" fontId="0" fillId="0" borderId="0" xfId="0" applyNumberFormat="1"/>
    <xf numFmtId="6" fontId="0" fillId="0" borderId="0" xfId="0" applyNumberFormat="1"/>
    <xf numFmtId="1" fontId="0" fillId="0" borderId="0" xfId="0" applyNumberFormat="1"/>
    <xf numFmtId="164" fontId="3" fillId="0" borderId="0" xfId="1" applyFont="1" applyAlignment="1">
      <alignment horizontal="center" vertical="center" wrapText="1"/>
    </xf>
    <xf numFmtId="165" fontId="3" fillId="0" borderId="0" xfId="1" applyNumberFormat="1" applyFont="1" applyAlignment="1">
      <alignment horizontal="right" wrapText="1"/>
    </xf>
    <xf numFmtId="0" fontId="4"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6" fontId="6" fillId="0" borderId="1" xfId="0" applyNumberFormat="1" applyFont="1" applyBorder="1" applyAlignment="1">
      <alignment horizontal="center" vertical="center" wrapText="1"/>
    </xf>
    <xf numFmtId="6" fontId="6" fillId="0" borderId="0" xfId="0" applyNumberFormat="1" applyFont="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6" fontId="5" fillId="0" borderId="0" xfId="0" applyNumberFormat="1" applyFont="1" applyAlignment="1">
      <alignment horizontal="center" vertical="center" wrapText="1"/>
    </xf>
    <xf numFmtId="0" fontId="3" fillId="0" borderId="1" xfId="0" applyFont="1" applyBorder="1" applyAlignment="1">
      <alignmen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wrapText="1"/>
    </xf>
    <xf numFmtId="0" fontId="5" fillId="0" borderId="1" xfId="0" applyFont="1" applyBorder="1" applyAlignment="1">
      <alignment vertical="center" wrapText="1"/>
    </xf>
    <xf numFmtId="6" fontId="5" fillId="0" borderId="1" xfId="0" applyNumberFormat="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10" fillId="0" borderId="0" xfId="0" applyFont="1"/>
    <xf numFmtId="0" fontId="11" fillId="0" borderId="0" xfId="0" applyFont="1"/>
    <xf numFmtId="0" fontId="12"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right" vertical="center" wrapText="1" indent="1"/>
    </xf>
    <xf numFmtId="3" fontId="3"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8" fontId="3" fillId="0" borderId="1" xfId="0" applyNumberFormat="1" applyFont="1" applyBorder="1" applyAlignment="1">
      <alignment horizontal="right" vertical="center" wrapText="1"/>
    </xf>
    <xf numFmtId="0" fontId="12" fillId="0" borderId="1" xfId="0" applyFont="1" applyBorder="1" applyAlignment="1">
      <alignment horizontal="left" vertical="center" wrapText="1"/>
    </xf>
    <xf numFmtId="6" fontId="12" fillId="0" borderId="1" xfId="0" applyNumberFormat="1" applyFont="1" applyBorder="1" applyAlignment="1">
      <alignment horizontal="right" vertical="center" wrapText="1" indent="1"/>
    </xf>
    <xf numFmtId="0" fontId="1" fillId="0" borderId="0" xfId="0" applyFont="1"/>
    <xf numFmtId="16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12" fillId="0" borderId="0" xfId="0" applyFont="1" applyAlignment="1">
      <alignment vertical="center"/>
    </xf>
    <xf numFmtId="1" fontId="11" fillId="0" borderId="0" xfId="0" applyNumberFormat="1" applyFont="1"/>
    <xf numFmtId="0" fontId="17" fillId="0" borderId="0" xfId="0" applyFont="1" applyAlignment="1">
      <alignment horizontal="left" vertical="center" wrapText="1"/>
    </xf>
    <xf numFmtId="6" fontId="3" fillId="0" borderId="1" xfId="0" applyNumberFormat="1" applyFont="1" applyBorder="1" applyAlignment="1">
      <alignment horizontal="right" vertical="center" wrapText="1" indent="1"/>
    </xf>
    <xf numFmtId="6" fontId="3" fillId="0" borderId="1" xfId="0" applyNumberFormat="1" applyFont="1" applyBorder="1" applyAlignment="1">
      <alignment vertical="center" wrapText="1"/>
    </xf>
    <xf numFmtId="0" fontId="3"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21" fillId="0" borderId="0" xfId="0" applyFont="1"/>
    <xf numFmtId="1" fontId="6"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1" fontId="5" fillId="0" borderId="6" xfId="0" applyNumberFormat="1"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0" fillId="0" borderId="0" xfId="0" applyFont="1" applyAlignment="1">
      <alignment vertical="center"/>
    </xf>
    <xf numFmtId="0" fontId="3" fillId="0" borderId="1" xfId="0" applyFont="1" applyBorder="1"/>
    <xf numFmtId="165" fontId="6" fillId="0" borderId="1" xfId="0" applyNumberFormat="1" applyFont="1" applyBorder="1"/>
    <xf numFmtId="165" fontId="6" fillId="0" borderId="1" xfId="0" applyNumberFormat="1" applyFont="1" applyBorder="1" applyAlignment="1">
      <alignment horizontal="right"/>
    </xf>
    <xf numFmtId="165" fontId="6" fillId="0" borderId="1" xfId="0" applyNumberFormat="1" applyFont="1" applyBorder="1" applyAlignment="1">
      <alignment horizontal="right" vertical="center" wrapText="1"/>
    </xf>
    <xf numFmtId="165" fontId="6" fillId="0" borderId="1" xfId="0" applyNumberFormat="1" applyFont="1" applyFill="1" applyBorder="1"/>
    <xf numFmtId="6" fontId="3" fillId="0" borderId="1" xfId="0" applyNumberFormat="1" applyFont="1" applyBorder="1" applyAlignment="1">
      <alignment horizontal="center" vertical="center"/>
    </xf>
    <xf numFmtId="0" fontId="3" fillId="0" borderId="1" xfId="0" applyFont="1" applyBorder="1" applyAlignment="1">
      <alignment horizontal="center"/>
    </xf>
    <xf numFmtId="0" fontId="6" fillId="0" borderId="0" xfId="0" applyFont="1"/>
    <xf numFmtId="6" fontId="3" fillId="0" borderId="1" xfId="0" applyNumberFormat="1" applyFont="1" applyBorder="1" applyAlignment="1">
      <alignment horizontal="center"/>
    </xf>
    <xf numFmtId="6" fontId="6" fillId="0" borderId="1" xfId="0" applyNumberFormat="1" applyFont="1" applyBorder="1" applyAlignment="1">
      <alignment horizontal="center"/>
    </xf>
    <xf numFmtId="0" fontId="6" fillId="0" borderId="1" xfId="0" applyFont="1" applyBorder="1" applyAlignment="1">
      <alignment horizontal="center"/>
    </xf>
    <xf numFmtId="0" fontId="6" fillId="0" borderId="0" xfId="0" applyFont="1" applyAlignment="1">
      <alignment wrapText="1"/>
    </xf>
    <xf numFmtId="6" fontId="6" fillId="0" borderId="0" xfId="0" applyNumberFormat="1" applyFont="1"/>
    <xf numFmtId="0" fontId="17" fillId="0" borderId="0" xfId="0" applyFont="1" applyAlignment="1">
      <alignment horizontal="left" vertical="center"/>
    </xf>
    <xf numFmtId="0" fontId="17" fillId="0" borderId="0" xfId="0" applyFont="1" applyAlignment="1">
      <alignment vertical="center" wrapText="1"/>
    </xf>
    <xf numFmtId="0" fontId="0" fillId="0" borderId="0" xfId="0" applyAlignment="1">
      <alignment horizont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3" fillId="0" borderId="2" xfId="0" applyFont="1" applyBorder="1" applyAlignment="1">
      <alignment horizontal="center" vertical="top"/>
    </xf>
    <xf numFmtId="0" fontId="3" fillId="0" borderId="4" xfId="0" applyFont="1" applyBorder="1" applyAlignment="1">
      <alignment horizontal="center" vertical="top"/>
    </xf>
    <xf numFmtId="0" fontId="16" fillId="0" borderId="0" xfId="0" applyFont="1" applyAlignment="1">
      <alignment horizontal="left" vertical="center" wrapText="1"/>
    </xf>
    <xf numFmtId="0" fontId="12" fillId="0" borderId="3"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0" fontId="17" fillId="0" borderId="0" xfId="0" applyFont="1" applyAlignment="1">
      <alignment horizontal="left" vertical="center" wrapText="1"/>
    </xf>
    <xf numFmtId="0" fontId="12" fillId="0" borderId="1" xfId="0" applyFont="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4" xfId="0" applyFont="1" applyBorder="1" applyAlignment="1">
      <alignment horizontal="left"/>
    </xf>
    <xf numFmtId="0" fontId="9" fillId="0" borderId="0" xfId="0" applyFont="1" applyAlignment="1">
      <alignment horizontal="left" vertical="center" wrapText="1"/>
    </xf>
    <xf numFmtId="0" fontId="3" fillId="0" borderId="1" xfId="0" applyFont="1" applyBorder="1" applyAlignment="1">
      <alignment horizontal="center" vertical="top"/>
    </xf>
    <xf numFmtId="3" fontId="12" fillId="0" borderId="1" xfId="0" applyNumberFormat="1" applyFont="1" applyBorder="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0" xfId="0" applyFont="1" applyAlignment="1">
      <alignment horizontal="left" vertical="top" wrapText="1"/>
    </xf>
    <xf numFmtId="164" fontId="3" fillId="0" borderId="0" xfId="1" applyFont="1" applyAlignment="1">
      <alignment horizontal="left" vertical="top" wrapText="1"/>
    </xf>
    <xf numFmtId="0" fontId="22" fillId="0" borderId="1" xfId="0" applyFont="1" applyBorder="1" applyAlignment="1">
      <alignment vertical="center" wrapText="1"/>
    </xf>
  </cellXfs>
  <cellStyles count="2">
    <cellStyle name="Normal" xfId="0" builtinId="0"/>
    <cellStyle name="Normal_SSI Burden Estimate BML 060710" xfId="1" xr:uid="{CF1B0D94-986D-48F4-B7B5-B6BB3705C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CAF3-A449-405A-B78E-2B54FB26277C}">
  <dimension ref="A1:B7"/>
  <sheetViews>
    <sheetView tabSelected="1" workbookViewId="0">
      <selection activeCell="B5" sqref="B5"/>
    </sheetView>
  </sheetViews>
  <sheetFormatPr defaultRowHeight="14.5" x14ac:dyDescent="0.35"/>
  <cols>
    <col min="1" max="1" width="27.54296875" customWidth="1"/>
    <col min="2" max="2" width="10.54296875" bestFit="1" customWidth="1"/>
  </cols>
  <sheetData>
    <row r="1" spans="1:2" x14ac:dyDescent="0.35">
      <c r="A1" s="71" t="s">
        <v>0</v>
      </c>
      <c r="B1" s="71"/>
    </row>
    <row r="2" spans="1:2" x14ac:dyDescent="0.35">
      <c r="A2" t="s">
        <v>1</v>
      </c>
      <c r="B2" s="1">
        <f>'Table 1'!J52</f>
        <v>29.176470588235293</v>
      </c>
    </row>
    <row r="3" spans="1:2" x14ac:dyDescent="0.35">
      <c r="A3" t="s">
        <v>2</v>
      </c>
      <c r="B3">
        <f>Respondents!F8</f>
        <v>161</v>
      </c>
    </row>
    <row r="4" spans="1:2" x14ac:dyDescent="0.35">
      <c r="A4" t="s">
        <v>3</v>
      </c>
      <c r="B4" s="2">
        <f>'Table 1'!F48</f>
        <v>12400</v>
      </c>
    </row>
    <row r="5" spans="1:2" x14ac:dyDescent="0.35">
      <c r="A5" t="s">
        <v>4</v>
      </c>
      <c r="B5" s="3">
        <f>'Table 1'!I50</f>
        <v>5590000</v>
      </c>
    </row>
    <row r="6" spans="1:2" x14ac:dyDescent="0.35">
      <c r="A6" t="s">
        <v>5</v>
      </c>
      <c r="B6" s="3">
        <f>'Capital O&amp;M'!I12</f>
        <v>4110000</v>
      </c>
    </row>
    <row r="7" spans="1:2" x14ac:dyDescent="0.35">
      <c r="A7" t="s">
        <v>6</v>
      </c>
      <c r="B7" s="4">
        <f>Responses!E13</f>
        <v>425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D809-5A58-4C25-AA1A-9D25A6FE12B2}">
  <dimension ref="A1:L69"/>
  <sheetViews>
    <sheetView topLeftCell="A11" workbookViewId="0">
      <selection activeCell="F48" sqref="F48:H48"/>
    </sheetView>
  </sheetViews>
  <sheetFormatPr defaultColWidth="9.1796875" defaultRowHeight="14.5" x14ac:dyDescent="0.35"/>
  <cols>
    <col min="1" max="1" width="44.453125" style="26" customWidth="1"/>
    <col min="2" max="8" width="13.26953125" style="26" customWidth="1"/>
    <col min="9" max="9" width="14.7265625" style="26" customWidth="1"/>
    <col min="10" max="10" width="9.1796875" style="26"/>
    <col min="11" max="11" width="11.1796875" style="26" customWidth="1"/>
    <col min="12" max="16384" width="9.1796875" style="26"/>
  </cols>
  <sheetData>
    <row r="1" spans="1:12" x14ac:dyDescent="0.35">
      <c r="A1" s="25" t="s">
        <v>18</v>
      </c>
    </row>
    <row r="3" spans="1:12" x14ac:dyDescent="0.35">
      <c r="A3" s="82" t="s">
        <v>19</v>
      </c>
      <c r="B3" s="27" t="s">
        <v>8</v>
      </c>
      <c r="C3" s="27" t="s">
        <v>9</v>
      </c>
      <c r="D3" s="27" t="s">
        <v>10</v>
      </c>
      <c r="E3" s="27" t="s">
        <v>11</v>
      </c>
      <c r="F3" s="27" t="s">
        <v>12</v>
      </c>
      <c r="G3" s="27" t="s">
        <v>13</v>
      </c>
      <c r="H3" s="27" t="s">
        <v>14</v>
      </c>
      <c r="I3" s="27" t="s">
        <v>20</v>
      </c>
    </row>
    <row r="4" spans="1:12" ht="52" x14ac:dyDescent="0.35">
      <c r="A4" s="82"/>
      <c r="B4" s="27" t="s">
        <v>21</v>
      </c>
      <c r="C4" s="27" t="s">
        <v>22</v>
      </c>
      <c r="D4" s="27" t="s">
        <v>23</v>
      </c>
      <c r="E4" s="27" t="s">
        <v>24</v>
      </c>
      <c r="F4" s="27" t="s">
        <v>25</v>
      </c>
      <c r="G4" s="27" t="s">
        <v>26</v>
      </c>
      <c r="H4" s="27" t="s">
        <v>27</v>
      </c>
      <c r="I4" s="27" t="s">
        <v>28</v>
      </c>
    </row>
    <row r="5" spans="1:12" x14ac:dyDescent="0.35">
      <c r="A5" s="28" t="s">
        <v>29</v>
      </c>
      <c r="B5" s="12" t="s">
        <v>30</v>
      </c>
      <c r="C5" s="12"/>
      <c r="D5" s="12"/>
      <c r="E5" s="12"/>
      <c r="F5" s="12"/>
      <c r="G5" s="12"/>
      <c r="H5" s="12"/>
      <c r="I5" s="29"/>
    </row>
    <row r="6" spans="1:12" x14ac:dyDescent="0.35">
      <c r="A6" s="28" t="s">
        <v>31</v>
      </c>
      <c r="B6" s="12" t="s">
        <v>30</v>
      </c>
      <c r="C6" s="12"/>
      <c r="D6" s="12"/>
      <c r="E6" s="12"/>
      <c r="F6" s="12"/>
      <c r="G6" s="12"/>
      <c r="H6" s="12"/>
      <c r="I6" s="29"/>
    </row>
    <row r="7" spans="1:12" ht="28.5" x14ac:dyDescent="0.35">
      <c r="A7" s="28" t="s">
        <v>32</v>
      </c>
      <c r="B7" s="12">
        <v>54</v>
      </c>
      <c r="C7" s="12">
        <v>1</v>
      </c>
      <c r="D7" s="12">
        <f>B7*C7</f>
        <v>54</v>
      </c>
      <c r="E7" s="12">
        <v>0</v>
      </c>
      <c r="F7" s="30">
        <f>D7*E7</f>
        <v>0</v>
      </c>
      <c r="G7" s="12">
        <f>F7*0.05</f>
        <v>0</v>
      </c>
      <c r="H7" s="12">
        <f>F7*0.1</f>
        <v>0</v>
      </c>
      <c r="I7" s="31">
        <f>F7*$L$10+G7*$L$9+H7*$L$11</f>
        <v>0</v>
      </c>
    </row>
    <row r="8" spans="1:12" x14ac:dyDescent="0.35">
      <c r="A8" s="28" t="s">
        <v>33</v>
      </c>
      <c r="B8" s="12"/>
      <c r="C8" s="12"/>
      <c r="D8" s="12"/>
      <c r="E8" s="12"/>
      <c r="F8" s="12"/>
      <c r="G8" s="12"/>
      <c r="H8" s="12"/>
      <c r="I8" s="29"/>
      <c r="K8" s="75" t="s">
        <v>139</v>
      </c>
      <c r="L8" s="76"/>
    </row>
    <row r="9" spans="1:12" ht="15.5" x14ac:dyDescent="0.35">
      <c r="A9" s="28" t="s">
        <v>34</v>
      </c>
      <c r="B9" s="12">
        <v>1</v>
      </c>
      <c r="C9" s="12">
        <v>1</v>
      </c>
      <c r="D9" s="12">
        <f>B9*C9</f>
        <v>1</v>
      </c>
      <c r="E9" s="12">
        <v>161</v>
      </c>
      <c r="F9" s="30">
        <f>D9*E9</f>
        <v>161</v>
      </c>
      <c r="G9" s="12">
        <f>F9*0.05</f>
        <v>8.0500000000000007</v>
      </c>
      <c r="H9" s="12">
        <f>F9*0.1</f>
        <v>16.100000000000001</v>
      </c>
      <c r="I9" s="32">
        <f>F9*$L$10+G9*$L$9+H9*$L$11</f>
        <v>22229.672500000001</v>
      </c>
      <c r="K9" s="56" t="s">
        <v>140</v>
      </c>
      <c r="L9" s="57">
        <v>157.61000000000001</v>
      </c>
    </row>
    <row r="10" spans="1:12" x14ac:dyDescent="0.35">
      <c r="A10" s="28" t="s">
        <v>35</v>
      </c>
      <c r="B10" s="12"/>
      <c r="C10" s="12"/>
      <c r="D10" s="12"/>
      <c r="E10" s="12"/>
      <c r="F10" s="12"/>
      <c r="G10" s="12"/>
      <c r="H10" s="12"/>
      <c r="I10" s="29"/>
      <c r="K10" s="56" t="s">
        <v>141</v>
      </c>
      <c r="L10" s="60">
        <v>123.94</v>
      </c>
    </row>
    <row r="11" spans="1:12" ht="15.5" x14ac:dyDescent="0.35">
      <c r="A11" s="28" t="s">
        <v>36</v>
      </c>
      <c r="B11" s="12">
        <v>24</v>
      </c>
      <c r="C11" s="12">
        <v>1</v>
      </c>
      <c r="D11" s="12">
        <f t="shared" ref="D11:D13" si="0">B11*C11</f>
        <v>24</v>
      </c>
      <c r="E11" s="12">
        <v>0</v>
      </c>
      <c r="F11" s="30">
        <f t="shared" ref="F11:F13" si="1">D11*E11</f>
        <v>0</v>
      </c>
      <c r="G11" s="12">
        <f t="shared" ref="G11:G13" si="2">F11*0.05</f>
        <v>0</v>
      </c>
      <c r="H11" s="12">
        <f t="shared" ref="H11:H13" si="3">F11*0.1</f>
        <v>0</v>
      </c>
      <c r="I11" s="31">
        <f>F11*$L$10+G11*$L$9+H11*$L$11</f>
        <v>0</v>
      </c>
      <c r="K11" s="56" t="s">
        <v>142</v>
      </c>
      <c r="L11" s="60">
        <v>62.52</v>
      </c>
    </row>
    <row r="12" spans="1:12" ht="15.5" x14ac:dyDescent="0.35">
      <c r="A12" s="28" t="s">
        <v>37</v>
      </c>
      <c r="B12" s="12">
        <v>24</v>
      </c>
      <c r="C12" s="12">
        <v>0.2</v>
      </c>
      <c r="D12" s="12">
        <f t="shared" si="0"/>
        <v>4.8000000000000007</v>
      </c>
      <c r="E12" s="12">
        <v>0</v>
      </c>
      <c r="F12" s="30">
        <f t="shared" si="1"/>
        <v>0</v>
      </c>
      <c r="G12" s="12">
        <f t="shared" si="2"/>
        <v>0</v>
      </c>
      <c r="H12" s="12">
        <f t="shared" si="3"/>
        <v>0</v>
      </c>
      <c r="I12" s="31">
        <f>F12*$L$10+G12*$L$9+H12*$L$11</f>
        <v>0</v>
      </c>
    </row>
    <row r="13" spans="1:12" ht="15.5" x14ac:dyDescent="0.35">
      <c r="A13" s="28" t="s">
        <v>38</v>
      </c>
      <c r="B13" s="12">
        <v>32</v>
      </c>
      <c r="C13" s="12">
        <v>1</v>
      </c>
      <c r="D13" s="12">
        <f t="shared" si="0"/>
        <v>32</v>
      </c>
      <c r="E13" s="12">
        <v>0</v>
      </c>
      <c r="F13" s="30">
        <f t="shared" si="1"/>
        <v>0</v>
      </c>
      <c r="G13" s="12">
        <f t="shared" si="2"/>
        <v>0</v>
      </c>
      <c r="H13" s="12">
        <f t="shared" si="3"/>
        <v>0</v>
      </c>
      <c r="I13" s="31">
        <f>F13*$L$10+G13*$L$9+H13*$L$11</f>
        <v>0</v>
      </c>
    </row>
    <row r="14" spans="1:12" ht="15.5" x14ac:dyDescent="0.35">
      <c r="A14" s="28" t="s">
        <v>39</v>
      </c>
      <c r="B14" s="12" t="s">
        <v>30</v>
      </c>
      <c r="C14" s="12"/>
      <c r="D14" s="12"/>
      <c r="E14" s="12"/>
      <c r="F14" s="30"/>
      <c r="G14" s="12"/>
      <c r="H14" s="12"/>
      <c r="I14" s="32"/>
    </row>
    <row r="15" spans="1:12" x14ac:dyDescent="0.35">
      <c r="A15" s="28" t="s">
        <v>40</v>
      </c>
      <c r="B15" s="12" t="s">
        <v>41</v>
      </c>
      <c r="C15" s="12"/>
      <c r="D15" s="12"/>
      <c r="E15" s="12"/>
      <c r="F15" s="12"/>
      <c r="G15" s="12"/>
      <c r="H15" s="12"/>
      <c r="I15" s="29"/>
    </row>
    <row r="16" spans="1:12" x14ac:dyDescent="0.35">
      <c r="A16" s="28" t="s">
        <v>42</v>
      </c>
      <c r="B16" s="12" t="s">
        <v>41</v>
      </c>
      <c r="C16" s="12"/>
      <c r="D16" s="12"/>
      <c r="E16" s="12"/>
      <c r="F16" s="12"/>
      <c r="G16" s="12"/>
      <c r="H16" s="12"/>
      <c r="I16" s="29"/>
    </row>
    <row r="17" spans="1:10" x14ac:dyDescent="0.35">
      <c r="A17" s="28" t="s">
        <v>43</v>
      </c>
      <c r="B17" s="12"/>
      <c r="C17" s="12"/>
      <c r="D17" s="12"/>
      <c r="E17" s="12"/>
      <c r="F17" s="12"/>
      <c r="G17" s="12"/>
      <c r="H17" s="12"/>
      <c r="I17" s="29"/>
    </row>
    <row r="18" spans="1:10" ht="15.5" x14ac:dyDescent="0.35">
      <c r="A18" s="28" t="s">
        <v>44</v>
      </c>
      <c r="B18" s="12">
        <v>2</v>
      </c>
      <c r="C18" s="12">
        <v>1</v>
      </c>
      <c r="D18" s="12">
        <f>B18*C18</f>
        <v>2</v>
      </c>
      <c r="E18" s="12">
        <v>0</v>
      </c>
      <c r="F18" s="30">
        <f>D18*E18</f>
        <v>0</v>
      </c>
      <c r="G18" s="12">
        <f>F18*0.05</f>
        <v>0</v>
      </c>
      <c r="H18" s="12">
        <f>F18*0.1</f>
        <v>0</v>
      </c>
      <c r="I18" s="31">
        <f>F18*$L$10+G18*$L$9+H18*$L$11</f>
        <v>0</v>
      </c>
    </row>
    <row r="19" spans="1:10" x14ac:dyDescent="0.35">
      <c r="A19" s="28" t="s">
        <v>45</v>
      </c>
      <c r="B19" s="12" t="s">
        <v>30</v>
      </c>
      <c r="C19" s="12"/>
      <c r="D19" s="12"/>
      <c r="E19" s="12"/>
      <c r="F19" s="12"/>
      <c r="G19" s="12"/>
      <c r="H19" s="12"/>
      <c r="I19" s="29"/>
    </row>
    <row r="20" spans="1:10" x14ac:dyDescent="0.35">
      <c r="A20" s="28" t="s">
        <v>46</v>
      </c>
      <c r="B20" s="12" t="s">
        <v>30</v>
      </c>
      <c r="C20" s="12"/>
      <c r="D20" s="12"/>
      <c r="E20" s="12"/>
      <c r="F20" s="12"/>
      <c r="G20" s="12"/>
      <c r="H20" s="12"/>
      <c r="I20" s="29"/>
    </row>
    <row r="21" spans="1:10" x14ac:dyDescent="0.35">
      <c r="A21" s="28" t="s">
        <v>47</v>
      </c>
      <c r="B21" s="12" t="s">
        <v>30</v>
      </c>
      <c r="C21" s="18"/>
      <c r="D21" s="18"/>
      <c r="E21" s="18"/>
      <c r="F21" s="18"/>
      <c r="G21" s="18"/>
      <c r="H21" s="18"/>
      <c r="I21" s="18"/>
    </row>
    <row r="22" spans="1:10" ht="15.5" x14ac:dyDescent="0.35">
      <c r="A22" s="28" t="s">
        <v>48</v>
      </c>
      <c r="B22" s="12">
        <v>2</v>
      </c>
      <c r="C22" s="12">
        <v>1</v>
      </c>
      <c r="D22" s="12">
        <f t="shared" ref="D22:D24" si="4">B22*C22</f>
        <v>2</v>
      </c>
      <c r="E22" s="12">
        <v>0</v>
      </c>
      <c r="F22" s="30">
        <f t="shared" ref="F22:F24" si="5">D22*E22</f>
        <v>0</v>
      </c>
      <c r="G22" s="12">
        <f t="shared" ref="G22:G24" si="6">F22*0.05</f>
        <v>0</v>
      </c>
      <c r="H22" s="12">
        <f t="shared" ref="H22:H24" si="7">F22*0.1</f>
        <v>0</v>
      </c>
      <c r="I22" s="31">
        <f>F22*$L$10+G22*$L$9+H22*$L$11</f>
        <v>0</v>
      </c>
    </row>
    <row r="23" spans="1:10" ht="15.5" x14ac:dyDescent="0.35">
      <c r="A23" s="28" t="s">
        <v>49</v>
      </c>
      <c r="B23" s="12">
        <v>4</v>
      </c>
      <c r="C23" s="12">
        <v>1</v>
      </c>
      <c r="D23" s="12">
        <f t="shared" si="4"/>
        <v>4</v>
      </c>
      <c r="E23" s="12">
        <v>53</v>
      </c>
      <c r="F23" s="30">
        <f t="shared" si="5"/>
        <v>212</v>
      </c>
      <c r="G23" s="12">
        <f t="shared" si="6"/>
        <v>10.600000000000001</v>
      </c>
      <c r="H23" s="12">
        <f t="shared" si="7"/>
        <v>21.200000000000003</v>
      </c>
      <c r="I23" s="32">
        <f>F23*$L$10+G23*$L$9+H23*$L$11</f>
        <v>29271.37</v>
      </c>
    </row>
    <row r="24" spans="1:10" ht="15.5" x14ac:dyDescent="0.35">
      <c r="A24" s="28" t="s">
        <v>50</v>
      </c>
      <c r="B24" s="12">
        <v>2</v>
      </c>
      <c r="C24" s="12">
        <v>1</v>
      </c>
      <c r="D24" s="12">
        <f t="shared" si="4"/>
        <v>2</v>
      </c>
      <c r="E24" s="12">
        <v>0</v>
      </c>
      <c r="F24" s="30">
        <f t="shared" si="5"/>
        <v>0</v>
      </c>
      <c r="G24" s="12">
        <f t="shared" si="6"/>
        <v>0</v>
      </c>
      <c r="H24" s="12">
        <f t="shared" si="7"/>
        <v>0</v>
      </c>
      <c r="I24" s="31">
        <f>F24*$L$10+G24*$L$9+H24*$L$11</f>
        <v>0</v>
      </c>
    </row>
    <row r="25" spans="1:10" x14ac:dyDescent="0.35">
      <c r="A25" s="28" t="s">
        <v>51</v>
      </c>
      <c r="B25" s="12" t="s">
        <v>41</v>
      </c>
      <c r="C25" s="12"/>
      <c r="D25" s="12"/>
      <c r="E25" s="12"/>
      <c r="F25" s="12"/>
      <c r="G25" s="12"/>
      <c r="H25" s="12"/>
      <c r="I25" s="29"/>
    </row>
    <row r="26" spans="1:10" ht="15.5" x14ac:dyDescent="0.35">
      <c r="A26" s="28" t="s">
        <v>52</v>
      </c>
      <c r="B26" s="12">
        <v>8</v>
      </c>
      <c r="C26" s="12">
        <v>2</v>
      </c>
      <c r="D26" s="12">
        <f t="shared" ref="D26:D27" si="8">B26*C26</f>
        <v>16</v>
      </c>
      <c r="E26" s="30">
        <v>161</v>
      </c>
      <c r="F26" s="30">
        <f t="shared" ref="F26:F27" si="9">D26*E26</f>
        <v>2576</v>
      </c>
      <c r="G26" s="12">
        <f t="shared" ref="G26:G27" si="10">F26*0.05</f>
        <v>128.80000000000001</v>
      </c>
      <c r="H26" s="12">
        <f t="shared" ref="H26:H27" si="11">F26*0.1</f>
        <v>257.60000000000002</v>
      </c>
      <c r="I26" s="32">
        <f>F26*$L$10+G26*$L$9+H26*$L$11</f>
        <v>355674.76</v>
      </c>
    </row>
    <row r="27" spans="1:10" ht="15.5" x14ac:dyDescent="0.35">
      <c r="A27" s="28" t="s">
        <v>53</v>
      </c>
      <c r="B27" s="12">
        <v>2</v>
      </c>
      <c r="C27" s="12">
        <v>1</v>
      </c>
      <c r="D27" s="12">
        <f t="shared" si="8"/>
        <v>2</v>
      </c>
      <c r="E27" s="30">
        <v>50</v>
      </c>
      <c r="F27" s="30">
        <f t="shared" si="9"/>
        <v>100</v>
      </c>
      <c r="G27" s="12">
        <f t="shared" si="10"/>
        <v>5</v>
      </c>
      <c r="H27" s="12">
        <f t="shared" si="11"/>
        <v>10</v>
      </c>
      <c r="I27" s="32">
        <f>F27*$L$10+G27*$L$9+H27*$L$11</f>
        <v>13807.25</v>
      </c>
    </row>
    <row r="28" spans="1:10" x14ac:dyDescent="0.35">
      <c r="A28" s="33" t="s">
        <v>54</v>
      </c>
      <c r="B28" s="27"/>
      <c r="C28" s="27"/>
      <c r="D28" s="27"/>
      <c r="E28" s="27"/>
      <c r="F28" s="83">
        <f>SUM(F7:H27)</f>
        <v>3506.35</v>
      </c>
      <c r="G28" s="84"/>
      <c r="H28" s="85"/>
      <c r="I28" s="34">
        <f>SUM(I7:I27)</f>
        <v>420983.05249999999</v>
      </c>
    </row>
    <row r="29" spans="1:10" x14ac:dyDescent="0.35">
      <c r="A29" s="28" t="s">
        <v>55</v>
      </c>
      <c r="B29" s="12"/>
      <c r="C29" s="12"/>
      <c r="D29" s="12"/>
      <c r="E29" s="12"/>
      <c r="F29" s="12"/>
      <c r="G29" s="12"/>
      <c r="H29" s="12"/>
      <c r="I29" s="29"/>
    </row>
    <row r="30" spans="1:10" x14ac:dyDescent="0.35">
      <c r="A30" s="28" t="s">
        <v>56</v>
      </c>
      <c r="B30" s="12" t="s">
        <v>57</v>
      </c>
      <c r="C30" s="12"/>
      <c r="D30" s="12"/>
      <c r="E30" s="12"/>
      <c r="F30" s="12"/>
      <c r="G30" s="12"/>
      <c r="H30" s="12"/>
      <c r="I30" s="29"/>
      <c r="J30" s="35"/>
    </row>
    <row r="31" spans="1:10" x14ac:dyDescent="0.35">
      <c r="A31" s="28" t="s">
        <v>58</v>
      </c>
      <c r="B31" s="12" t="s">
        <v>59</v>
      </c>
      <c r="C31" s="12"/>
      <c r="D31" s="12"/>
      <c r="E31" s="12"/>
      <c r="F31" s="12"/>
      <c r="G31" s="12"/>
      <c r="H31" s="12"/>
      <c r="I31" s="29"/>
    </row>
    <row r="32" spans="1:10" x14ac:dyDescent="0.35">
      <c r="A32" s="28" t="s">
        <v>60</v>
      </c>
      <c r="B32" s="12" t="s">
        <v>41</v>
      </c>
      <c r="C32" s="12"/>
      <c r="D32" s="12"/>
      <c r="E32" s="12"/>
      <c r="F32" s="12"/>
      <c r="G32" s="12"/>
      <c r="H32" s="12"/>
      <c r="I32" s="29"/>
    </row>
    <row r="33" spans="1:9" x14ac:dyDescent="0.35">
      <c r="A33" s="28" t="s">
        <v>61</v>
      </c>
      <c r="B33" s="12">
        <v>0.1</v>
      </c>
      <c r="C33" s="12">
        <v>36</v>
      </c>
      <c r="D33" s="12">
        <f t="shared" ref="D33:D34" si="12">B33*C33</f>
        <v>3.6</v>
      </c>
      <c r="E33" s="12">
        <v>161</v>
      </c>
      <c r="F33" s="36">
        <f t="shared" ref="F33:F34" si="13">D33*E33</f>
        <v>579.6</v>
      </c>
      <c r="G33" s="12">
        <f t="shared" ref="G33:G34" si="14">F33*0.05</f>
        <v>28.980000000000004</v>
      </c>
      <c r="H33" s="12">
        <f t="shared" ref="H33:H34" si="15">F33*0.1</f>
        <v>57.960000000000008</v>
      </c>
      <c r="I33" s="32">
        <f>F33*$L$10+G33*$L$9+H33*$L$11</f>
        <v>80026.820999999996</v>
      </c>
    </row>
    <row r="34" spans="1:9" ht="15.5" x14ac:dyDescent="0.35">
      <c r="A34" s="28" t="s">
        <v>53</v>
      </c>
      <c r="B34" s="12">
        <v>2</v>
      </c>
      <c r="C34" s="12">
        <v>1</v>
      </c>
      <c r="D34" s="12">
        <f t="shared" si="12"/>
        <v>2</v>
      </c>
      <c r="E34" s="30">
        <v>50</v>
      </c>
      <c r="F34" s="30">
        <f t="shared" si="13"/>
        <v>100</v>
      </c>
      <c r="G34" s="12">
        <f t="shared" si="14"/>
        <v>5</v>
      </c>
      <c r="H34" s="12">
        <f t="shared" si="15"/>
        <v>10</v>
      </c>
      <c r="I34" s="32">
        <f>F34*$L$10+G34*$L$9+H34*$L$11</f>
        <v>13807.25</v>
      </c>
    </row>
    <row r="35" spans="1:9" x14ac:dyDescent="0.35">
      <c r="A35" s="28" t="s">
        <v>62</v>
      </c>
      <c r="B35" s="12" t="s">
        <v>30</v>
      </c>
      <c r="C35" s="12"/>
      <c r="D35" s="12"/>
      <c r="E35" s="12"/>
      <c r="F35" s="12"/>
      <c r="G35" s="12"/>
      <c r="H35" s="12"/>
      <c r="I35" s="29"/>
    </row>
    <row r="36" spans="1:9" x14ac:dyDescent="0.35">
      <c r="A36" s="28" t="s">
        <v>63</v>
      </c>
      <c r="B36" s="12"/>
      <c r="C36" s="12"/>
      <c r="D36" s="12"/>
      <c r="E36" s="12"/>
      <c r="F36" s="12"/>
      <c r="G36" s="12"/>
      <c r="H36" s="12"/>
      <c r="I36" s="29"/>
    </row>
    <row r="37" spans="1:9" ht="26" x14ac:dyDescent="0.35">
      <c r="A37" s="28" t="s">
        <v>64</v>
      </c>
      <c r="B37" s="12" t="s">
        <v>30</v>
      </c>
      <c r="C37" s="18"/>
      <c r="D37" s="18"/>
      <c r="E37" s="18"/>
      <c r="F37" s="18"/>
      <c r="G37" s="18"/>
      <c r="H37" s="18"/>
      <c r="I37" s="18"/>
    </row>
    <row r="38" spans="1:9" ht="15.5" x14ac:dyDescent="0.35">
      <c r="A38" s="28" t="s">
        <v>65</v>
      </c>
      <c r="B38" s="12">
        <v>1.5</v>
      </c>
      <c r="C38" s="12">
        <v>52</v>
      </c>
      <c r="D38" s="12">
        <f t="shared" ref="D38:D40" si="16">B38*C38</f>
        <v>78</v>
      </c>
      <c r="E38" s="12">
        <v>53</v>
      </c>
      <c r="F38" s="30">
        <f t="shared" ref="F38:F40" si="17">D38*E38</f>
        <v>4134</v>
      </c>
      <c r="G38" s="12">
        <f t="shared" ref="G38:G40" si="18">F38*0.05</f>
        <v>206.70000000000002</v>
      </c>
      <c r="H38" s="12">
        <f t="shared" ref="H38:H40" si="19">F38*0.1</f>
        <v>413.40000000000003</v>
      </c>
      <c r="I38" s="32">
        <f>F38*$L$10+G38*$L$9+H38*$L$11</f>
        <v>570791.71499999997</v>
      </c>
    </row>
    <row r="39" spans="1:9" ht="15.5" x14ac:dyDescent="0.35">
      <c r="A39" s="28" t="s">
        <v>66</v>
      </c>
      <c r="B39" s="12">
        <v>0.5</v>
      </c>
      <c r="C39" s="12">
        <v>52</v>
      </c>
      <c r="D39" s="12">
        <f t="shared" si="16"/>
        <v>26</v>
      </c>
      <c r="E39" s="30">
        <v>108</v>
      </c>
      <c r="F39" s="30">
        <f t="shared" si="17"/>
        <v>2808</v>
      </c>
      <c r="G39" s="12">
        <f t="shared" si="18"/>
        <v>140.4</v>
      </c>
      <c r="H39" s="12">
        <f t="shared" si="19"/>
        <v>280.8</v>
      </c>
      <c r="I39" s="32">
        <f>F39*$L$10+G39*$L$9+H39*$L$11</f>
        <v>387707.58</v>
      </c>
    </row>
    <row r="40" spans="1:9" ht="15.5" x14ac:dyDescent="0.35">
      <c r="A40" s="28" t="s">
        <v>67</v>
      </c>
      <c r="B40" s="12">
        <v>4</v>
      </c>
      <c r="C40" s="12">
        <v>1</v>
      </c>
      <c r="D40" s="12">
        <f t="shared" si="16"/>
        <v>4</v>
      </c>
      <c r="E40" s="12">
        <v>0</v>
      </c>
      <c r="F40" s="30">
        <f t="shared" si="17"/>
        <v>0</v>
      </c>
      <c r="G40" s="12">
        <f t="shared" si="18"/>
        <v>0</v>
      </c>
      <c r="H40" s="12">
        <f t="shared" si="19"/>
        <v>0</v>
      </c>
      <c r="I40" s="31">
        <f>F40*$L$10+G40*$L$9+H40*$L$11</f>
        <v>0</v>
      </c>
    </row>
    <row r="41" spans="1:9" ht="26" x14ac:dyDescent="0.35">
      <c r="A41" s="28" t="s">
        <v>68</v>
      </c>
      <c r="B41" s="12" t="s">
        <v>30</v>
      </c>
      <c r="C41" s="18"/>
      <c r="D41" s="18"/>
      <c r="E41" s="18"/>
      <c r="F41" s="18"/>
      <c r="G41" s="18"/>
      <c r="H41" s="18"/>
      <c r="I41" s="18"/>
    </row>
    <row r="42" spans="1:9" x14ac:dyDescent="0.35">
      <c r="A42" s="28" t="s">
        <v>69</v>
      </c>
      <c r="B42" s="12"/>
      <c r="C42" s="12"/>
      <c r="D42" s="12"/>
      <c r="E42" s="12"/>
      <c r="F42" s="12"/>
      <c r="G42" s="12"/>
      <c r="H42" s="12"/>
      <c r="I42" s="29"/>
    </row>
    <row r="43" spans="1:9" ht="15.5" x14ac:dyDescent="0.35">
      <c r="A43" s="28" t="s">
        <v>70</v>
      </c>
      <c r="B43" s="12">
        <v>0.25</v>
      </c>
      <c r="C43" s="12">
        <v>2</v>
      </c>
      <c r="D43" s="12">
        <f t="shared" ref="D43:D45" si="20">B43*C43</f>
        <v>0.5</v>
      </c>
      <c r="E43" s="12">
        <v>0</v>
      </c>
      <c r="F43" s="30">
        <f t="shared" ref="F43:F45" si="21">D43*E43</f>
        <v>0</v>
      </c>
      <c r="G43" s="12">
        <f t="shared" ref="G43:G45" si="22">F43*0.05</f>
        <v>0</v>
      </c>
      <c r="H43" s="12">
        <f t="shared" ref="H43:H45" si="23">F43*0.1</f>
        <v>0</v>
      </c>
      <c r="I43" s="31">
        <f>F43*$L$10+G43*$L$9+H43*$L$11</f>
        <v>0</v>
      </c>
    </row>
    <row r="44" spans="1:9" ht="15.5" x14ac:dyDescent="0.35">
      <c r="A44" s="28" t="s">
        <v>71</v>
      </c>
      <c r="B44" s="12">
        <v>0.25</v>
      </c>
      <c r="C44" s="12">
        <v>2</v>
      </c>
      <c r="D44" s="12">
        <f t="shared" si="20"/>
        <v>0.5</v>
      </c>
      <c r="E44" s="30">
        <v>161</v>
      </c>
      <c r="F44" s="30">
        <f t="shared" si="21"/>
        <v>80.5</v>
      </c>
      <c r="G44" s="37">
        <f t="shared" si="22"/>
        <v>4.0250000000000004</v>
      </c>
      <c r="H44" s="12">
        <f t="shared" si="23"/>
        <v>8.0500000000000007</v>
      </c>
      <c r="I44" s="32">
        <f>F44*$L$10+G44*$L$9+H44*$L$11</f>
        <v>11114.83625</v>
      </c>
    </row>
    <row r="45" spans="1:9" ht="15.5" x14ac:dyDescent="0.35">
      <c r="A45" s="28" t="s">
        <v>72</v>
      </c>
      <c r="B45" s="12">
        <v>1</v>
      </c>
      <c r="C45" s="12">
        <v>1</v>
      </c>
      <c r="D45" s="12">
        <f t="shared" si="20"/>
        <v>1</v>
      </c>
      <c r="E45" s="30">
        <v>50</v>
      </c>
      <c r="F45" s="30">
        <f t="shared" si="21"/>
        <v>50</v>
      </c>
      <c r="G45" s="12">
        <f t="shared" si="22"/>
        <v>2.5</v>
      </c>
      <c r="H45" s="12">
        <f t="shared" si="23"/>
        <v>5</v>
      </c>
      <c r="I45" s="32">
        <f>F45*$L$10+G45*$L$9+H45*$L$11</f>
        <v>6903.625</v>
      </c>
    </row>
    <row r="46" spans="1:9" x14ac:dyDescent="0.35">
      <c r="A46" s="28" t="s">
        <v>73</v>
      </c>
      <c r="B46" s="12" t="s">
        <v>74</v>
      </c>
      <c r="C46" s="12"/>
      <c r="D46" s="12"/>
      <c r="E46" s="12"/>
      <c r="F46" s="12"/>
      <c r="G46" s="12"/>
      <c r="H46" s="12"/>
      <c r="I46" s="29"/>
    </row>
    <row r="47" spans="1:9" x14ac:dyDescent="0.35">
      <c r="A47" s="33" t="s">
        <v>75</v>
      </c>
      <c r="B47" s="27"/>
      <c r="C47" s="27"/>
      <c r="D47" s="27"/>
      <c r="E47" s="27"/>
      <c r="F47" s="83">
        <f>SUM(F30:H44)</f>
        <v>8857.4149999999972</v>
      </c>
      <c r="G47" s="84"/>
      <c r="H47" s="85"/>
      <c r="I47" s="34">
        <f>SUM(I30:I44)</f>
        <v>1063448.2022499999</v>
      </c>
    </row>
    <row r="48" spans="1:9" x14ac:dyDescent="0.35">
      <c r="A48" s="86" t="s">
        <v>76</v>
      </c>
      <c r="B48" s="87"/>
      <c r="C48" s="87"/>
      <c r="D48" s="87"/>
      <c r="E48" s="88"/>
      <c r="F48" s="83">
        <f>ROUND(SUM(F28,F47),-2)</f>
        <v>12400</v>
      </c>
      <c r="G48" s="84"/>
      <c r="H48" s="85"/>
      <c r="I48" s="34">
        <f>ROUND(SUM(I47,I28),-4)</f>
        <v>1480000</v>
      </c>
    </row>
    <row r="49" spans="1:11" ht="15.5" x14ac:dyDescent="0.35">
      <c r="A49" s="78" t="s">
        <v>77</v>
      </c>
      <c r="B49" s="78"/>
      <c r="C49" s="78"/>
      <c r="D49" s="78"/>
      <c r="E49" s="78"/>
      <c r="F49" s="78"/>
      <c r="G49" s="78"/>
      <c r="H49" s="89"/>
      <c r="I49" s="34">
        <f>'Capital O&amp;M'!I12</f>
        <v>4110000</v>
      </c>
    </row>
    <row r="50" spans="1:11" ht="15.5" x14ac:dyDescent="0.35">
      <c r="A50" s="78" t="s">
        <v>78</v>
      </c>
      <c r="B50" s="79"/>
      <c r="C50" s="79"/>
      <c r="D50" s="79"/>
      <c r="E50" s="79"/>
      <c r="F50" s="79"/>
      <c r="G50" s="79"/>
      <c r="H50" s="80"/>
      <c r="I50" s="34">
        <f>SUM(I48:I49)</f>
        <v>5590000</v>
      </c>
    </row>
    <row r="52" spans="1:11" x14ac:dyDescent="0.35">
      <c r="A52" s="38" t="s">
        <v>79</v>
      </c>
      <c r="J52" s="39">
        <f>F48/Responses!E13</f>
        <v>29.176470588235293</v>
      </c>
      <c r="K52" s="26" t="s">
        <v>80</v>
      </c>
    </row>
    <row r="53" spans="1:11" ht="35.25" customHeight="1" x14ac:dyDescent="0.35">
      <c r="A53" s="77" t="s">
        <v>81</v>
      </c>
      <c r="B53" s="77"/>
      <c r="C53" s="77"/>
      <c r="D53" s="77"/>
      <c r="E53" s="77"/>
      <c r="F53" s="77"/>
      <c r="G53" s="77"/>
      <c r="H53" s="77"/>
      <c r="I53" s="77"/>
    </row>
    <row r="54" spans="1:11" ht="55.5" customHeight="1" x14ac:dyDescent="0.35">
      <c r="A54" s="81" t="s">
        <v>143</v>
      </c>
      <c r="B54" s="81"/>
      <c r="C54" s="81"/>
      <c r="D54" s="81"/>
      <c r="E54" s="81"/>
      <c r="F54" s="81"/>
      <c r="G54" s="81"/>
      <c r="H54" s="81"/>
      <c r="I54" s="81"/>
    </row>
    <row r="55" spans="1:11" ht="30" customHeight="1" x14ac:dyDescent="0.35">
      <c r="A55" s="72" t="s">
        <v>82</v>
      </c>
      <c r="B55" s="73"/>
      <c r="C55" s="73"/>
      <c r="D55" s="73"/>
      <c r="E55" s="73"/>
      <c r="F55" s="73"/>
      <c r="G55" s="73"/>
      <c r="H55" s="73"/>
      <c r="I55" s="73"/>
    </row>
    <row r="56" spans="1:11" x14ac:dyDescent="0.35">
      <c r="A56" s="77" t="s">
        <v>83</v>
      </c>
      <c r="B56" s="73"/>
      <c r="C56" s="73"/>
      <c r="D56" s="73"/>
      <c r="E56" s="73"/>
      <c r="F56" s="73"/>
      <c r="G56" s="73"/>
      <c r="H56" s="73"/>
      <c r="I56" s="73"/>
    </row>
    <row r="57" spans="1:11" ht="47.25" customHeight="1" x14ac:dyDescent="0.35">
      <c r="A57" s="77" t="s">
        <v>84</v>
      </c>
      <c r="B57" s="73"/>
      <c r="C57" s="73"/>
      <c r="D57" s="73"/>
      <c r="E57" s="73"/>
      <c r="F57" s="73"/>
      <c r="G57" s="73"/>
      <c r="H57" s="73"/>
      <c r="I57" s="73"/>
    </row>
    <row r="58" spans="1:11" ht="65.25" customHeight="1" x14ac:dyDescent="0.35">
      <c r="A58" s="77" t="s">
        <v>85</v>
      </c>
      <c r="B58" s="73"/>
      <c r="C58" s="73"/>
      <c r="D58" s="73"/>
      <c r="E58" s="73"/>
      <c r="F58" s="73"/>
      <c r="G58" s="73"/>
      <c r="H58" s="73"/>
      <c r="I58" s="73"/>
    </row>
    <row r="59" spans="1:11" x14ac:dyDescent="0.35">
      <c r="A59" s="77" t="s">
        <v>86</v>
      </c>
      <c r="B59" s="73"/>
      <c r="C59" s="73"/>
      <c r="D59" s="73"/>
      <c r="E59" s="73"/>
      <c r="F59" s="73"/>
      <c r="G59" s="73"/>
      <c r="H59" s="73"/>
      <c r="I59" s="73"/>
    </row>
    <row r="60" spans="1:11" x14ac:dyDescent="0.35">
      <c r="A60" s="77" t="s">
        <v>87</v>
      </c>
      <c r="B60" s="73"/>
      <c r="C60" s="73"/>
      <c r="D60" s="73"/>
      <c r="E60" s="73"/>
      <c r="F60" s="73"/>
      <c r="G60" s="73"/>
      <c r="H60" s="73"/>
      <c r="I60" s="73"/>
    </row>
    <row r="61" spans="1:11" x14ac:dyDescent="0.35">
      <c r="A61" s="72" t="s">
        <v>88</v>
      </c>
      <c r="B61" s="73"/>
      <c r="C61" s="73"/>
      <c r="D61" s="73"/>
      <c r="E61" s="73"/>
      <c r="F61" s="73"/>
      <c r="G61" s="73"/>
      <c r="H61" s="73"/>
      <c r="I61" s="73"/>
    </row>
    <row r="62" spans="1:11" x14ac:dyDescent="0.35">
      <c r="A62" s="72" t="s">
        <v>89</v>
      </c>
      <c r="B62" s="73"/>
      <c r="C62" s="73"/>
      <c r="D62" s="73"/>
      <c r="E62" s="73"/>
      <c r="F62" s="73"/>
      <c r="G62" s="73"/>
      <c r="H62" s="73"/>
      <c r="I62" s="73"/>
    </row>
    <row r="63" spans="1:11" x14ac:dyDescent="0.35">
      <c r="A63" s="72" t="s">
        <v>90</v>
      </c>
      <c r="B63" s="73"/>
      <c r="C63" s="73"/>
      <c r="D63" s="73"/>
      <c r="E63" s="73"/>
      <c r="F63" s="73"/>
      <c r="G63" s="73"/>
      <c r="H63" s="73"/>
      <c r="I63" s="73"/>
    </row>
    <row r="64" spans="1:11" x14ac:dyDescent="0.35">
      <c r="A64" s="72" t="s">
        <v>91</v>
      </c>
      <c r="B64" s="73"/>
      <c r="C64" s="73"/>
      <c r="D64" s="73"/>
      <c r="E64" s="73"/>
      <c r="F64" s="73"/>
      <c r="G64" s="73"/>
      <c r="H64" s="73"/>
      <c r="I64" s="73"/>
    </row>
    <row r="65" spans="1:9" x14ac:dyDescent="0.35">
      <c r="A65" s="72" t="s">
        <v>92</v>
      </c>
      <c r="B65" s="73"/>
      <c r="C65" s="73"/>
      <c r="D65" s="73"/>
      <c r="E65" s="73"/>
      <c r="F65" s="73"/>
      <c r="G65" s="73"/>
      <c r="H65" s="73"/>
      <c r="I65" s="73"/>
    </row>
    <row r="66" spans="1:9" x14ac:dyDescent="0.35">
      <c r="A66" s="72" t="s">
        <v>93</v>
      </c>
      <c r="B66" s="73"/>
      <c r="C66" s="73"/>
      <c r="D66" s="73"/>
      <c r="E66" s="73"/>
      <c r="F66" s="73"/>
      <c r="G66" s="73"/>
      <c r="H66" s="73"/>
      <c r="I66" s="73"/>
    </row>
    <row r="67" spans="1:9" x14ac:dyDescent="0.35">
      <c r="A67" s="72" t="s">
        <v>94</v>
      </c>
      <c r="B67" s="74"/>
      <c r="C67" s="74"/>
      <c r="D67" s="74"/>
      <c r="E67" s="74"/>
      <c r="F67" s="74"/>
      <c r="G67" s="74"/>
      <c r="H67" s="74"/>
      <c r="I67" s="74"/>
    </row>
    <row r="69" spans="1:9" x14ac:dyDescent="0.35">
      <c r="A69" s="26" t="s">
        <v>95</v>
      </c>
    </row>
  </sheetData>
  <mergeCells count="23">
    <mergeCell ref="A57:I57"/>
    <mergeCell ref="A3:A4"/>
    <mergeCell ref="F28:H28"/>
    <mergeCell ref="F47:H47"/>
    <mergeCell ref="A48:E48"/>
    <mergeCell ref="F48:H48"/>
    <mergeCell ref="A49:H49"/>
    <mergeCell ref="A64:I64"/>
    <mergeCell ref="A65:I65"/>
    <mergeCell ref="A66:I66"/>
    <mergeCell ref="A67:I67"/>
    <mergeCell ref="K8:L8"/>
    <mergeCell ref="A58:I58"/>
    <mergeCell ref="A59:I59"/>
    <mergeCell ref="A60:I60"/>
    <mergeCell ref="A61:I61"/>
    <mergeCell ref="A62:I62"/>
    <mergeCell ref="A63:I63"/>
    <mergeCell ref="A50:H50"/>
    <mergeCell ref="A53:I53"/>
    <mergeCell ref="A54:I54"/>
    <mergeCell ref="A55:I55"/>
    <mergeCell ref="A56:I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BCF7-F56F-4532-9E99-67315C70F08E}">
  <dimension ref="A1:L26"/>
  <sheetViews>
    <sheetView topLeftCell="A4" workbookViewId="0">
      <selection activeCell="E28" sqref="E28"/>
    </sheetView>
  </sheetViews>
  <sheetFormatPr defaultColWidth="9.1796875" defaultRowHeight="14.5" x14ac:dyDescent="0.35"/>
  <cols>
    <col min="1" max="1" width="41.26953125" style="26" customWidth="1"/>
    <col min="2" max="4" width="13.54296875" style="26" customWidth="1"/>
    <col min="5" max="5" width="14.453125" style="26" customWidth="1"/>
    <col min="6" max="9" width="13.54296875" style="26" customWidth="1"/>
    <col min="10" max="10" width="9.1796875" style="26"/>
    <col min="11" max="11" width="14.26953125" style="26" customWidth="1"/>
    <col min="12" max="16384" width="9.1796875" style="26"/>
  </cols>
  <sheetData>
    <row r="1" spans="1:12" x14ac:dyDescent="0.35">
      <c r="A1" s="25" t="s">
        <v>96</v>
      </c>
    </row>
    <row r="3" spans="1:12" x14ac:dyDescent="0.35">
      <c r="A3" s="82" t="s">
        <v>97</v>
      </c>
      <c r="B3" s="27" t="s">
        <v>8</v>
      </c>
      <c r="C3" s="27" t="s">
        <v>9</v>
      </c>
      <c r="D3" s="27" t="s">
        <v>10</v>
      </c>
      <c r="E3" s="27" t="s">
        <v>11</v>
      </c>
      <c r="F3" s="27" t="s">
        <v>12</v>
      </c>
      <c r="G3" s="27" t="s">
        <v>13</v>
      </c>
      <c r="H3" s="27" t="s">
        <v>14</v>
      </c>
      <c r="I3" s="27" t="s">
        <v>20</v>
      </c>
    </row>
    <row r="4" spans="1:12" ht="52" x14ac:dyDescent="0.35">
      <c r="A4" s="82"/>
      <c r="B4" s="27" t="s">
        <v>98</v>
      </c>
      <c r="C4" s="27" t="s">
        <v>99</v>
      </c>
      <c r="D4" s="27" t="s">
        <v>100</v>
      </c>
      <c r="E4" s="27" t="s">
        <v>101</v>
      </c>
      <c r="F4" s="27" t="s">
        <v>25</v>
      </c>
      <c r="G4" s="27" t="s">
        <v>102</v>
      </c>
      <c r="H4" s="27" t="s">
        <v>103</v>
      </c>
      <c r="I4" s="27" t="s">
        <v>104</v>
      </c>
    </row>
    <row r="5" spans="1:12" x14ac:dyDescent="0.35">
      <c r="A5" s="28" t="s">
        <v>105</v>
      </c>
      <c r="B5" s="12">
        <v>40</v>
      </c>
      <c r="C5" s="12">
        <v>1.4</v>
      </c>
      <c r="D5" s="12">
        <f>B5*C5</f>
        <v>56</v>
      </c>
      <c r="E5" s="12">
        <v>0</v>
      </c>
      <c r="F5" s="12">
        <f>D5*E5</f>
        <v>0</v>
      </c>
      <c r="G5" s="12">
        <f>F5*0.05</f>
        <v>0</v>
      </c>
      <c r="H5" s="12">
        <f>F5*0.1</f>
        <v>0</v>
      </c>
      <c r="I5" s="31">
        <f>F5*$L$7+G5*$L$6+H5*$L$8</f>
        <v>0</v>
      </c>
      <c r="K5" s="91" t="s">
        <v>139</v>
      </c>
      <c r="L5" s="91"/>
    </row>
    <row r="6" spans="1:12" ht="15.5" x14ac:dyDescent="0.35">
      <c r="A6" s="28" t="s">
        <v>106</v>
      </c>
      <c r="B6" s="12">
        <v>48</v>
      </c>
      <c r="C6" s="12">
        <v>1</v>
      </c>
      <c r="D6" s="12">
        <f t="shared" ref="D6:D7" si="0">B6*C6</f>
        <v>48</v>
      </c>
      <c r="E6" s="12">
        <v>0</v>
      </c>
      <c r="F6" s="12">
        <f t="shared" ref="F6:F7" si="1">D6*E6</f>
        <v>0</v>
      </c>
      <c r="G6" s="12">
        <f t="shared" ref="G6:G7" si="2">F6*0.05</f>
        <v>0</v>
      </c>
      <c r="H6" s="12">
        <f t="shared" ref="H6:H7" si="3">F6*0.1</f>
        <v>0</v>
      </c>
      <c r="I6" s="31">
        <f>F6*$L$7+G6*$L$6+H6*$L$8</f>
        <v>0</v>
      </c>
      <c r="K6" s="56" t="s">
        <v>140</v>
      </c>
      <c r="L6" s="58">
        <v>70.56</v>
      </c>
    </row>
    <row r="7" spans="1:12" x14ac:dyDescent="0.35">
      <c r="A7" s="28" t="s">
        <v>107</v>
      </c>
      <c r="B7" s="12">
        <v>0.5</v>
      </c>
      <c r="C7" s="12">
        <v>1</v>
      </c>
      <c r="D7" s="12">
        <f t="shared" si="0"/>
        <v>0.5</v>
      </c>
      <c r="E7" s="12">
        <v>0</v>
      </c>
      <c r="F7" s="12">
        <f t="shared" si="1"/>
        <v>0</v>
      </c>
      <c r="G7" s="12">
        <f t="shared" si="2"/>
        <v>0</v>
      </c>
      <c r="H7" s="12">
        <f t="shared" si="3"/>
        <v>0</v>
      </c>
      <c r="I7" s="31">
        <f>F7*$L$7+G7*$L$6+H7*$L$8</f>
        <v>0</v>
      </c>
      <c r="K7" s="56" t="s">
        <v>141</v>
      </c>
      <c r="L7" s="59">
        <v>52.37</v>
      </c>
    </row>
    <row r="8" spans="1:12" x14ac:dyDescent="0.35">
      <c r="A8" s="28" t="s">
        <v>108</v>
      </c>
      <c r="B8" s="12" t="s">
        <v>30</v>
      </c>
      <c r="C8" s="12"/>
      <c r="D8" s="28"/>
      <c r="E8" s="12"/>
      <c r="F8" s="12"/>
      <c r="G8" s="12"/>
      <c r="H8" s="12"/>
      <c r="I8" s="41"/>
      <c r="K8" s="56" t="s">
        <v>142</v>
      </c>
      <c r="L8" s="59">
        <v>28.34</v>
      </c>
    </row>
    <row r="9" spans="1:12" x14ac:dyDescent="0.35">
      <c r="A9" s="28" t="s">
        <v>109</v>
      </c>
      <c r="B9" s="12" t="s">
        <v>30</v>
      </c>
      <c r="C9" s="12"/>
      <c r="D9" s="12"/>
      <c r="E9" s="12"/>
      <c r="F9" s="12"/>
      <c r="G9" s="12"/>
      <c r="H9" s="12"/>
      <c r="I9" s="41"/>
    </row>
    <row r="10" spans="1:12" x14ac:dyDescent="0.35">
      <c r="A10" s="28" t="s">
        <v>110</v>
      </c>
      <c r="B10" s="12" t="s">
        <v>30</v>
      </c>
      <c r="C10" s="18"/>
      <c r="D10" s="18"/>
      <c r="E10" s="18"/>
      <c r="F10" s="18"/>
      <c r="G10" s="18"/>
      <c r="H10" s="18"/>
      <c r="I10" s="42"/>
    </row>
    <row r="11" spans="1:12" x14ac:dyDescent="0.35">
      <c r="A11" s="28" t="s">
        <v>111</v>
      </c>
      <c r="B11" s="12">
        <v>2</v>
      </c>
      <c r="C11" s="12">
        <v>1</v>
      </c>
      <c r="D11" s="12">
        <f t="shared" ref="D11:D16" si="4">B11*C11</f>
        <v>2</v>
      </c>
      <c r="E11" s="12">
        <v>0</v>
      </c>
      <c r="F11" s="12">
        <f t="shared" ref="F11:F16" si="5">D11*E11</f>
        <v>0</v>
      </c>
      <c r="G11" s="12">
        <f t="shared" ref="G11:G16" si="6">F11*0.05</f>
        <v>0</v>
      </c>
      <c r="H11" s="12">
        <f t="shared" ref="H11:H16" si="7">F11*0.1</f>
        <v>0</v>
      </c>
      <c r="I11" s="31">
        <f t="shared" ref="I11:I16" si="8">F11*$L$7+G11*$L$6+H11*$L$8</f>
        <v>0</v>
      </c>
    </row>
    <row r="12" spans="1:12" ht="15.5" x14ac:dyDescent="0.35">
      <c r="A12" s="28" t="s">
        <v>112</v>
      </c>
      <c r="B12" s="12">
        <v>2</v>
      </c>
      <c r="C12" s="12">
        <v>1</v>
      </c>
      <c r="D12" s="12">
        <f t="shared" si="4"/>
        <v>2</v>
      </c>
      <c r="E12" s="12">
        <v>0</v>
      </c>
      <c r="F12" s="12">
        <f t="shared" si="5"/>
        <v>0</v>
      </c>
      <c r="G12" s="12">
        <f t="shared" si="6"/>
        <v>0</v>
      </c>
      <c r="H12" s="12">
        <f t="shared" si="7"/>
        <v>0</v>
      </c>
      <c r="I12" s="31">
        <f t="shared" si="8"/>
        <v>0</v>
      </c>
    </row>
    <row r="13" spans="1:12" ht="15.5" x14ac:dyDescent="0.35">
      <c r="A13" s="28" t="s">
        <v>113</v>
      </c>
      <c r="B13" s="12">
        <v>40</v>
      </c>
      <c r="C13" s="12">
        <v>1</v>
      </c>
      <c r="D13" s="12">
        <f t="shared" si="4"/>
        <v>40</v>
      </c>
      <c r="E13" s="12">
        <v>0</v>
      </c>
      <c r="F13" s="12">
        <f t="shared" si="5"/>
        <v>0</v>
      </c>
      <c r="G13" s="12">
        <f t="shared" si="6"/>
        <v>0</v>
      </c>
      <c r="H13" s="12">
        <f t="shared" si="7"/>
        <v>0</v>
      </c>
      <c r="I13" s="31">
        <f t="shared" si="8"/>
        <v>0</v>
      </c>
    </row>
    <row r="14" spans="1:12" ht="15.5" x14ac:dyDescent="0.35">
      <c r="A14" s="28" t="s">
        <v>114</v>
      </c>
      <c r="B14" s="12">
        <v>40</v>
      </c>
      <c r="C14" s="12">
        <v>1</v>
      </c>
      <c r="D14" s="12">
        <f t="shared" si="4"/>
        <v>40</v>
      </c>
      <c r="E14" s="12">
        <v>0</v>
      </c>
      <c r="F14" s="12">
        <f t="shared" si="5"/>
        <v>0</v>
      </c>
      <c r="G14" s="12">
        <f t="shared" si="6"/>
        <v>0</v>
      </c>
      <c r="H14" s="12">
        <f t="shared" si="7"/>
        <v>0</v>
      </c>
      <c r="I14" s="31">
        <f t="shared" si="8"/>
        <v>0</v>
      </c>
    </row>
    <row r="15" spans="1:12" ht="15.5" x14ac:dyDescent="0.35">
      <c r="A15" s="28" t="s">
        <v>115</v>
      </c>
      <c r="B15" s="12">
        <v>4</v>
      </c>
      <c r="C15" s="12">
        <v>2</v>
      </c>
      <c r="D15" s="12">
        <f t="shared" si="4"/>
        <v>8</v>
      </c>
      <c r="E15" s="30">
        <v>161</v>
      </c>
      <c r="F15" s="12">
        <f t="shared" si="5"/>
        <v>1288</v>
      </c>
      <c r="G15" s="12">
        <f t="shared" si="6"/>
        <v>64.400000000000006</v>
      </c>
      <c r="H15" s="12">
        <f t="shared" si="7"/>
        <v>128.80000000000001</v>
      </c>
      <c r="I15" s="32">
        <f t="shared" si="8"/>
        <v>75646.815999999992</v>
      </c>
    </row>
    <row r="16" spans="1:12" ht="28.5" x14ac:dyDescent="0.35">
      <c r="A16" s="28" t="s">
        <v>116</v>
      </c>
      <c r="B16" s="43">
        <v>4</v>
      </c>
      <c r="C16" s="43">
        <v>1</v>
      </c>
      <c r="D16" s="12">
        <f t="shared" si="4"/>
        <v>4</v>
      </c>
      <c r="E16" s="43">
        <v>59</v>
      </c>
      <c r="F16" s="12">
        <f t="shared" si="5"/>
        <v>236</v>
      </c>
      <c r="G16" s="12">
        <f t="shared" si="6"/>
        <v>11.8</v>
      </c>
      <c r="H16" s="12">
        <f t="shared" si="7"/>
        <v>23.6</v>
      </c>
      <c r="I16" s="32">
        <f t="shared" si="8"/>
        <v>13860.752</v>
      </c>
    </row>
    <row r="17" spans="1:9" x14ac:dyDescent="0.35">
      <c r="A17" s="86" t="s">
        <v>117</v>
      </c>
      <c r="B17" s="87"/>
      <c r="C17" s="87"/>
      <c r="D17" s="87"/>
      <c r="E17" s="88"/>
      <c r="F17" s="92">
        <f>ROUND(SUM(F5:H16),-1)</f>
        <v>1750</v>
      </c>
      <c r="G17" s="92"/>
      <c r="H17" s="92"/>
      <c r="I17" s="34">
        <f>ROUND(SUM(I5:I16),-2)</f>
        <v>89500</v>
      </c>
    </row>
    <row r="19" spans="1:9" x14ac:dyDescent="0.35">
      <c r="A19" s="38" t="s">
        <v>79</v>
      </c>
    </row>
    <row r="20" spans="1:9" ht="18.5" x14ac:dyDescent="0.35">
      <c r="A20" s="77" t="s">
        <v>81</v>
      </c>
      <c r="B20" s="77"/>
      <c r="C20" s="77"/>
      <c r="D20" s="77"/>
      <c r="E20" s="77"/>
      <c r="F20" s="77"/>
      <c r="G20" s="77"/>
      <c r="H20" s="77"/>
      <c r="I20" s="77"/>
    </row>
    <row r="21" spans="1:9" ht="47.5" customHeight="1" x14ac:dyDescent="0.35">
      <c r="A21" s="93" t="s">
        <v>144</v>
      </c>
      <c r="B21" s="94"/>
      <c r="C21" s="94"/>
      <c r="D21" s="94"/>
      <c r="E21" s="94"/>
      <c r="F21" s="94"/>
      <c r="G21" s="94"/>
      <c r="H21" s="94"/>
      <c r="I21" s="94"/>
    </row>
    <row r="22" spans="1:9" ht="34.5" customHeight="1" x14ac:dyDescent="0.35">
      <c r="A22" s="77" t="s">
        <v>118</v>
      </c>
      <c r="B22" s="73"/>
      <c r="C22" s="73"/>
      <c r="D22" s="73"/>
      <c r="E22" s="73"/>
      <c r="F22" s="73"/>
      <c r="G22" s="73"/>
      <c r="H22" s="73"/>
      <c r="I22" s="73"/>
    </row>
    <row r="23" spans="1:9" ht="19.5" customHeight="1" x14ac:dyDescent="0.35">
      <c r="A23" s="77" t="s">
        <v>119</v>
      </c>
      <c r="B23" s="73"/>
      <c r="C23" s="73"/>
      <c r="D23" s="73"/>
      <c r="E23" s="73"/>
      <c r="F23" s="73"/>
      <c r="G23" s="73"/>
      <c r="H23" s="73"/>
      <c r="I23" s="73"/>
    </row>
    <row r="24" spans="1:9" ht="19.5" customHeight="1" x14ac:dyDescent="0.35">
      <c r="A24" s="72" t="s">
        <v>120</v>
      </c>
      <c r="B24" s="73"/>
      <c r="C24" s="73"/>
      <c r="D24" s="73"/>
      <c r="E24" s="73"/>
      <c r="F24" s="73"/>
      <c r="G24" s="73"/>
      <c r="H24" s="73"/>
      <c r="I24" s="73"/>
    </row>
    <row r="25" spans="1:9" ht="15.5" x14ac:dyDescent="0.35">
      <c r="A25" s="90" t="s">
        <v>170</v>
      </c>
      <c r="B25" s="90"/>
      <c r="C25" s="90"/>
      <c r="D25" s="90"/>
      <c r="E25" s="90"/>
      <c r="F25" s="90"/>
      <c r="G25" s="90"/>
      <c r="H25" s="90"/>
      <c r="I25" s="90"/>
    </row>
    <row r="26" spans="1:9" x14ac:dyDescent="0.35">
      <c r="A26" s="72" t="s">
        <v>121</v>
      </c>
      <c r="B26" s="74"/>
      <c r="C26" s="74"/>
      <c r="D26" s="74"/>
      <c r="E26" s="74"/>
      <c r="F26" s="74"/>
      <c r="G26" s="74"/>
      <c r="H26" s="74"/>
      <c r="I26" s="74"/>
    </row>
  </sheetData>
  <mergeCells count="11">
    <mergeCell ref="A3:A4"/>
    <mergeCell ref="A17:E17"/>
    <mergeCell ref="F17:H17"/>
    <mergeCell ref="A20:I20"/>
    <mergeCell ref="A21:I21"/>
    <mergeCell ref="A23:I23"/>
    <mergeCell ref="A24:I24"/>
    <mergeCell ref="A25:I25"/>
    <mergeCell ref="A26:I26"/>
    <mergeCell ref="K5:L5"/>
    <mergeCell ref="A22:I22"/>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C8FB7-D71C-4BD3-9BE5-22C56F9E2935}">
  <dimension ref="A1:J21"/>
  <sheetViews>
    <sheetView topLeftCell="A10" workbookViewId="0">
      <selection activeCell="F12" sqref="F12"/>
    </sheetView>
  </sheetViews>
  <sheetFormatPr defaultColWidth="22" defaultRowHeight="13" x14ac:dyDescent="0.3"/>
  <cols>
    <col min="1" max="7" width="15.7265625" style="63" customWidth="1"/>
    <col min="8" max="8" width="6" style="63" customWidth="1"/>
    <col min="9" max="16384" width="22" style="63"/>
  </cols>
  <sheetData>
    <row r="1" spans="1:10" x14ac:dyDescent="0.3">
      <c r="A1" s="5"/>
      <c r="B1" s="6"/>
      <c r="C1" s="6"/>
    </row>
    <row r="2" spans="1:10" x14ac:dyDescent="0.3">
      <c r="A2" s="95" t="s">
        <v>7</v>
      </c>
      <c r="B2" s="95"/>
      <c r="C2" s="95"/>
      <c r="D2" s="95"/>
      <c r="E2" s="95"/>
      <c r="F2" s="95"/>
      <c r="G2" s="96"/>
      <c r="H2" s="8"/>
    </row>
    <row r="3" spans="1:10" x14ac:dyDescent="0.3">
      <c r="A3" s="9" t="s">
        <v>8</v>
      </c>
      <c r="B3" s="9" t="s">
        <v>9</v>
      </c>
      <c r="C3" s="9" t="s">
        <v>10</v>
      </c>
      <c r="D3" s="9" t="s">
        <v>11</v>
      </c>
      <c r="E3" s="9" t="s">
        <v>12</v>
      </c>
      <c r="F3" s="9" t="s">
        <v>13</v>
      </c>
      <c r="G3" s="9" t="s">
        <v>14</v>
      </c>
      <c r="H3" s="8"/>
    </row>
    <row r="4" spans="1:10" ht="41" x14ac:dyDescent="0.3">
      <c r="A4" s="9" t="s">
        <v>15</v>
      </c>
      <c r="B4" s="9" t="s">
        <v>16</v>
      </c>
      <c r="C4" s="9" t="s">
        <v>164</v>
      </c>
      <c r="D4" s="9" t="s">
        <v>161</v>
      </c>
      <c r="E4" s="9" t="s">
        <v>17</v>
      </c>
      <c r="F4" s="9" t="s">
        <v>163</v>
      </c>
      <c r="G4" s="9" t="s">
        <v>162</v>
      </c>
      <c r="H4" s="8"/>
    </row>
    <row r="5" spans="1:10" ht="15.5" x14ac:dyDescent="0.3">
      <c r="A5" s="10" t="s">
        <v>154</v>
      </c>
      <c r="B5" s="11">
        <v>291111</v>
      </c>
      <c r="C5" s="12">
        <v>0</v>
      </c>
      <c r="D5" s="13">
        <f>B5*C5</f>
        <v>0</v>
      </c>
      <c r="E5" s="61">
        <v>66667</v>
      </c>
      <c r="F5" s="62">
        <v>18</v>
      </c>
      <c r="G5" s="64">
        <f>ROUND(E5*F5, -3)</f>
        <v>1200000</v>
      </c>
      <c r="H5" s="14"/>
    </row>
    <row r="6" spans="1:10" ht="15.5" x14ac:dyDescent="0.3">
      <c r="A6" s="15" t="s">
        <v>155</v>
      </c>
      <c r="B6" s="13">
        <v>3000</v>
      </c>
      <c r="C6" s="16">
        <v>0</v>
      </c>
      <c r="D6" s="13">
        <f>B6*C6</f>
        <v>0</v>
      </c>
      <c r="E6" s="13">
        <v>0</v>
      </c>
      <c r="F6" s="16">
        <v>0</v>
      </c>
      <c r="G6" s="13">
        <f>F6*E6</f>
        <v>0</v>
      </c>
      <c r="H6" s="14"/>
    </row>
    <row r="7" spans="1:10" ht="28.5" x14ac:dyDescent="0.3">
      <c r="A7" s="15" t="s">
        <v>156</v>
      </c>
      <c r="B7" s="13">
        <v>36000</v>
      </c>
      <c r="C7" s="16">
        <v>0</v>
      </c>
      <c r="D7" s="13">
        <f>B7*C7</f>
        <v>0</v>
      </c>
      <c r="E7" s="13">
        <v>7500</v>
      </c>
      <c r="F7" s="16">
        <v>0</v>
      </c>
      <c r="G7" s="13">
        <f>F7*E7</f>
        <v>0</v>
      </c>
      <c r="H7" s="17"/>
    </row>
    <row r="8" spans="1:10" ht="15.5" x14ac:dyDescent="0.3">
      <c r="A8" s="18" t="s">
        <v>157</v>
      </c>
      <c r="B8" s="11">
        <v>21650</v>
      </c>
      <c r="C8" s="19">
        <v>107</v>
      </c>
      <c r="D8" s="11">
        <f>ROUND(B8*C8,-4)</f>
        <v>2320000</v>
      </c>
      <c r="E8" s="65">
        <v>0</v>
      </c>
      <c r="F8" s="66">
        <v>0</v>
      </c>
      <c r="G8" s="66">
        <f>E8*F8</f>
        <v>0</v>
      </c>
      <c r="H8" s="67"/>
    </row>
    <row r="9" spans="1:10" ht="15.5" x14ac:dyDescent="0.3">
      <c r="A9" s="20" t="s">
        <v>158</v>
      </c>
      <c r="B9" s="11">
        <v>0</v>
      </c>
      <c r="C9" s="12">
        <v>0</v>
      </c>
      <c r="D9" s="11">
        <f>B9*C9</f>
        <v>0</v>
      </c>
      <c r="E9" s="11">
        <v>11000</v>
      </c>
      <c r="F9" s="12">
        <v>8</v>
      </c>
      <c r="G9" s="11">
        <f>F9*E9</f>
        <v>88000</v>
      </c>
    </row>
    <row r="10" spans="1:10" ht="15.5" x14ac:dyDescent="0.3">
      <c r="A10" s="20" t="s">
        <v>159</v>
      </c>
      <c r="B10" s="11">
        <v>0</v>
      </c>
      <c r="C10" s="12">
        <v>0</v>
      </c>
      <c r="D10" s="11">
        <f>B10*C10</f>
        <v>0</v>
      </c>
      <c r="E10" s="11">
        <v>10000</v>
      </c>
      <c r="F10" s="12">
        <v>50</v>
      </c>
      <c r="G10" s="11">
        <f>E10*F10</f>
        <v>500000</v>
      </c>
    </row>
    <row r="11" spans="1:10" ht="28.5" x14ac:dyDescent="0.3">
      <c r="A11" s="20" t="s">
        <v>160</v>
      </c>
      <c r="B11" s="11">
        <v>1200</v>
      </c>
      <c r="C11" s="12">
        <v>0</v>
      </c>
      <c r="D11" s="11">
        <f>B11*C11</f>
        <v>0</v>
      </c>
      <c r="E11" s="11">
        <v>0</v>
      </c>
      <c r="F11" s="12">
        <v>0</v>
      </c>
      <c r="G11" s="11">
        <f>E11*F11</f>
        <v>0</v>
      </c>
    </row>
    <row r="12" spans="1:10" x14ac:dyDescent="0.3">
      <c r="A12" s="21" t="s">
        <v>153</v>
      </c>
      <c r="B12" s="16"/>
      <c r="C12" s="16"/>
      <c r="D12" s="22">
        <f>ROUND(SUM(D5:D9), -3)</f>
        <v>2320000</v>
      </c>
      <c r="E12" s="16"/>
      <c r="F12" s="16"/>
      <c r="G12" s="22">
        <f>ROUND(SUM(G5:G10), -4)</f>
        <v>1790000</v>
      </c>
      <c r="I12" s="68">
        <f>D12+G12</f>
        <v>4110000</v>
      </c>
    </row>
    <row r="13" spans="1:10" x14ac:dyDescent="0.3">
      <c r="A13" s="23"/>
      <c r="B13" s="24"/>
      <c r="C13" s="24"/>
      <c r="D13" s="17"/>
      <c r="E13" s="24"/>
      <c r="F13" s="24"/>
      <c r="G13" s="17"/>
    </row>
    <row r="14" spans="1:10" ht="39.65" customHeight="1" x14ac:dyDescent="0.3">
      <c r="A14" s="81" t="s">
        <v>145</v>
      </c>
      <c r="B14" s="81"/>
      <c r="C14" s="81"/>
      <c r="D14" s="81"/>
      <c r="E14" s="81"/>
      <c r="F14" s="81"/>
      <c r="G14" s="81"/>
      <c r="H14" s="40"/>
      <c r="I14" s="40"/>
      <c r="J14" s="40"/>
    </row>
    <row r="15" spans="1:10" ht="18.5" x14ac:dyDescent="0.3">
      <c r="A15" s="69" t="s">
        <v>146</v>
      </c>
      <c r="B15" s="67"/>
      <c r="C15" s="67"/>
      <c r="D15" s="67"/>
      <c r="E15" s="67"/>
      <c r="F15" s="67"/>
      <c r="G15" s="67"/>
    </row>
    <row r="16" spans="1:10" ht="34.9" customHeight="1" x14ac:dyDescent="0.3">
      <c r="A16" s="81" t="s">
        <v>147</v>
      </c>
      <c r="B16" s="81"/>
      <c r="C16" s="81"/>
      <c r="D16" s="81"/>
      <c r="E16" s="81"/>
      <c r="F16" s="81"/>
      <c r="G16" s="81"/>
    </row>
    <row r="17" spans="1:10" ht="31.9" customHeight="1" x14ac:dyDescent="0.3">
      <c r="A17" s="81" t="s">
        <v>148</v>
      </c>
      <c r="B17" s="81"/>
      <c r="C17" s="81"/>
      <c r="D17" s="81"/>
      <c r="E17" s="81"/>
      <c r="F17" s="81"/>
      <c r="G17" s="81"/>
      <c r="H17" s="70"/>
      <c r="I17" s="70"/>
      <c r="J17" s="70"/>
    </row>
    <row r="18" spans="1:10" ht="18.5" x14ac:dyDescent="0.3">
      <c r="A18" s="69" t="s">
        <v>149</v>
      </c>
    </row>
    <row r="19" spans="1:10" ht="18.5" x14ac:dyDescent="0.3">
      <c r="A19" s="69" t="s">
        <v>150</v>
      </c>
    </row>
    <row r="20" spans="1:10" ht="18.5" x14ac:dyDescent="0.3">
      <c r="A20" s="69" t="s">
        <v>151</v>
      </c>
    </row>
    <row r="21" spans="1:10" ht="18.5" x14ac:dyDescent="0.3">
      <c r="A21" s="69" t="s">
        <v>152</v>
      </c>
    </row>
  </sheetData>
  <mergeCells count="4">
    <mergeCell ref="A2:G2"/>
    <mergeCell ref="A14:G14"/>
    <mergeCell ref="A17:G17"/>
    <mergeCell ref="A16:G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98CC-EBE5-46A3-BBD5-4F2103E06322}">
  <dimension ref="A1:F17"/>
  <sheetViews>
    <sheetView topLeftCell="A7" workbookViewId="0">
      <selection activeCell="E13" sqref="E13"/>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7" customFormat="1" ht="15" x14ac:dyDescent="0.3">
      <c r="A1" s="97" t="s">
        <v>6</v>
      </c>
      <c r="B1" s="97"/>
      <c r="C1" s="97"/>
      <c r="D1" s="97"/>
      <c r="E1" s="97"/>
    </row>
    <row r="2" spans="1:6" s="7" customFormat="1" ht="13" x14ac:dyDescent="0.3">
      <c r="A2" s="44" t="s">
        <v>8</v>
      </c>
      <c r="B2" s="44" t="s">
        <v>9</v>
      </c>
      <c r="C2" s="44" t="s">
        <v>10</v>
      </c>
      <c r="D2" s="44" t="s">
        <v>11</v>
      </c>
      <c r="E2" s="44" t="s">
        <v>12</v>
      </c>
    </row>
    <row r="3" spans="1:6" s="7" customFormat="1" ht="104" x14ac:dyDescent="0.3">
      <c r="A3" s="44" t="s">
        <v>122</v>
      </c>
      <c r="B3" s="44" t="s">
        <v>123</v>
      </c>
      <c r="C3" s="44" t="s">
        <v>124</v>
      </c>
      <c r="D3" s="44" t="s">
        <v>125</v>
      </c>
      <c r="E3" s="44" t="s">
        <v>126</v>
      </c>
    </row>
    <row r="4" spans="1:6" s="7" customFormat="1" ht="13" x14ac:dyDescent="0.3">
      <c r="A4" s="45" t="s">
        <v>165</v>
      </c>
      <c r="B4" s="16">
        <v>0</v>
      </c>
      <c r="C4" s="16">
        <v>1</v>
      </c>
      <c r="D4" s="16">
        <v>0</v>
      </c>
      <c r="E4" s="16">
        <f>(B4*C4)+D4</f>
        <v>0</v>
      </c>
    </row>
    <row r="5" spans="1:6" s="7" customFormat="1" ht="26" x14ac:dyDescent="0.3">
      <c r="A5" s="45" t="s">
        <v>166</v>
      </c>
      <c r="B5" s="16">
        <v>0</v>
      </c>
      <c r="C5" s="16">
        <v>1</v>
      </c>
      <c r="D5" s="16">
        <v>0</v>
      </c>
      <c r="E5" s="16">
        <f t="shared" ref="E5:E12" si="0">(B5*C5)+D5</f>
        <v>0</v>
      </c>
    </row>
    <row r="6" spans="1:6" s="7" customFormat="1" ht="13" x14ac:dyDescent="0.3">
      <c r="A6" s="45" t="s">
        <v>109</v>
      </c>
      <c r="B6" s="16">
        <v>0</v>
      </c>
      <c r="C6" s="16">
        <v>1</v>
      </c>
      <c r="D6" s="16">
        <v>0</v>
      </c>
      <c r="E6" s="16">
        <f t="shared" si="0"/>
        <v>0</v>
      </c>
    </row>
    <row r="7" spans="1:6" s="7" customFormat="1" ht="26" x14ac:dyDescent="0.3">
      <c r="A7" s="45" t="s">
        <v>110</v>
      </c>
      <c r="B7" s="16">
        <v>0</v>
      </c>
      <c r="C7" s="16">
        <v>1</v>
      </c>
      <c r="D7" s="16">
        <v>0</v>
      </c>
      <c r="E7" s="16">
        <f t="shared" si="0"/>
        <v>0</v>
      </c>
    </row>
    <row r="8" spans="1:6" s="7" customFormat="1" ht="26" x14ac:dyDescent="0.3">
      <c r="A8" s="45" t="s">
        <v>111</v>
      </c>
      <c r="B8" s="16">
        <v>0</v>
      </c>
      <c r="C8" s="16">
        <v>1</v>
      </c>
      <c r="D8" s="16">
        <v>0</v>
      </c>
      <c r="E8" s="16">
        <f t="shared" si="0"/>
        <v>0</v>
      </c>
      <c r="F8" s="46"/>
    </row>
    <row r="9" spans="1:6" s="7" customFormat="1" ht="26" x14ac:dyDescent="0.3">
      <c r="A9" s="10" t="s">
        <v>127</v>
      </c>
      <c r="B9" s="47">
        <v>53</v>
      </c>
      <c r="C9" s="16">
        <v>1</v>
      </c>
      <c r="D9" s="16">
        <v>0</v>
      </c>
      <c r="E9" s="16">
        <f t="shared" si="0"/>
        <v>53</v>
      </c>
    </row>
    <row r="10" spans="1:6" s="7" customFormat="1" ht="13" x14ac:dyDescent="0.3">
      <c r="A10" s="10" t="s">
        <v>167</v>
      </c>
      <c r="B10" s="47">
        <v>0</v>
      </c>
      <c r="C10" s="16">
        <v>1</v>
      </c>
      <c r="D10" s="16">
        <v>0</v>
      </c>
      <c r="E10" s="16">
        <f t="shared" si="0"/>
        <v>0</v>
      </c>
    </row>
    <row r="11" spans="1:6" s="7" customFormat="1" ht="13" x14ac:dyDescent="0.3">
      <c r="A11" s="10" t="s">
        <v>168</v>
      </c>
      <c r="B11" s="19">
        <v>161</v>
      </c>
      <c r="C11" s="16">
        <v>2</v>
      </c>
      <c r="D11" s="16">
        <v>0</v>
      </c>
      <c r="E11" s="16">
        <f>(B11*C11)+D11</f>
        <v>322</v>
      </c>
    </row>
    <row r="12" spans="1:6" s="7" customFormat="1" ht="26" x14ac:dyDescent="0.3">
      <c r="A12" s="45" t="s">
        <v>169</v>
      </c>
      <c r="B12" s="16">
        <v>50</v>
      </c>
      <c r="C12" s="16">
        <v>1</v>
      </c>
      <c r="D12" s="16">
        <v>0</v>
      </c>
      <c r="E12" s="16">
        <f t="shared" si="0"/>
        <v>50</v>
      </c>
    </row>
    <row r="13" spans="1:6" s="7" customFormat="1" ht="13" x14ac:dyDescent="0.3">
      <c r="A13" s="15"/>
      <c r="B13" s="16"/>
      <c r="C13" s="16"/>
      <c r="D13" s="9" t="s">
        <v>128</v>
      </c>
      <c r="E13" s="48">
        <f>SUM(E4:E12)</f>
        <v>425</v>
      </c>
    </row>
    <row r="14" spans="1:6" s="7" customFormat="1" ht="13" x14ac:dyDescent="0.3">
      <c r="A14" s="49"/>
      <c r="B14" s="50"/>
      <c r="C14" s="50"/>
      <c r="D14" s="51"/>
      <c r="E14" s="52"/>
    </row>
    <row r="15" spans="1:6" s="7" customFormat="1" ht="13" x14ac:dyDescent="0.3">
      <c r="A15" s="98"/>
      <c r="B15" s="98"/>
      <c r="C15" s="98"/>
      <c r="D15" s="98"/>
      <c r="E15" s="98"/>
    </row>
    <row r="16" spans="1:6" s="7" customFormat="1" ht="13" x14ac:dyDescent="0.3">
      <c r="A16" s="98"/>
      <c r="B16" s="98"/>
      <c r="C16" s="98"/>
      <c r="D16" s="98"/>
      <c r="E16" s="98"/>
    </row>
    <row r="17" spans="1:5" s="7" customFormat="1" ht="30" customHeight="1" x14ac:dyDescent="0.3">
      <c r="A17" s="99"/>
      <c r="B17" s="99"/>
      <c r="C17" s="99"/>
      <c r="D17" s="99"/>
      <c r="E17" s="99"/>
    </row>
  </sheetData>
  <mergeCells count="3">
    <mergeCell ref="A1:E1"/>
    <mergeCell ref="A15:E16"/>
    <mergeCell ref="A17:E17"/>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5FDDA-2D45-42EF-ADF4-4F2112ED1FF5}">
  <dimension ref="A1:F9"/>
  <sheetViews>
    <sheetView workbookViewId="0">
      <selection activeCell="F5" sqref="F5"/>
    </sheetView>
  </sheetViews>
  <sheetFormatPr defaultColWidth="17.7265625" defaultRowHeight="31.9" customHeight="1" x14ac:dyDescent="0.35"/>
  <sheetData>
    <row r="1" spans="1:6" s="7" customFormat="1" ht="15" x14ac:dyDescent="0.3">
      <c r="A1" s="97" t="s">
        <v>2</v>
      </c>
      <c r="B1" s="97"/>
      <c r="C1" s="97"/>
      <c r="D1" s="97"/>
      <c r="E1" s="97"/>
      <c r="F1" s="97"/>
    </row>
    <row r="2" spans="1:6" s="7" customFormat="1" ht="39" x14ac:dyDescent="0.3">
      <c r="A2" s="53"/>
      <c r="B2" s="100" t="s">
        <v>129</v>
      </c>
      <c r="C2" s="100"/>
      <c r="D2" s="53" t="s">
        <v>130</v>
      </c>
      <c r="E2" s="100"/>
      <c r="F2" s="100"/>
    </row>
    <row r="3" spans="1:6" s="7" customFormat="1" ht="13" x14ac:dyDescent="0.3">
      <c r="A3" s="53"/>
      <c r="B3" s="54" t="s">
        <v>8</v>
      </c>
      <c r="C3" s="54" t="s">
        <v>9</v>
      </c>
      <c r="D3" s="54" t="s">
        <v>10</v>
      </c>
      <c r="E3" s="54" t="s">
        <v>11</v>
      </c>
      <c r="F3" s="54" t="s">
        <v>12</v>
      </c>
    </row>
    <row r="4" spans="1:6" s="7" customFormat="1" ht="52" x14ac:dyDescent="0.3">
      <c r="A4" s="54" t="s">
        <v>131</v>
      </c>
      <c r="B4" s="53" t="s">
        <v>132</v>
      </c>
      <c r="C4" s="53" t="s">
        <v>133</v>
      </c>
      <c r="D4" s="53" t="s">
        <v>134</v>
      </c>
      <c r="E4" s="53" t="s">
        <v>135</v>
      </c>
      <c r="F4" s="53" t="s">
        <v>136</v>
      </c>
    </row>
    <row r="5" spans="1:6" s="7" customFormat="1" ht="13" x14ac:dyDescent="0.3">
      <c r="A5" s="44">
        <v>1</v>
      </c>
      <c r="B5" s="16">
        <v>0</v>
      </c>
      <c r="C5" s="16">
        <v>161</v>
      </c>
      <c r="D5" s="16">
        <v>0</v>
      </c>
      <c r="E5" s="16">
        <v>0</v>
      </c>
      <c r="F5" s="16">
        <f>B5+C5+D5-E5</f>
        <v>161</v>
      </c>
    </row>
    <row r="6" spans="1:6" s="7" customFormat="1" ht="13" x14ac:dyDescent="0.3">
      <c r="A6" s="44">
        <v>2</v>
      </c>
      <c r="B6" s="16">
        <v>0</v>
      </c>
      <c r="C6" s="16">
        <v>161</v>
      </c>
      <c r="D6" s="16">
        <v>0</v>
      </c>
      <c r="E6" s="16">
        <v>0</v>
      </c>
      <c r="F6" s="16">
        <f>B6+C6+D6-E6</f>
        <v>161</v>
      </c>
    </row>
    <row r="7" spans="1:6" s="7" customFormat="1" ht="13" x14ac:dyDescent="0.3">
      <c r="A7" s="44">
        <v>3</v>
      </c>
      <c r="B7" s="16">
        <v>0</v>
      </c>
      <c r="C7" s="16">
        <v>161</v>
      </c>
      <c r="D7" s="16">
        <v>0</v>
      </c>
      <c r="E7" s="16">
        <v>0</v>
      </c>
      <c r="F7" s="16">
        <f>B7+C7+D7-E7</f>
        <v>161</v>
      </c>
    </row>
    <row r="8" spans="1:6" s="7" customFormat="1" ht="13" x14ac:dyDescent="0.3">
      <c r="A8" s="44" t="s">
        <v>137</v>
      </c>
      <c r="B8" s="16">
        <f>AVERAGE(B5:B7)</f>
        <v>0</v>
      </c>
      <c r="C8" s="16">
        <f>AVERAGE(C5:C7)</f>
        <v>161</v>
      </c>
      <c r="D8" s="16">
        <v>0</v>
      </c>
      <c r="E8" s="16">
        <v>0</v>
      </c>
      <c r="F8" s="9">
        <f>AVERAGE(F5:F7)</f>
        <v>161</v>
      </c>
    </row>
    <row r="9" spans="1:6" s="7" customFormat="1" ht="15.5" x14ac:dyDescent="0.3">
      <c r="A9" s="55" t="s">
        <v>138</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Smith</dc:creator>
  <cp:lastModifiedBy>Wrigley, William</cp:lastModifiedBy>
  <dcterms:created xsi:type="dcterms:W3CDTF">2022-04-25T15:05:15Z</dcterms:created>
  <dcterms:modified xsi:type="dcterms:W3CDTF">2022-08-29T19:40:02Z</dcterms:modified>
</cp:coreProperties>
</file>