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C:\Users\H23132\OneDrive - US Department of Housing and Urban Development\"/>
    </mc:Choice>
  </mc:AlternateContent>
  <xr:revisionPtr revIDLastSave="0" documentId="8_{3659BD0F-5FED-4F07-B8E6-0538ACF238BD}" xr6:coauthVersionLast="47" xr6:coauthVersionMax="47" xr10:uidLastSave="{00000000-0000-0000-0000-000000000000}"/>
  <bookViews>
    <workbookView xWindow="-110" yWindow="-110" windowWidth="19420" windowHeight="10420" tabRatio="790" firstSheet="1"/>
  </bookViews>
  <sheets>
    <sheet name="Tab 2 - PIC Data" sheetId="16" r:id="rId1"/>
    <sheet name="Tab 4 - HUD Cost Summary" sheetId="7" r:id="rId2"/>
    <sheet name="Tab 5 - Baseline AMP1" sheetId="9" r:id="rId3"/>
    <sheet name="Tab 5 - Baseline AMP 2" sheetId="8" state="hidden" r:id="rId4"/>
    <sheet name="Tab 7 - Cash Flow" sheetId="10" r:id="rId5"/>
    <sheet name="Tab 8 - Rate Escalation" sheetId="14" r:id="rId6"/>
    <sheet name="Tab 9 - Utility Allowances" sheetId="12" r:id="rId7"/>
    <sheet name="Add-on Subsidy Review" sheetId="15" state="hidden" r:id="rId8"/>
    <sheet name="Sheet1" sheetId="17" r:id="rId9"/>
  </sheets>
  <definedNames>
    <definedName name="Instructions" localSheetId="1">'Tab 4 - HUD Cost Summary'!$A$19:$I$56</definedName>
    <definedName name="Instructions">#REF!</definedName>
    <definedName name="_xlnm.Print_Area" localSheetId="1">'Tab 4 - HUD Cost Summary'!$A$1:$R$58</definedName>
    <definedName name="_xlnm.Print_Area" localSheetId="2">'Tab 5 - Baseline AMP1'!$A$1:$H$46</definedName>
    <definedName name="_xlnm.Print_Area" localSheetId="4">'Tab 7 - Cash Flow'!$A$1:$K$26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8" i="16" l="1"/>
  <c r="S7" i="16"/>
  <c r="I8" i="10"/>
  <c r="D23" i="10"/>
  <c r="S24" i="16"/>
  <c r="S19" i="16"/>
  <c r="S10" i="16" s="1"/>
  <c r="S29" i="16" s="1"/>
  <c r="S15" i="16"/>
  <c r="S11" i="16"/>
  <c r="I7" i="10"/>
  <c r="J7" i="10"/>
  <c r="K7" i="10" s="1"/>
  <c r="H23" i="10"/>
  <c r="J8" i="10"/>
  <c r="E23" i="10"/>
  <c r="G9" i="10"/>
  <c r="F9" i="10"/>
  <c r="F10" i="10" s="1"/>
  <c r="C9" i="10"/>
  <c r="C10" i="10"/>
  <c r="G10" i="10"/>
  <c r="M20" i="7"/>
  <c r="N20" i="7" s="1"/>
  <c r="L20" i="7"/>
  <c r="M14" i="7"/>
  <c r="L14" i="7"/>
  <c r="N14" i="7"/>
  <c r="E15" i="7"/>
  <c r="I44" i="15"/>
  <c r="I41" i="15"/>
  <c r="C33" i="15"/>
  <c r="D33" i="15" s="1"/>
  <c r="E33" i="15" s="1"/>
  <c r="F33" i="15" s="1"/>
  <c r="G33" i="15"/>
  <c r="H33" i="15" s="1"/>
  <c r="I33" i="15" s="1"/>
  <c r="J33" i="15" s="1"/>
  <c r="K33" i="15" s="1"/>
  <c r="L33" i="15" s="1"/>
  <c r="M33" i="15" s="1"/>
  <c r="N33" i="15" s="1"/>
  <c r="O33" i="15" s="1"/>
  <c r="P33" i="15" s="1"/>
  <c r="Q33" i="15" s="1"/>
  <c r="R33" i="15" s="1"/>
  <c r="S33" i="15" s="1"/>
  <c r="T33" i="15" s="1"/>
  <c r="U33" i="15" s="1"/>
  <c r="B33" i="15"/>
  <c r="U32" i="15"/>
  <c r="M32" i="15"/>
  <c r="A32" i="15"/>
  <c r="U31" i="15"/>
  <c r="T31" i="15"/>
  <c r="T32" i="15" s="1"/>
  <c r="S31" i="15"/>
  <c r="S32" i="15" s="1"/>
  <c r="R31" i="15"/>
  <c r="R32" i="15" s="1"/>
  <c r="Q31" i="15"/>
  <c r="Q32" i="15" s="1"/>
  <c r="P31" i="15"/>
  <c r="P32" i="15" s="1"/>
  <c r="O31" i="15"/>
  <c r="O32" i="15" s="1"/>
  <c r="N31" i="15"/>
  <c r="N32" i="15"/>
  <c r="M31" i="15"/>
  <c r="L31" i="15"/>
  <c r="L32" i="15" s="1"/>
  <c r="K31" i="15"/>
  <c r="K32" i="15" s="1"/>
  <c r="J31" i="15"/>
  <c r="J32" i="15" s="1"/>
  <c r="I31" i="15"/>
  <c r="I32" i="15" s="1"/>
  <c r="H31" i="15"/>
  <c r="H32" i="15" s="1"/>
  <c r="G31" i="15"/>
  <c r="G32" i="15" s="1"/>
  <c r="F31" i="15"/>
  <c r="F32" i="15"/>
  <c r="A28" i="15"/>
  <c r="A25" i="15"/>
  <c r="X24" i="15"/>
  <c r="U24" i="15"/>
  <c r="T24" i="15"/>
  <c r="S24" i="15"/>
  <c r="R24" i="15"/>
  <c r="Q24" i="15"/>
  <c r="P24" i="15"/>
  <c r="O24" i="15"/>
  <c r="N24" i="15"/>
  <c r="M24" i="15"/>
  <c r="L24" i="15"/>
  <c r="K24" i="15"/>
  <c r="J24" i="15"/>
  <c r="I24" i="15"/>
  <c r="H24" i="15"/>
  <c r="G24" i="15"/>
  <c r="F24" i="15"/>
  <c r="E24" i="15"/>
  <c r="D24" i="15"/>
  <c r="C24" i="15"/>
  <c r="B24" i="15"/>
  <c r="B26" i="15"/>
  <c r="B17" i="15"/>
  <c r="C17" i="15"/>
  <c r="D17" i="15" s="1"/>
  <c r="E17" i="15"/>
  <c r="F17" i="15" s="1"/>
  <c r="G17" i="15" s="1"/>
  <c r="H17" i="15" s="1"/>
  <c r="I17" i="15" s="1"/>
  <c r="J17" i="15" s="1"/>
  <c r="K17" i="15" s="1"/>
  <c r="L17" i="15" s="1"/>
  <c r="M17" i="15" s="1"/>
  <c r="N17" i="15" s="1"/>
  <c r="O17" i="15" s="1"/>
  <c r="P17" i="15" s="1"/>
  <c r="Q17" i="15" s="1"/>
  <c r="R17" i="15" s="1"/>
  <c r="S17" i="15" s="1"/>
  <c r="T17" i="15" s="1"/>
  <c r="U17" i="15" s="1"/>
  <c r="U16" i="15"/>
  <c r="T16" i="15"/>
  <c r="S16" i="15"/>
  <c r="R16" i="15"/>
  <c r="Q16" i="15"/>
  <c r="P16" i="15"/>
  <c r="O16" i="15"/>
  <c r="N16" i="15"/>
  <c r="M16" i="15"/>
  <c r="L16" i="15"/>
  <c r="K16" i="15"/>
  <c r="J16" i="15"/>
  <c r="I16" i="15"/>
  <c r="H16" i="15"/>
  <c r="G16" i="15"/>
  <c r="F16" i="15"/>
  <c r="E16" i="15"/>
  <c r="D16" i="15"/>
  <c r="C16" i="15"/>
  <c r="B16" i="15"/>
  <c r="X15" i="15"/>
  <c r="A15" i="15"/>
  <c r="B14" i="15"/>
  <c r="A13" i="15"/>
  <c r="X12" i="15"/>
  <c r="U12" i="15"/>
  <c r="T12" i="15"/>
  <c r="S12" i="15"/>
  <c r="R12" i="15"/>
  <c r="Q12" i="15"/>
  <c r="P12" i="15"/>
  <c r="O12" i="15"/>
  <c r="N12" i="15"/>
  <c r="M12" i="15"/>
  <c r="L12" i="15"/>
  <c r="K12" i="15"/>
  <c r="J12" i="15"/>
  <c r="I12" i="15"/>
  <c r="H12" i="15"/>
  <c r="G12" i="15"/>
  <c r="F12" i="15"/>
  <c r="E12" i="15"/>
  <c r="D12" i="15"/>
  <c r="C12" i="15"/>
  <c r="B12" i="15"/>
  <c r="M6" i="15"/>
  <c r="L6" i="15"/>
  <c r="K6" i="15"/>
  <c r="J6" i="15"/>
  <c r="I6" i="15"/>
  <c r="H6" i="15"/>
  <c r="G6" i="15"/>
  <c r="F6" i="15"/>
  <c r="E6" i="15"/>
  <c r="D6" i="15"/>
  <c r="C6" i="15"/>
  <c r="B6" i="15"/>
  <c r="C7" i="15" s="1"/>
  <c r="D7" i="15" s="1"/>
  <c r="E7" i="15" s="1"/>
  <c r="F7" i="15" s="1"/>
  <c r="G7" i="15" s="1"/>
  <c r="H7" i="15" s="1"/>
  <c r="I7" i="15" s="1"/>
  <c r="J7" i="15" s="1"/>
  <c r="K7" i="15" s="1"/>
  <c r="L7" i="15" s="1"/>
  <c r="M7" i="15" s="1"/>
  <c r="A1" i="15"/>
  <c r="I11" i="12"/>
  <c r="I12" i="12"/>
  <c r="I13" i="12"/>
  <c r="I14" i="12"/>
  <c r="I15" i="12"/>
  <c r="I16" i="12"/>
  <c r="I17" i="12"/>
  <c r="I18" i="12"/>
  <c r="I10" i="12"/>
  <c r="L9" i="7"/>
  <c r="L15" i="7" s="1"/>
  <c r="F36" i="9"/>
  <c r="F27" i="9"/>
  <c r="F18" i="9"/>
  <c r="F40" i="9"/>
  <c r="F41" i="9" s="1"/>
  <c r="F42" i="9" s="1"/>
  <c r="F39" i="9"/>
  <c r="I32" i="14"/>
  <c r="E32" i="14"/>
  <c r="F32" i="14" s="1"/>
  <c r="I31" i="14"/>
  <c r="E31" i="14"/>
  <c r="F31" i="14" s="1"/>
  <c r="I30" i="14"/>
  <c r="E30" i="14"/>
  <c r="F30" i="14"/>
  <c r="I29" i="14"/>
  <c r="E29" i="14"/>
  <c r="F29" i="14"/>
  <c r="I28" i="14"/>
  <c r="E28" i="14"/>
  <c r="F28" i="14" s="1"/>
  <c r="I27" i="14"/>
  <c r="E27" i="14"/>
  <c r="F27" i="14" s="1"/>
  <c r="I26" i="14"/>
  <c r="E26" i="14"/>
  <c r="F26" i="14"/>
  <c r="I25" i="14"/>
  <c r="E25" i="14"/>
  <c r="F25" i="14"/>
  <c r="I24" i="14"/>
  <c r="E24" i="14"/>
  <c r="F24" i="14" s="1"/>
  <c r="I23" i="14"/>
  <c r="E23" i="14"/>
  <c r="F23" i="14" s="1"/>
  <c r="I22" i="14"/>
  <c r="E22" i="14"/>
  <c r="F22" i="14"/>
  <c r="I21" i="14"/>
  <c r="E21" i="14"/>
  <c r="F21" i="14"/>
  <c r="I20" i="14"/>
  <c r="E20" i="14"/>
  <c r="F20" i="14" s="1"/>
  <c r="I19" i="14"/>
  <c r="E19" i="14"/>
  <c r="F19" i="14" s="1"/>
  <c r="I18" i="14"/>
  <c r="E18" i="14"/>
  <c r="F18" i="14"/>
  <c r="I17" i="14"/>
  <c r="E17" i="14"/>
  <c r="F17" i="14"/>
  <c r="I16" i="14"/>
  <c r="E16" i="14"/>
  <c r="F16" i="14" s="1"/>
  <c r="I15" i="14"/>
  <c r="E15" i="14"/>
  <c r="F15" i="14" s="1"/>
  <c r="I14" i="14"/>
  <c r="E14" i="14"/>
  <c r="F14" i="14"/>
  <c r="H19" i="12"/>
  <c r="G19" i="12"/>
  <c r="F19" i="12"/>
  <c r="D19" i="12"/>
  <c r="F39" i="8"/>
  <c r="E39" i="8"/>
  <c r="E40" i="8"/>
  <c r="D39" i="8"/>
  <c r="D40" i="8" s="1"/>
  <c r="E36" i="8"/>
  <c r="D36" i="8"/>
  <c r="E27" i="8"/>
  <c r="D27" i="8"/>
  <c r="E18" i="8"/>
  <c r="D18" i="8"/>
  <c r="E39" i="9"/>
  <c r="E42" i="9" s="1"/>
  <c r="D39" i="9"/>
  <c r="D42" i="9"/>
  <c r="E36" i="9"/>
  <c r="D36" i="9"/>
  <c r="E27" i="9"/>
  <c r="D27" i="9"/>
  <c r="E18" i="9"/>
  <c r="E40" i="9" s="1"/>
  <c r="D18" i="9"/>
  <c r="D40" i="9"/>
  <c r="F31" i="7"/>
  <c r="F35" i="7" s="1"/>
  <c r="G31" i="7"/>
  <c r="H31" i="7"/>
  <c r="I31" i="7"/>
  <c r="I32" i="7" s="1"/>
  <c r="J31" i="7"/>
  <c r="K31" i="7"/>
  <c r="K32" i="7"/>
  <c r="E31" i="7"/>
  <c r="F15" i="7"/>
  <c r="G15" i="7"/>
  <c r="H15" i="7"/>
  <c r="I15" i="7"/>
  <c r="J15" i="7"/>
  <c r="K15" i="7"/>
  <c r="Z10" i="7"/>
  <c r="AA10" i="7"/>
  <c r="M10" i="7"/>
  <c r="N10" i="7" s="1"/>
  <c r="L10" i="7"/>
  <c r="Z9" i="7"/>
  <c r="AA9" i="7" s="1"/>
  <c r="X9" i="7"/>
  <c r="M9" i="7"/>
  <c r="N9" i="7"/>
  <c r="Z13" i="7"/>
  <c r="AA13" i="7" s="1"/>
  <c r="M13" i="7"/>
  <c r="N13" i="7"/>
  <c r="L13" i="7"/>
  <c r="Z12" i="7"/>
  <c r="M12" i="7"/>
  <c r="N12" i="7"/>
  <c r="L12" i="7"/>
  <c r="Z11" i="7"/>
  <c r="X11" i="7"/>
  <c r="M11" i="7"/>
  <c r="L11" i="7"/>
  <c r="X28" i="7"/>
  <c r="X27" i="7"/>
  <c r="X35" i="7" s="1"/>
  <c r="X23" i="7"/>
  <c r="X21" i="7"/>
  <c r="Z21" i="7"/>
  <c r="Z22" i="7"/>
  <c r="AA22" i="7" s="1"/>
  <c r="Z23" i="7"/>
  <c r="Z24" i="7"/>
  <c r="Z25" i="7"/>
  <c r="Z26" i="7"/>
  <c r="AA26" i="7" s="1"/>
  <c r="Z27" i="7"/>
  <c r="AA27" i="7" s="1"/>
  <c r="Z28" i="7"/>
  <c r="Z29" i="7"/>
  <c r="AA29" i="7" s="1"/>
  <c r="Z30" i="7"/>
  <c r="Z19" i="7"/>
  <c r="AA19" i="7" s="1"/>
  <c r="AA35" i="7" s="1"/>
  <c r="G16" i="7"/>
  <c r="K16" i="7"/>
  <c r="E35" i="7"/>
  <c r="J35" i="7"/>
  <c r="H35" i="7"/>
  <c r="AA11" i="7"/>
  <c r="AA12" i="7"/>
  <c r="L22" i="7"/>
  <c r="M30" i="7"/>
  <c r="N30" i="7" s="1"/>
  <c r="M29" i="7"/>
  <c r="N29" i="7" s="1"/>
  <c r="M28" i="7"/>
  <c r="N28" i="7" s="1"/>
  <c r="M26" i="7"/>
  <c r="N26" i="7" s="1"/>
  <c r="M25" i="7"/>
  <c r="N25" i="7" s="1"/>
  <c r="M24" i="7"/>
  <c r="N24" i="7" s="1"/>
  <c r="M23" i="7"/>
  <c r="N23" i="7" s="1"/>
  <c r="M22" i="7"/>
  <c r="N22" i="7" s="1"/>
  <c r="M21" i="7"/>
  <c r="N21" i="7" s="1"/>
  <c r="M19" i="7"/>
  <c r="N19" i="7" s="1"/>
  <c r="M27" i="7"/>
  <c r="N27" i="7"/>
  <c r="L21" i="7"/>
  <c r="AA21" i="7"/>
  <c r="L23" i="7"/>
  <c r="AA23" i="7"/>
  <c r="L24" i="7"/>
  <c r="AA24" i="7"/>
  <c r="L25" i="7"/>
  <c r="AA25" i="7"/>
  <c r="L26" i="7"/>
  <c r="L27" i="7"/>
  <c r="L28" i="7"/>
  <c r="AA28" i="7"/>
  <c r="L29" i="7"/>
  <c r="L30" i="7"/>
  <c r="AA30" i="7"/>
  <c r="L19" i="7"/>
  <c r="F41" i="8"/>
  <c r="F42" i="8"/>
  <c r="F17" i="8"/>
  <c r="F26" i="8" s="1"/>
  <c r="F18" i="8"/>
  <c r="F35" i="14"/>
  <c r="I35" i="14" s="1"/>
  <c r="K35" i="7"/>
  <c r="G35" i="7"/>
  <c r="B7" i="15"/>
  <c r="N8" i="15" s="1"/>
  <c r="K8" i="10"/>
  <c r="F38" i="7" l="1"/>
  <c r="F48" i="7"/>
  <c r="F56" i="7"/>
  <c r="F42" i="7"/>
  <c r="F39" i="7"/>
  <c r="F44" i="7"/>
  <c r="F43" i="7"/>
  <c r="M15" i="7"/>
  <c r="N11" i="7"/>
  <c r="B27" i="15"/>
  <c r="B20" i="15"/>
  <c r="C11" i="10"/>
  <c r="I35" i="7"/>
  <c r="I16" i="7"/>
  <c r="C13" i="15"/>
  <c r="C14" i="15" s="1"/>
  <c r="B15" i="15"/>
  <c r="B18" i="15" s="1"/>
  <c r="S26" i="16"/>
  <c r="G11" i="10"/>
  <c r="G12" i="10" s="1"/>
  <c r="G13" i="10" s="1"/>
  <c r="G14" i="10" s="1"/>
  <c r="G15" i="10" s="1"/>
  <c r="G16" i="10" s="1"/>
  <c r="G17" i="10" s="1"/>
  <c r="G18" i="10" s="1"/>
  <c r="G19" i="10" s="1"/>
  <c r="G20" i="10" s="1"/>
  <c r="G21" i="10" s="1"/>
  <c r="G22" i="10" s="1"/>
  <c r="F41" i="7"/>
  <c r="M31" i="7"/>
  <c r="F35" i="8"/>
  <c r="F36" i="8" s="1"/>
  <c r="F27" i="8"/>
  <c r="L31" i="7"/>
  <c r="L35" i="7" s="1"/>
  <c r="AA37" i="7" s="1"/>
  <c r="AA38" i="7" s="1"/>
  <c r="I19" i="12"/>
  <c r="I21" i="12" s="1"/>
  <c r="I10" i="10"/>
  <c r="J10" i="10" s="1"/>
  <c r="S30" i="16"/>
  <c r="F40" i="7"/>
  <c r="G32" i="7"/>
  <c r="B30" i="15"/>
  <c r="C25" i="15"/>
  <c r="C26" i="15" s="1"/>
  <c r="D25" i="15" s="1"/>
  <c r="D26" i="15" s="1"/>
  <c r="E25" i="15" s="1"/>
  <c r="E26" i="15" s="1"/>
  <c r="F25" i="15" s="1"/>
  <c r="F26" i="15" s="1"/>
  <c r="G25" i="15" s="1"/>
  <c r="G26" i="15" s="1"/>
  <c r="H25" i="15" s="1"/>
  <c r="H26" i="15" s="1"/>
  <c r="I25" i="15" s="1"/>
  <c r="I26" i="15" s="1"/>
  <c r="J25" i="15" s="1"/>
  <c r="J26" i="15" s="1"/>
  <c r="K25" i="15" s="1"/>
  <c r="K26" i="15" s="1"/>
  <c r="L25" i="15" s="1"/>
  <c r="L26" i="15" s="1"/>
  <c r="M25" i="15" s="1"/>
  <c r="M26" i="15" s="1"/>
  <c r="N25" i="15" s="1"/>
  <c r="N26" i="15" s="1"/>
  <c r="O25" i="15" s="1"/>
  <c r="O26" i="15" s="1"/>
  <c r="P25" i="15" s="1"/>
  <c r="P26" i="15" s="1"/>
  <c r="Q25" i="15" s="1"/>
  <c r="Q26" i="15" s="1"/>
  <c r="R25" i="15" s="1"/>
  <c r="R26" i="15" s="1"/>
  <c r="S25" i="15" s="1"/>
  <c r="S26" i="15" s="1"/>
  <c r="T25" i="15" s="1"/>
  <c r="T26" i="15" s="1"/>
  <c r="U25" i="15" s="1"/>
  <c r="U26" i="15" s="1"/>
  <c r="F11" i="10"/>
  <c r="I9" i="10"/>
  <c r="M35" i="7" l="1"/>
  <c r="B31" i="15"/>
  <c r="B32" i="15" s="1"/>
  <c r="B34" i="15" s="1"/>
  <c r="C30" i="15"/>
  <c r="J9" i="10"/>
  <c r="J11" i="10"/>
  <c r="C12" i="10"/>
  <c r="F12" i="10"/>
  <c r="I11" i="10"/>
  <c r="G23" i="10"/>
  <c r="B28" i="15"/>
  <c r="C27" i="15"/>
  <c r="F50" i="7"/>
  <c r="D13" i="15"/>
  <c r="D14" i="15" s="1"/>
  <c r="C20" i="15"/>
  <c r="C15" i="15"/>
  <c r="C18" i="15" s="1"/>
  <c r="F45" i="7"/>
  <c r="F49" i="7" s="1"/>
  <c r="D27" i="15" l="1"/>
  <c r="C28" i="15"/>
  <c r="F51" i="7"/>
  <c r="F52" i="7" s="1"/>
  <c r="F53" i="7" s="1"/>
  <c r="F54" i="7" s="1"/>
  <c r="F57" i="7" s="1"/>
  <c r="C13" i="10"/>
  <c r="K9" i="10"/>
  <c r="K10" i="10" s="1"/>
  <c r="K11" i="10" s="1"/>
  <c r="E13" i="15"/>
  <c r="E14" i="15" s="1"/>
  <c r="D15" i="15"/>
  <c r="D18" i="15" s="1"/>
  <c r="D20" i="15"/>
  <c r="I12" i="10"/>
  <c r="F13" i="10"/>
  <c r="C31" i="15"/>
  <c r="C32" i="15" s="1"/>
  <c r="C34" i="15" s="1"/>
  <c r="D30" i="15"/>
  <c r="D31" i="15" s="1"/>
  <c r="D32" i="15" s="1"/>
  <c r="E30" i="15"/>
  <c r="E31" i="15" s="1"/>
  <c r="E32" i="15" s="1"/>
  <c r="J12" i="10" l="1"/>
  <c r="K12" i="10" s="1"/>
  <c r="K13" i="10" s="1"/>
  <c r="F14" i="10"/>
  <c r="I13" i="10"/>
  <c r="F13" i="15"/>
  <c r="F14" i="15" s="1"/>
  <c r="E15" i="15"/>
  <c r="E18" i="15" s="1"/>
  <c r="E20" i="15"/>
  <c r="J13" i="10"/>
  <c r="C14" i="10"/>
  <c r="E27" i="15"/>
  <c r="D28" i="15"/>
  <c r="D34" i="15" s="1"/>
  <c r="F27" i="15" l="1"/>
  <c r="E28" i="15"/>
  <c r="I14" i="10"/>
  <c r="J14" i="10" s="1"/>
  <c r="F15" i="10"/>
  <c r="E34" i="15"/>
  <c r="C15" i="10"/>
  <c r="G13" i="15"/>
  <c r="G14" i="15" s="1"/>
  <c r="F15" i="15"/>
  <c r="F18" i="15" s="1"/>
  <c r="F20" i="15"/>
  <c r="K14" i="10" l="1"/>
  <c r="C16" i="10"/>
  <c r="G27" i="15"/>
  <c r="F28" i="15"/>
  <c r="F34" i="15" s="1"/>
  <c r="H13" i="15"/>
  <c r="H14" i="15" s="1"/>
  <c r="G15" i="15"/>
  <c r="G18" i="15" s="1"/>
  <c r="G20" i="15"/>
  <c r="F16" i="10"/>
  <c r="I15" i="10"/>
  <c r="J15" i="10" s="1"/>
  <c r="C17" i="10" l="1"/>
  <c r="J16" i="10"/>
  <c r="H27" i="15"/>
  <c r="G28" i="15"/>
  <c r="G34" i="15" s="1"/>
  <c r="I13" i="15"/>
  <c r="I14" i="15" s="1"/>
  <c r="H15" i="15"/>
  <c r="H18" i="15" s="1"/>
  <c r="H20" i="15"/>
  <c r="I16" i="10"/>
  <c r="F17" i="10"/>
  <c r="K15" i="10"/>
  <c r="J13" i="15" l="1"/>
  <c r="J14" i="15" s="1"/>
  <c r="I15" i="15"/>
  <c r="I18" i="15" s="1"/>
  <c r="I20" i="15"/>
  <c r="C18" i="10"/>
  <c r="F18" i="10"/>
  <c r="I17" i="10"/>
  <c r="J17" i="10" s="1"/>
  <c r="K16" i="10"/>
  <c r="I27" i="15"/>
  <c r="H28" i="15"/>
  <c r="H34" i="15" s="1"/>
  <c r="J27" i="15" l="1"/>
  <c r="I28" i="15"/>
  <c r="I34" i="15" s="1"/>
  <c r="I18" i="10"/>
  <c r="F19" i="10"/>
  <c r="C19" i="10"/>
  <c r="J18" i="10"/>
  <c r="K13" i="15"/>
  <c r="K14" i="15" s="1"/>
  <c r="J15" i="15"/>
  <c r="J18" i="15" s="1"/>
  <c r="J20" i="15"/>
  <c r="K17" i="10"/>
  <c r="K18" i="10" s="1"/>
  <c r="C20" i="10" l="1"/>
  <c r="F20" i="10"/>
  <c r="I19" i="10"/>
  <c r="J19" i="10" s="1"/>
  <c r="K19" i="10" s="1"/>
  <c r="K27" i="15"/>
  <c r="J28" i="15"/>
  <c r="J34" i="15" s="1"/>
  <c r="L13" i="15"/>
  <c r="L14" i="15" s="1"/>
  <c r="K15" i="15"/>
  <c r="K18" i="15" s="1"/>
  <c r="K20" i="15"/>
  <c r="L27" i="15" l="1"/>
  <c r="K34" i="15"/>
  <c r="K28" i="15"/>
  <c r="C21" i="10"/>
  <c r="M13" i="15"/>
  <c r="M14" i="15" s="1"/>
  <c r="L15" i="15"/>
  <c r="L18" i="15" s="1"/>
  <c r="L20" i="15"/>
  <c r="I20" i="10"/>
  <c r="J20" i="10" s="1"/>
  <c r="K20" i="10" s="1"/>
  <c r="F21" i="10"/>
  <c r="L28" i="15" l="1"/>
  <c r="L34" i="15" s="1"/>
  <c r="M27" i="15"/>
  <c r="J21" i="10"/>
  <c r="K21" i="10" s="1"/>
  <c r="C22" i="10"/>
  <c r="F22" i="10"/>
  <c r="I21" i="10"/>
  <c r="M15" i="15"/>
  <c r="M18" i="15" s="1"/>
  <c r="N13" i="15"/>
  <c r="N14" i="15" s="1"/>
  <c r="M20" i="15"/>
  <c r="I22" i="10" l="1"/>
  <c r="I23" i="10" s="1"/>
  <c r="C26" i="10" s="1"/>
  <c r="F23" i="10"/>
  <c r="M28" i="15"/>
  <c r="N27" i="15"/>
  <c r="M34" i="15"/>
  <c r="J22" i="10"/>
  <c r="J23" i="10" s="1"/>
  <c r="C23" i="10"/>
  <c r="O13" i="15"/>
  <c r="O14" i="15" s="1"/>
  <c r="N20" i="15"/>
  <c r="N15" i="15"/>
  <c r="N18" i="15" s="1"/>
  <c r="P13" i="15" l="1"/>
  <c r="P14" i="15" s="1"/>
  <c r="O20" i="15"/>
  <c r="O15" i="15"/>
  <c r="O18" i="15" s="1"/>
  <c r="N28" i="15"/>
  <c r="N34" i="15" s="1"/>
  <c r="O27" i="15"/>
  <c r="K22" i="10"/>
  <c r="O28" i="15" l="1"/>
  <c r="P27" i="15"/>
  <c r="O34" i="15"/>
  <c r="Q13" i="15"/>
  <c r="Q14" i="15" s="1"/>
  <c r="P20" i="15"/>
  <c r="P15" i="15"/>
  <c r="P18" i="15" s="1"/>
  <c r="Q27" i="15" l="1"/>
  <c r="P28" i="15"/>
  <c r="P34" i="15" s="1"/>
  <c r="R13" i="15"/>
  <c r="R14" i="15" s="1"/>
  <c r="Q15" i="15"/>
  <c r="Q18" i="15" s="1"/>
  <c r="Q20" i="15"/>
  <c r="R27" i="15" l="1"/>
  <c r="Q28" i="15"/>
  <c r="Q34" i="15"/>
  <c r="S13" i="15"/>
  <c r="S14" i="15" s="1"/>
  <c r="R15" i="15"/>
  <c r="R18" i="15" s="1"/>
  <c r="R20" i="15"/>
  <c r="S27" i="15" l="1"/>
  <c r="R28" i="15"/>
  <c r="R34" i="15" s="1"/>
  <c r="T13" i="15"/>
  <c r="T14" i="15" s="1"/>
  <c r="S15" i="15"/>
  <c r="S18" i="15" s="1"/>
  <c r="S20" i="15"/>
  <c r="T27" i="15" l="1"/>
  <c r="S28" i="15"/>
  <c r="S34" i="15" s="1"/>
  <c r="U13" i="15"/>
  <c r="U14" i="15" s="1"/>
  <c r="T15" i="15"/>
  <c r="T18" i="15" s="1"/>
  <c r="T20" i="15"/>
  <c r="U27" i="15" l="1"/>
  <c r="T28" i="15"/>
  <c r="T34" i="15" s="1"/>
  <c r="U20" i="15"/>
  <c r="U15" i="15"/>
  <c r="U18" i="15" s="1"/>
  <c r="V18" i="15" s="1"/>
  <c r="U28" i="15" l="1"/>
  <c r="U34" i="15"/>
  <c r="V34" i="15" s="1"/>
  <c r="V19" i="15"/>
  <c r="V35" i="15" l="1"/>
</calcChain>
</file>

<file path=xl/sharedStrings.xml><?xml version="1.0" encoding="utf-8"?>
<sst xmlns="http://schemas.openxmlformats.org/spreadsheetml/2006/main" count="815" uniqueCount="374">
  <si>
    <t>($)</t>
  </si>
  <si>
    <t>Electrical</t>
  </si>
  <si>
    <t>Natural Gas</t>
  </si>
  <si>
    <t>Water</t>
  </si>
  <si>
    <t>(years)</t>
  </si>
  <si>
    <t>(KWH)</t>
  </si>
  <si>
    <t>(Therms)</t>
  </si>
  <si>
    <t>Simple Payback</t>
  </si>
  <si>
    <t>Energy Audit</t>
  </si>
  <si>
    <t>Gas</t>
  </si>
  <si>
    <t>Utility Meter</t>
  </si>
  <si>
    <r>
      <t xml:space="preserve">Installation Cost      </t>
    </r>
    <r>
      <rPr>
        <sz val="10"/>
        <rFont val="Arial"/>
        <family val="2"/>
      </rPr>
      <t>(Audit)</t>
    </r>
  </si>
  <si>
    <t>Elec.</t>
  </si>
  <si>
    <t>Cost Summary</t>
  </si>
  <si>
    <t>Yearly Energy Savings</t>
  </si>
  <si>
    <t>Instructions</t>
  </si>
  <si>
    <t>Description of ECM</t>
  </si>
  <si>
    <t>Water &amp; Sewage</t>
  </si>
  <si>
    <t xml:space="preserve">Weather Adjustment   </t>
  </si>
  <si>
    <t>[ ] yes   [ ] no</t>
  </si>
  <si>
    <t>Option B</t>
  </si>
  <si>
    <t>Option C</t>
  </si>
  <si>
    <t xml:space="preserve">Option A </t>
  </si>
  <si>
    <t>M&amp;V</t>
  </si>
  <si>
    <t>Useful Life</t>
  </si>
  <si>
    <t xml:space="preserve">Life </t>
  </si>
  <si>
    <t>Expectancy</t>
  </si>
  <si>
    <t>Option D</t>
  </si>
  <si>
    <t>Cost of Risk</t>
  </si>
  <si>
    <t>Water Conservation</t>
  </si>
  <si>
    <t>(Gal)</t>
  </si>
  <si>
    <t>Vending Machine Controls</t>
  </si>
  <si>
    <t>c</t>
  </si>
  <si>
    <t>C</t>
  </si>
  <si>
    <t>Design A&amp;E</t>
  </si>
  <si>
    <t>Construction Management</t>
  </si>
  <si>
    <t>Training</t>
  </si>
  <si>
    <t>subtotal</t>
  </si>
  <si>
    <t>Overhead at 15%</t>
  </si>
  <si>
    <t>Profit at 10%</t>
  </si>
  <si>
    <t>Project total cost</t>
  </si>
  <si>
    <t>Installation Cost</t>
  </si>
  <si>
    <t>Project Soft Costs</t>
  </si>
  <si>
    <t>%</t>
  </si>
  <si>
    <t>Total</t>
  </si>
  <si>
    <t>Total Soft Costs</t>
  </si>
  <si>
    <t>Project Totals</t>
  </si>
  <si>
    <t>A</t>
  </si>
  <si>
    <t>City of Manistee Housing Commission</t>
  </si>
  <si>
    <t>Lighting</t>
  </si>
  <si>
    <t>Unit Controls</t>
  </si>
  <si>
    <t>Building Exterior System</t>
  </si>
  <si>
    <t>Gas Fired Equipment Efficiency Improvements</t>
  </si>
  <si>
    <t>Lighting- Resident Paid</t>
  </si>
  <si>
    <t>Lighting - Authority Paid</t>
  </si>
  <si>
    <t>Boiler Efficiency Improvements</t>
  </si>
  <si>
    <t>Lighting - Resident Paid</t>
  </si>
  <si>
    <t>Gas Fired Equipment Efficiency Improvements - Authority Pd</t>
  </si>
  <si>
    <t>Gas Fired Equipment Efficiency Improvements - Resident Pd</t>
  </si>
  <si>
    <t>n</t>
  </si>
  <si>
    <t>y</t>
  </si>
  <si>
    <t>Century Terrace</t>
  </si>
  <si>
    <t>Harbor View</t>
  </si>
  <si>
    <t>MI 78-3A</t>
  </si>
  <si>
    <t>Scattered Sites</t>
  </si>
  <si>
    <t>MI 78-1</t>
  </si>
  <si>
    <t>MI 78-3B</t>
  </si>
  <si>
    <t>Replacement Costs</t>
  </si>
  <si>
    <t>Authority Paid</t>
  </si>
  <si>
    <t>Energy Savings</t>
  </si>
  <si>
    <t>m=</t>
  </si>
  <si>
    <t>r=</t>
  </si>
  <si>
    <t>MI 78-2</t>
  </si>
  <si>
    <t>AMP Total</t>
  </si>
  <si>
    <t>Rate</t>
  </si>
  <si>
    <t>2008 - HUD 52722 Rate</t>
  </si>
  <si>
    <t>Sites:</t>
  </si>
  <si>
    <t>Units</t>
  </si>
  <si>
    <t>Electric</t>
  </si>
  <si>
    <t>Occupancy</t>
  </si>
  <si>
    <t>Comments</t>
  </si>
  <si>
    <t>R</t>
  </si>
  <si>
    <t xml:space="preserve">R </t>
  </si>
  <si>
    <t xml:space="preserve">A = Authority Paid </t>
  </si>
  <si>
    <t xml:space="preserve">R = Resident Paid </t>
  </si>
  <si>
    <t>HUD Review Checklist - Baseline Comparison</t>
  </si>
  <si>
    <t>July - June</t>
  </si>
  <si>
    <t>Consumption</t>
  </si>
  <si>
    <t>(kwh)</t>
  </si>
  <si>
    <t>(cf)</t>
  </si>
  <si>
    <t>(gal)</t>
  </si>
  <si>
    <t>2004-2005</t>
  </si>
  <si>
    <t>2008 Financial</t>
  </si>
  <si>
    <t>52722 value</t>
  </si>
  <si>
    <t>HDD Adjustment</t>
  </si>
  <si>
    <t>Occupancy Adjustment</t>
  </si>
  <si>
    <t>Unit Count Adjustment</t>
  </si>
  <si>
    <t>Data Correction Adjustment</t>
  </si>
  <si>
    <t xml:space="preserve">Other Adjustments </t>
  </si>
  <si>
    <t>2005-2006</t>
  </si>
  <si>
    <t>HDD Adjsutement</t>
  </si>
  <si>
    <t>Occupancy Adjustement</t>
  </si>
  <si>
    <t>Data Correction Adjustement</t>
  </si>
  <si>
    <t>2006-2007</t>
  </si>
  <si>
    <t>3 Year Average</t>
  </si>
  <si>
    <t>difference</t>
  </si>
  <si>
    <t>% Difference</t>
  </si>
  <si>
    <t xml:space="preserve"> </t>
  </si>
  <si>
    <t>Bad water meters - See Appendix 4 for detials.</t>
  </si>
  <si>
    <t xml:space="preserve">Annual </t>
  </si>
  <si>
    <t>Annual</t>
  </si>
  <si>
    <t>Cumulative</t>
  </si>
  <si>
    <t>Year</t>
  </si>
  <si>
    <t xml:space="preserve">Energy </t>
  </si>
  <si>
    <t>Escrow</t>
  </si>
  <si>
    <t xml:space="preserve">Debt </t>
  </si>
  <si>
    <t>Annual Fees</t>
  </si>
  <si>
    <t>Cash-Flow</t>
  </si>
  <si>
    <t>Savings</t>
  </si>
  <si>
    <t>Earnings</t>
  </si>
  <si>
    <t>Payment</t>
  </si>
  <si>
    <t>Maintenance</t>
  </si>
  <si>
    <t xml:space="preserve">Who Pays The Utility Bills
 (PRE - POST)
</t>
  </si>
  <si>
    <t>Utility Allowances</t>
  </si>
  <si>
    <t xml:space="preserve">Resident Paid </t>
  </si>
  <si>
    <t>Monthly</t>
  </si>
  <si>
    <t>Energy</t>
  </si>
  <si>
    <t>A = Authority</t>
  </si>
  <si>
    <t>Bedroom</t>
  </si>
  <si>
    <t xml:space="preserve">Building </t>
  </si>
  <si>
    <t>Existing</t>
  </si>
  <si>
    <t>PRE</t>
  </si>
  <si>
    <t>POST</t>
  </si>
  <si>
    <t>R = Resident</t>
  </si>
  <si>
    <t>Number</t>
  </si>
  <si>
    <t>Location</t>
  </si>
  <si>
    <t>Size</t>
  </si>
  <si>
    <t>Type</t>
  </si>
  <si>
    <t>(date)</t>
  </si>
  <si>
    <t>B</t>
  </si>
  <si>
    <t>1 BR</t>
  </si>
  <si>
    <t>Row House</t>
  </si>
  <si>
    <t>2 BR</t>
  </si>
  <si>
    <t>3 BR</t>
  </si>
  <si>
    <t>4 BR</t>
  </si>
  <si>
    <t>Yearly</t>
  </si>
  <si>
    <t>Not Seasonally Adjusted</t>
  </si>
  <si>
    <t>Base Period:  </t>
  </si>
  <si>
    <t>1989 - 2009</t>
  </si>
  <si>
    <t>http://data.bls.gov/PDQ/servlet/SurveyOutputServlet;jsessionid=f030300ff9a2$3F$3F$4</t>
  </si>
  <si>
    <t>Percentage of Change</t>
  </si>
  <si>
    <t>% of Change</t>
  </si>
  <si>
    <t>Average Yearly Esculation</t>
  </si>
  <si>
    <r>
      <t>Series Id:    </t>
    </r>
    <r>
      <rPr>
        <sz val="11"/>
        <rFont val="Arial"/>
      </rPr>
      <t>CUURA208SEHF,CUUSA208SEHF</t>
    </r>
  </si>
  <si>
    <r>
      <t>Area:         </t>
    </r>
    <r>
      <rPr>
        <sz val="11"/>
        <rFont val="Arial"/>
      </rPr>
      <t>Detroit-Ann Arbor-Flint, MI</t>
    </r>
  </si>
  <si>
    <r>
      <t>Item:         </t>
    </r>
    <r>
      <rPr>
        <sz val="11"/>
        <rFont val="Arial"/>
      </rPr>
      <t>Gas (piped) and electricity</t>
    </r>
  </si>
  <si>
    <t>Corrected based upon 2006 billing data.</t>
  </si>
  <si>
    <t>AMP 1 - Baseline Review Summary</t>
  </si>
  <si>
    <t>AMP 2 - Baseline Review Summary</t>
  </si>
  <si>
    <t>HUD</t>
  </si>
  <si>
    <t>Funding</t>
  </si>
  <si>
    <t>Construction</t>
  </si>
  <si>
    <t>Total Energy Savings</t>
  </si>
  <si>
    <t>Guranteed Energy Savings</t>
  </si>
  <si>
    <t>Footnote</t>
  </si>
  <si>
    <r>
      <t xml:space="preserve">A - R </t>
    </r>
    <r>
      <rPr>
        <vertAlign val="superscript"/>
        <sz val="11"/>
        <rFont val="Algerian"/>
        <family val="5"/>
      </rPr>
      <t>1</t>
    </r>
  </si>
  <si>
    <t>#1 - Shows conversion from Authority paid to Resident paid.</t>
  </si>
  <si>
    <t>http://data.bls.gov/PDQ/outside.jsp?survey=cu</t>
  </si>
  <si>
    <t>Go to:</t>
  </si>
  <si>
    <t>www.bls.gov</t>
  </si>
  <si>
    <t>Database &amp; Tables</t>
  </si>
  <si>
    <t>Inflation &amp; Prices</t>
  </si>
  <si>
    <t>All Urban Consummers</t>
  </si>
  <si>
    <t>One Screen Data Search</t>
  </si>
  <si>
    <t>Select Area</t>
  </si>
  <si>
    <t>Select Item</t>
  </si>
  <si>
    <t>Fuels &amp; Utilities</t>
  </si>
  <si>
    <t>ESCo Corrected</t>
  </si>
  <si>
    <t>ESCo</t>
  </si>
  <si>
    <t>Who Pays The Utility Bills</t>
  </si>
  <si>
    <t>Cost of Baseline Adjustment for First Year</t>
  </si>
  <si>
    <t>Term of Contract - Years</t>
  </si>
  <si>
    <t>Cost of Baseline Adjustment for Contract Term</t>
  </si>
  <si>
    <t xml:space="preserve">Commissioning </t>
  </si>
  <si>
    <t>Project  cost</t>
  </si>
  <si>
    <t>Legal / Bond</t>
  </si>
  <si>
    <t xml:space="preserve">Audit Engineering  </t>
  </si>
  <si>
    <t>Instructions - Baseline Data Sheet</t>
  </si>
  <si>
    <t>Complete one sheet for each AMP and list on a separate excel tab.</t>
  </si>
  <si>
    <t>Rows 4,5,6 - Insert rows as needed to list all of the projects that compose the AMP.</t>
  </si>
  <si>
    <t>Determine the rolling base years by:</t>
  </si>
  <si>
    <t>Determine HUD approval date of ESA</t>
  </si>
  <si>
    <t>b.</t>
  </si>
  <si>
    <t>Determine HUD funding year in which HUD approves the ESA.</t>
  </si>
  <si>
    <t>c.</t>
  </si>
  <si>
    <t>The rolling base consumption level (RBCL) equals lines 02, 03 and 04 of the 52722 form submitted for that funding year.</t>
  </si>
  <si>
    <t>Event</t>
  </si>
  <si>
    <t>Date</t>
  </si>
  <si>
    <t>Funding Year</t>
  </si>
  <si>
    <t>RBCL</t>
  </si>
  <si>
    <t>(Jan - Dec)</t>
  </si>
  <si>
    <t>HUD ESA Approval</t>
  </si>
  <si>
    <t>Jul – Jun 2005, 2006, 2007</t>
  </si>
  <si>
    <t>End Construction</t>
  </si>
  <si>
    <t>Start Loan Repayment</t>
  </si>
  <si>
    <r>
      <t>1</t>
    </r>
    <r>
      <rPr>
        <vertAlign val="superscript"/>
        <sz val="10"/>
        <color indexed="8"/>
        <rFont val="Arial"/>
        <family val="2"/>
      </rPr>
      <t>st</t>
    </r>
    <r>
      <rPr>
        <sz val="10"/>
        <color indexed="8"/>
        <rFont val="Arial"/>
        <family val="2"/>
      </rPr>
      <t xml:space="preserve"> Qtr</t>
    </r>
  </si>
  <si>
    <r>
      <t>1</t>
    </r>
    <r>
      <rPr>
        <vertAlign val="superscript"/>
        <sz val="10"/>
        <color indexed="8"/>
        <rFont val="Arial"/>
        <family val="2"/>
      </rPr>
      <t>st</t>
    </r>
    <r>
      <rPr>
        <sz val="10"/>
        <color indexed="8"/>
        <rFont val="Arial"/>
        <family val="2"/>
      </rPr>
      <t xml:space="preserve"> Year w/ Frozen Rolling Base</t>
    </r>
  </si>
  <si>
    <t>Record the 52722 consumption values for each of the RBCL years.</t>
  </si>
  <si>
    <t>Record consumption adjustments for HDD, Occupancy Changes, Unit Changes, Building Changes or other changes for each RBCL year.</t>
  </si>
  <si>
    <t>Provide comments as needed.</t>
  </si>
  <si>
    <t>Compute three year averages.</t>
  </si>
  <si>
    <t>Record utility rate for each for the current utility year, line 17 of the 52722 form.</t>
  </si>
  <si>
    <t>Compute cost of adjustments.</t>
  </si>
  <si>
    <t xml:space="preserve">Provide a report for all utility adjustments that total more than $3,000 per year.  </t>
  </si>
  <si>
    <t>Report should be clear, transparent and  easy to understand.</t>
  </si>
  <si>
    <t>Row 9,10 - Recored units of consumption.  Units should be identical to utility units recorded on the 52722 for, line 1a.</t>
  </si>
  <si>
    <t>Contingency   (unused contingency returns to PHA)</t>
  </si>
  <si>
    <t>The baseline for the utility finance project will use the three year rolling base in effect at the time of field office approval for the final energy plan or energy services agreement.  If the final plan or energy services agreement is submitted to HUD earlier than four months prior to the end of the fiscal year but approval was delayed for reasons not the fault of the housing authority, the field office may at its discretion allow the housing authority to use the rolling base consumption for the budget year in effect at the time of submission.</t>
  </si>
  <si>
    <t>Project 
Name</t>
  </si>
  <si>
    <t>ABC Housing Authority</t>
  </si>
  <si>
    <t>Funding Source</t>
  </si>
  <si>
    <t xml:space="preserve">C = COCC </t>
  </si>
  <si>
    <t xml:space="preserve">AF = Authority-Frozen Base
</t>
  </si>
  <si>
    <t>CF = Capital Fund</t>
  </si>
  <si>
    <t>AA = Authority-Add-On</t>
  </si>
  <si>
    <t>FEMP</t>
  </si>
  <si>
    <t xml:space="preserve">AF 
</t>
  </si>
  <si>
    <t xml:space="preserve">A spreadsheet is provided in the HUD format that lists each ECM measure by AMP / Group / project. </t>
  </si>
  <si>
    <r>
      <t>a.</t>
    </r>
    <r>
      <rPr>
        <sz val="7"/>
        <rFont val="Times New Roman"/>
        <family val="1"/>
      </rPr>
      <t xml:space="preserve">       </t>
    </r>
    <r>
      <rPr>
        <sz val="11"/>
        <rFont val="Times New Roman"/>
        <family val="1"/>
      </rPr>
      <t>Energy Conservation Measures (ECM) are listed by AMP.</t>
    </r>
  </si>
  <si>
    <r>
      <t>b.</t>
    </r>
    <r>
      <rPr>
        <sz val="7"/>
        <rFont val="Times New Roman"/>
        <family val="1"/>
      </rPr>
      <t xml:space="preserve">      </t>
    </r>
    <r>
      <rPr>
        <sz val="11"/>
        <rFont val="Times New Roman"/>
        <family val="1"/>
      </rPr>
      <t>Separate lines are to be provided for different funding sources and different Measurement and Verification methods.</t>
    </r>
  </si>
  <si>
    <r>
      <t>c.</t>
    </r>
    <r>
      <rPr>
        <sz val="7"/>
        <rFont val="Times New Roman"/>
        <family val="1"/>
      </rPr>
      <t xml:space="preserve">       </t>
    </r>
    <r>
      <rPr>
        <sz val="11"/>
        <rFont val="Times New Roman"/>
        <family val="1"/>
      </rPr>
      <t>Installation costs, soft costs and overhead and profit are to be listed separately.</t>
    </r>
  </si>
  <si>
    <r>
      <t>d.</t>
    </r>
    <r>
      <rPr>
        <sz val="7"/>
        <rFont val="Times New Roman"/>
        <family val="1"/>
      </rPr>
      <t xml:space="preserve">      </t>
    </r>
    <r>
      <rPr>
        <sz val="11"/>
        <rFont val="Times New Roman"/>
        <family val="1"/>
      </rPr>
      <t>Current utility rates must be shown to support the energy savings.</t>
    </r>
  </si>
  <si>
    <t>Contract Amendments - If a contract is being amended, the revised HUD Cost Summary Sheet must show all ECMs and costs for the previously approved contract(s) and the proposed contract / amendment.</t>
  </si>
  <si>
    <t>Technical Review Checklist</t>
  </si>
  <si>
    <t>Replacement</t>
  </si>
  <si>
    <t>Costs</t>
  </si>
  <si>
    <t>HUD Incentive Matrix</t>
  </si>
  <si>
    <t>Add-On Subsidy Incentive vs. Rolling Base Incentive</t>
  </si>
  <si>
    <t>Benefit To HUD</t>
  </si>
  <si>
    <t>Annual Cost Benefit To HUD</t>
  </si>
  <si>
    <t>Net Cost Benefit To HUD</t>
  </si>
  <si>
    <t xml:space="preserve">Net Present Value = </t>
  </si>
  <si>
    <t>20 Year - Utilizing the Frozen Rolling Base Incentive</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</si>
  <si>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</si>
  <si>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</si>
  <si>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</si>
  <si>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</si>
  <si>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</si>
  <si>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</si>
  <si>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</si>
  <si>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</si>
  <si>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</si>
  <si>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</si>
  <si>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</si>
  <si>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</si>
  <si>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</si>
  <si>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</si>
  <si>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</si>
  <si>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</si>
  <si>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</si>
  <si>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</si>
  <si>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</si>
  <si>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</si>
  <si>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23</t>
  </si>
  <si>
    <t>Annual Energy Savings</t>
  </si>
  <si>
    <t>Adjusted Annual Energy Savings</t>
  </si>
  <si>
    <t>Less Debt Service Payment</t>
  </si>
  <si>
    <t>Annual ESCo Fees</t>
  </si>
  <si>
    <t>Excess Income</t>
  </si>
  <si>
    <t>Debt Service % of Energy Savings</t>
  </si>
  <si>
    <t>HUD Credit</t>
  </si>
  <si>
    <t>20 Year - Utilizing the Add-On Subsidy Incentive</t>
  </si>
  <si>
    <t>Annual Debt Service Payment</t>
  </si>
  <si>
    <t>PHA Income - Operating Fund Formula</t>
  </si>
  <si>
    <t>Less HUD 25% Reduction</t>
  </si>
  <si>
    <t>Input Variables to  Matrix</t>
  </si>
  <si>
    <t>PHA Name</t>
  </si>
  <si>
    <t>Canton</t>
  </si>
  <si>
    <t>Utility Rate Escalation</t>
  </si>
  <si>
    <t>Loan Amount</t>
  </si>
  <si>
    <t>Loan Interest Rate</t>
  </si>
  <si>
    <t xml:space="preserve">HUD Funding Amount </t>
  </si>
  <si>
    <t>Annual Inflation Rate</t>
  </si>
  <si>
    <r>
      <t xml:space="preserve">Annual  Fees </t>
    </r>
    <r>
      <rPr>
        <sz val="12"/>
        <rFont val="Arial"/>
        <family val="2"/>
      </rPr>
      <t>(M&amp;V, Maintenance, Resident Education, etc</t>
    </r>
    <r>
      <rPr>
        <sz val="16"/>
        <rFont val="Arial"/>
      </rPr>
      <t>)</t>
    </r>
  </si>
  <si>
    <t>Note:</t>
  </si>
  <si>
    <r>
      <t xml:space="preserve">This matrix is a very simplified approach to compare the cost benefits of differing HUD incentives.  It assumes that the energy savings and debt service  payment remain constant throughout the life of the loan.  The decision as to what HUD incentive to use should be based upon a cash flow of each incentive that computes the present value of </t>
    </r>
    <r>
      <rPr>
        <u/>
        <sz val="16"/>
        <rFont val="Arial"/>
        <family val="2"/>
      </rPr>
      <t>all</t>
    </r>
    <r>
      <rPr>
        <sz val="16"/>
        <rFont val="Arial"/>
        <family val="2"/>
      </rPr>
      <t xml:space="preserve"> </t>
    </r>
    <r>
      <rPr>
        <sz val="16"/>
        <rFont val="Arial"/>
      </rPr>
      <t xml:space="preserve">of the variables. </t>
    </r>
  </si>
  <si>
    <t>Project Number (new AMP number)</t>
  </si>
  <si>
    <t>Project Number
(old)</t>
  </si>
  <si>
    <t>Water Conservation - Toilets</t>
  </si>
  <si>
    <t>Water Conservation - Aerators</t>
  </si>
  <si>
    <t>Cash Flow - 100%</t>
  </si>
  <si>
    <t>Notes:</t>
  </si>
  <si>
    <t xml:space="preserve"> of the projected  cash flow is being used for payment of contract costs.</t>
  </si>
  <si>
    <t>Any  changes to this approved cash flow other than lower interest rates must be approved by HUD.</t>
  </si>
  <si>
    <t xml:space="preserve">Operating Fund Project No. </t>
  </si>
  <si>
    <t>Operating Fund
Project Name</t>
  </si>
  <si>
    <t xml:space="preserve">Site Project No. </t>
  </si>
  <si>
    <t xml:space="preserve">Site Name </t>
  </si>
  <si>
    <t xml:space="preserve">Building Type </t>
  </si>
  <si>
    <t xml:space="preserve">Year Built </t>
  </si>
  <si>
    <t xml:space="preserve">No. of Floors </t>
  </si>
  <si>
    <t xml:space="preserve">Building Area (GSF) </t>
  </si>
  <si>
    <t xml:space="preserve">Number of Units </t>
  </si>
  <si>
    <t xml:space="preserve">Total
 Bedrooms </t>
  </si>
  <si>
    <t xml:space="preserve">Full 
Occupancy </t>
  </si>
  <si>
    <t>Current Occupancy</t>
  </si>
  <si>
    <t>Phase</t>
  </si>
  <si>
    <t>PIC Data  Units</t>
  </si>
  <si>
    <t xml:space="preserve">Highrise </t>
  </si>
  <si>
    <t xml:space="preserve">Family </t>
  </si>
  <si>
    <t xml:space="preserve">Grand Totals: </t>
  </si>
  <si>
    <t>● Family 
● Elderly</t>
  </si>
  <si>
    <t>Percentage (%)</t>
  </si>
  <si>
    <t>Elderly</t>
  </si>
  <si>
    <t>Family</t>
  </si>
  <si>
    <t>Row-House</t>
  </si>
  <si>
    <t>Walk-Up</t>
  </si>
  <si>
    <t>Walk-UP</t>
  </si>
  <si>
    <t>&lt; old project number &amp; name&gt;</t>
  </si>
  <si>
    <t>&lt;new project number &amp; name&gt;
&lt;matches 52722 form&gt;</t>
  </si>
  <si>
    <t>PIC Building Data</t>
  </si>
  <si>
    <t>Site Included In EPC</t>
  </si>
  <si>
    <t>&lt;y or n&gt;</t>
  </si>
  <si>
    <t>PHA Name:</t>
  </si>
  <si>
    <t>Unit Count to match PIC data.</t>
  </si>
  <si>
    <t>Unit Type</t>
  </si>
  <si>
    <t>Liabilities</t>
  </si>
  <si>
    <t>a.</t>
  </si>
  <si>
    <t xml:space="preserve">gas  </t>
  </si>
  <si>
    <t xml:space="preserve">water </t>
  </si>
  <si>
    <t>other</t>
  </si>
  <si>
    <t>ABC Housing Authority - Utility Allowances - COSTS</t>
  </si>
  <si>
    <t>Operating Fund Project</t>
  </si>
  <si>
    <t>ABC33-1</t>
  </si>
  <si>
    <t>ABC33-2</t>
  </si>
  <si>
    <t>Site Name</t>
  </si>
  <si>
    <t>Plavecko Homes</t>
  </si>
  <si>
    <t>Wing Towers</t>
  </si>
  <si>
    <t>D=(B-C)*A</t>
  </si>
  <si>
    <t xml:space="preserve">ABC003000050 </t>
  </si>
  <si>
    <t xml:space="preserve">ABC003000090 </t>
  </si>
  <si>
    <t xml:space="preserve">ABC003000060 </t>
  </si>
  <si>
    <t xml:space="preserve">ABC003000061 </t>
  </si>
  <si>
    <t xml:space="preserve">ABC003000101 </t>
  </si>
  <si>
    <t xml:space="preserve">ABC003000070 </t>
  </si>
  <si>
    <t xml:space="preserve">ABC003000022 </t>
  </si>
  <si>
    <t xml:space="preserve">ABC003000102 </t>
  </si>
  <si>
    <t xml:space="preserve">ABC003000030 </t>
  </si>
  <si>
    <t xml:space="preserve">ABC003000040 </t>
  </si>
  <si>
    <t xml:space="preserve">ABC003000062 </t>
  </si>
  <si>
    <t>Plavecko Houses</t>
  </si>
  <si>
    <t xml:space="preserve">Otto Homes </t>
  </si>
  <si>
    <t>Otto Homes</t>
  </si>
  <si>
    <t xml:space="preserve">Dave Court </t>
  </si>
  <si>
    <t xml:space="preserve">LaDuca  Manor </t>
  </si>
  <si>
    <t>LaDuca Manor</t>
  </si>
  <si>
    <t xml:space="preserve">Plavecko East Houses </t>
  </si>
  <si>
    <t>Wing East Towers</t>
  </si>
  <si>
    <t>Wing West Towers</t>
  </si>
  <si>
    <t>Otto East Homes</t>
  </si>
  <si>
    <t>Otto West Homes</t>
  </si>
  <si>
    <t>Dave Court I</t>
  </si>
  <si>
    <t>Dave Court II</t>
  </si>
  <si>
    <t>Baynes Manor  I</t>
  </si>
  <si>
    <t>Baynes Manor II</t>
  </si>
  <si>
    <t>Baynes Manor III</t>
  </si>
  <si>
    <t>Annual cash flow for Add on subsidy Incentive must be positive for each year of the EPC.</t>
  </si>
  <si>
    <t>Utility  conservation measure Included in initial phase phase of  EPC  &lt;y or n&gt;</t>
  </si>
  <si>
    <t>Utility  conservation measure Included in subsequent phase  of  EPC  &lt;y or n&gt;</t>
  </si>
  <si>
    <r>
      <t>ABC Housing Authority</t>
    </r>
    <r>
      <rPr>
        <b/>
        <sz val="14"/>
        <color indexed="10"/>
        <rFont val="Arial"/>
        <family val="2"/>
      </rPr>
      <t xml:space="preserve">  EXAMPLE</t>
    </r>
  </si>
  <si>
    <t>Phase 1</t>
  </si>
  <si>
    <t>Phase 2</t>
  </si>
  <si>
    <t>ABC</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</si>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</sst>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quot;$&quot;#,##0"/>
    <numFmt numFmtId="166" formatCode="0.0%"/>
    <numFmt numFmtId="167" formatCode="&quot;$&quot;#,##0.0000"/>
    <numFmt numFmtId="168" formatCode="[$-409]d\-mmm\-yy;@"/>
    <numFmt numFmtId="169" formatCode="&quot;$&quot;#,##0.0"/>
  </numFmts>
  <fonts count="69">
    <font>
      <sz val="11"/>
      <name val="Arial"/>
    </font>
    <font>
      <sz val="11"/>
      <name val="Arial"/>
    </font>
    <font>
      <sz val="10"/>
      <name val="Arial"/>
      <family val="2"/>
    </font>
    <font>
      <b/>
      <sz val="10"/>
      <name val="Arial"/>
      <family val="2"/>
    </font>
    <font>
      <b/>
      <sz val="14"/>
      <name val="Arial"/>
      <family val="2"/>
    </font>
    <font>
      <sz val="9"/>
      <name val="Arial"/>
      <family val="2"/>
    </font>
    <font>
      <sz val="10"/>
      <name val="Arial"/>
    </font>
    <font>
      <sz val="12"/>
      <color indexed="12"/>
      <name val="Times New Roman"/>
      <family val="1"/>
    </font>
    <font>
      <sz val="10"/>
      <color indexed="10"/>
      <name val="Arial"/>
      <family val="2"/>
    </font>
    <font>
      <b/>
      <sz val="12"/>
      <name val="Arial"/>
      <family val="2"/>
    </font>
    <font>
      <b/>
      <sz val="14"/>
      <name val="Siemens Sans"/>
    </font>
    <font>
      <sz val="11"/>
      <name val="Siemens Sans"/>
    </font>
    <font>
      <sz val="12"/>
      <name val="Siemens Sans"/>
    </font>
    <font>
      <sz val="11"/>
      <name val="Arial"/>
      <family val="2"/>
    </font>
    <font>
      <sz val="11"/>
      <name val="Cambria"/>
      <family val="1"/>
    </font>
    <font>
      <strike/>
      <sz val="11"/>
      <name val="Cambria"/>
      <family val="1"/>
    </font>
    <font>
      <sz val="12"/>
      <name val="Arial"/>
      <family val="2"/>
    </font>
    <font>
      <b/>
      <sz val="12"/>
      <name val="Siemens Sans"/>
    </font>
    <font>
      <sz val="8"/>
      <name val="Siemens Sans"/>
    </font>
    <font>
      <strike/>
      <sz val="12"/>
      <name val="Algerian"/>
      <family val="5"/>
    </font>
    <font>
      <sz val="10"/>
      <name val="Siemens Sans"/>
    </font>
    <font>
      <strike/>
      <sz val="10"/>
      <name val="Arial"/>
      <family val="2"/>
    </font>
    <font>
      <b/>
      <sz val="12"/>
      <color indexed="9"/>
      <name val="Times New Roman"/>
      <family val="1"/>
    </font>
    <font>
      <sz val="10"/>
      <name val="Times New Roman"/>
      <family val="1"/>
    </font>
    <font>
      <sz val="10"/>
      <name val="MS Sans Serif"/>
      <family val="2"/>
    </font>
    <font>
      <b/>
      <sz val="11"/>
      <name val="Arial"/>
      <family val="2"/>
    </font>
    <font>
      <sz val="14"/>
      <name val="Arial"/>
      <family val="2"/>
    </font>
    <font>
      <b/>
      <sz val="12"/>
      <color indexed="8"/>
      <name val="Arial"/>
      <family val="2"/>
    </font>
    <font>
      <b/>
      <sz val="10"/>
      <color indexed="8"/>
      <name val="Verdana"/>
      <family val="2"/>
    </font>
    <font>
      <sz val="10"/>
      <color indexed="8"/>
      <name val="Verdana"/>
      <family val="2"/>
    </font>
    <font>
      <b/>
      <sz val="10"/>
      <name val="Arial Unicode MS"/>
      <family val="2"/>
    </font>
    <font>
      <sz val="10"/>
      <color indexed="8"/>
      <name val="Arial"/>
      <family val="2"/>
    </font>
    <font>
      <sz val="10"/>
      <color indexed="8"/>
      <name val="Calibri"/>
      <family val="2"/>
    </font>
    <font>
      <sz val="10"/>
      <name val="Arial Unicode MS"/>
      <family val="2"/>
    </font>
    <font>
      <sz val="9"/>
      <name val="Times New Roman"/>
      <family val="1"/>
    </font>
    <font>
      <vertAlign val="superscript"/>
      <sz val="11"/>
      <name val="Algerian"/>
      <family val="5"/>
    </font>
    <font>
      <b/>
      <sz val="12"/>
      <color indexed="8"/>
      <name val="Times New Roman"/>
      <family val="1"/>
    </font>
    <font>
      <b/>
      <sz val="10"/>
      <color indexed="8"/>
      <name val="Arial"/>
      <family val="2"/>
    </font>
    <font>
      <sz val="10"/>
      <color indexed="8"/>
      <name val="Arial"/>
      <family val="2"/>
    </font>
    <font>
      <vertAlign val="superscript"/>
      <sz val="10"/>
      <color indexed="8"/>
      <name val="Arial"/>
      <family val="2"/>
    </font>
    <font>
      <sz val="8"/>
      <name val="Arial"/>
      <family val="2"/>
    </font>
    <font>
      <sz val="12"/>
      <name val="Webdings"/>
      <family val="1"/>
      <charset val="2"/>
    </font>
    <font>
      <sz val="11"/>
      <name val="Times New Roman"/>
      <family val="1"/>
    </font>
    <font>
      <sz val="7"/>
      <name val="Times New Roman"/>
      <family val="1"/>
    </font>
    <font>
      <b/>
      <sz val="24"/>
      <color indexed="58"/>
      <name val="Arial"/>
      <family val="2"/>
    </font>
    <font>
      <b/>
      <sz val="24"/>
      <name val="Arial"/>
      <family val="2"/>
    </font>
    <font>
      <sz val="24"/>
      <name val="Arial"/>
      <family val="2"/>
    </font>
    <font>
      <b/>
      <sz val="22"/>
      <name val="Arial"/>
      <family val="2"/>
    </font>
    <font>
      <b/>
      <sz val="16"/>
      <name val="Arial"/>
      <family val="2"/>
    </font>
    <font>
      <b/>
      <sz val="12"/>
      <name val="Garamond"/>
      <family val="1"/>
    </font>
    <font>
      <sz val="12"/>
      <name val="Arial"/>
    </font>
    <font>
      <sz val="12"/>
      <name val="Garamond"/>
      <family val="1"/>
    </font>
    <font>
      <sz val="11"/>
      <name val="Gloucester MT Extra Condensed"/>
      <family val="1"/>
    </font>
    <font>
      <b/>
      <sz val="16"/>
      <color indexed="9"/>
      <name val="Garamond"/>
      <family val="1"/>
    </font>
    <font>
      <b/>
      <sz val="11"/>
      <color indexed="9"/>
      <name val="Garamond"/>
      <family val="1"/>
    </font>
    <font>
      <b/>
      <sz val="11"/>
      <name val="Arial"/>
    </font>
    <font>
      <b/>
      <i/>
      <sz val="11"/>
      <color indexed="9"/>
      <name val="Garamond"/>
      <family val="1"/>
    </font>
    <font>
      <sz val="11"/>
      <name val="Garamond"/>
      <family val="1"/>
    </font>
    <font>
      <b/>
      <sz val="22"/>
      <color indexed="9"/>
      <name val="Arial"/>
      <family val="2"/>
    </font>
    <font>
      <sz val="16"/>
      <name val="Arial"/>
    </font>
    <font>
      <sz val="16"/>
      <name val="Arial"/>
      <family val="2"/>
    </font>
    <font>
      <sz val="11"/>
      <color indexed="9"/>
      <name val="Arial"/>
      <family val="2"/>
    </font>
    <font>
      <u/>
      <sz val="16"/>
      <name val="Arial"/>
      <family val="2"/>
    </font>
    <font>
      <sz val="11"/>
      <name val="Calibri"/>
      <family val="2"/>
    </font>
    <font>
      <sz val="12"/>
      <name val="Times New Roman"/>
      <family val="1"/>
    </font>
    <font>
      <b/>
      <sz val="14"/>
      <color indexed="10"/>
      <name val="Arial"/>
      <family val="2"/>
    </font>
    <font>
      <u/>
      <sz val="11"/>
      <color theme="10"/>
      <name val="Arial"/>
    </font>
    <font>
      <sz val="10"/>
      <color theme="3" tint="-0.249977111117893"/>
      <name val="Arial"/>
      <family val="2"/>
    </font>
    <font>
      <b/>
      <sz val="11"/>
      <color rgb="FFFF0000"/>
      <name val="Arial"/>
      <family val="2"/>
    </font>
  </fonts>
  <fills count="1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55"/>
        <bgColor indexed="64"/>
      </patternFill>
    </fill>
    <fill>
      <patternFill patternType="solid">
        <fgColor indexed="22"/>
        <bgColor indexed="64"/>
      </patternFill>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solid">
        <fgColor indexed="51"/>
        <bgColor indexed="64"/>
      </patternFill>
    </fill>
    <fill>
      <patternFill patternType="solid">
        <fgColor indexed="57"/>
        <bgColor indexed="64"/>
      </patternFill>
    </fill>
    <fill>
      <patternFill patternType="solid">
        <fgColor indexed="18"/>
        <bgColor indexed="64"/>
      </patternFill>
    </fill>
    <fill>
      <patternFill patternType="solid">
        <fgColor indexed="1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6" tint="0.59999389629810485"/>
        <bgColor indexed="64"/>
      </patternFill>
    </fill>
  </fills>
  <borders count="115">
    <border>
      <left/>
      <right/>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hair">
        <color indexed="64"/>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bottom style="thick">
        <color indexed="55"/>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right/>
      <top style="thin">
        <color indexed="64"/>
      </top>
      <bottom style="double">
        <color indexed="64"/>
      </bottom>
      <diagonal/>
    </border>
    <border>
      <left style="thin">
        <color indexed="64"/>
      </left>
      <right style="medium">
        <color indexed="22"/>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22"/>
      </right>
      <top/>
      <bottom style="medium">
        <color indexed="22"/>
      </bottom>
      <diagonal/>
    </border>
    <border>
      <left/>
      <right style="thin">
        <color indexed="64"/>
      </right>
      <top/>
      <bottom style="medium">
        <color indexed="22"/>
      </bottom>
      <diagonal/>
    </border>
    <border>
      <left style="thin">
        <color indexed="64"/>
      </left>
      <right style="medium">
        <color indexed="22"/>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thick">
        <color indexed="64"/>
      </bottom>
      <diagonal/>
    </border>
    <border>
      <left/>
      <right style="medium">
        <color indexed="8"/>
      </right>
      <top/>
      <bottom style="thick">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66" fillId="0" borderId="0" applyNumberFormat="0" applyFill="0" applyBorder="0" applyAlignment="0" applyProtection="0">
      <alignment vertical="top"/>
      <protection locked="0"/>
    </xf>
    <xf numFmtId="42" fontId="7" fillId="2" borderId="1" applyNumberFormat="0" applyAlignment="0">
      <protection locked="0"/>
    </xf>
    <xf numFmtId="0" fontId="6" fillId="0" borderId="0"/>
    <xf numFmtId="9" fontId="1" fillId="0" borderId="0" applyFont="0" applyFill="0" applyBorder="0" applyAlignment="0" applyProtection="0"/>
  </cellStyleXfs>
  <cellXfs count="585">
    <xf numFmtId="0" fontId="0" fillId="0" borderId="0" xfId="0"/>
    <xf numFmtId="0" fontId="2" fillId="0" borderId="0" xfId="0" applyFont="1"/>
    <xf numFmtId="0" fontId="2" fillId="0" borderId="0" xfId="0" applyFont="1" applyAlignment="1">
      <alignment horizontal="center"/>
    </xf>
    <xf numFmtId="0" fontId="2" fillId="0" borderId="0" xfId="0" applyFont="1" applyBorder="1"/>
    <xf numFmtId="0" fontId="2" fillId="0" borderId="0"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5" xfId="0" applyFont="1" applyBorder="1" applyAlignment="1">
      <alignment horizontal="center" vertical="center" wrapText="1"/>
    </xf>
    <xf numFmtId="0" fontId="2" fillId="0" borderId="0" xfId="0" applyFont="1" applyFill="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8" xfId="0" applyFont="1" applyBorder="1" applyAlignment="1">
      <alignment horizontal="center"/>
    </xf>
    <xf numFmtId="0" fontId="3" fillId="0" borderId="9" xfId="0" applyFont="1" applyBorder="1" applyAlignment="1">
      <alignment horizontal="center" vertical="center" wrapText="1"/>
    </xf>
    <xf numFmtId="0" fontId="3" fillId="0" borderId="0" xfId="0" applyFont="1" applyBorder="1" applyAlignment="1">
      <alignment horizontal="center"/>
    </xf>
    <xf numFmtId="0" fontId="2" fillId="0" borderId="10" xfId="0" applyFont="1" applyBorder="1" applyAlignment="1">
      <alignment horizontal="center" vertical="center" wrapText="1"/>
    </xf>
    <xf numFmtId="0" fontId="6" fillId="0" borderId="11" xfId="0" applyFont="1" applyBorder="1" applyAlignment="1">
      <alignment horizontal="center" vertical="center" wrapText="1"/>
    </xf>
    <xf numFmtId="165" fontId="2" fillId="0" borderId="0" xfId="0" applyNumberFormat="1" applyFont="1" applyBorder="1"/>
    <xf numFmtId="0" fontId="3" fillId="0" borderId="12" xfId="5" applyFont="1" applyFill="1" applyBorder="1"/>
    <xf numFmtId="10" fontId="3" fillId="0" borderId="13" xfId="5" applyNumberFormat="1" applyFont="1" applyBorder="1" applyAlignment="1">
      <alignment horizontal="center"/>
    </xf>
    <xf numFmtId="10" fontId="2" fillId="3" borderId="14" xfId="6" applyNumberFormat="1" applyFont="1" applyFill="1" applyBorder="1" applyAlignment="1">
      <alignment horizontal="center"/>
    </xf>
    <xf numFmtId="0" fontId="2" fillId="0" borderId="15" xfId="5" applyFont="1" applyBorder="1"/>
    <xf numFmtId="0" fontId="2" fillId="0" borderId="15" xfId="5" applyFont="1" applyBorder="1" applyAlignment="1">
      <alignment horizontal="right"/>
    </xf>
    <xf numFmtId="0" fontId="3" fillId="0" borderId="12" xfId="5" applyFont="1" applyBorder="1"/>
    <xf numFmtId="0" fontId="3" fillId="0" borderId="13" xfId="0" applyFont="1" applyBorder="1" applyAlignment="1">
      <alignment horizontal="center"/>
    </xf>
    <xf numFmtId="165" fontId="3" fillId="0" borderId="16" xfId="5" applyNumberFormat="1" applyFont="1" applyBorder="1" applyAlignment="1">
      <alignment horizontal="center"/>
    </xf>
    <xf numFmtId="165" fontId="2" fillId="0" borderId="17" xfId="5" applyNumberFormat="1" applyFont="1" applyBorder="1" applyAlignment="1">
      <alignment horizontal="center"/>
    </xf>
    <xf numFmtId="165" fontId="3" fillId="0" borderId="18" xfId="5" applyNumberFormat="1"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center" vertical="center" wrapText="1"/>
    </xf>
    <xf numFmtId="0" fontId="2" fillId="4" borderId="0" xfId="0" applyFont="1" applyFill="1"/>
    <xf numFmtId="0" fontId="0" fillId="4" borderId="0" xfId="0" applyFill="1" applyAlignment="1">
      <alignment horizontal="center"/>
    </xf>
    <xf numFmtId="0" fontId="2" fillId="4" borderId="0" xfId="0" applyFont="1" applyFill="1" applyBorder="1"/>
    <xf numFmtId="0" fontId="2" fillId="4" borderId="0" xfId="0" applyFont="1" applyFill="1" applyBorder="1" applyAlignment="1">
      <alignment horizontal="center"/>
    </xf>
    <xf numFmtId="166" fontId="2" fillId="4" borderId="0" xfId="0" applyNumberFormat="1"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5" fillId="0" borderId="21" xfId="0" applyFont="1" applyBorder="1" applyAlignment="1">
      <alignment horizontal="center"/>
    </xf>
    <xf numFmtId="0" fontId="2" fillId="0" borderId="22" xfId="0" quotePrefix="1"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lignment horizontal="left" vertical="center" wrapText="1"/>
    </xf>
    <xf numFmtId="165" fontId="2" fillId="0" borderId="22" xfId="0" applyNumberFormat="1" applyFont="1" applyBorder="1" applyAlignment="1">
      <alignment horizontal="center" vertical="center" wrapText="1"/>
    </xf>
    <xf numFmtId="3" fontId="2" fillId="0" borderId="22" xfId="1" quotePrefix="1" applyNumberFormat="1" applyFont="1" applyBorder="1" applyAlignment="1">
      <alignment horizontal="center" vertical="center" wrapText="1"/>
    </xf>
    <xf numFmtId="165" fontId="2" fillId="0" borderId="22" xfId="2" quotePrefix="1" applyNumberFormat="1" applyFont="1" applyBorder="1" applyAlignment="1">
      <alignment horizontal="center" vertical="center" wrapText="1"/>
    </xf>
    <xf numFmtId="164" fontId="2" fillId="0" borderId="22" xfId="0" quotePrefix="1"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4" borderId="24" xfId="0" applyFont="1" applyFill="1" applyBorder="1" applyAlignment="1">
      <alignment horizontal="center" vertical="center" wrapText="1"/>
    </xf>
    <xf numFmtId="165" fontId="2" fillId="4" borderId="24" xfId="0" applyNumberFormat="1" applyFont="1" applyFill="1" applyBorder="1" applyAlignment="1">
      <alignment horizontal="center" vertical="center" wrapText="1"/>
    </xf>
    <xf numFmtId="0" fontId="2" fillId="4" borderId="24" xfId="0" quotePrefix="1" applyFont="1" applyFill="1" applyBorder="1" applyAlignment="1">
      <alignment horizontal="center" vertical="center" wrapText="1"/>
    </xf>
    <xf numFmtId="0" fontId="2" fillId="4" borderId="24" xfId="0" applyFont="1" applyFill="1" applyBorder="1"/>
    <xf numFmtId="165" fontId="2" fillId="4" borderId="24" xfId="0" applyNumberFormat="1" applyFont="1" applyFill="1" applyBorder="1" applyAlignment="1">
      <alignment horizontal="center"/>
    </xf>
    <xf numFmtId="0" fontId="2" fillId="0" borderId="0" xfId="0" quotePrefix="1" applyFont="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0" borderId="15" xfId="5" applyFont="1" applyFill="1" applyBorder="1"/>
    <xf numFmtId="165" fontId="2" fillId="0" borderId="0" xfId="0" quotePrefix="1" applyNumberFormat="1" applyFont="1" applyBorder="1" applyAlignment="1">
      <alignment horizontal="center" vertical="center" wrapText="1"/>
    </xf>
    <xf numFmtId="0" fontId="8" fillId="0" borderId="0" xfId="5" applyFont="1"/>
    <xf numFmtId="165" fontId="8" fillId="0" borderId="0" xfId="5" applyNumberFormat="1" applyFont="1" applyAlignment="1">
      <alignment horizontal="center"/>
    </xf>
    <xf numFmtId="0" fontId="2" fillId="0" borderId="25" xfId="5" applyFont="1" applyBorder="1"/>
    <xf numFmtId="10" fontId="2" fillId="3" borderId="26" xfId="6" applyNumberFormat="1" applyFont="1" applyFill="1" applyBorder="1" applyAlignment="1">
      <alignment horizontal="center"/>
    </xf>
    <xf numFmtId="165" fontId="2" fillId="0" borderId="27" xfId="5" applyNumberFormat="1" applyFont="1" applyBorder="1" applyAlignment="1">
      <alignment horizontal="center"/>
    </xf>
    <xf numFmtId="0" fontId="2" fillId="0" borderId="22" xfId="0" quotePrefix="1"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8" xfId="0" quotePrefix="1"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4" borderId="30" xfId="0" applyFont="1" applyFill="1" applyBorder="1" applyAlignment="1">
      <alignment horizontal="center" vertical="center" wrapText="1"/>
    </xf>
    <xf numFmtId="0" fontId="2" fillId="4" borderId="30" xfId="0" quotePrefix="1" applyFont="1" applyFill="1" applyBorder="1" applyAlignment="1">
      <alignment horizontal="center" vertical="center" wrapText="1"/>
    </xf>
    <xf numFmtId="0" fontId="2" fillId="4" borderId="30" xfId="0" applyFont="1" applyFill="1" applyBorder="1"/>
    <xf numFmtId="165" fontId="2" fillId="4" borderId="30" xfId="0" applyNumberFormat="1" applyFont="1" applyFill="1" applyBorder="1" applyAlignment="1">
      <alignment horizontal="center"/>
    </xf>
    <xf numFmtId="0" fontId="2" fillId="0" borderId="28" xfId="0" applyFont="1" applyFill="1" applyBorder="1" applyAlignment="1">
      <alignment horizontal="center" vertical="center" wrapText="1"/>
    </xf>
    <xf numFmtId="165" fontId="2" fillId="0" borderId="28" xfId="0" applyNumberFormat="1" applyFont="1" applyFill="1" applyBorder="1" applyAlignment="1">
      <alignment horizontal="center" vertical="center" wrapText="1"/>
    </xf>
    <xf numFmtId="3" fontId="2" fillId="0" borderId="28" xfId="1" quotePrefix="1" applyNumberFormat="1" applyFont="1" applyFill="1" applyBorder="1" applyAlignment="1">
      <alignment horizontal="center" vertical="center" wrapText="1"/>
    </xf>
    <xf numFmtId="165" fontId="2" fillId="0" borderId="28" xfId="2" quotePrefix="1" applyNumberFormat="1" applyFont="1" applyFill="1" applyBorder="1" applyAlignment="1">
      <alignment horizontal="center" vertical="center" wrapText="1"/>
    </xf>
    <xf numFmtId="164" fontId="2" fillId="0" borderId="28" xfId="0" quotePrefix="1"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right" vertical="center" wrapText="1"/>
    </xf>
    <xf numFmtId="165" fontId="2" fillId="0" borderId="31" xfId="0" applyNumberFormat="1" applyFont="1" applyBorder="1" applyAlignment="1">
      <alignment horizontal="center" vertical="center" wrapText="1"/>
    </xf>
    <xf numFmtId="3" fontId="2" fillId="0" borderId="31" xfId="1" quotePrefix="1" applyNumberFormat="1" applyFont="1" applyBorder="1" applyAlignment="1">
      <alignment horizontal="center" vertical="center" wrapText="1"/>
    </xf>
    <xf numFmtId="165" fontId="2" fillId="0" borderId="31" xfId="2" quotePrefix="1" applyNumberFormat="1" applyFont="1" applyBorder="1" applyAlignment="1">
      <alignment horizontal="center" vertical="center" wrapText="1"/>
    </xf>
    <xf numFmtId="165" fontId="2" fillId="0" borderId="14" xfId="0" applyNumberFormat="1" applyFont="1" applyFill="1" applyBorder="1" applyAlignment="1">
      <alignment horizontal="center" vertical="center" wrapText="1"/>
    </xf>
    <xf numFmtId="0" fontId="2" fillId="0" borderId="28" xfId="0" quotePrefix="1" applyFont="1" applyBorder="1" applyAlignment="1">
      <alignment horizontal="center" vertical="center" wrapText="1"/>
    </xf>
    <xf numFmtId="165" fontId="2" fillId="0" borderId="28" xfId="0" applyNumberFormat="1" applyFont="1" applyBorder="1" applyAlignment="1">
      <alignment horizontal="center" vertical="center" wrapText="1"/>
    </xf>
    <xf numFmtId="3" fontId="2" fillId="0" borderId="28" xfId="1" quotePrefix="1" applyNumberFormat="1" applyFont="1" applyBorder="1" applyAlignment="1">
      <alignment horizontal="center" vertical="center" wrapText="1"/>
    </xf>
    <xf numFmtId="165" fontId="2" fillId="0" borderId="28" xfId="2" quotePrefix="1" applyNumberFormat="1" applyFont="1" applyBorder="1" applyAlignment="1">
      <alignment horizontal="center" vertical="center" wrapText="1"/>
    </xf>
    <xf numFmtId="165" fontId="2" fillId="4" borderId="30" xfId="0" applyNumberFormat="1" applyFont="1" applyFill="1" applyBorder="1" applyAlignment="1">
      <alignment horizontal="center" vertical="center" wrapText="1"/>
    </xf>
    <xf numFmtId="165" fontId="2" fillId="0" borderId="22" xfId="0" applyNumberFormat="1" applyFont="1" applyFill="1" applyBorder="1" applyAlignment="1">
      <alignment horizontal="center" vertical="center" wrapText="1"/>
    </xf>
    <xf numFmtId="3" fontId="2" fillId="0" borderId="22" xfId="1" quotePrefix="1" applyNumberFormat="1" applyFont="1" applyFill="1" applyBorder="1" applyAlignment="1">
      <alignment horizontal="center" vertical="center" wrapText="1"/>
    </xf>
    <xf numFmtId="165" fontId="2" fillId="0" borderId="22" xfId="2" quotePrefix="1" applyNumberFormat="1" applyFont="1" applyFill="1" applyBorder="1" applyAlignment="1">
      <alignment horizontal="center" vertical="center" wrapText="1"/>
    </xf>
    <xf numFmtId="164" fontId="2" fillId="0" borderId="22" xfId="0" quotePrefix="1"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2" xfId="0" applyFont="1" applyFill="1" applyBorder="1" applyAlignment="1">
      <alignment horizontal="right" vertical="center" wrapText="1"/>
    </xf>
    <xf numFmtId="0" fontId="2" fillId="0" borderId="32" xfId="0" quotePrefix="1" applyFont="1" applyBorder="1" applyAlignment="1">
      <alignment horizontal="center" vertical="center" wrapText="1"/>
    </xf>
    <xf numFmtId="0" fontId="2" fillId="0" borderId="33" xfId="0" applyFont="1" applyBorder="1" applyAlignment="1">
      <alignment horizontal="center" vertical="center" wrapText="1"/>
    </xf>
    <xf numFmtId="164" fontId="2" fillId="0" borderId="31" xfId="0" quotePrefix="1" applyNumberFormat="1" applyFont="1" applyBorder="1" applyAlignment="1">
      <alignment horizontal="center" vertical="center" wrapText="1"/>
    </xf>
    <xf numFmtId="0" fontId="2" fillId="0" borderId="31" xfId="0" quotePrefix="1" applyFont="1" applyBorder="1" applyAlignment="1">
      <alignment horizontal="center" vertical="center" wrapText="1"/>
    </xf>
    <xf numFmtId="0" fontId="2" fillId="0" borderId="31" xfId="0" applyFont="1" applyBorder="1" applyAlignment="1">
      <alignment horizontal="center" vertical="center" wrapText="1"/>
    </xf>
    <xf numFmtId="0" fontId="2" fillId="4" borderId="33" xfId="0" applyFont="1" applyFill="1" applyBorder="1" applyAlignment="1">
      <alignment horizontal="center" vertical="center" wrapText="1"/>
    </xf>
    <xf numFmtId="0" fontId="2" fillId="4" borderId="33" xfId="0" quotePrefix="1" applyFont="1" applyFill="1" applyBorder="1" applyAlignment="1">
      <alignment horizontal="center" vertical="center" wrapText="1"/>
    </xf>
    <xf numFmtId="0" fontId="2" fillId="4" borderId="33" xfId="0" applyFont="1" applyFill="1" applyBorder="1"/>
    <xf numFmtId="165" fontId="2" fillId="4" borderId="33" xfId="0" applyNumberFormat="1" applyFont="1" applyFill="1" applyBorder="1" applyAlignment="1">
      <alignment horizontal="center"/>
    </xf>
    <xf numFmtId="0" fontId="2" fillId="0" borderId="34" xfId="0" applyFont="1" applyFill="1" applyBorder="1" applyAlignment="1">
      <alignment horizontal="right" vertical="center" wrapText="1"/>
    </xf>
    <xf numFmtId="165" fontId="2" fillId="0" borderId="5" xfId="0" applyNumberFormat="1" applyFont="1" applyBorder="1" applyAlignment="1">
      <alignment horizontal="center" vertical="center" wrapText="1"/>
    </xf>
    <xf numFmtId="3" fontId="2" fillId="0" borderId="5" xfId="1" quotePrefix="1" applyNumberFormat="1" applyFont="1" applyBorder="1" applyAlignment="1">
      <alignment horizontal="center" vertical="center" wrapText="1"/>
    </xf>
    <xf numFmtId="165" fontId="2" fillId="0" borderId="5" xfId="2" quotePrefix="1" applyNumberFormat="1" applyFont="1" applyBorder="1" applyAlignment="1">
      <alignment horizontal="center" vertical="center" wrapText="1"/>
    </xf>
    <xf numFmtId="165" fontId="2" fillId="0" borderId="14" xfId="0" applyNumberFormat="1" applyFont="1" applyBorder="1" applyAlignment="1">
      <alignment horizontal="center" vertical="center" wrapText="1"/>
    </xf>
    <xf numFmtId="0" fontId="2" fillId="0" borderId="35" xfId="0" applyFont="1" applyFill="1" applyBorder="1" applyAlignment="1">
      <alignment horizontal="right" vertical="center" wrapText="1"/>
    </xf>
    <xf numFmtId="0" fontId="2" fillId="0" borderId="36" xfId="0" applyFont="1" applyFill="1" applyBorder="1" applyAlignment="1">
      <alignment horizontal="right" vertical="center" wrapText="1"/>
    </xf>
    <xf numFmtId="164" fontId="2" fillId="0" borderId="0" xfId="0" quotePrefix="1" applyNumberFormat="1" applyFont="1" applyBorder="1" applyAlignment="1">
      <alignment horizontal="center" vertical="center" wrapText="1"/>
    </xf>
    <xf numFmtId="165" fontId="2" fillId="0" borderId="37" xfId="0" applyNumberFormat="1" applyFont="1" applyBorder="1" applyAlignment="1">
      <alignment horizontal="center" vertical="center" wrapText="1"/>
    </xf>
    <xf numFmtId="3" fontId="2" fillId="0" borderId="14" xfId="0" applyNumberFormat="1" applyFont="1" applyBorder="1" applyAlignment="1">
      <alignment horizontal="center" vertical="center" wrapText="1"/>
    </xf>
    <xf numFmtId="165" fontId="2" fillId="0" borderId="38" xfId="0" applyNumberFormat="1" applyFont="1" applyBorder="1" applyAlignment="1">
      <alignment horizontal="center" vertical="center" wrapText="1"/>
    </xf>
    <xf numFmtId="165" fontId="2" fillId="0" borderId="7" xfId="2" quotePrefix="1" applyNumberFormat="1" applyFont="1" applyBorder="1" applyAlignment="1">
      <alignment horizontal="center" vertical="center" wrapText="1"/>
    </xf>
    <xf numFmtId="165" fontId="2" fillId="0" borderId="32" xfId="2" quotePrefix="1" applyNumberFormat="1" applyFont="1" applyBorder="1" applyAlignment="1">
      <alignment horizontal="center" vertical="center" wrapText="1"/>
    </xf>
    <xf numFmtId="165" fontId="2" fillId="0" borderId="39"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3" fillId="0" borderId="28" xfId="0" applyFont="1" applyFill="1" applyBorder="1" applyAlignment="1">
      <alignment horizontal="right" vertical="center" wrapText="1"/>
    </xf>
    <xf numFmtId="0" fontId="3" fillId="0" borderId="35" xfId="0" applyFont="1" applyFill="1" applyBorder="1" applyAlignment="1">
      <alignment horizontal="right" vertical="center" wrapText="1"/>
    </xf>
    <xf numFmtId="0" fontId="9" fillId="0" borderId="34" xfId="0" applyFont="1" applyFill="1" applyBorder="1" applyAlignment="1">
      <alignment horizontal="right" vertical="center" wrapText="1"/>
    </xf>
    <xf numFmtId="167" fontId="2" fillId="0" borderId="28" xfId="2" quotePrefix="1" applyNumberFormat="1" applyFont="1" applyFill="1" applyBorder="1" applyAlignment="1">
      <alignment horizontal="center" vertical="center" wrapText="1"/>
    </xf>
    <xf numFmtId="0" fontId="11" fillId="0" borderId="41" xfId="0" applyFont="1" applyFill="1" applyBorder="1" applyAlignment="1">
      <alignment horizontal="center"/>
    </xf>
    <xf numFmtId="0" fontId="12" fillId="0" borderId="41" xfId="0" applyFont="1" applyFill="1" applyBorder="1" applyAlignment="1">
      <alignment horizontal="center"/>
    </xf>
    <xf numFmtId="0" fontId="13" fillId="4" borderId="0" xfId="0" applyFont="1" applyFill="1"/>
    <xf numFmtId="0" fontId="14" fillId="0" borderId="0" xfId="0" applyFont="1" applyFill="1" applyAlignment="1">
      <alignment horizontal="left"/>
    </xf>
    <xf numFmtId="0" fontId="14" fillId="0" borderId="0" xfId="0" applyFont="1" applyFill="1" applyAlignment="1">
      <alignment horizontal="center"/>
    </xf>
    <xf numFmtId="9" fontId="14" fillId="0" borderId="42" xfId="0" applyNumberFormat="1" applyFont="1" applyFill="1" applyBorder="1" applyAlignment="1">
      <alignment vertical="center"/>
    </xf>
    <xf numFmtId="0" fontId="14" fillId="0" borderId="0" xfId="0" applyFont="1" applyFill="1"/>
    <xf numFmtId="0" fontId="15" fillId="0" borderId="0" xfId="0" applyFont="1" applyFill="1"/>
    <xf numFmtId="9" fontId="14" fillId="0" borderId="0" xfId="0" applyNumberFormat="1" applyFont="1" applyFill="1" applyAlignment="1">
      <alignment vertical="center"/>
    </xf>
    <xf numFmtId="0" fontId="2" fillId="0" borderId="0" xfId="0" applyFont="1" applyFill="1" applyAlignment="1">
      <alignment horizontal="center"/>
    </xf>
    <xf numFmtId="0" fontId="13" fillId="0" borderId="0" xfId="0" applyFont="1" applyFill="1"/>
    <xf numFmtId="0" fontId="2" fillId="0" borderId="0" xfId="0" applyFont="1" applyFill="1"/>
    <xf numFmtId="0" fontId="16" fillId="0" borderId="0" xfId="0" applyFont="1" applyFill="1"/>
    <xf numFmtId="0" fontId="12" fillId="0" borderId="0" xfId="0" applyFont="1" applyFill="1" applyAlignment="1">
      <alignment horizontal="left"/>
    </xf>
    <xf numFmtId="0" fontId="16" fillId="0" borderId="0" xfId="0" applyFont="1" applyFill="1" applyAlignment="1">
      <alignment horizontal="center"/>
    </xf>
    <xf numFmtId="0" fontId="16" fillId="4" borderId="0" xfId="0" applyFont="1" applyFill="1"/>
    <xf numFmtId="0" fontId="17" fillId="0" borderId="1" xfId="0" applyFont="1" applyFill="1" applyBorder="1" applyAlignment="1">
      <alignment horizontal="center"/>
    </xf>
    <xf numFmtId="0" fontId="12" fillId="0" borderId="1" xfId="0" applyFont="1" applyFill="1" applyBorder="1" applyAlignment="1">
      <alignment horizontal="center"/>
    </xf>
    <xf numFmtId="17" fontId="2" fillId="0" borderId="0" xfId="0" applyNumberFormat="1" applyFont="1" applyFill="1" applyBorder="1" applyAlignment="1">
      <alignment horizontal="center"/>
    </xf>
    <xf numFmtId="0" fontId="12" fillId="0" borderId="0" xfId="0" applyFont="1" applyFill="1" applyAlignment="1">
      <alignment horizontal="center"/>
    </xf>
    <xf numFmtId="0" fontId="17" fillId="0" borderId="43" xfId="0" applyFont="1" applyFill="1" applyBorder="1" applyAlignment="1">
      <alignment horizontal="center"/>
    </xf>
    <xf numFmtId="0" fontId="16" fillId="0" borderId="43" xfId="0" applyFont="1" applyFill="1" applyBorder="1" applyAlignment="1">
      <alignment horizontal="center"/>
    </xf>
    <xf numFmtId="0" fontId="16" fillId="0" borderId="44" xfId="0" applyFont="1" applyFill="1" applyBorder="1"/>
    <xf numFmtId="0" fontId="12" fillId="0" borderId="45" xfId="0" applyFont="1" applyFill="1" applyBorder="1" applyAlignment="1">
      <alignment horizontal="center"/>
    </xf>
    <xf numFmtId="0" fontId="12" fillId="5" borderId="45" xfId="0" applyFont="1" applyFill="1" applyBorder="1" applyAlignment="1">
      <alignment horizontal="center"/>
    </xf>
    <xf numFmtId="0" fontId="16" fillId="5" borderId="45" xfId="0" applyFont="1" applyFill="1" applyBorder="1"/>
    <xf numFmtId="0" fontId="12" fillId="0" borderId="8" xfId="0" applyFont="1" applyFill="1" applyBorder="1" applyAlignment="1">
      <alignment vertical="center" wrapText="1"/>
    </xf>
    <xf numFmtId="3" fontId="16" fillId="0" borderId="1" xfId="0" applyNumberFormat="1" applyFont="1" applyFill="1" applyBorder="1" applyAlignment="1">
      <alignment horizontal="center"/>
    </xf>
    <xf numFmtId="0" fontId="12" fillId="0" borderId="0" xfId="0" applyFont="1" applyFill="1" applyBorder="1" applyAlignment="1">
      <alignment vertical="center" wrapText="1"/>
    </xf>
    <xf numFmtId="0" fontId="18" fillId="0" borderId="0" xfId="0" applyFont="1" applyFill="1" applyBorder="1" applyAlignment="1">
      <alignment horizontal="left"/>
    </xf>
    <xf numFmtId="3" fontId="19" fillId="0" borderId="1" xfId="0" applyNumberFormat="1" applyFont="1" applyFill="1" applyBorder="1" applyAlignment="1">
      <alignment horizontal="center"/>
    </xf>
    <xf numFmtId="0" fontId="16" fillId="0" borderId="1" xfId="0" applyFont="1" applyFill="1" applyBorder="1" applyAlignment="1">
      <alignment horizontal="center"/>
    </xf>
    <xf numFmtId="0" fontId="12" fillId="0" borderId="0" xfId="0" applyFont="1" applyFill="1" applyAlignment="1">
      <alignment vertical="center" wrapText="1"/>
    </xf>
    <xf numFmtId="0" fontId="12" fillId="5" borderId="1" xfId="0" applyFont="1" applyFill="1" applyBorder="1" applyAlignment="1">
      <alignment horizontal="center"/>
    </xf>
    <xf numFmtId="3" fontId="16" fillId="5" borderId="1" xfId="0" applyNumberFormat="1" applyFont="1" applyFill="1" applyBorder="1" applyAlignment="1">
      <alignment horizontal="center"/>
    </xf>
    <xf numFmtId="3" fontId="2" fillId="0" borderId="1" xfId="0" applyNumberFormat="1" applyFont="1" applyFill="1" applyBorder="1" applyAlignment="1">
      <alignment horizontal="center"/>
    </xf>
    <xf numFmtId="0" fontId="20" fillId="0" borderId="0" xfId="0" applyFont="1" applyFill="1" applyAlignment="1">
      <alignment vertical="center" wrapText="1"/>
    </xf>
    <xf numFmtId="0" fontId="2" fillId="0" borderId="1" xfId="0" applyFont="1" applyFill="1" applyBorder="1" applyAlignment="1">
      <alignment horizontal="center"/>
    </xf>
    <xf numFmtId="0" fontId="21" fillId="0" borderId="0" xfId="0" applyFont="1" applyFill="1" applyAlignment="1">
      <alignment vertical="center" wrapText="1"/>
    </xf>
    <xf numFmtId="0" fontId="2" fillId="4" borderId="0" xfId="0" applyFont="1" applyFill="1" applyAlignment="1">
      <alignment horizontal="center"/>
    </xf>
    <xf numFmtId="0" fontId="18" fillId="0" borderId="46" xfId="0" applyFont="1" applyFill="1" applyBorder="1" applyAlignment="1">
      <alignment horizontal="right"/>
    </xf>
    <xf numFmtId="0" fontId="12" fillId="0" borderId="46" xfId="0" applyFont="1" applyFill="1" applyBorder="1" applyAlignment="1">
      <alignment horizontal="center"/>
    </xf>
    <xf numFmtId="0" fontId="16" fillId="0" borderId="46" xfId="0" applyFont="1" applyFill="1" applyBorder="1" applyAlignment="1">
      <alignment horizontal="center"/>
    </xf>
    <xf numFmtId="0" fontId="2" fillId="0" borderId="46" xfId="0" applyFont="1" applyFill="1" applyBorder="1" applyAlignment="1">
      <alignment horizontal="center"/>
    </xf>
    <xf numFmtId="166" fontId="2" fillId="0" borderId="1" xfId="0" applyNumberFormat="1" applyFont="1" applyFill="1" applyBorder="1" applyAlignment="1">
      <alignment horizontal="center"/>
    </xf>
    <xf numFmtId="0" fontId="23" fillId="0" borderId="0" xfId="0" applyFont="1" applyAlignment="1">
      <alignment wrapText="1"/>
    </xf>
    <xf numFmtId="0" fontId="24" fillId="0" borderId="0" xfId="0" applyFont="1"/>
    <xf numFmtId="0" fontId="24" fillId="0" borderId="0" xfId="0" applyFont="1" applyAlignment="1">
      <alignment horizontal="center"/>
    </xf>
    <xf numFmtId="0" fontId="24" fillId="0" borderId="0" xfId="0" applyFont="1" applyBorder="1"/>
    <xf numFmtId="0" fontId="24" fillId="0" borderId="0" xfId="0" applyFont="1" applyBorder="1" applyAlignment="1">
      <alignment horizontal="center"/>
    </xf>
    <xf numFmtId="0" fontId="2" fillId="0" borderId="47" xfId="0" applyFont="1" applyBorder="1"/>
    <xf numFmtId="166" fontId="2" fillId="0" borderId="47" xfId="0" applyNumberFormat="1" applyFont="1" applyBorder="1" applyAlignment="1">
      <alignment horizontal="center"/>
    </xf>
    <xf numFmtId="6" fontId="24" fillId="0" borderId="0" xfId="0" applyNumberFormat="1" applyFont="1" applyAlignment="1">
      <alignment horizontal="center"/>
    </xf>
    <xf numFmtId="6" fontId="0" fillId="0" borderId="0" xfId="0" applyNumberFormat="1" applyBorder="1" applyAlignment="1">
      <alignment horizontal="center"/>
    </xf>
    <xf numFmtId="0" fontId="0" fillId="0" borderId="0" xfId="0" applyBorder="1"/>
    <xf numFmtId="6" fontId="24" fillId="0" borderId="0" xfId="0" applyNumberFormat="1" applyFont="1" applyBorder="1" applyAlignment="1">
      <alignment horizontal="center"/>
    </xf>
    <xf numFmtId="6" fontId="0" fillId="0" borderId="0" xfId="0" applyNumberFormat="1"/>
    <xf numFmtId="0" fontId="13" fillId="0" borderId="0" xfId="0" applyFont="1"/>
    <xf numFmtId="0" fontId="0" fillId="0" borderId="0" xfId="0" applyFill="1"/>
    <xf numFmtId="0" fontId="4" fillId="0" borderId="0" xfId="0" applyFont="1" applyAlignment="1"/>
    <xf numFmtId="0" fontId="4" fillId="0" borderId="0" xfId="0" applyFont="1" applyAlignment="1">
      <alignment horizontal="center"/>
    </xf>
    <xf numFmtId="0" fontId="4" fillId="0" borderId="7" xfId="0" applyFont="1" applyBorder="1" applyAlignment="1">
      <alignment horizontal="center"/>
    </xf>
    <xf numFmtId="0" fontId="4" fillId="0" borderId="0" xfId="0" applyFont="1" applyBorder="1" applyAlignment="1">
      <alignment horizontal="center"/>
    </xf>
    <xf numFmtId="0" fontId="26" fillId="0" borderId="0" xfId="0" applyFont="1"/>
    <xf numFmtId="0" fontId="0" fillId="0" borderId="0" xfId="0" applyAlignment="1">
      <alignment horizontal="center"/>
    </xf>
    <xf numFmtId="165" fontId="0" fillId="0" borderId="7" xfId="0" applyNumberFormat="1" applyBorder="1" applyAlignment="1">
      <alignment horizontal="center"/>
    </xf>
    <xf numFmtId="165" fontId="0" fillId="0" borderId="0" xfId="0" applyNumberFormat="1" applyBorder="1" applyAlignment="1">
      <alignment horizontal="center"/>
    </xf>
    <xf numFmtId="0" fontId="13" fillId="0" borderId="0" xfId="0" applyFont="1" applyAlignment="1">
      <alignment horizontal="left"/>
    </xf>
    <xf numFmtId="165" fontId="0" fillId="0" borderId="7" xfId="0" applyNumberFormat="1" applyBorder="1" applyAlignment="1"/>
    <xf numFmtId="165" fontId="0" fillId="0" borderId="0" xfId="0" applyNumberFormat="1" applyBorder="1" applyAlignment="1"/>
    <xf numFmtId="165" fontId="0" fillId="0" borderId="0" xfId="0" applyNumberFormat="1" applyAlignment="1">
      <alignment horizontal="center"/>
    </xf>
    <xf numFmtId="165" fontId="0" fillId="0" borderId="0" xfId="0" applyNumberFormat="1" applyFill="1" applyBorder="1" applyAlignment="1">
      <alignment horizontal="center"/>
    </xf>
    <xf numFmtId="0" fontId="0" fillId="0" borderId="0" xfId="0" applyBorder="1" applyAlignment="1">
      <alignment horizontal="center"/>
    </xf>
    <xf numFmtId="0" fontId="6" fillId="0" borderId="0" xfId="0" applyFont="1" applyBorder="1" applyAlignment="1">
      <alignment horizontal="center"/>
    </xf>
    <xf numFmtId="165" fontId="13" fillId="0" borderId="7" xfId="0" applyNumberFormat="1" applyFont="1" applyBorder="1" applyAlignment="1">
      <alignment horizontal="center"/>
    </xf>
    <xf numFmtId="165" fontId="13" fillId="0" borderId="0" xfId="0" applyNumberFormat="1" applyFont="1" applyFill="1" applyBorder="1" applyAlignment="1">
      <alignment horizontal="center"/>
    </xf>
    <xf numFmtId="165" fontId="25" fillId="0" borderId="7" xfId="0" applyNumberFormat="1" applyFont="1" applyBorder="1" applyAlignment="1">
      <alignment horizontal="center"/>
    </xf>
    <xf numFmtId="165" fontId="25" fillId="0" borderId="0" xfId="0" applyNumberFormat="1" applyFont="1" applyBorder="1" applyAlignment="1">
      <alignment horizontal="center"/>
    </xf>
    <xf numFmtId="165" fontId="13" fillId="0" borderId="0" xfId="0" applyNumberFormat="1" applyFont="1" applyFill="1" applyAlignment="1">
      <alignment horizontal="center"/>
    </xf>
    <xf numFmtId="0" fontId="0" fillId="0" borderId="44" xfId="0" applyBorder="1" applyAlignment="1">
      <alignment horizontal="center"/>
    </xf>
    <xf numFmtId="0" fontId="6" fillId="0" borderId="44" xfId="0" applyFont="1" applyBorder="1" applyAlignment="1">
      <alignment horizontal="center"/>
    </xf>
    <xf numFmtId="168" fontId="13" fillId="0" borderId="10" xfId="0" applyNumberFormat="1" applyFont="1" applyBorder="1" applyAlignment="1">
      <alignment horizontal="center"/>
    </xf>
    <xf numFmtId="168" fontId="0" fillId="0" borderId="44" xfId="0" applyNumberFormat="1" applyBorder="1" applyAlignment="1">
      <alignment horizontal="center"/>
    </xf>
    <xf numFmtId="168" fontId="0" fillId="0" borderId="44" xfId="0" applyNumberFormat="1" applyFill="1" applyBorder="1" applyAlignment="1">
      <alignment horizontal="center"/>
    </xf>
    <xf numFmtId="0" fontId="2" fillId="0" borderId="44" xfId="0" applyFont="1" applyFill="1" applyBorder="1" applyAlignment="1">
      <alignment horizontal="center"/>
    </xf>
    <xf numFmtId="0" fontId="0" fillId="0" borderId="0" xfId="0" applyBorder="1" applyAlignment="1">
      <alignment horizontal="center" vertical="center"/>
    </xf>
    <xf numFmtId="0" fontId="0" fillId="0" borderId="0" xfId="0" applyAlignment="1">
      <alignment horizontal="center" vertical="center"/>
    </xf>
    <xf numFmtId="165" fontId="13" fillId="0" borderId="0" xfId="0" applyNumberFormat="1"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165" fontId="0" fillId="0" borderId="0" xfId="0" applyNumberFormat="1" applyFill="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0" xfId="0" applyAlignment="1">
      <alignment horizontal="left"/>
    </xf>
    <xf numFmtId="0" fontId="0" fillId="0" borderId="52" xfId="0" applyBorder="1" applyAlignment="1">
      <alignment horizontal="center"/>
    </xf>
    <xf numFmtId="165" fontId="0" fillId="0" borderId="52" xfId="0" applyNumberFormat="1" applyBorder="1" applyAlignment="1">
      <alignment horizontal="center"/>
    </xf>
    <xf numFmtId="165" fontId="0" fillId="0" borderId="52" xfId="0" applyNumberFormat="1" applyFill="1" applyBorder="1" applyAlignment="1">
      <alignment horizontal="center"/>
    </xf>
    <xf numFmtId="165" fontId="2" fillId="0" borderId="0" xfId="0" applyNumberFormat="1" applyFont="1" applyBorder="1" applyAlignment="1">
      <alignment horizontal="left"/>
    </xf>
    <xf numFmtId="165" fontId="13" fillId="0" borderId="0" xfId="0" applyNumberFormat="1" applyFont="1" applyBorder="1" applyAlignment="1">
      <alignment horizontal="right"/>
    </xf>
    <xf numFmtId="165" fontId="2" fillId="0" borderId="0" xfId="0" applyNumberFormat="1" applyFont="1" applyAlignment="1">
      <alignment horizontal="left"/>
    </xf>
    <xf numFmtId="169" fontId="0" fillId="0" borderId="0" xfId="0" applyNumberFormat="1" applyAlignment="1">
      <alignment horizontal="center"/>
    </xf>
    <xf numFmtId="166" fontId="0" fillId="0" borderId="0" xfId="0" applyNumberFormat="1" applyAlignment="1">
      <alignment horizontal="center"/>
    </xf>
    <xf numFmtId="0" fontId="0" fillId="0" borderId="0" xfId="0" applyFill="1" applyAlignment="1">
      <alignment horizontal="center"/>
    </xf>
    <xf numFmtId="3" fontId="0" fillId="0" borderId="0" xfId="0" applyNumberFormat="1" applyFill="1" applyAlignment="1">
      <alignment horizontal="center"/>
    </xf>
    <xf numFmtId="0" fontId="0" fillId="0" borderId="0" xfId="0" applyAlignment="1">
      <alignment horizontal="right"/>
    </xf>
    <xf numFmtId="3" fontId="0" fillId="0" borderId="0" xfId="0" applyNumberFormat="1" applyAlignment="1">
      <alignment horizontal="center"/>
    </xf>
    <xf numFmtId="165" fontId="2" fillId="4" borderId="33" xfId="0" applyNumberFormat="1" applyFont="1" applyFill="1" applyBorder="1" applyAlignment="1">
      <alignment horizontal="center" vertical="center" wrapText="1"/>
    </xf>
    <xf numFmtId="165" fontId="2" fillId="4" borderId="0" xfId="0" applyNumberFormat="1" applyFont="1" applyFill="1" applyBorder="1" applyAlignment="1">
      <alignment horizontal="center"/>
    </xf>
    <xf numFmtId="0" fontId="30" fillId="0" borderId="0" xfId="0" applyFont="1" applyAlignment="1">
      <alignment horizontal="left"/>
    </xf>
    <xf numFmtId="0" fontId="33" fillId="0" borderId="0" xfId="0" applyFont="1" applyAlignment="1">
      <alignment horizontal="left"/>
    </xf>
    <xf numFmtId="0" fontId="27" fillId="0" borderId="0" xfId="0" applyFont="1"/>
    <xf numFmtId="0" fontId="31" fillId="0" borderId="0" xfId="0" applyFont="1" applyBorder="1" applyAlignment="1">
      <alignment vertical="center"/>
    </xf>
    <xf numFmtId="0" fontId="28" fillId="6" borderId="53"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31" fillId="0" borderId="0" xfId="0" applyFont="1" applyBorder="1" applyAlignment="1">
      <alignment horizontal="center" vertical="center"/>
    </xf>
    <xf numFmtId="0" fontId="28" fillId="0" borderId="55" xfId="0" applyFont="1" applyFill="1" applyBorder="1" applyAlignment="1">
      <alignment horizontal="center" vertical="center" wrapText="1"/>
    </xf>
    <xf numFmtId="0" fontId="29" fillId="7" borderId="56"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8" fillId="6" borderId="55" xfId="0" applyFont="1" applyFill="1" applyBorder="1" applyAlignment="1">
      <alignment horizontal="center" vertical="center" wrapText="1"/>
    </xf>
    <xf numFmtId="0" fontId="29" fillId="6" borderId="56" xfId="0" applyFont="1" applyFill="1" applyBorder="1" applyAlignment="1">
      <alignment horizontal="center" vertical="center" wrapText="1"/>
    </xf>
    <xf numFmtId="10" fontId="31" fillId="0" borderId="0" xfId="0" applyNumberFormat="1" applyFont="1" applyBorder="1" applyAlignment="1">
      <alignment horizontal="center" vertical="center"/>
    </xf>
    <xf numFmtId="166" fontId="29" fillId="6" borderId="56" xfId="0" applyNumberFormat="1" applyFont="1" applyFill="1" applyBorder="1" applyAlignment="1">
      <alignment horizontal="center" vertical="center" wrapText="1"/>
    </xf>
    <xf numFmtId="166" fontId="29" fillId="0" borderId="56" xfId="0" applyNumberFormat="1" applyFont="1" applyFill="1" applyBorder="1" applyAlignment="1">
      <alignment horizontal="center" vertical="center" wrapText="1"/>
    </xf>
    <xf numFmtId="0" fontId="28" fillId="0" borderId="57" xfId="0" applyFont="1" applyFill="1" applyBorder="1" applyAlignment="1">
      <alignment horizontal="center" vertical="center" wrapText="1"/>
    </xf>
    <xf numFmtId="0" fontId="32" fillId="7" borderId="58" xfId="0" applyFont="1" applyFill="1" applyBorder="1" applyAlignment="1">
      <alignment vertical="center" wrapText="1"/>
    </xf>
    <xf numFmtId="0" fontId="0" fillId="0" borderId="0" xfId="0" applyBorder="1" applyAlignment="1">
      <alignment vertical="center"/>
    </xf>
    <xf numFmtId="0" fontId="0" fillId="0" borderId="0" xfId="0" applyAlignment="1">
      <alignment vertical="center"/>
    </xf>
    <xf numFmtId="10" fontId="0" fillId="0" borderId="0" xfId="0" applyNumberFormat="1" applyAlignment="1">
      <alignment horizontal="center" vertical="center"/>
    </xf>
    <xf numFmtId="0" fontId="27" fillId="0" borderId="0" xfId="0" applyFont="1" applyAlignment="1">
      <alignment vertical="center"/>
    </xf>
    <xf numFmtId="10" fontId="27" fillId="0" borderId="0" xfId="0" applyNumberFormat="1" applyFont="1" applyAlignment="1">
      <alignment horizontal="center" vertical="center"/>
    </xf>
    <xf numFmtId="6" fontId="24" fillId="0" borderId="52" xfId="0" applyNumberFormat="1" applyFont="1" applyBorder="1" applyAlignment="1">
      <alignment horizontal="center"/>
    </xf>
    <xf numFmtId="0" fontId="2" fillId="0" borderId="47" xfId="0" applyFont="1" applyBorder="1" applyAlignment="1">
      <alignment horizontal="center"/>
    </xf>
    <xf numFmtId="0" fontId="34" fillId="0" borderId="0" xfId="0" applyFont="1" applyBorder="1" applyAlignment="1">
      <alignment horizontal="center"/>
    </xf>
    <xf numFmtId="3" fontId="2" fillId="0" borderId="37" xfId="0" applyNumberFormat="1" applyFont="1" applyBorder="1" applyAlignment="1">
      <alignment horizontal="center" vertical="center" wrapText="1"/>
    </xf>
    <xf numFmtId="165" fontId="2" fillId="0" borderId="0" xfId="0" applyNumberFormat="1" applyFont="1" applyBorder="1" applyAlignment="1">
      <alignment horizontal="center"/>
    </xf>
    <xf numFmtId="0" fontId="13" fillId="0" borderId="51" xfId="0" applyFont="1" applyBorder="1" applyAlignment="1">
      <alignment horizontal="center"/>
    </xf>
    <xf numFmtId="0" fontId="0" fillId="0" borderId="7" xfId="0" applyBorder="1" applyAlignment="1">
      <alignment horizontal="center"/>
    </xf>
    <xf numFmtId="165" fontId="2" fillId="0" borderId="0" xfId="0" applyNumberFormat="1" applyFont="1" applyFill="1" applyBorder="1" applyAlignment="1">
      <alignment horizontal="left"/>
    </xf>
    <xf numFmtId="0" fontId="2" fillId="0" borderId="41" xfId="0" applyFont="1" applyFill="1" applyBorder="1" applyAlignment="1">
      <alignment horizontal="center"/>
    </xf>
    <xf numFmtId="165" fontId="0" fillId="0" borderId="41" xfId="0" applyNumberFormat="1" applyBorder="1" applyAlignment="1">
      <alignment horizontal="center"/>
    </xf>
    <xf numFmtId="165" fontId="0" fillId="0" borderId="41" xfId="0" applyNumberFormat="1" applyFill="1" applyBorder="1" applyAlignment="1">
      <alignment horizontal="center"/>
    </xf>
    <xf numFmtId="0" fontId="0" fillId="0" borderId="41" xfId="0" applyBorder="1" applyAlignment="1">
      <alignment horizontal="center"/>
    </xf>
    <xf numFmtId="0" fontId="66" fillId="0" borderId="0" xfId="3" applyBorder="1" applyAlignment="1" applyProtection="1">
      <alignment vertical="center"/>
    </xf>
    <xf numFmtId="0" fontId="2" fillId="0" borderId="1" xfId="0" applyFont="1" applyFill="1" applyBorder="1"/>
    <xf numFmtId="0" fontId="21" fillId="0" borderId="1" xfId="0" applyFont="1" applyFill="1" applyBorder="1" applyAlignment="1">
      <alignment vertical="center" wrapText="1"/>
    </xf>
    <xf numFmtId="0" fontId="3" fillId="0" borderId="59" xfId="5" applyFont="1" applyBorder="1"/>
    <xf numFmtId="0" fontId="3" fillId="0" borderId="60" xfId="0" applyFont="1" applyBorder="1" applyAlignment="1">
      <alignment horizontal="center"/>
    </xf>
    <xf numFmtId="0" fontId="2" fillId="0" borderId="61" xfId="5" applyFont="1" applyBorder="1"/>
    <xf numFmtId="10" fontId="2" fillId="3" borderId="62" xfId="6" applyNumberFormat="1" applyFont="1" applyFill="1" applyBorder="1" applyAlignment="1">
      <alignment horizontal="center"/>
    </xf>
    <xf numFmtId="165" fontId="2" fillId="0" borderId="63" xfId="5" applyNumberFormat="1" applyFont="1" applyBorder="1" applyAlignment="1">
      <alignment horizontal="center"/>
    </xf>
    <xf numFmtId="0" fontId="2" fillId="7" borderId="0" xfId="0" applyFont="1" applyFill="1" applyAlignment="1">
      <alignment horizontal="center"/>
    </xf>
    <xf numFmtId="0" fontId="2" fillId="7" borderId="0" xfId="0" applyFont="1" applyFill="1"/>
    <xf numFmtId="0" fontId="27" fillId="0" borderId="0" xfId="0" applyFont="1" applyAlignment="1">
      <alignment horizontal="left"/>
    </xf>
    <xf numFmtId="0" fontId="36" fillId="0" borderId="64" xfId="0" applyFont="1" applyBorder="1" applyAlignment="1">
      <alignment horizontal="center" wrapText="1"/>
    </xf>
    <xf numFmtId="0" fontId="36" fillId="0" borderId="65" xfId="0" applyFont="1" applyBorder="1" applyAlignment="1">
      <alignment horizontal="center" wrapText="1"/>
    </xf>
    <xf numFmtId="0" fontId="37" fillId="0" borderId="65" xfId="0" applyFont="1" applyBorder="1" applyAlignment="1">
      <alignment horizontal="center" vertical="top" wrapText="1"/>
    </xf>
    <xf numFmtId="0" fontId="37" fillId="0" borderId="66" xfId="0" applyFont="1" applyBorder="1" applyAlignment="1">
      <alignment horizontal="center" vertical="top" wrapText="1"/>
    </xf>
    <xf numFmtId="0" fontId="37" fillId="0" borderId="67" xfId="0" applyFont="1" applyBorder="1" applyAlignment="1">
      <alignment horizontal="right" vertical="top" wrapText="1"/>
    </xf>
    <xf numFmtId="0" fontId="38" fillId="0" borderId="67" xfId="0" applyFont="1" applyBorder="1" applyAlignment="1">
      <alignment horizontal="center" wrapText="1"/>
    </xf>
    <xf numFmtId="0" fontId="37" fillId="0" borderId="67" xfId="0" applyFont="1" applyBorder="1" applyAlignment="1">
      <alignment horizontal="center" vertical="top" wrapText="1"/>
    </xf>
    <xf numFmtId="0" fontId="38" fillId="0" borderId="68" xfId="0" applyFont="1" applyBorder="1" applyAlignment="1">
      <alignment horizontal="right" vertical="center" wrapText="1"/>
    </xf>
    <xf numFmtId="17" fontId="38" fillId="0" borderId="69" xfId="0" applyNumberFormat="1" applyFont="1" applyBorder="1" applyAlignment="1">
      <alignment horizontal="center" vertical="center" wrapText="1"/>
    </xf>
    <xf numFmtId="0" fontId="38" fillId="0" borderId="69" xfId="0" applyFont="1" applyBorder="1" applyAlignment="1">
      <alignment horizontal="center" vertical="center" wrapText="1"/>
    </xf>
    <xf numFmtId="0" fontId="38" fillId="8" borderId="69" xfId="0" applyFont="1" applyFill="1" applyBorder="1" applyAlignment="1">
      <alignment vertical="center" wrapText="1"/>
    </xf>
    <xf numFmtId="0" fontId="38" fillId="0" borderId="69" xfId="0" applyFont="1" applyBorder="1" applyAlignment="1">
      <alignment horizontal="center" wrapText="1"/>
    </xf>
    <xf numFmtId="0" fontId="38" fillId="0" borderId="70" xfId="0" applyFont="1" applyBorder="1" applyAlignment="1">
      <alignment horizontal="right" vertical="center" wrapText="1"/>
    </xf>
    <xf numFmtId="0" fontId="38" fillId="0" borderId="71" xfId="0" applyFont="1" applyBorder="1" applyAlignment="1">
      <alignment horizontal="center" vertical="center" wrapText="1"/>
    </xf>
    <xf numFmtId="0" fontId="38" fillId="0" borderId="72" xfId="0" applyFont="1" applyBorder="1" applyAlignment="1">
      <alignment horizontal="center" wrapText="1"/>
    </xf>
    <xf numFmtId="0" fontId="38" fillId="0" borderId="71" xfId="0" applyFont="1" applyBorder="1" applyAlignment="1">
      <alignment horizontal="center" wrapText="1"/>
    </xf>
    <xf numFmtId="0" fontId="2" fillId="9" borderId="1" xfId="0" applyFont="1" applyFill="1" applyBorder="1" applyAlignment="1">
      <alignment horizontal="center"/>
    </xf>
    <xf numFmtId="0" fontId="2" fillId="9" borderId="1" xfId="0" applyFont="1" applyFill="1" applyBorder="1"/>
    <xf numFmtId="3" fontId="16" fillId="9" borderId="1" xfId="0" applyNumberFormat="1" applyFont="1" applyFill="1" applyBorder="1" applyAlignment="1">
      <alignment horizontal="center"/>
    </xf>
    <xf numFmtId="0" fontId="21" fillId="9" borderId="1" xfId="0" applyFont="1" applyFill="1" applyBorder="1" applyAlignment="1">
      <alignment vertical="center" wrapText="1"/>
    </xf>
    <xf numFmtId="0" fontId="2" fillId="7" borderId="0" xfId="0" applyFont="1" applyFill="1" applyBorder="1" applyAlignment="1">
      <alignment horizontal="right"/>
    </xf>
    <xf numFmtId="0" fontId="2" fillId="7" borderId="0" xfId="0" applyFont="1" applyFill="1" applyBorder="1" applyAlignment="1">
      <alignment horizontal="center"/>
    </xf>
    <xf numFmtId="0" fontId="2" fillId="7" borderId="0" xfId="0" applyFont="1" applyFill="1" applyBorder="1"/>
    <xf numFmtId="3" fontId="16" fillId="7" borderId="0" xfId="0" applyNumberFormat="1" applyFont="1" applyFill="1" applyBorder="1" applyAlignment="1">
      <alignment horizontal="center"/>
    </xf>
    <xf numFmtId="0" fontId="40" fillId="0" borderId="1" xfId="0" applyFont="1" applyFill="1" applyBorder="1" applyAlignment="1">
      <alignment horizontal="right"/>
    </xf>
    <xf numFmtId="0" fontId="16" fillId="0" borderId="45" xfId="0" applyFont="1" applyFill="1" applyBorder="1" applyAlignment="1">
      <alignment horizontal="center"/>
    </xf>
    <xf numFmtId="0" fontId="40" fillId="0" borderId="1" xfId="0" applyFont="1" applyFill="1" applyBorder="1" applyAlignment="1">
      <alignment horizontal="center"/>
    </xf>
    <xf numFmtId="0" fontId="13" fillId="0" borderId="41" xfId="0" applyFont="1" applyFill="1" applyBorder="1" applyAlignment="1">
      <alignment horizontal="center"/>
    </xf>
    <xf numFmtId="0" fontId="16" fillId="0" borderId="73" xfId="0" applyFont="1" applyFill="1" applyBorder="1" applyAlignment="1">
      <alignment horizontal="center"/>
    </xf>
    <xf numFmtId="0" fontId="16" fillId="0" borderId="74" xfId="0" applyFont="1" applyFill="1" applyBorder="1"/>
    <xf numFmtId="0" fontId="16" fillId="0" borderId="75" xfId="0" applyFont="1" applyFill="1" applyBorder="1" applyAlignment="1">
      <alignment vertical="center" wrapText="1"/>
    </xf>
    <xf numFmtId="0" fontId="16" fillId="0" borderId="1" xfId="0" applyFont="1" applyFill="1" applyBorder="1"/>
    <xf numFmtId="0" fontId="40" fillId="0" borderId="46" xfId="0" applyFont="1" applyFill="1" applyBorder="1" applyAlignment="1">
      <alignment horizontal="left"/>
    </xf>
    <xf numFmtId="0" fontId="16" fillId="0" borderId="46" xfId="0" applyFont="1" applyFill="1" applyBorder="1" applyAlignment="1">
      <alignment vertical="center" wrapText="1"/>
    </xf>
    <xf numFmtId="0" fontId="2" fillId="0" borderId="46" xfId="0" applyFont="1" applyFill="1" applyBorder="1" applyAlignment="1">
      <alignment vertical="center" wrapText="1"/>
    </xf>
    <xf numFmtId="0" fontId="2" fillId="0" borderId="46" xfId="0" applyFont="1" applyFill="1" applyBorder="1"/>
    <xf numFmtId="0" fontId="21" fillId="0" borderId="46" xfId="0" applyFont="1" applyFill="1" applyBorder="1" applyAlignment="1">
      <alignment vertical="center" wrapText="1"/>
    </xf>
    <xf numFmtId="0" fontId="2" fillId="0" borderId="76" xfId="0" applyFont="1" applyFill="1" applyBorder="1"/>
    <xf numFmtId="0" fontId="2" fillId="0" borderId="77" xfId="0" applyFont="1" applyFill="1" applyBorder="1"/>
    <xf numFmtId="0" fontId="2" fillId="0" borderId="22" xfId="0" applyFont="1" applyFill="1" applyBorder="1" applyAlignment="1">
      <alignment horizontal="left" vertical="center" wrapText="1"/>
    </xf>
    <xf numFmtId="0" fontId="2" fillId="0" borderId="24" xfId="0" applyFont="1" applyFill="1" applyBorder="1" applyAlignment="1">
      <alignment horizontal="center" vertical="center" wrapText="1"/>
    </xf>
    <xf numFmtId="165" fontId="2" fillId="0" borderId="24" xfId="0" applyNumberFormat="1" applyFont="1" applyFill="1" applyBorder="1" applyAlignment="1">
      <alignment horizontal="center" vertical="center" wrapText="1"/>
    </xf>
    <xf numFmtId="0" fontId="2" fillId="0" borderId="24" xfId="0" quotePrefix="1" applyFont="1" applyFill="1" applyBorder="1" applyAlignment="1">
      <alignment horizontal="center" vertical="center" wrapText="1"/>
    </xf>
    <xf numFmtId="0" fontId="2" fillId="0" borderId="24" xfId="0" applyFont="1" applyFill="1" applyBorder="1"/>
    <xf numFmtId="165" fontId="2" fillId="0" borderId="24" xfId="0" applyNumberFormat="1" applyFont="1" applyFill="1" applyBorder="1" applyAlignment="1">
      <alignment horizontal="center"/>
    </xf>
    <xf numFmtId="0" fontId="2" fillId="0" borderId="28" xfId="0" applyFont="1" applyFill="1" applyBorder="1" applyAlignment="1">
      <alignment horizontal="left" vertical="center" wrapText="1"/>
    </xf>
    <xf numFmtId="0" fontId="2" fillId="0" borderId="78" xfId="0" applyFont="1" applyBorder="1" applyAlignment="1">
      <alignment horizontal="center"/>
    </xf>
    <xf numFmtId="0" fontId="67" fillId="0" borderId="0" xfId="0" applyFont="1" applyBorder="1"/>
    <xf numFmtId="0" fontId="2" fillId="0" borderId="19" xfId="0" applyFont="1" applyBorder="1" applyAlignment="1">
      <alignment vertical="center" wrapText="1"/>
    </xf>
    <xf numFmtId="0" fontId="0" fillId="0" borderId="79" xfId="0" applyBorder="1" applyAlignment="1">
      <alignment vertical="center" wrapText="1"/>
    </xf>
    <xf numFmtId="0" fontId="0" fillId="0" borderId="80" xfId="0" applyBorder="1" applyAlignment="1">
      <alignment vertical="center" wrapText="1"/>
    </xf>
    <xf numFmtId="0" fontId="0" fillId="0" borderId="80" xfId="0" applyBorder="1" applyAlignment="1">
      <alignment vertical="center"/>
    </xf>
    <xf numFmtId="0" fontId="42" fillId="0" borderId="0" xfId="0" applyFont="1" applyAlignment="1">
      <alignment horizontal="left" indent="6"/>
    </xf>
    <xf numFmtId="0" fontId="42" fillId="0" borderId="0" xfId="0" applyFont="1" applyAlignment="1">
      <alignment horizontal="left" indent="10"/>
    </xf>
    <xf numFmtId="0" fontId="3" fillId="0" borderId="0" xfId="0" applyFont="1"/>
    <xf numFmtId="0" fontId="3" fillId="13" borderId="81" xfId="5" applyFont="1" applyFill="1" applyBorder="1"/>
    <xf numFmtId="0" fontId="3" fillId="13" borderId="9" xfId="5" applyFont="1" applyFill="1" applyBorder="1" applyAlignment="1">
      <alignment horizontal="center"/>
    </xf>
    <xf numFmtId="165" fontId="3" fillId="13" borderId="82" xfId="5" applyNumberFormat="1" applyFont="1" applyFill="1" applyBorder="1" applyAlignment="1">
      <alignment horizontal="center"/>
    </xf>
    <xf numFmtId="0" fontId="3" fillId="13" borderId="83" xfId="0" applyFont="1" applyFill="1" applyBorder="1" applyAlignment="1">
      <alignment horizontal="left" vertical="center" wrapText="1"/>
    </xf>
    <xf numFmtId="0" fontId="2" fillId="13" borderId="8" xfId="0" applyFont="1" applyFill="1" applyBorder="1" applyAlignment="1">
      <alignment horizontal="center"/>
    </xf>
    <xf numFmtId="0" fontId="3" fillId="13" borderId="84" xfId="0" applyFont="1" applyFill="1" applyBorder="1" applyAlignment="1">
      <alignment horizontal="center"/>
    </xf>
    <xf numFmtId="10" fontId="2" fillId="0" borderId="47" xfId="0" applyNumberFormat="1" applyFont="1" applyBorder="1" applyAlignment="1">
      <alignment horizontal="center"/>
    </xf>
    <xf numFmtId="166" fontId="0" fillId="0" borderId="0" xfId="0" applyNumberFormat="1" applyBorder="1"/>
    <xf numFmtId="0" fontId="13" fillId="0" borderId="0" xfId="0" applyFont="1" applyBorder="1"/>
    <xf numFmtId="0" fontId="45" fillId="0" borderId="0" xfId="0" applyFont="1" applyAlignment="1" applyProtection="1">
      <alignment horizontal="center"/>
      <protection locked="0"/>
    </xf>
    <xf numFmtId="0" fontId="46" fillId="0" borderId="0" xfId="0" applyFont="1"/>
    <xf numFmtId="0" fontId="45" fillId="0" borderId="0" xfId="0" applyFont="1" applyAlignment="1" applyProtection="1">
      <alignment horizontal="centerContinuous"/>
    </xf>
    <xf numFmtId="0" fontId="46" fillId="0" borderId="0" xfId="0" applyFont="1" applyAlignment="1" applyProtection="1"/>
    <xf numFmtId="0" fontId="48" fillId="0" borderId="0" xfId="0" applyFont="1" applyAlignment="1" applyProtection="1">
      <alignment horizontal="centerContinuous"/>
    </xf>
    <xf numFmtId="0" fontId="48" fillId="0" borderId="0" xfId="0" applyFont="1" applyAlignment="1" applyProtection="1">
      <alignment horizontal="center"/>
    </xf>
    <xf numFmtId="0" fontId="1" fillId="0" borderId="0" xfId="0" applyFont="1" applyProtection="1"/>
    <xf numFmtId="9" fontId="49" fillId="0" borderId="1" xfId="0" applyNumberFormat="1" applyFont="1" applyBorder="1" applyAlignment="1" applyProtection="1">
      <alignment horizontal="left" vertical="center"/>
    </xf>
    <xf numFmtId="0" fontId="50" fillId="0" borderId="0" xfId="0" applyFont="1" applyProtection="1"/>
    <xf numFmtId="0" fontId="51" fillId="0" borderId="0" xfId="0" applyFont="1" applyAlignment="1" applyProtection="1">
      <alignment vertical="center"/>
    </xf>
    <xf numFmtId="0" fontId="49" fillId="0" borderId="0" xfId="0" applyFont="1" applyAlignment="1" applyProtection="1">
      <alignment horizontal="right" vertical="center"/>
    </xf>
    <xf numFmtId="165" fontId="49" fillId="0" borderId="1" xfId="0" applyNumberFormat="1" applyFont="1" applyBorder="1" applyAlignment="1" applyProtection="1">
      <alignment horizontal="center" vertical="center"/>
    </xf>
    <xf numFmtId="9" fontId="51" fillId="0" borderId="1" xfId="0" applyNumberFormat="1" applyFont="1" applyBorder="1" applyAlignment="1" applyProtection="1">
      <alignment horizontal="center" vertical="center"/>
    </xf>
    <xf numFmtId="165" fontId="52" fillId="0" borderId="1" xfId="0" applyNumberFormat="1" applyFont="1" applyBorder="1" applyAlignment="1" applyProtection="1">
      <alignment horizontal="center" vertical="center"/>
    </xf>
    <xf numFmtId="165" fontId="52" fillId="0" borderId="46" xfId="0" applyNumberFormat="1" applyFont="1" applyBorder="1" applyAlignment="1" applyProtection="1">
      <alignment horizontal="center" vertical="center"/>
    </xf>
    <xf numFmtId="165" fontId="1" fillId="0" borderId="1" xfId="0" applyNumberFormat="1" applyFont="1" applyBorder="1" applyAlignment="1" applyProtection="1">
      <alignment horizontal="center" vertical="center"/>
    </xf>
    <xf numFmtId="0" fontId="1" fillId="0" borderId="85"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 xfId="0" applyFont="1" applyBorder="1" applyAlignment="1" applyProtection="1">
      <alignment horizontal="center"/>
    </xf>
    <xf numFmtId="0" fontId="1" fillId="0" borderId="85" xfId="0" applyFont="1" applyBorder="1" applyProtection="1"/>
    <xf numFmtId="0" fontId="1" fillId="0" borderId="0" xfId="0" applyFont="1" applyBorder="1" applyProtection="1"/>
    <xf numFmtId="0" fontId="1" fillId="0" borderId="0" xfId="0" applyFont="1" applyAlignment="1" applyProtection="1">
      <alignment horizontal="center"/>
    </xf>
    <xf numFmtId="0" fontId="53" fillId="10" borderId="0" xfId="0" applyFont="1" applyFill="1" applyAlignment="1" applyProtection="1">
      <alignment horizontal="centerContinuous" vertical="center"/>
    </xf>
    <xf numFmtId="0" fontId="54" fillId="10" borderId="0" xfId="0" applyFont="1" applyFill="1" applyAlignment="1" applyProtection="1">
      <alignment horizontal="centerContinuous" vertical="center"/>
    </xf>
    <xf numFmtId="0" fontId="1" fillId="10" borderId="0" xfId="0" applyFont="1" applyFill="1" applyAlignment="1" applyProtection="1">
      <alignment horizontal="centerContinuous" vertical="center"/>
    </xf>
    <xf numFmtId="0" fontId="0" fillId="10" borderId="0" xfId="0" applyFill="1"/>
    <xf numFmtId="0" fontId="1" fillId="0" borderId="0" xfId="0" applyFont="1" applyAlignment="1" applyProtection="1">
      <alignment vertical="center"/>
    </xf>
    <xf numFmtId="0" fontId="51" fillId="0" borderId="1" xfId="0" applyFont="1" applyBorder="1" applyAlignment="1" applyProtection="1">
      <alignment vertical="center"/>
    </xf>
    <xf numFmtId="0" fontId="51" fillId="0" borderId="1"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0" xfId="0" applyFont="1" applyBorder="1" applyAlignment="1" applyProtection="1">
      <alignment horizontal="center" vertical="center"/>
    </xf>
    <xf numFmtId="0" fontId="51" fillId="0" borderId="86" xfId="0" applyFont="1" applyBorder="1" applyAlignment="1" applyProtection="1">
      <alignment horizontal="center" vertical="center"/>
    </xf>
    <xf numFmtId="165" fontId="51" fillId="0" borderId="1" xfId="0" applyNumberFormat="1" applyFont="1" applyBorder="1" applyAlignment="1" applyProtection="1">
      <alignment horizontal="center" vertical="center"/>
    </xf>
    <xf numFmtId="9" fontId="1" fillId="0" borderId="0" xfId="6" applyFont="1" applyAlignment="1" applyProtection="1">
      <alignment vertical="center"/>
    </xf>
    <xf numFmtId="3" fontId="51" fillId="0" borderId="1" xfId="0" applyNumberFormat="1" applyFont="1" applyBorder="1" applyAlignment="1" applyProtection="1">
      <alignment horizontal="center" vertical="center"/>
    </xf>
    <xf numFmtId="9" fontId="51" fillId="0" borderId="1" xfId="0" applyNumberFormat="1" applyFont="1" applyBorder="1" applyAlignment="1" applyProtection="1">
      <alignment horizontal="left" vertical="center"/>
    </xf>
    <xf numFmtId="0" fontId="49" fillId="0" borderId="1" xfId="0" applyFont="1" applyBorder="1" applyAlignment="1" applyProtection="1">
      <alignment vertical="center"/>
    </xf>
    <xf numFmtId="165" fontId="55" fillId="0" borderId="0" xfId="0" applyNumberFormat="1" applyFont="1" applyAlignment="1" applyProtection="1">
      <alignment horizontal="center" vertical="center"/>
    </xf>
    <xf numFmtId="0" fontId="55" fillId="0" borderId="0" xfId="0" applyFont="1" applyAlignment="1" applyProtection="1">
      <alignment vertical="center"/>
    </xf>
    <xf numFmtId="0" fontId="50" fillId="0" borderId="0" xfId="0" applyFont="1" applyAlignment="1" applyProtection="1">
      <alignment vertical="center"/>
    </xf>
    <xf numFmtId="0" fontId="51" fillId="0" borderId="0" xfId="0" applyFont="1" applyAlignment="1" applyProtection="1">
      <alignment horizontal="right" vertical="center"/>
    </xf>
    <xf numFmtId="165" fontId="49" fillId="0" borderId="33" xfId="0" applyNumberFormat="1" applyFont="1" applyBorder="1" applyAlignment="1" applyProtection="1">
      <alignment horizontal="center" vertical="center"/>
    </xf>
    <xf numFmtId="166" fontId="51" fillId="0" borderId="0" xfId="0" applyNumberFormat="1" applyFont="1" applyAlignment="1" applyProtection="1">
      <alignment horizontal="center" vertical="center"/>
    </xf>
    <xf numFmtId="0" fontId="50" fillId="0" borderId="0" xfId="0" applyFont="1" applyAlignment="1" applyProtection="1">
      <alignment horizontal="right" vertical="center"/>
    </xf>
    <xf numFmtId="165" fontId="49" fillId="0" borderId="30" xfId="0" applyNumberFormat="1" applyFont="1" applyBorder="1" applyAlignment="1" applyProtection="1">
      <alignment horizontal="center" vertical="center"/>
    </xf>
    <xf numFmtId="0" fontId="56" fillId="10" borderId="1" xfId="0" applyFont="1" applyFill="1" applyBorder="1" applyAlignment="1" applyProtection="1">
      <alignment horizontal="centerContinuous" vertical="center"/>
    </xf>
    <xf numFmtId="0" fontId="1" fillId="10" borderId="0" xfId="0" applyFont="1" applyFill="1" applyAlignment="1" applyProtection="1">
      <alignment vertical="center"/>
    </xf>
    <xf numFmtId="0" fontId="57" fillId="0" borderId="1" xfId="0" applyFont="1" applyBorder="1" applyAlignment="1" applyProtection="1">
      <alignment vertical="center"/>
    </xf>
    <xf numFmtId="0" fontId="57" fillId="0" borderId="1" xfId="0" applyFont="1" applyBorder="1" applyAlignment="1" applyProtection="1">
      <alignment horizontal="center" vertical="center"/>
    </xf>
    <xf numFmtId="0" fontId="57" fillId="0" borderId="46" xfId="0" applyFont="1" applyBorder="1" applyAlignment="1" applyProtection="1">
      <alignment horizontal="center" vertical="center"/>
    </xf>
    <xf numFmtId="0" fontId="1" fillId="0" borderId="1" xfId="0" applyFont="1" applyBorder="1" applyAlignment="1" applyProtection="1">
      <alignment vertical="center"/>
    </xf>
    <xf numFmtId="0" fontId="1" fillId="0" borderId="0" xfId="0" applyFont="1"/>
    <xf numFmtId="0" fontId="1" fillId="0" borderId="0" xfId="0" applyFont="1" applyAlignment="1">
      <alignment horizontal="center"/>
    </xf>
    <xf numFmtId="0" fontId="1" fillId="0" borderId="0" xfId="0" applyFont="1" applyAlignment="1" applyProtection="1">
      <alignment horizontal="centerContinuous" vertical="center"/>
    </xf>
    <xf numFmtId="0" fontId="60" fillId="2" borderId="87" xfId="0" applyFont="1" applyFill="1" applyBorder="1" applyAlignment="1" applyProtection="1">
      <alignment horizontal="center" vertical="center"/>
      <protection locked="0"/>
    </xf>
    <xf numFmtId="166" fontId="59" fillId="2" borderId="88" xfId="6" applyNumberFormat="1" applyFont="1" applyFill="1" applyBorder="1" applyAlignment="1" applyProtection="1">
      <alignment horizontal="center" vertical="center"/>
      <protection locked="0"/>
    </xf>
    <xf numFmtId="9" fontId="61" fillId="0" borderId="0" xfId="6" applyFont="1" applyAlignment="1" applyProtection="1">
      <alignment vertical="center"/>
    </xf>
    <xf numFmtId="165" fontId="59" fillId="2" borderId="88" xfId="6" applyNumberFormat="1" applyFont="1" applyFill="1" applyBorder="1" applyAlignment="1" applyProtection="1">
      <alignment horizontal="center" vertical="center"/>
      <protection locked="0"/>
    </xf>
    <xf numFmtId="0" fontId="61" fillId="0" borderId="0" xfId="0" applyFont="1" applyAlignment="1" applyProtection="1">
      <alignment vertical="center"/>
    </xf>
    <xf numFmtId="9" fontId="59" fillId="2" borderId="88" xfId="6" applyFont="1" applyFill="1" applyBorder="1" applyAlignment="1" applyProtection="1">
      <alignment horizontal="center" vertical="center"/>
      <protection locked="0"/>
    </xf>
    <xf numFmtId="165" fontId="59" fillId="2" borderId="89" xfId="6" applyNumberFormat="1" applyFont="1" applyFill="1" applyBorder="1" applyAlignment="1" applyProtection="1">
      <alignment horizontal="center" vertical="center"/>
      <protection locked="0"/>
    </xf>
    <xf numFmtId="0" fontId="48" fillId="0" borderId="90" xfId="0" applyFont="1" applyFill="1" applyBorder="1" applyAlignment="1" applyProtection="1">
      <alignment vertical="center"/>
    </xf>
    <xf numFmtId="0" fontId="1" fillId="0" borderId="91" xfId="0" applyFont="1" applyFill="1" applyBorder="1" applyAlignment="1" applyProtection="1">
      <alignment vertical="center"/>
    </xf>
    <xf numFmtId="0" fontId="1" fillId="0" borderId="92" xfId="0" applyFont="1" applyFill="1" applyBorder="1" applyAlignment="1" applyProtection="1">
      <alignment vertical="center"/>
    </xf>
    <xf numFmtId="0" fontId="24" fillId="0" borderId="0" xfId="0" applyFont="1" applyAlignment="1">
      <alignment horizontal="left"/>
    </xf>
    <xf numFmtId="0" fontId="0" fillId="0" borderId="0" xfId="0" applyAlignment="1"/>
    <xf numFmtId="0" fontId="0" fillId="0" borderId="0" xfId="0" applyAlignment="1">
      <alignment horizontal="center" vertical="center" wrapText="1"/>
    </xf>
    <xf numFmtId="0" fontId="0" fillId="14" borderId="0" xfId="0" applyFill="1" applyAlignment="1">
      <alignment horizontal="center"/>
    </xf>
    <xf numFmtId="3" fontId="0" fillId="14" borderId="0" xfId="0" applyNumberFormat="1" applyFill="1" applyAlignment="1">
      <alignment horizontal="center"/>
    </xf>
    <xf numFmtId="0" fontId="0" fillId="15" borderId="0" xfId="0" applyFill="1" applyAlignment="1">
      <alignment horizontal="center"/>
    </xf>
    <xf numFmtId="3" fontId="0" fillId="15" borderId="0" xfId="0" applyNumberFormat="1" applyFill="1" applyAlignment="1">
      <alignment horizontal="center"/>
    </xf>
    <xf numFmtId="3" fontId="0" fillId="0" borderId="52" xfId="0" applyNumberFormat="1" applyBorder="1" applyAlignment="1">
      <alignment horizontal="center"/>
    </xf>
    <xf numFmtId="0" fontId="13" fillId="0" borderId="0" xfId="0" applyFont="1" applyAlignment="1">
      <alignment horizontal="center" vertical="center" wrapText="1"/>
    </xf>
    <xf numFmtId="0" fontId="13" fillId="0" borderId="0" xfId="0" applyFont="1" applyAlignment="1">
      <alignment horizontal="center" vertical="center"/>
    </xf>
    <xf numFmtId="0" fontId="64" fillId="0" borderId="0" xfId="0" applyFont="1" applyAlignment="1">
      <alignment horizontal="center" vertical="center"/>
    </xf>
    <xf numFmtId="0" fontId="13" fillId="14" borderId="0" xfId="0" applyFont="1" applyFill="1" applyAlignment="1">
      <alignment horizontal="center"/>
    </xf>
    <xf numFmtId="0" fontId="13" fillId="15" borderId="0" xfId="0" applyFont="1" applyFill="1" applyAlignment="1">
      <alignment horizontal="center"/>
    </xf>
    <xf numFmtId="0" fontId="0" fillId="0" borderId="52" xfId="0" applyFill="1" applyBorder="1" applyAlignment="1">
      <alignment horizontal="center"/>
    </xf>
    <xf numFmtId="0" fontId="13" fillId="0" borderId="0" xfId="0" applyFont="1" applyAlignment="1">
      <alignment horizontal="center"/>
    </xf>
    <xf numFmtId="0" fontId="0" fillId="14" borderId="7" xfId="0" applyFill="1" applyBorder="1" applyAlignment="1">
      <alignment horizontal="center"/>
    </xf>
    <xf numFmtId="0" fontId="0" fillId="14" borderId="0" xfId="0" applyFill="1" applyBorder="1" applyAlignment="1"/>
    <xf numFmtId="0" fontId="0" fillId="0" borderId="7" xfId="0" applyFill="1" applyBorder="1" applyAlignment="1">
      <alignment horizontal="center"/>
    </xf>
    <xf numFmtId="0" fontId="0" fillId="0" borderId="0" xfId="0" applyFill="1" applyBorder="1" applyAlignment="1"/>
    <xf numFmtId="0" fontId="0" fillId="15" borderId="7" xfId="0" applyFill="1" applyBorder="1" applyAlignment="1">
      <alignment horizontal="center"/>
    </xf>
    <xf numFmtId="0" fontId="0" fillId="15" borderId="0" xfId="0" applyFill="1" applyBorder="1" applyAlignment="1"/>
    <xf numFmtId="0" fontId="0" fillId="0" borderId="0" xfId="0" applyBorder="1" applyAlignment="1"/>
    <xf numFmtId="0" fontId="13" fillId="15" borderId="7" xfId="0" applyFont="1" applyFill="1" applyBorder="1" applyAlignment="1">
      <alignment horizontal="center"/>
    </xf>
    <xf numFmtId="0" fontId="13" fillId="14" borderId="7" xfId="0" applyFont="1" applyFill="1" applyBorder="1" applyAlignment="1">
      <alignment horizontal="center"/>
    </xf>
    <xf numFmtId="0" fontId="0" fillId="14" borderId="0" xfId="0" applyFill="1"/>
    <xf numFmtId="0" fontId="0" fillId="15" borderId="0" xfId="0" applyFill="1"/>
    <xf numFmtId="3" fontId="0" fillId="0" borderId="93" xfId="0" applyNumberFormat="1" applyBorder="1" applyAlignment="1">
      <alignment horizontal="center"/>
    </xf>
    <xf numFmtId="0" fontId="13" fillId="14" borderId="0" xfId="0" applyFont="1" applyFill="1" applyBorder="1" applyAlignment="1">
      <alignment horizontal="center"/>
    </xf>
    <xf numFmtId="0" fontId="0" fillId="0" borderId="0" xfId="0" applyFill="1" applyBorder="1" applyAlignment="1">
      <alignment horizontal="center"/>
    </xf>
    <xf numFmtId="0" fontId="13" fillId="15" borderId="0" xfId="0" applyFont="1" applyFill="1" applyBorder="1" applyAlignment="1">
      <alignment horizontal="center"/>
    </xf>
    <xf numFmtId="0" fontId="0" fillId="0" borderId="44" xfId="0" applyBorder="1" applyAlignment="1">
      <alignment horizontal="center" vertical="center" wrapText="1"/>
    </xf>
    <xf numFmtId="0" fontId="0" fillId="0" borderId="44" xfId="0" applyBorder="1" applyAlignment="1">
      <alignment horizontal="center" vertical="center"/>
    </xf>
    <xf numFmtId="0" fontId="63" fillId="0" borderId="44" xfId="0" applyFont="1" applyBorder="1" applyAlignment="1">
      <alignment horizontal="center" vertical="center" wrapText="1"/>
    </xf>
    <xf numFmtId="0" fontId="63" fillId="0" borderId="0" xfId="0" applyFont="1" applyBorder="1" applyAlignment="1">
      <alignment horizontal="center" vertical="center" wrapText="1"/>
    </xf>
    <xf numFmtId="0" fontId="2" fillId="0" borderId="44" xfId="0" applyFont="1" applyBorder="1" applyAlignment="1">
      <alignment horizontal="center" vertical="center" wrapText="1"/>
    </xf>
    <xf numFmtId="0" fontId="25" fillId="0" borderId="0" xfId="0" applyFont="1" applyAlignment="1">
      <alignment horizontal="center"/>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2" fillId="0" borderId="20" xfId="0" applyFont="1" applyBorder="1" applyAlignment="1">
      <alignment horizontal="center" vertical="center" wrapText="1"/>
    </xf>
    <xf numFmtId="0" fontId="13" fillId="14" borderId="94" xfId="0" applyFont="1" applyFill="1" applyBorder="1" applyAlignment="1">
      <alignment horizontal="center"/>
    </xf>
    <xf numFmtId="0" fontId="0" fillId="0" borderId="94" xfId="0" applyFill="1" applyBorder="1" applyAlignment="1">
      <alignment horizontal="center"/>
    </xf>
    <xf numFmtId="0" fontId="13" fillId="15" borderId="94" xfId="0" applyFont="1" applyFill="1" applyBorder="1" applyAlignment="1">
      <alignment horizontal="center"/>
    </xf>
    <xf numFmtId="0" fontId="0" fillId="0" borderId="94" xfId="0" applyBorder="1" applyAlignment="1">
      <alignment horizontal="center"/>
    </xf>
    <xf numFmtId="0" fontId="13" fillId="0" borderId="0" xfId="0" applyFont="1" applyBorder="1" applyAlignment="1">
      <alignment horizontal="center"/>
    </xf>
    <xf numFmtId="0" fontId="13" fillId="0" borderId="0" xfId="0" applyFont="1" applyBorder="1" applyAlignment="1">
      <alignment horizontal="center" vertical="center"/>
    </xf>
    <xf numFmtId="0" fontId="2" fillId="0" borderId="0" xfId="0" applyFont="1" applyBorder="1" applyAlignment="1">
      <alignment horizontal="center" vertical="center"/>
    </xf>
    <xf numFmtId="165" fontId="13" fillId="0" borderId="7" xfId="0" applyNumberFormat="1" applyFont="1" applyBorder="1" applyAlignment="1">
      <alignment horizontal="center" vertical="center"/>
    </xf>
    <xf numFmtId="166" fontId="24" fillId="0" borderId="0" xfId="0" applyNumberFormat="1" applyFont="1" applyAlignment="1">
      <alignment horizontal="right"/>
    </xf>
    <xf numFmtId="0" fontId="68" fillId="0" borderId="0" xfId="0" applyFont="1" applyAlignment="1">
      <alignment horizontal="center"/>
    </xf>
    <xf numFmtId="0" fontId="2" fillId="0" borderId="11" xfId="0" applyFont="1" applyBorder="1" applyAlignment="1">
      <alignment horizontal="center" vertical="center" wrapText="1"/>
    </xf>
    <xf numFmtId="0" fontId="13" fillId="0" borderId="94" xfId="0" applyFont="1" applyFill="1" applyBorder="1" applyAlignment="1">
      <alignment horizontal="center"/>
    </xf>
    <xf numFmtId="0" fontId="13" fillId="0" borderId="0" xfId="0" applyFont="1" applyFill="1" applyBorder="1" applyAlignment="1">
      <alignment horizontal="center"/>
    </xf>
    <xf numFmtId="0" fontId="2" fillId="0" borderId="44" xfId="0" applyFont="1" applyBorder="1" applyAlignment="1">
      <alignment horizontal="center" vertical="center" wrapText="1"/>
    </xf>
    <xf numFmtId="0" fontId="2" fillId="0" borderId="10" xfId="0" applyFont="1" applyBorder="1" applyAlignment="1">
      <alignment horizontal="center" vertical="center" wrapText="1"/>
    </xf>
    <xf numFmtId="0" fontId="25" fillId="0" borderId="0" xfId="0" applyFont="1" applyAlignment="1">
      <alignment horizontal="center"/>
    </xf>
    <xf numFmtId="0" fontId="13" fillId="0" borderId="7"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94" xfId="0" applyFont="1" applyBorder="1" applyAlignment="1">
      <alignment horizontal="center" vertical="center" wrapText="1"/>
    </xf>
    <xf numFmtId="0" fontId="25" fillId="0" borderId="7" xfId="0" applyFont="1" applyBorder="1" applyAlignment="1">
      <alignment horizontal="center"/>
    </xf>
    <xf numFmtId="0" fontId="25" fillId="0" borderId="0" xfId="0" applyFont="1" applyBorder="1" applyAlignment="1">
      <alignment horizontal="center"/>
    </xf>
    <xf numFmtId="0" fontId="25" fillId="0" borderId="94" xfId="0" applyFont="1" applyBorder="1" applyAlignment="1">
      <alignment horizontal="center"/>
    </xf>
    <xf numFmtId="0" fontId="2" fillId="0" borderId="79"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4"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5" xfId="0" applyFont="1" applyBorder="1" applyAlignment="1">
      <alignment horizontal="center" vertical="center" wrapText="1"/>
    </xf>
    <xf numFmtId="0" fontId="2" fillId="0" borderId="6" xfId="0" applyFont="1" applyBorder="1" applyAlignment="1">
      <alignment horizontal="center"/>
    </xf>
    <xf numFmtId="0" fontId="2" fillId="0" borderId="98" xfId="0" applyFont="1" applyBorder="1" applyAlignment="1">
      <alignment horizontal="center"/>
    </xf>
    <xf numFmtId="0" fontId="2" fillId="0" borderId="94" xfId="0" applyFont="1" applyBorder="1" applyAlignment="1">
      <alignment horizontal="center" vertical="center"/>
    </xf>
    <xf numFmtId="0" fontId="2"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0" fillId="4" borderId="0" xfId="0" applyFill="1" applyAlignment="1">
      <alignment horizontal="center"/>
    </xf>
    <xf numFmtId="0" fontId="2" fillId="0" borderId="21"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4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4"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0" xfId="0" applyFont="1" applyBorder="1" applyAlignment="1">
      <alignment horizontal="center" vertical="center" wrapText="1"/>
    </xf>
    <xf numFmtId="0" fontId="3" fillId="0" borderId="8"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5" fillId="0" borderId="42" xfId="0" applyFont="1" applyFill="1" applyBorder="1" applyAlignment="1">
      <alignment horizontal="center" vertical="center"/>
    </xf>
    <xf numFmtId="0" fontId="5" fillId="0" borderId="98" xfId="0" applyFont="1" applyFill="1" applyBorder="1" applyAlignment="1">
      <alignment horizontal="center" vertical="center"/>
    </xf>
    <xf numFmtId="0" fontId="3" fillId="0" borderId="9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94" xfId="0" applyFont="1" applyFill="1" applyBorder="1" applyAlignment="1">
      <alignment horizontal="center" vertical="center" wrapText="1"/>
    </xf>
    <xf numFmtId="0" fontId="3" fillId="0" borderId="9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98" xfId="0" applyFont="1" applyBorder="1" applyAlignment="1">
      <alignment horizontal="center" vertical="center" wrapText="1"/>
    </xf>
    <xf numFmtId="0" fontId="40" fillId="0" borderId="6" xfId="0" applyFont="1" applyFill="1" applyBorder="1" applyAlignment="1">
      <alignment horizontal="center" vertical="center" wrapText="1"/>
    </xf>
    <xf numFmtId="0" fontId="40" fillId="0" borderId="42" xfId="0" applyFont="1" applyFill="1" applyBorder="1" applyAlignment="1">
      <alignment horizontal="center" vertical="center" wrapText="1"/>
    </xf>
    <xf numFmtId="0" fontId="40" fillId="0" borderId="98"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44"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10" fillId="0" borderId="0" xfId="0" applyFont="1" applyFill="1" applyAlignment="1">
      <alignment horizontal="center"/>
    </xf>
    <xf numFmtId="0" fontId="11" fillId="0" borderId="41" xfId="0" applyFont="1" applyFill="1" applyBorder="1" applyAlignment="1">
      <alignment horizontal="center"/>
    </xf>
    <xf numFmtId="0" fontId="11" fillId="0" borderId="101" xfId="0" applyFont="1" applyFill="1" applyBorder="1" applyAlignment="1">
      <alignment horizontal="center"/>
    </xf>
    <xf numFmtId="0" fontId="9" fillId="0" borderId="1" xfId="0" applyFont="1" applyFill="1" applyBorder="1" applyAlignment="1">
      <alignment horizontal="center"/>
    </xf>
    <xf numFmtId="0" fontId="2" fillId="9" borderId="1" xfId="0" applyFont="1" applyFill="1" applyBorder="1" applyAlignment="1">
      <alignment horizontal="right"/>
    </xf>
    <xf numFmtId="0" fontId="41" fillId="0" borderId="1" xfId="0" applyFont="1" applyFill="1" applyBorder="1" applyAlignment="1">
      <alignment horizontal="left"/>
    </xf>
    <xf numFmtId="0" fontId="41" fillId="0" borderId="46" xfId="0" applyFont="1" applyFill="1" applyBorder="1" applyAlignment="1">
      <alignment horizontal="left"/>
    </xf>
    <xf numFmtId="0" fontId="2" fillId="0" borderId="0" xfId="0" applyFont="1" applyAlignment="1">
      <alignment horizontal="left" wrapText="1"/>
    </xf>
    <xf numFmtId="0" fontId="16" fillId="0" borderId="0" xfId="0" applyFont="1" applyFill="1" applyBorder="1" applyAlignment="1">
      <alignment horizontal="center"/>
    </xf>
    <xf numFmtId="0" fontId="16" fillId="0" borderId="44" xfId="0" applyFont="1" applyFill="1" applyBorder="1" applyAlignment="1">
      <alignment horizontal="center"/>
    </xf>
    <xf numFmtId="0" fontId="9" fillId="0" borderId="43" xfId="0" applyFont="1" applyFill="1" applyBorder="1" applyAlignment="1">
      <alignment horizontal="center"/>
    </xf>
    <xf numFmtId="0" fontId="16" fillId="0" borderId="1"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6" fillId="0" borderId="1" xfId="0" applyFont="1" applyFill="1" applyBorder="1" applyAlignment="1">
      <alignment horizontal="center"/>
    </xf>
    <xf numFmtId="0" fontId="16" fillId="0" borderId="46" xfId="0" applyFont="1" applyFill="1" applyBorder="1" applyAlignment="1">
      <alignment horizontal="center"/>
    </xf>
    <xf numFmtId="0" fontId="2" fillId="0" borderId="1" xfId="0" applyFont="1" applyFill="1" applyBorder="1" applyAlignment="1">
      <alignment horizontal="right"/>
    </xf>
    <xf numFmtId="0" fontId="17" fillId="0" borderId="1" xfId="0" applyFont="1" applyFill="1" applyBorder="1" applyAlignment="1">
      <alignment horizontal="center"/>
    </xf>
    <xf numFmtId="0" fontId="17" fillId="0" borderId="43" xfId="0" applyFont="1" applyFill="1" applyBorder="1" applyAlignment="1">
      <alignment horizontal="center"/>
    </xf>
    <xf numFmtId="0" fontId="22" fillId="11" borderId="0" xfId="0" applyFont="1" applyFill="1" applyAlignment="1">
      <alignment horizontal="center" vertical="center" wrapText="1"/>
    </xf>
    <xf numFmtId="0" fontId="24" fillId="0" borderId="0" xfId="0" applyFont="1" applyAlignment="1">
      <alignment horizontal="center"/>
    </xf>
    <xf numFmtId="0" fontId="25" fillId="0" borderId="41" xfId="0" applyFont="1" applyBorder="1" applyAlignment="1">
      <alignment horizontal="center"/>
    </xf>
    <xf numFmtId="0" fontId="5" fillId="0" borderId="10" xfId="0" applyFont="1" applyFill="1" applyBorder="1" applyAlignment="1">
      <alignment horizontal="center" wrapText="1"/>
    </xf>
    <xf numFmtId="0" fontId="5" fillId="0" borderId="44" xfId="0" applyFont="1" applyFill="1" applyBorder="1" applyAlignment="1">
      <alignment horizontal="center" wrapText="1"/>
    </xf>
    <xf numFmtId="0" fontId="5" fillId="0" borderId="11" xfId="0" applyFont="1" applyFill="1" applyBorder="1" applyAlignment="1">
      <alignment horizontal="center" wrapText="1"/>
    </xf>
    <xf numFmtId="0" fontId="4" fillId="0" borderId="9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98"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94" xfId="0" applyBorder="1" applyAlignment="1">
      <alignment horizontal="center" vertical="center" wrapText="1"/>
    </xf>
    <xf numFmtId="0" fontId="0" fillId="0" borderId="102"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165" fontId="25" fillId="0" borderId="7" xfId="0" applyNumberFormat="1" applyFont="1" applyBorder="1" applyAlignment="1">
      <alignment horizontal="center"/>
    </xf>
    <xf numFmtId="165" fontId="25" fillId="0" borderId="0" xfId="0" applyNumberFormat="1" applyFont="1" applyBorder="1" applyAlignment="1">
      <alignment horizontal="center"/>
    </xf>
    <xf numFmtId="165" fontId="25" fillId="0" borderId="94" xfId="0" applyNumberFormat="1" applyFont="1" applyBorder="1" applyAlignment="1">
      <alignment horizontal="center"/>
    </xf>
    <xf numFmtId="0" fontId="5" fillId="0" borderId="7" xfId="0" applyFont="1" applyFill="1" applyBorder="1" applyAlignment="1">
      <alignment horizontal="center" wrapText="1"/>
    </xf>
    <xf numFmtId="0" fontId="5" fillId="0" borderId="0" xfId="0" applyFont="1" applyFill="1" applyBorder="1" applyAlignment="1">
      <alignment horizontal="center" wrapText="1"/>
    </xf>
    <xf numFmtId="0" fontId="5" fillId="0" borderId="94" xfId="0" applyFont="1" applyFill="1" applyBorder="1" applyAlignment="1">
      <alignment horizontal="center" wrapText="1"/>
    </xf>
    <xf numFmtId="165" fontId="0" fillId="0" borderId="7" xfId="0" applyNumberFormat="1" applyBorder="1" applyAlignment="1">
      <alignment horizontal="center"/>
    </xf>
    <xf numFmtId="165" fontId="0" fillId="0" borderId="0" xfId="0" applyNumberFormat="1" applyBorder="1" applyAlignment="1">
      <alignment horizontal="center"/>
    </xf>
    <xf numFmtId="165" fontId="0" fillId="0" borderId="94" xfId="0" applyNumberFormat="1" applyBorder="1" applyAlignment="1">
      <alignment horizontal="center"/>
    </xf>
    <xf numFmtId="0" fontId="5" fillId="0" borderId="6" xfId="0" applyFont="1" applyFill="1" applyBorder="1" applyAlignment="1">
      <alignment horizontal="left" wrapText="1" indent="2"/>
    </xf>
    <xf numFmtId="0" fontId="5" fillId="0" borderId="42" xfId="0" applyFont="1" applyFill="1" applyBorder="1" applyAlignment="1">
      <alignment horizontal="left" wrapText="1" indent="2"/>
    </xf>
    <xf numFmtId="0" fontId="5" fillId="0" borderId="98" xfId="0" applyFont="1" applyFill="1" applyBorder="1" applyAlignment="1">
      <alignment horizontal="left" wrapText="1" indent="2"/>
    </xf>
    <xf numFmtId="0" fontId="59" fillId="0" borderId="106" xfId="0" applyFont="1" applyFill="1" applyBorder="1" applyAlignment="1" applyProtection="1">
      <alignment horizontal="left" vertical="center" wrapText="1"/>
    </xf>
    <xf numFmtId="0" fontId="59" fillId="0" borderId="0" xfId="0" applyFont="1" applyFill="1" applyBorder="1" applyAlignment="1" applyProtection="1">
      <alignment horizontal="left" vertical="center" wrapText="1"/>
    </xf>
    <xf numFmtId="0" fontId="59" fillId="0" borderId="107" xfId="0" applyFont="1" applyFill="1" applyBorder="1" applyAlignment="1" applyProtection="1">
      <alignment horizontal="left" vertical="center" wrapText="1"/>
    </xf>
    <xf numFmtId="0" fontId="0" fillId="0" borderId="106" xfId="0" applyFill="1" applyBorder="1" applyAlignment="1">
      <alignment horizontal="left" vertical="center" wrapText="1"/>
    </xf>
    <xf numFmtId="0" fontId="0" fillId="0" borderId="0" xfId="0" applyFill="1" applyBorder="1" applyAlignment="1">
      <alignment horizontal="left" vertical="center" wrapText="1"/>
    </xf>
    <xf numFmtId="0" fontId="0" fillId="0" borderId="107" xfId="0" applyFill="1" applyBorder="1" applyAlignment="1">
      <alignment horizontal="left" vertical="center" wrapText="1"/>
    </xf>
    <xf numFmtId="0" fontId="0" fillId="0" borderId="108" xfId="0" applyFill="1" applyBorder="1" applyAlignment="1">
      <alignment horizontal="left" vertical="center" wrapText="1"/>
    </xf>
    <xf numFmtId="0" fontId="0" fillId="0" borderId="109" xfId="0" applyFill="1" applyBorder="1" applyAlignment="1">
      <alignment horizontal="left" vertical="center" wrapText="1"/>
    </xf>
    <xf numFmtId="0" fontId="0" fillId="0" borderId="110" xfId="0" applyFill="1" applyBorder="1" applyAlignment="1">
      <alignment horizontal="left" vertical="center" wrapText="1"/>
    </xf>
    <xf numFmtId="0" fontId="59" fillId="0" borderId="103" xfId="0" applyFont="1" applyBorder="1" applyAlignment="1" applyProtection="1">
      <alignment horizontal="right" vertical="center"/>
    </xf>
    <xf numFmtId="0" fontId="59" fillId="0" borderId="1" xfId="0" applyFont="1" applyBorder="1" applyAlignment="1" applyProtection="1">
      <alignment horizontal="right" vertical="center"/>
    </xf>
    <xf numFmtId="0" fontId="59" fillId="0" borderId="111" xfId="0" applyFont="1" applyBorder="1" applyAlignment="1" applyProtection="1">
      <alignment horizontal="right" vertical="center"/>
    </xf>
    <xf numFmtId="0" fontId="59" fillId="0" borderId="24" xfId="0" applyFont="1" applyBorder="1" applyAlignment="1" applyProtection="1">
      <alignment horizontal="right" vertical="center"/>
    </xf>
    <xf numFmtId="0" fontId="59" fillId="0" borderId="86" xfId="0" applyFont="1" applyBorder="1" applyAlignment="1" applyProtection="1">
      <alignment horizontal="right" vertical="center"/>
    </xf>
    <xf numFmtId="0" fontId="59" fillId="0" borderId="112" xfId="0" applyFont="1" applyBorder="1" applyAlignment="1" applyProtection="1">
      <alignment horizontal="right" vertical="center"/>
    </xf>
    <xf numFmtId="0" fontId="59" fillId="0" borderId="113" xfId="0" applyFont="1" applyBorder="1" applyAlignment="1" applyProtection="1">
      <alignment horizontal="right" vertical="center"/>
    </xf>
    <xf numFmtId="0" fontId="59" fillId="0" borderId="114" xfId="0" applyFont="1" applyBorder="1" applyAlignment="1" applyProtection="1">
      <alignment horizontal="right" vertical="center"/>
    </xf>
    <xf numFmtId="0" fontId="44" fillId="0" borderId="0" xfId="0" applyFont="1" applyAlignment="1" applyProtection="1">
      <alignment horizontal="center"/>
    </xf>
    <xf numFmtId="0" fontId="47" fillId="0" borderId="0" xfId="0" applyFont="1" applyAlignment="1" applyProtection="1">
      <alignment horizontal="center"/>
    </xf>
    <xf numFmtId="0" fontId="58" fillId="12" borderId="81" xfId="0" applyFont="1" applyFill="1" applyBorder="1" applyAlignment="1" applyProtection="1">
      <alignment horizontal="center" vertical="center"/>
    </xf>
    <xf numFmtId="0" fontId="58" fillId="12" borderId="9" xfId="0" applyFont="1" applyFill="1" applyBorder="1" applyAlignment="1" applyProtection="1">
      <alignment horizontal="center" vertical="center"/>
    </xf>
    <xf numFmtId="0" fontId="58" fillId="12" borderId="82" xfId="0" applyFont="1" applyFill="1" applyBorder="1" applyAlignment="1" applyProtection="1">
      <alignment horizontal="center" vertical="center"/>
    </xf>
    <xf numFmtId="0" fontId="59" fillId="0" borderId="104" xfId="0" applyFont="1" applyBorder="1" applyAlignment="1" applyProtection="1">
      <alignment horizontal="right" vertical="center"/>
    </xf>
    <xf numFmtId="0" fontId="59" fillId="0" borderId="105" xfId="0" applyFont="1" applyBorder="1" applyAlignment="1" applyProtection="1">
      <alignment horizontal="right" vertical="center"/>
    </xf>
  </cellXfs>
  <cellStyles count="7">
    <cellStyle name="Comma" xfId="1" builtinId="3"/>
    <cellStyle name="Currency" xfId="2" builtinId="4"/>
    <cellStyle name="Hyperlink" xfId="3" builtinId="8"/>
    <cellStyle name="Input" xfId="4" builtinId="20" customBuiltin="1"/>
    <cellStyle name="Normal" xfId="0" builtinId="0"/>
    <cellStyle name="Normal_OBP Template 2-22-06" xfId="5"/>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1212850</xdr:colOff>
      <xdr:row>0</xdr:row>
      <xdr:rowOff>0</xdr:rowOff>
    </xdr:from>
    <xdr:to>
      <xdr:col>3</xdr:col>
      <xdr:colOff>38100</xdr:colOff>
      <xdr:row>2</xdr:row>
      <xdr:rowOff>152400</xdr:rowOff>
    </xdr:to>
    <xdr:sp macro="" textlink="">
      <xdr:nvSpPr>
        <xdr:cNvPr id="1025" name="Rectangle 3">
          <a:extLst>
            <a:ext uri="{FF2B5EF4-FFF2-40B4-BE49-F238E27FC236}">
              <a16:creationId xmlns:a16="http://schemas.microsoft.com/office/drawing/2014/main" id="{8ACB72BD-4AF2-4F69-AA49-340E58FAE863}"/>
            </a:ext>
          </a:extLst>
        </xdr:cNvPr>
        <xdr:cNvSpPr>
          <a:spLocks noChangeArrowheads="1"/>
        </xdr:cNvSpPr>
      </xdr:nvSpPr>
      <xdr:spPr bwMode="auto">
        <a:xfrm rot="-1601872">
          <a:off x="3759200" y="0"/>
          <a:ext cx="1778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228600</xdr:colOff>
      <xdr:row>10</xdr:row>
      <xdr:rowOff>41275</xdr:rowOff>
    </xdr:from>
    <xdr:to>
      <xdr:col>22</xdr:col>
      <xdr:colOff>762000</xdr:colOff>
      <xdr:row>10</xdr:row>
      <xdr:rowOff>149225</xdr:rowOff>
    </xdr:to>
    <xdr:sp macro="" textlink="">
      <xdr:nvSpPr>
        <xdr:cNvPr id="5" name="Left Arrow 4">
          <a:extLst>
            <a:ext uri="{FF2B5EF4-FFF2-40B4-BE49-F238E27FC236}">
              <a16:creationId xmlns:a16="http://schemas.microsoft.com/office/drawing/2014/main" id="{09F7E7C6-4643-4016-AFD0-CBA8771DA4C5}"/>
            </a:ext>
          </a:extLst>
        </xdr:cNvPr>
        <xdr:cNvSpPr/>
      </xdr:nvSpPr>
      <xdr:spPr>
        <a:xfrm>
          <a:off x="14963775" y="2752725"/>
          <a:ext cx="533400" cy="114300"/>
        </a:xfrm>
        <a:prstGeom prst="leftArrow">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22</xdr:col>
      <xdr:colOff>212725</xdr:colOff>
      <xdr:row>25</xdr:row>
      <xdr:rowOff>57150</xdr:rowOff>
    </xdr:from>
    <xdr:to>
      <xdr:col>22</xdr:col>
      <xdr:colOff>746125</xdr:colOff>
      <xdr:row>25</xdr:row>
      <xdr:rowOff>165100</xdr:rowOff>
    </xdr:to>
    <xdr:sp macro="" textlink="">
      <xdr:nvSpPr>
        <xdr:cNvPr id="6" name="Left Arrow 5">
          <a:extLst>
            <a:ext uri="{FF2B5EF4-FFF2-40B4-BE49-F238E27FC236}">
              <a16:creationId xmlns:a16="http://schemas.microsoft.com/office/drawing/2014/main" id="{974EC750-975F-40EF-910D-B232A1805994}"/>
            </a:ext>
          </a:extLst>
        </xdr:cNvPr>
        <xdr:cNvSpPr/>
      </xdr:nvSpPr>
      <xdr:spPr>
        <a:xfrm>
          <a:off x="14954250" y="5562600"/>
          <a:ext cx="533400" cy="114300"/>
        </a:xfrm>
        <a:prstGeom prst="leftArrow">
          <a:avLst/>
        </a:prstGeom>
        <a:noFill/>
        <a:ln w="2222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editAs="oneCell">
    <xdr:from>
      <xdr:col>1</xdr:col>
      <xdr:colOff>273050</xdr:colOff>
      <xdr:row>1</xdr:row>
      <xdr:rowOff>260350</xdr:rowOff>
    </xdr:from>
    <xdr:to>
      <xdr:col>3</xdr:col>
      <xdr:colOff>285750</xdr:colOff>
      <xdr:row>3</xdr:row>
      <xdr:rowOff>139700</xdr:rowOff>
    </xdr:to>
    <xdr:sp macro="" textlink="">
      <xdr:nvSpPr>
        <xdr:cNvPr id="1028" name="Rectangle 7">
          <a:extLst>
            <a:ext uri="{FF2B5EF4-FFF2-40B4-BE49-F238E27FC236}">
              <a16:creationId xmlns:a16="http://schemas.microsoft.com/office/drawing/2014/main" id="{B8D77FE9-6F7A-4192-9821-2A1744810440}"/>
            </a:ext>
          </a:extLst>
        </xdr:cNvPr>
        <xdr:cNvSpPr>
          <a:spLocks noChangeArrowheads="1"/>
        </xdr:cNvSpPr>
      </xdr:nvSpPr>
      <xdr:spPr bwMode="auto">
        <a:xfrm rot="-1601872">
          <a:off x="1498600" y="622300"/>
          <a:ext cx="268605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79374</xdr:colOff>
      <xdr:row>13</xdr:row>
      <xdr:rowOff>22225</xdr:rowOff>
    </xdr:from>
    <xdr:ext cx="2687776" cy="981414"/>
    <xdr:sp macro="" textlink="">
      <xdr:nvSpPr>
        <xdr:cNvPr id="7" name="Rectangle 6">
          <a:extLst>
            <a:ext uri="{FF2B5EF4-FFF2-40B4-BE49-F238E27FC236}">
              <a16:creationId xmlns:a16="http://schemas.microsoft.com/office/drawing/2014/main" id="{AF375035-B5E1-4032-A494-5425CED30C7B}"/>
            </a:ext>
          </a:extLst>
        </xdr:cNvPr>
        <xdr:cNvSpPr/>
      </xdr:nvSpPr>
      <xdr:spPr>
        <a:xfrm rot="19998128">
          <a:off x="6867524" y="3295650"/>
          <a:ext cx="2681407" cy="974871"/>
        </a:xfrm>
        <a:prstGeom prst="rect">
          <a:avLst/>
        </a:prstGeom>
        <a:noFill/>
      </xdr:spPr>
      <xdr:txBody>
        <a:bodyPr wrap="square" lIns="91440" tIns="45720" rIns="91440" bIns="45720">
          <a:noAutofit/>
        </a:bodyPr>
        <a:lstStyle/>
        <a:p>
          <a:pPr algn="ctr"/>
          <a:endParaRPr lang="en-US" sz="5400" b="1" cap="none" spc="0" baseline="0">
            <a:ln w="10541" cmpd="sng">
              <a:solidFill>
                <a:schemeClr val="accent1">
                  <a:shade val="88000"/>
                  <a:satMod val="110000"/>
                </a:schemeClr>
              </a:solidFill>
              <a:prstDash val="solid"/>
            </a:ln>
            <a:solidFill>
              <a:schemeClr val="accent1">
                <a:lumMod val="20000"/>
                <a:lumOff val="80000"/>
              </a:schemeClr>
            </a:solidFill>
            <a:effectLst/>
          </a:endParaRPr>
        </a:p>
        <a:p>
          <a:pPr algn="ctr"/>
          <a:endParaRPr lang="en-US" sz="5400" b="1" cap="none" spc="0" baseline="0">
            <a:ln w="10541" cmpd="sng">
              <a:solidFill>
                <a:schemeClr val="accent1">
                  <a:shade val="88000"/>
                  <a:satMod val="110000"/>
                </a:schemeClr>
              </a:solidFill>
              <a:prstDash val="solid"/>
            </a:ln>
            <a:solidFill>
              <a:schemeClr val="accent1">
                <a:lumMod val="20000"/>
                <a:lumOff val="8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346825</xdr:colOff>
      <xdr:row>46</xdr:row>
      <xdr:rowOff>21405</xdr:rowOff>
    </xdr:from>
    <xdr:to>
      <xdr:col>6</xdr:col>
      <xdr:colOff>710701</xdr:colOff>
      <xdr:row>53</xdr:row>
      <xdr:rowOff>149832</xdr:rowOff>
    </xdr:to>
    <xdr:sp macro="" textlink="">
      <xdr:nvSpPr>
        <xdr:cNvPr id="4" name="Right Brace 3">
          <a:extLst>
            <a:ext uri="{FF2B5EF4-FFF2-40B4-BE49-F238E27FC236}">
              <a16:creationId xmlns:a16="http://schemas.microsoft.com/office/drawing/2014/main" id="{5219DB70-AB4A-4E81-9E5D-BF2AD3A0DD47}"/>
            </a:ext>
          </a:extLst>
        </xdr:cNvPr>
        <xdr:cNvSpPr/>
      </xdr:nvSpPr>
      <xdr:spPr>
        <a:xfrm>
          <a:off x="7630703" y="8690225"/>
          <a:ext cx="363876" cy="1252163"/>
        </a:xfrm>
        <a:prstGeom prst="rightBrace">
          <a:avLst>
            <a:gd name="adj1" fmla="val 40686"/>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6</xdr:col>
      <xdr:colOff>764212</xdr:colOff>
      <xdr:row>49</xdr:row>
      <xdr:rowOff>42809</xdr:rowOff>
    </xdr:from>
    <xdr:to>
      <xdr:col>8</xdr:col>
      <xdr:colOff>492309</xdr:colOff>
      <xdr:row>51</xdr:row>
      <xdr:rowOff>0</xdr:rowOff>
    </xdr:to>
    <xdr:sp macro="" textlink="">
      <xdr:nvSpPr>
        <xdr:cNvPr id="5" name="TextBox 4">
          <a:extLst>
            <a:ext uri="{FF2B5EF4-FFF2-40B4-BE49-F238E27FC236}">
              <a16:creationId xmlns:a16="http://schemas.microsoft.com/office/drawing/2014/main" id="{38A8299B-C1F3-4C49-B0AD-34B2DB7748F9}"/>
            </a:ext>
          </a:extLst>
        </xdr:cNvPr>
        <xdr:cNvSpPr txBox="1"/>
      </xdr:nvSpPr>
      <xdr:spPr>
        <a:xfrm>
          <a:off x="8048090" y="9193230"/>
          <a:ext cx="1412697" cy="27825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accent1">
                  <a:lumMod val="50000"/>
                </a:schemeClr>
              </a:solidFill>
            </a:rPr>
            <a:t>Overhead and Profit</a:t>
          </a:r>
        </a:p>
      </xdr:txBody>
    </xdr:sp>
    <xdr:clientData/>
  </xdr:twoCellAnchor>
  <xdr:twoCellAnchor>
    <xdr:from>
      <xdr:col>6</xdr:col>
      <xdr:colOff>785616</xdr:colOff>
      <xdr:row>39</xdr:row>
      <xdr:rowOff>117724</xdr:rowOff>
    </xdr:from>
    <xdr:to>
      <xdr:col>8</xdr:col>
      <xdr:colOff>513713</xdr:colOff>
      <xdr:row>41</xdr:row>
      <xdr:rowOff>74916</xdr:rowOff>
    </xdr:to>
    <xdr:sp macro="" textlink="">
      <xdr:nvSpPr>
        <xdr:cNvPr id="6" name="TextBox 5">
          <a:extLst>
            <a:ext uri="{FF2B5EF4-FFF2-40B4-BE49-F238E27FC236}">
              <a16:creationId xmlns:a16="http://schemas.microsoft.com/office/drawing/2014/main" id="{101CC1D7-4659-45CC-AB45-98DD6FF8DCA9}"/>
            </a:ext>
          </a:extLst>
        </xdr:cNvPr>
        <xdr:cNvSpPr txBox="1"/>
      </xdr:nvSpPr>
      <xdr:spPr>
        <a:xfrm>
          <a:off x="8069494" y="7641404"/>
          <a:ext cx="1412697" cy="27825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accent1">
                  <a:lumMod val="50000"/>
                </a:schemeClr>
              </a:solidFill>
            </a:rPr>
            <a:t>Soft Costs</a:t>
          </a:r>
        </a:p>
      </xdr:txBody>
    </xdr:sp>
    <xdr:clientData/>
  </xdr:twoCellAnchor>
  <xdr:oneCellAnchor>
    <xdr:from>
      <xdr:col>3</xdr:col>
      <xdr:colOff>1413787</xdr:colOff>
      <xdr:row>39</xdr:row>
      <xdr:rowOff>84266</xdr:rowOff>
    </xdr:from>
    <xdr:ext cx="1592104" cy="374141"/>
    <xdr:sp macro="" textlink="">
      <xdr:nvSpPr>
        <xdr:cNvPr id="7" name="Rectangle 6">
          <a:extLst>
            <a:ext uri="{FF2B5EF4-FFF2-40B4-BE49-F238E27FC236}">
              <a16:creationId xmlns:a16="http://schemas.microsoft.com/office/drawing/2014/main" id="{09585A52-8CF0-4C3F-BBEE-2EC917CA6CC7}"/>
            </a:ext>
          </a:extLst>
        </xdr:cNvPr>
        <xdr:cNvSpPr/>
      </xdr:nvSpPr>
      <xdr:spPr>
        <a:xfrm rot="19783970">
          <a:off x="3715662" y="7934454"/>
          <a:ext cx="1592104" cy="374141"/>
        </a:xfrm>
        <a:prstGeom prst="rect">
          <a:avLst/>
        </a:prstGeom>
        <a:noFill/>
      </xdr:spPr>
      <xdr:txBody>
        <a:bodyPr wrap="none" lIns="91440" tIns="45720" rIns="91440" bIns="45720">
          <a:spAutoFit/>
        </a:bodyPr>
        <a:lstStyle/>
        <a:p>
          <a:pPr algn="ctr"/>
          <a:r>
            <a:rPr lang="en-US"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Examples Only</a:t>
          </a:r>
        </a:p>
      </xdr:txBody>
    </xdr:sp>
    <xdr:clientData/>
  </xdr:oneCellAnchor>
  <xdr:twoCellAnchor>
    <xdr:from>
      <xdr:col>6</xdr:col>
      <xdr:colOff>342900</xdr:colOff>
      <xdr:row>36</xdr:row>
      <xdr:rowOff>114300</xdr:rowOff>
    </xdr:from>
    <xdr:to>
      <xdr:col>6</xdr:col>
      <xdr:colOff>706776</xdr:colOff>
      <xdr:row>44</xdr:row>
      <xdr:rowOff>80802</xdr:rowOff>
    </xdr:to>
    <xdr:sp macro="" textlink="">
      <xdr:nvSpPr>
        <xdr:cNvPr id="8" name="Right Brace 7">
          <a:extLst>
            <a:ext uri="{FF2B5EF4-FFF2-40B4-BE49-F238E27FC236}">
              <a16:creationId xmlns:a16="http://schemas.microsoft.com/office/drawing/2014/main" id="{871B17D5-B108-4339-A9A3-970065D41FF0}"/>
            </a:ext>
          </a:extLst>
        </xdr:cNvPr>
        <xdr:cNvSpPr/>
      </xdr:nvSpPr>
      <xdr:spPr>
        <a:xfrm>
          <a:off x="7515225" y="7115175"/>
          <a:ext cx="363876" cy="1261902"/>
        </a:xfrm>
        <a:prstGeom prst="rightBrace">
          <a:avLst>
            <a:gd name="adj1" fmla="val 40686"/>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9</xdr:col>
      <xdr:colOff>481601</xdr:colOff>
      <xdr:row>61</xdr:row>
      <xdr:rowOff>79269</xdr:rowOff>
    </xdr:from>
    <xdr:to>
      <xdr:col>12</xdr:col>
      <xdr:colOff>663539</xdr:colOff>
      <xdr:row>63</xdr:row>
      <xdr:rowOff>94283</xdr:rowOff>
    </xdr:to>
    <xdr:sp macro="" textlink="">
      <xdr:nvSpPr>
        <xdr:cNvPr id="9" name="TextBox 8">
          <a:extLst>
            <a:ext uri="{FF2B5EF4-FFF2-40B4-BE49-F238E27FC236}">
              <a16:creationId xmlns:a16="http://schemas.microsoft.com/office/drawing/2014/main" id="{7A9B2446-008B-43E3-AC26-440FB4F291CE}"/>
            </a:ext>
          </a:extLst>
        </xdr:cNvPr>
        <xdr:cNvSpPr txBox="1"/>
      </xdr:nvSpPr>
      <xdr:spPr>
        <a:xfrm>
          <a:off x="10188539" y="11226658"/>
          <a:ext cx="2761180" cy="406686"/>
        </a:xfrm>
        <a:prstGeom prst="rect">
          <a:avLst/>
        </a:prstGeom>
        <a:solidFill>
          <a:schemeClr val="lt1"/>
        </a:solidFill>
        <a:ln w="3810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a:t>Please</a:t>
          </a:r>
          <a:r>
            <a:rPr lang="en-US" sz="1400" baseline="0"/>
            <a:t> print on 11 x17 paper.</a:t>
          </a: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158750</xdr:colOff>
      <xdr:row>2</xdr:row>
      <xdr:rowOff>0</xdr:rowOff>
    </xdr:to>
    <xdr:pic>
      <xdr:nvPicPr>
        <xdr:cNvPr id="3073" name="bls-banner-logo" descr="U.S. Bureau of Labor Statistics">
          <a:extLst>
            <a:ext uri="{FF2B5EF4-FFF2-40B4-BE49-F238E27FC236}">
              <a16:creationId xmlns:a16="http://schemas.microsoft.com/office/drawing/2014/main" id="{FDF8C004-E4DD-4E07-809D-93BE0CAF6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6672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292100</xdr:colOff>
      <xdr:row>36</xdr:row>
      <xdr:rowOff>19050</xdr:rowOff>
    </xdr:from>
    <xdr:to>
      <xdr:col>10</xdr:col>
      <xdr:colOff>247650</xdr:colOff>
      <xdr:row>51</xdr:row>
      <xdr:rowOff>19050</xdr:rowOff>
    </xdr:to>
    <xdr:pic>
      <xdr:nvPicPr>
        <xdr:cNvPr id="3074" name="Picture 2" descr="http://data.bls.gov/PDQ/graphics/CUURA208SEHF%2CCUUSA208SEHF_7228_1245679194314.gif">
          <a:extLst>
            <a:ext uri="{FF2B5EF4-FFF2-40B4-BE49-F238E27FC236}">
              <a16:creationId xmlns:a16="http://schemas.microsoft.com/office/drawing/2014/main" id="{94D9EC9C-69F4-407C-964D-F8CEEF0E3D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100" y="6502400"/>
          <a:ext cx="594360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ls.gov/"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tabSelected="1" topLeftCell="H1" zoomScaleNormal="100" workbookViewId="0">
      <selection activeCell="W31" sqref="W31"/>
    </sheetView>
  </sheetViews>
  <sheetFormatPr defaultRowHeight="14"/>
  <cols>
    <col min="1" max="1" width="16.08203125" style="184" customWidth="1"/>
    <col min="2" max="2" width="17.33203125" style="184" customWidth="1"/>
    <col min="3" max="3" width="17.75" style="184" customWidth="1"/>
    <col min="4" max="4" width="18.83203125" style="402" bestFit="1" customWidth="1"/>
    <col min="5" max="5" width="18.83203125" style="402" customWidth="1"/>
    <col min="6" max="6" width="13.08203125" style="402" customWidth="1"/>
    <col min="7" max="7" width="10.58203125" style="402" customWidth="1"/>
    <col min="8" max="8" width="12" style="402" customWidth="1"/>
    <col min="9" max="13" width="10.08203125" style="184" customWidth="1"/>
    <col min="14" max="14" width="10.83203125" style="184" customWidth="1"/>
    <col min="15" max="15" width="9" style="184" customWidth="1"/>
    <col min="16" max="18" width="0" style="184" hidden="1" customWidth="1"/>
    <col min="19" max="19" width="9" style="184" customWidth="1"/>
    <col min="20" max="20" width="9.25" style="184" hidden="1" customWidth="1"/>
    <col min="21" max="21" width="9.5" style="184" hidden="1" customWidth="1"/>
    <col min="22" max="22" width="0" style="184" hidden="1" customWidth="1"/>
    <col min="23" max="23" width="13" customWidth="1"/>
    <col min="24" max="24" width="0" hidden="1" customWidth="1"/>
    <col min="25" max="25" width="0" style="184" hidden="1" customWidth="1"/>
  </cols>
  <sheetData>
    <row r="1" spans="1:27" ht="28.5" customHeight="1">
      <c r="A1" s="455" t="s">
        <v>320</v>
      </c>
      <c r="B1" s="455"/>
      <c r="C1" s="455"/>
      <c r="D1" s="455"/>
      <c r="E1" s="455"/>
      <c r="F1" s="455"/>
      <c r="G1" s="455"/>
      <c r="H1" s="455"/>
      <c r="I1" s="455"/>
      <c r="J1" s="455"/>
      <c r="K1" s="455"/>
      <c r="L1" s="455"/>
      <c r="M1" s="455"/>
      <c r="N1" s="455"/>
      <c r="O1" s="455"/>
      <c r="P1" s="455"/>
      <c r="Q1" s="455"/>
      <c r="R1" s="455"/>
      <c r="S1" s="455"/>
      <c r="T1" s="455"/>
      <c r="U1" s="455"/>
      <c r="V1" s="455"/>
      <c r="W1" s="455"/>
    </row>
    <row r="2" spans="1:27" ht="28.5" customHeight="1">
      <c r="A2" s="436" t="s">
        <v>323</v>
      </c>
      <c r="B2" s="187" t="s">
        <v>369</v>
      </c>
      <c r="C2" s="449"/>
      <c r="D2" s="436"/>
      <c r="E2" s="436"/>
      <c r="F2" s="459" t="s">
        <v>370</v>
      </c>
      <c r="G2" s="460"/>
      <c r="H2" s="460"/>
      <c r="I2" s="461"/>
      <c r="J2" s="459" t="s">
        <v>371</v>
      </c>
      <c r="K2" s="460"/>
      <c r="L2" s="460"/>
      <c r="M2" s="461"/>
      <c r="N2" s="436"/>
      <c r="O2" s="436"/>
      <c r="P2" s="436"/>
      <c r="Q2" s="436"/>
      <c r="R2" s="436"/>
      <c r="S2" s="436"/>
      <c r="T2" s="436"/>
      <c r="U2" s="436"/>
      <c r="V2" s="436"/>
      <c r="W2" s="436"/>
    </row>
    <row r="3" spans="1:27" s="206" customFormat="1" ht="42">
      <c r="A3" s="403" t="s">
        <v>294</v>
      </c>
      <c r="B3" s="403" t="s">
        <v>295</v>
      </c>
      <c r="C3" s="206" t="s">
        <v>296</v>
      </c>
      <c r="D3" s="206" t="s">
        <v>297</v>
      </c>
      <c r="E3" s="410" t="s">
        <v>321</v>
      </c>
      <c r="F3" s="456" t="s">
        <v>367</v>
      </c>
      <c r="G3" s="457"/>
      <c r="H3" s="457"/>
      <c r="I3" s="458"/>
      <c r="J3" s="456" t="s">
        <v>368</v>
      </c>
      <c r="K3" s="457"/>
      <c r="L3" s="457"/>
      <c r="M3" s="458"/>
      <c r="N3" s="403" t="s">
        <v>298</v>
      </c>
      <c r="O3" s="409" t="s">
        <v>325</v>
      </c>
      <c r="P3" s="403" t="s">
        <v>299</v>
      </c>
      <c r="Q3" s="403" t="s">
        <v>300</v>
      </c>
      <c r="R3" s="403" t="s">
        <v>301</v>
      </c>
      <c r="S3" s="403" t="s">
        <v>302</v>
      </c>
      <c r="T3" s="403" t="s">
        <v>303</v>
      </c>
      <c r="U3" s="403" t="s">
        <v>304</v>
      </c>
      <c r="W3" s="409" t="s">
        <v>305</v>
      </c>
      <c r="X3" s="206" t="s">
        <v>306</v>
      </c>
      <c r="Y3" s="403" t="s">
        <v>307</v>
      </c>
    </row>
    <row r="4" spans="1:27" s="206" customFormat="1" ht="25.5" thickBot="1">
      <c r="A4" s="453" t="s">
        <v>319</v>
      </c>
      <c r="B4" s="453"/>
      <c r="C4" s="454" t="s">
        <v>318</v>
      </c>
      <c r="D4" s="453"/>
      <c r="E4" s="435" t="s">
        <v>322</v>
      </c>
      <c r="F4" s="15" t="s">
        <v>78</v>
      </c>
      <c r="G4" s="435" t="s">
        <v>328</v>
      </c>
      <c r="H4" s="435" t="s">
        <v>329</v>
      </c>
      <c r="I4" s="450" t="s">
        <v>330</v>
      </c>
      <c r="J4" s="15" t="s">
        <v>78</v>
      </c>
      <c r="K4" s="435" t="s">
        <v>328</v>
      </c>
      <c r="L4" s="435" t="s">
        <v>329</v>
      </c>
      <c r="M4" s="450" t="s">
        <v>330</v>
      </c>
      <c r="N4" s="431"/>
      <c r="O4" s="435" t="s">
        <v>311</v>
      </c>
      <c r="P4" s="431"/>
      <c r="Q4" s="431"/>
      <c r="R4" s="431"/>
      <c r="S4" s="431"/>
      <c r="T4" s="431"/>
      <c r="U4" s="431"/>
      <c r="V4" s="432"/>
      <c r="W4" s="433" t="s">
        <v>312</v>
      </c>
      <c r="Y4" s="403"/>
      <c r="AA4" s="411"/>
    </row>
    <row r="5" spans="1:27" s="206" customFormat="1" ht="15.5">
      <c r="A5" s="29"/>
      <c r="B5" s="29"/>
      <c r="C5" s="11"/>
      <c r="D5" s="29"/>
      <c r="E5" s="439"/>
      <c r="F5" s="29"/>
      <c r="G5" s="29"/>
      <c r="H5" s="29"/>
      <c r="I5" s="439"/>
      <c r="J5" s="29"/>
      <c r="K5" s="29"/>
      <c r="L5" s="29"/>
      <c r="M5" s="29"/>
      <c r="N5" s="437"/>
      <c r="O5" s="29"/>
      <c r="P5" s="438"/>
      <c r="Q5" s="438"/>
      <c r="R5" s="438"/>
      <c r="S5" s="438"/>
      <c r="T5" s="438"/>
      <c r="U5" s="438"/>
      <c r="V5" s="205"/>
      <c r="W5" s="434"/>
      <c r="Y5" s="403"/>
      <c r="AA5" s="411"/>
    </row>
    <row r="6" spans="1:27">
      <c r="A6" s="404" t="s">
        <v>347</v>
      </c>
      <c r="B6" s="404" t="s">
        <v>350</v>
      </c>
      <c r="C6" s="416" t="s">
        <v>347</v>
      </c>
      <c r="D6" s="417" t="s">
        <v>356</v>
      </c>
      <c r="E6" s="440" t="s">
        <v>60</v>
      </c>
      <c r="F6" s="428" t="s">
        <v>60</v>
      </c>
      <c r="G6" s="428" t="s">
        <v>59</v>
      </c>
      <c r="H6" s="428" t="s">
        <v>60</v>
      </c>
      <c r="I6" s="440" t="s">
        <v>59</v>
      </c>
      <c r="J6" s="428" t="s">
        <v>60</v>
      </c>
      <c r="K6" s="428" t="s">
        <v>59</v>
      </c>
      <c r="L6" s="428" t="s">
        <v>60</v>
      </c>
      <c r="M6" s="428" t="s">
        <v>59</v>
      </c>
      <c r="N6" s="416" t="s">
        <v>308</v>
      </c>
      <c r="O6" s="404" t="s">
        <v>309</v>
      </c>
      <c r="P6" s="404">
        <v>1953</v>
      </c>
      <c r="Q6" s="404">
        <v>8</v>
      </c>
      <c r="R6" s="405">
        <v>369676</v>
      </c>
      <c r="S6" s="404">
        <v>411</v>
      </c>
      <c r="T6" s="404"/>
      <c r="U6" s="404">
        <v>37</v>
      </c>
      <c r="W6" s="425"/>
      <c r="X6" s="184">
        <v>2</v>
      </c>
      <c r="Y6" s="184">
        <v>411</v>
      </c>
    </row>
    <row r="7" spans="1:27" s="178" customFormat="1" ht="14.5" thickBot="1">
      <c r="A7" s="222"/>
      <c r="B7" s="222"/>
      <c r="C7" s="418"/>
      <c r="D7" s="419"/>
      <c r="E7" s="451"/>
      <c r="F7" s="452"/>
      <c r="G7" s="452"/>
      <c r="H7" s="452"/>
      <c r="I7" s="451"/>
      <c r="J7" s="452"/>
      <c r="K7" s="452"/>
      <c r="L7" s="452"/>
      <c r="M7" s="452"/>
      <c r="N7" s="418"/>
      <c r="O7" s="222"/>
      <c r="P7" s="222"/>
      <c r="Q7" s="222"/>
      <c r="R7" s="223"/>
      <c r="S7" s="414">
        <f>SUM(S5:S6)</f>
        <v>411</v>
      </c>
      <c r="T7" s="222"/>
      <c r="U7" s="222"/>
      <c r="V7" s="222"/>
      <c r="X7" s="222"/>
      <c r="Y7" s="222"/>
      <c r="Z7" s="177" t="s">
        <v>324</v>
      </c>
    </row>
    <row r="8" spans="1:27" s="178" customFormat="1" ht="14.5" thickTop="1">
      <c r="A8" s="222"/>
      <c r="B8" s="222"/>
      <c r="C8" s="418"/>
      <c r="D8" s="419"/>
      <c r="E8" s="441"/>
      <c r="F8" s="429"/>
      <c r="G8" s="429"/>
      <c r="H8" s="429"/>
      <c r="I8" s="441"/>
      <c r="J8" s="429"/>
      <c r="K8" s="429"/>
      <c r="L8" s="429"/>
      <c r="M8" s="429"/>
      <c r="N8" s="418"/>
      <c r="O8" s="222"/>
      <c r="P8" s="222"/>
      <c r="Q8" s="222"/>
      <c r="R8" s="223"/>
      <c r="S8" s="222"/>
      <c r="T8" s="222"/>
      <c r="U8" s="222"/>
      <c r="V8" s="222"/>
      <c r="X8" s="222"/>
      <c r="Y8" s="222"/>
    </row>
    <row r="9" spans="1:27">
      <c r="A9" s="404" t="s">
        <v>348</v>
      </c>
      <c r="B9" s="404" t="s">
        <v>337</v>
      </c>
      <c r="C9" s="416" t="s">
        <v>348</v>
      </c>
      <c r="D9" s="417" t="s">
        <v>357</v>
      </c>
      <c r="E9" s="440" t="s">
        <v>60</v>
      </c>
      <c r="F9" s="428" t="s">
        <v>60</v>
      </c>
      <c r="G9" s="428" t="s">
        <v>60</v>
      </c>
      <c r="H9" s="428" t="s">
        <v>60</v>
      </c>
      <c r="I9" s="440" t="s">
        <v>60</v>
      </c>
      <c r="J9" s="428" t="s">
        <v>60</v>
      </c>
      <c r="K9" s="428" t="s">
        <v>60</v>
      </c>
      <c r="L9" s="428" t="s">
        <v>60</v>
      </c>
      <c r="M9" s="428" t="s">
        <v>60</v>
      </c>
      <c r="N9" s="416" t="s">
        <v>308</v>
      </c>
      <c r="O9" s="412" t="s">
        <v>313</v>
      </c>
      <c r="P9" s="404">
        <v>1967</v>
      </c>
      <c r="Q9" s="404">
        <v>8</v>
      </c>
      <c r="R9" s="405">
        <v>207008</v>
      </c>
      <c r="S9" s="404">
        <v>299</v>
      </c>
      <c r="T9" s="404">
        <v>97</v>
      </c>
      <c r="U9" s="404">
        <v>202</v>
      </c>
      <c r="V9" s="404"/>
      <c r="W9" s="425"/>
      <c r="X9" s="184">
        <v>2</v>
      </c>
    </row>
    <row r="10" spans="1:27">
      <c r="A10" s="406" t="s">
        <v>348</v>
      </c>
      <c r="B10" s="406" t="s">
        <v>337</v>
      </c>
      <c r="C10" s="420" t="s">
        <v>349</v>
      </c>
      <c r="D10" s="421" t="s">
        <v>358</v>
      </c>
      <c r="E10" s="442" t="s">
        <v>59</v>
      </c>
      <c r="F10" s="430" t="s">
        <v>59</v>
      </c>
      <c r="G10" s="430" t="s">
        <v>59</v>
      </c>
      <c r="H10" s="430" t="s">
        <v>59</v>
      </c>
      <c r="I10" s="442" t="s">
        <v>59</v>
      </c>
      <c r="J10" s="430" t="s">
        <v>59</v>
      </c>
      <c r="K10" s="430" t="s">
        <v>59</v>
      </c>
      <c r="L10" s="430" t="s">
        <v>59</v>
      </c>
      <c r="M10" s="430" t="s">
        <v>59</v>
      </c>
      <c r="N10" s="423" t="s">
        <v>315</v>
      </c>
      <c r="O10" s="413" t="s">
        <v>313</v>
      </c>
      <c r="P10" s="406">
        <v>1967</v>
      </c>
      <c r="Q10" s="406">
        <v>2</v>
      </c>
      <c r="R10" s="407">
        <v>21828</v>
      </c>
      <c r="S10" s="406">
        <f>S32+S14+S19+S22+S23</f>
        <v>681</v>
      </c>
      <c r="T10" s="406"/>
      <c r="U10" s="406">
        <v>32</v>
      </c>
      <c r="W10" s="426"/>
      <c r="X10" s="184">
        <v>1</v>
      </c>
      <c r="Y10" s="246"/>
    </row>
    <row r="11" spans="1:27" ht="14.5" thickBot="1">
      <c r="A11" s="222"/>
      <c r="B11" s="222"/>
      <c r="C11" s="418"/>
      <c r="D11" s="419"/>
      <c r="E11" s="441"/>
      <c r="F11" s="429"/>
      <c r="G11" s="429"/>
      <c r="H11" s="429"/>
      <c r="I11" s="441"/>
      <c r="J11" s="429"/>
      <c r="K11" s="429"/>
      <c r="L11" s="429"/>
      <c r="M11" s="429"/>
      <c r="N11" s="418"/>
      <c r="O11" s="222"/>
      <c r="P11" s="222"/>
      <c r="Q11" s="222"/>
      <c r="R11" s="223"/>
      <c r="S11" s="414">
        <f>SUM(S9:S10)</f>
        <v>980</v>
      </c>
      <c r="T11" s="406"/>
      <c r="U11" s="406"/>
      <c r="X11" s="184"/>
      <c r="Y11" s="206">
        <v>331</v>
      </c>
      <c r="Z11" s="177" t="s">
        <v>324</v>
      </c>
    </row>
    <row r="12" spans="1:27" ht="14.5" thickTop="1">
      <c r="C12" s="256"/>
      <c r="D12" s="422"/>
      <c r="E12" s="443"/>
      <c r="F12" s="192"/>
      <c r="G12" s="192"/>
      <c r="H12" s="192"/>
      <c r="I12" s="443"/>
      <c r="J12" s="192"/>
      <c r="K12" s="192"/>
      <c r="L12" s="192"/>
      <c r="M12" s="192"/>
      <c r="N12" s="256"/>
      <c r="R12" s="225"/>
      <c r="X12" s="184"/>
    </row>
    <row r="13" spans="1:27">
      <c r="A13" s="404" t="s">
        <v>339</v>
      </c>
      <c r="B13" s="404" t="s">
        <v>351</v>
      </c>
      <c r="C13" s="416" t="s">
        <v>339</v>
      </c>
      <c r="D13" s="417" t="s">
        <v>359</v>
      </c>
      <c r="E13" s="440" t="s">
        <v>60</v>
      </c>
      <c r="F13" s="428" t="s">
        <v>60</v>
      </c>
      <c r="G13" s="428" t="s">
        <v>60</v>
      </c>
      <c r="H13" s="428" t="s">
        <v>60</v>
      </c>
      <c r="I13" s="440" t="s">
        <v>60</v>
      </c>
      <c r="J13" s="428" t="s">
        <v>60</v>
      </c>
      <c r="K13" s="428" t="s">
        <v>60</v>
      </c>
      <c r="L13" s="428" t="s">
        <v>60</v>
      </c>
      <c r="M13" s="428" t="s">
        <v>60</v>
      </c>
      <c r="N13" s="416" t="s">
        <v>308</v>
      </c>
      <c r="O13" s="404" t="s">
        <v>309</v>
      </c>
      <c r="P13" s="404">
        <v>1964</v>
      </c>
      <c r="Q13" s="404">
        <v>12</v>
      </c>
      <c r="R13" s="405">
        <v>241370</v>
      </c>
      <c r="S13" s="404">
        <v>278</v>
      </c>
      <c r="T13" s="404"/>
      <c r="U13" s="404">
        <v>67</v>
      </c>
      <c r="W13" s="425"/>
      <c r="X13" s="184">
        <v>2</v>
      </c>
    </row>
    <row r="14" spans="1:27">
      <c r="A14" s="406" t="s">
        <v>339</v>
      </c>
      <c r="B14" s="406" t="s">
        <v>352</v>
      </c>
      <c r="C14" s="420" t="s">
        <v>340</v>
      </c>
      <c r="D14" s="421" t="s">
        <v>360</v>
      </c>
      <c r="E14" s="442" t="s">
        <v>60</v>
      </c>
      <c r="F14" s="430" t="s">
        <v>60</v>
      </c>
      <c r="G14" s="430" t="s">
        <v>59</v>
      </c>
      <c r="H14" s="430" t="s">
        <v>59</v>
      </c>
      <c r="I14" s="442" t="s">
        <v>60</v>
      </c>
      <c r="J14" s="430" t="s">
        <v>60</v>
      </c>
      <c r="K14" s="430" t="s">
        <v>59</v>
      </c>
      <c r="L14" s="430" t="s">
        <v>59</v>
      </c>
      <c r="M14" s="430" t="s">
        <v>60</v>
      </c>
      <c r="N14" s="423" t="s">
        <v>316</v>
      </c>
      <c r="O14" s="413" t="s">
        <v>313</v>
      </c>
      <c r="P14" s="406">
        <v>1948</v>
      </c>
      <c r="Q14" s="406">
        <v>4</v>
      </c>
      <c r="R14" s="407">
        <v>230411</v>
      </c>
      <c r="S14" s="406">
        <v>256</v>
      </c>
      <c r="T14" s="406">
        <v>4</v>
      </c>
      <c r="U14" s="406">
        <v>114</v>
      </c>
      <c r="V14" s="406"/>
      <c r="W14" s="426"/>
      <c r="X14" s="184">
        <v>2</v>
      </c>
    </row>
    <row r="15" spans="1:27" s="178" customFormat="1" ht="14.5" thickBot="1">
      <c r="A15" s="222"/>
      <c r="B15" s="222"/>
      <c r="C15" s="418"/>
      <c r="D15" s="419"/>
      <c r="E15" s="441"/>
      <c r="F15" s="429"/>
      <c r="G15" s="429"/>
      <c r="H15" s="429"/>
      <c r="I15" s="441"/>
      <c r="J15" s="429"/>
      <c r="K15" s="429"/>
      <c r="L15" s="429"/>
      <c r="M15" s="429"/>
      <c r="N15" s="418"/>
      <c r="O15" s="222"/>
      <c r="P15" s="222"/>
      <c r="Q15" s="222"/>
      <c r="R15" s="223"/>
      <c r="S15" s="414">
        <f>SUM(S13:S14)</f>
        <v>534</v>
      </c>
      <c r="T15" s="222"/>
      <c r="U15" s="222"/>
      <c r="V15" s="222"/>
      <c r="X15" s="222"/>
      <c r="Y15" s="222">
        <v>534</v>
      </c>
      <c r="Z15" s="177" t="s">
        <v>324</v>
      </c>
    </row>
    <row r="16" spans="1:27" ht="14.5" thickTop="1">
      <c r="C16" s="256"/>
      <c r="D16" s="422"/>
      <c r="E16" s="443"/>
      <c r="F16" s="192"/>
      <c r="G16" s="192"/>
      <c r="H16" s="192"/>
      <c r="I16" s="443"/>
      <c r="J16" s="192"/>
      <c r="K16" s="192"/>
      <c r="L16" s="192"/>
      <c r="M16" s="192"/>
      <c r="N16" s="256"/>
      <c r="R16" s="225"/>
      <c r="X16" s="184"/>
    </row>
    <row r="17" spans="1:26">
      <c r="A17" s="404" t="s">
        <v>341</v>
      </c>
      <c r="B17" s="404" t="s">
        <v>353</v>
      </c>
      <c r="C17" s="416" t="s">
        <v>342</v>
      </c>
      <c r="D17" s="417" t="s">
        <v>361</v>
      </c>
      <c r="E17" s="440" t="s">
        <v>60</v>
      </c>
      <c r="F17" s="428" t="s">
        <v>60</v>
      </c>
      <c r="G17" s="428" t="s">
        <v>60</v>
      </c>
      <c r="H17" s="428" t="s">
        <v>60</v>
      </c>
      <c r="I17" s="440" t="s">
        <v>60</v>
      </c>
      <c r="J17" s="428" t="s">
        <v>60</v>
      </c>
      <c r="K17" s="428" t="s">
        <v>60</v>
      </c>
      <c r="L17" s="428" t="s">
        <v>60</v>
      </c>
      <c r="M17" s="428" t="s">
        <v>60</v>
      </c>
      <c r="N17" s="424" t="s">
        <v>316</v>
      </c>
      <c r="O17" s="412" t="s">
        <v>313</v>
      </c>
      <c r="P17" s="404">
        <v>1967</v>
      </c>
      <c r="Q17" s="404">
        <v>3</v>
      </c>
      <c r="R17" s="405">
        <v>185700</v>
      </c>
      <c r="S17" s="404">
        <v>186</v>
      </c>
      <c r="T17" s="404"/>
      <c r="U17" s="404">
        <v>186</v>
      </c>
      <c r="V17" s="404"/>
      <c r="W17" s="425"/>
      <c r="X17" s="184">
        <v>2</v>
      </c>
    </row>
    <row r="18" spans="1:26">
      <c r="A18" s="406" t="s">
        <v>341</v>
      </c>
      <c r="B18" s="406" t="s">
        <v>353</v>
      </c>
      <c r="C18" s="420" t="s">
        <v>343</v>
      </c>
      <c r="D18" s="421" t="s">
        <v>362</v>
      </c>
      <c r="E18" s="442" t="s">
        <v>59</v>
      </c>
      <c r="F18" s="430" t="s">
        <v>59</v>
      </c>
      <c r="G18" s="430" t="s">
        <v>59</v>
      </c>
      <c r="H18" s="430" t="s">
        <v>59</v>
      </c>
      <c r="I18" s="442" t="s">
        <v>59</v>
      </c>
      <c r="J18" s="430" t="s">
        <v>59</v>
      </c>
      <c r="K18" s="430" t="s">
        <v>59</v>
      </c>
      <c r="L18" s="430" t="s">
        <v>59</v>
      </c>
      <c r="M18" s="430" t="s">
        <v>59</v>
      </c>
      <c r="N18" s="423" t="s">
        <v>317</v>
      </c>
      <c r="O18" s="413" t="s">
        <v>313</v>
      </c>
      <c r="P18" s="406">
        <v>1988</v>
      </c>
      <c r="Q18" s="406">
        <v>3</v>
      </c>
      <c r="R18" s="407">
        <v>66500</v>
      </c>
      <c r="S18" s="406">
        <v>45</v>
      </c>
      <c r="T18" s="406"/>
      <c r="U18" s="406">
        <v>45</v>
      </c>
      <c r="W18" s="426"/>
      <c r="X18" s="184">
        <v>1</v>
      </c>
    </row>
    <row r="19" spans="1:26" s="178" customFormat="1" ht="14.5" thickBot="1">
      <c r="A19" s="222"/>
      <c r="B19" s="222"/>
      <c r="C19" s="418"/>
      <c r="D19" s="419"/>
      <c r="E19" s="441"/>
      <c r="F19" s="429"/>
      <c r="G19" s="429"/>
      <c r="H19" s="429"/>
      <c r="I19" s="441"/>
      <c r="J19" s="429"/>
      <c r="K19" s="429"/>
      <c r="L19" s="429"/>
      <c r="M19" s="429"/>
      <c r="N19" s="418"/>
      <c r="O19" s="222"/>
      <c r="P19" s="222"/>
      <c r="Q19" s="222"/>
      <c r="R19" s="223"/>
      <c r="S19" s="414">
        <f>SUM(S17:S18)</f>
        <v>231</v>
      </c>
      <c r="T19" s="222"/>
      <c r="U19" s="222"/>
      <c r="V19" s="222"/>
      <c r="X19" s="222"/>
      <c r="Y19" s="222">
        <v>231</v>
      </c>
      <c r="Z19" s="177" t="s">
        <v>324</v>
      </c>
    </row>
    <row r="20" spans="1:26" s="178" customFormat="1" ht="14.5" thickTop="1">
      <c r="A20" s="222"/>
      <c r="B20" s="222"/>
      <c r="C20" s="418"/>
      <c r="D20" s="419"/>
      <c r="E20" s="441"/>
      <c r="F20" s="429"/>
      <c r="G20" s="429"/>
      <c r="H20" s="429"/>
      <c r="I20" s="441"/>
      <c r="J20" s="429"/>
      <c r="K20" s="429"/>
      <c r="L20" s="429"/>
      <c r="M20" s="429"/>
      <c r="N20" s="418"/>
      <c r="O20" s="222"/>
      <c r="P20" s="222"/>
      <c r="Q20" s="222"/>
      <c r="R20" s="223"/>
      <c r="S20" s="222"/>
      <c r="T20" s="222"/>
      <c r="U20" s="222"/>
      <c r="V20" s="222"/>
      <c r="X20" s="222"/>
      <c r="Y20" s="222"/>
    </row>
    <row r="21" spans="1:26">
      <c r="A21" s="404" t="s">
        <v>344</v>
      </c>
      <c r="B21" s="404" t="s">
        <v>354</v>
      </c>
      <c r="C21" s="416" t="s">
        <v>345</v>
      </c>
      <c r="D21" s="417" t="s">
        <v>363</v>
      </c>
      <c r="E21" s="440" t="s">
        <v>60</v>
      </c>
      <c r="F21" s="428" t="s">
        <v>60</v>
      </c>
      <c r="G21" s="428" t="s">
        <v>60</v>
      </c>
      <c r="H21" s="428" t="s">
        <v>60</v>
      </c>
      <c r="I21" s="440" t="s">
        <v>60</v>
      </c>
      <c r="J21" s="428" t="s">
        <v>60</v>
      </c>
      <c r="K21" s="428" t="s">
        <v>60</v>
      </c>
      <c r="L21" s="428" t="s">
        <v>60</v>
      </c>
      <c r="M21" s="428" t="s">
        <v>60</v>
      </c>
      <c r="N21" s="424" t="s">
        <v>315</v>
      </c>
      <c r="O21" s="404" t="s">
        <v>309</v>
      </c>
      <c r="P21" s="404">
        <v>1962</v>
      </c>
      <c r="Q21" s="404">
        <v>2</v>
      </c>
      <c r="R21" s="405">
        <v>163188</v>
      </c>
      <c r="S21" s="404">
        <v>80</v>
      </c>
      <c r="T21" s="404"/>
      <c r="U21" s="404">
        <v>80</v>
      </c>
      <c r="V21" s="404"/>
      <c r="W21" s="425"/>
      <c r="X21" s="184">
        <v>1</v>
      </c>
    </row>
    <row r="22" spans="1:26">
      <c r="A22" s="406" t="s">
        <v>344</v>
      </c>
      <c r="B22" s="406" t="s">
        <v>355</v>
      </c>
      <c r="C22" s="420" t="s">
        <v>344</v>
      </c>
      <c r="D22" s="421" t="s">
        <v>364</v>
      </c>
      <c r="E22" s="442" t="s">
        <v>59</v>
      </c>
      <c r="F22" s="430" t="s">
        <v>59</v>
      </c>
      <c r="G22" s="430" t="s">
        <v>59</v>
      </c>
      <c r="H22" s="430" t="s">
        <v>59</v>
      </c>
      <c r="I22" s="442" t="s">
        <v>59</v>
      </c>
      <c r="J22" s="430" t="s">
        <v>59</v>
      </c>
      <c r="K22" s="430" t="s">
        <v>59</v>
      </c>
      <c r="L22" s="430" t="s">
        <v>59</v>
      </c>
      <c r="M22" s="430" t="s">
        <v>59</v>
      </c>
      <c r="N22" s="420" t="s">
        <v>308</v>
      </c>
      <c r="O22" s="413" t="s">
        <v>313</v>
      </c>
      <c r="P22" s="406">
        <v>1971</v>
      </c>
      <c r="Q22" s="406">
        <v>7</v>
      </c>
      <c r="R22" s="407">
        <v>86590</v>
      </c>
      <c r="S22" s="406">
        <v>139</v>
      </c>
      <c r="T22" s="406">
        <v>81</v>
      </c>
      <c r="U22" s="406">
        <v>58</v>
      </c>
      <c r="V22" s="406"/>
      <c r="W22" s="426"/>
      <c r="X22" s="184">
        <v>2</v>
      </c>
    </row>
    <row r="23" spans="1:26">
      <c r="A23" s="406" t="s">
        <v>344</v>
      </c>
      <c r="B23" s="406" t="s">
        <v>355</v>
      </c>
      <c r="C23" s="406" t="s">
        <v>346</v>
      </c>
      <c r="D23" s="421" t="s">
        <v>365</v>
      </c>
      <c r="E23" s="442" t="s">
        <v>60</v>
      </c>
      <c r="F23" s="413" t="s">
        <v>60</v>
      </c>
      <c r="G23" s="413" t="s">
        <v>60</v>
      </c>
      <c r="H23" s="413" t="s">
        <v>60</v>
      </c>
      <c r="I23" s="442" t="s">
        <v>60</v>
      </c>
      <c r="J23" s="413" t="s">
        <v>60</v>
      </c>
      <c r="K23" s="413" t="s">
        <v>60</v>
      </c>
      <c r="L23" s="413" t="s">
        <v>60</v>
      </c>
      <c r="M23" s="413" t="s">
        <v>60</v>
      </c>
      <c r="N23" s="420" t="s">
        <v>308</v>
      </c>
      <c r="O23" s="413" t="s">
        <v>313</v>
      </c>
      <c r="P23" s="406">
        <v>1988</v>
      </c>
      <c r="Q23" s="406">
        <v>5</v>
      </c>
      <c r="R23" s="407">
        <v>44064</v>
      </c>
      <c r="S23" s="406">
        <v>55</v>
      </c>
      <c r="T23" s="406"/>
      <c r="U23" s="406">
        <v>55</v>
      </c>
      <c r="W23" s="426"/>
      <c r="X23" s="184">
        <v>1</v>
      </c>
    </row>
    <row r="24" spans="1:26" ht="14.5" thickBot="1">
      <c r="B24" s="222"/>
      <c r="R24" s="225"/>
      <c r="S24" s="214">
        <f>SUM(S21:S23)</f>
        <v>274</v>
      </c>
      <c r="X24" s="184"/>
      <c r="Y24" s="184">
        <v>274</v>
      </c>
      <c r="Z24" s="177" t="s">
        <v>324</v>
      </c>
    </row>
    <row r="25" spans="1:26" ht="15" thickTop="1" thickBot="1">
      <c r="B25" s="222"/>
      <c r="R25" s="225"/>
      <c r="X25" s="184"/>
    </row>
    <row r="26" spans="1:26" ht="14.5" thickBot="1">
      <c r="O26" s="224" t="s">
        <v>310</v>
      </c>
      <c r="R26" s="225">
        <v>1878981</v>
      </c>
      <c r="S26" s="427">
        <f>S7+S11+S15+S19+S24</f>
        <v>2430</v>
      </c>
      <c r="T26" s="184">
        <v>182</v>
      </c>
      <c r="U26" s="184">
        <v>892</v>
      </c>
      <c r="Z26" s="177" t="s">
        <v>324</v>
      </c>
    </row>
    <row r="27" spans="1:26">
      <c r="A27" s="184" t="s">
        <v>107</v>
      </c>
    </row>
    <row r="28" spans="1:26">
      <c r="B28" s="222"/>
      <c r="O28" s="412" t="s">
        <v>314</v>
      </c>
      <c r="P28" s="404"/>
      <c r="Q28" s="404"/>
      <c r="R28" s="404"/>
      <c r="S28" s="404">
        <f>S6+S13+S21</f>
        <v>769</v>
      </c>
    </row>
    <row r="29" spans="1:26">
      <c r="O29" s="413" t="s">
        <v>313</v>
      </c>
      <c r="P29" s="406"/>
      <c r="Q29" s="406"/>
      <c r="R29" s="406"/>
      <c r="S29" s="407">
        <f>S9+S10+S14+S17+S18+S22+S23</f>
        <v>1661</v>
      </c>
    </row>
    <row r="30" spans="1:26" ht="14.5" thickBot="1">
      <c r="O30" s="184" t="s">
        <v>373</v>
      </c>
      <c r="S30" s="408">
        <f>SUM(S28:S29)</f>
        <v>2430</v>
      </c>
    </row>
    <row r="31" spans="1:26" ht="14.5" thickTop="1"/>
  </sheetData>
  <mergeCells count="7">
    <mergeCell ref="A4:B4"/>
    <mergeCell ref="C4:D4"/>
    <mergeCell ref="A1:W1"/>
    <mergeCell ref="F3:I3"/>
    <mergeCell ref="J3:M3"/>
    <mergeCell ref="F2:I2"/>
    <mergeCell ref="J2:M2"/>
  </mergeCells>
  <pageMargins left="0" right="0" top="0.75" bottom="0.75" header="0.3" footer="0.3"/>
  <pageSetup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6"/>
  <sheetViews>
    <sheetView zoomScale="80" zoomScaleNormal="80" zoomScaleSheetLayoutView="100" zoomScalePageLayoutView="80" workbookViewId="0">
      <selection activeCell="M2" sqref="A1:R58"/>
    </sheetView>
  </sheetViews>
  <sheetFormatPr defaultColWidth="7.58203125" defaultRowHeight="12.5" outlineLevelCol="1"/>
  <cols>
    <col min="1" max="1" width="8.33203125" style="1" customWidth="1"/>
    <col min="2" max="2" width="7.58203125" style="1"/>
    <col min="3" max="3" width="14.25" style="1" customWidth="1"/>
    <col min="4" max="4" width="42.08203125" style="1" customWidth="1"/>
    <col min="5" max="5" width="11.08203125" style="1" customWidth="1"/>
    <col min="6" max="6" width="11.75" style="1" customWidth="1" outlineLevel="1"/>
    <col min="7" max="11" width="11.08203125" style="1" customWidth="1" outlineLevel="1"/>
    <col min="12" max="13" width="11.58203125" style="1" customWidth="1"/>
    <col min="14" max="14" width="7.58203125" style="1"/>
    <col min="15" max="15" width="9.75" style="1" customWidth="1"/>
    <col min="16" max="18" width="5.83203125" style="2" customWidth="1"/>
    <col min="19" max="20" width="4.58203125" style="1" customWidth="1"/>
    <col min="21" max="21" width="5.25" style="1" customWidth="1"/>
    <col min="22" max="22" width="9.83203125" style="1" hidden="1" customWidth="1"/>
    <col min="23" max="23" width="5.75" style="30" customWidth="1"/>
    <col min="24" max="24" width="16.58203125" style="30" customWidth="1"/>
    <col min="25" max="26" width="7.58203125" style="30"/>
    <col min="27" max="27" width="10" style="30" bestFit="1" customWidth="1"/>
    <col min="28" max="16384" width="7.58203125" style="30"/>
  </cols>
  <sheetData>
    <row r="1" spans="1:256" ht="25.5" customHeight="1">
      <c r="A1" s="462" t="s">
        <v>286</v>
      </c>
      <c r="B1" s="465" t="s">
        <v>287</v>
      </c>
      <c r="C1" s="468" t="s">
        <v>218</v>
      </c>
      <c r="D1" s="12" t="s">
        <v>13</v>
      </c>
      <c r="E1" s="471" t="s">
        <v>11</v>
      </c>
      <c r="F1" s="477" t="s">
        <v>1</v>
      </c>
      <c r="G1" s="478"/>
      <c r="H1" s="477" t="s">
        <v>2</v>
      </c>
      <c r="I1" s="491"/>
      <c r="J1" s="492" t="s">
        <v>17</v>
      </c>
      <c r="K1" s="493"/>
      <c r="L1" s="502" t="s">
        <v>8</v>
      </c>
      <c r="M1" s="503"/>
      <c r="N1" s="504"/>
      <c r="O1" s="13" t="s">
        <v>24</v>
      </c>
      <c r="P1" s="496" t="s">
        <v>220</v>
      </c>
      <c r="Q1" s="497"/>
      <c r="R1" s="497"/>
      <c r="S1" s="496" t="s">
        <v>23</v>
      </c>
      <c r="T1" s="497"/>
      <c r="U1" s="498"/>
      <c r="V1" s="480" t="s">
        <v>18</v>
      </c>
      <c r="X1" s="31" t="s">
        <v>67</v>
      </c>
      <c r="Z1" s="479" t="s">
        <v>68</v>
      </c>
      <c r="AA1" s="479"/>
    </row>
    <row r="2" spans="1:256" ht="14.25" customHeight="1">
      <c r="A2" s="463"/>
      <c r="B2" s="466"/>
      <c r="C2" s="469"/>
      <c r="D2" s="3"/>
      <c r="E2" s="472"/>
      <c r="F2" s="473" t="s">
        <v>8</v>
      </c>
      <c r="G2" s="474"/>
      <c r="H2" s="473" t="s">
        <v>8</v>
      </c>
      <c r="I2" s="474"/>
      <c r="J2" s="473" t="s">
        <v>8</v>
      </c>
      <c r="K2" s="474"/>
      <c r="L2" s="487" t="s">
        <v>162</v>
      </c>
      <c r="M2" s="505" t="s">
        <v>163</v>
      </c>
      <c r="N2" s="487" t="s">
        <v>7</v>
      </c>
      <c r="O2" s="10"/>
      <c r="P2" s="506" t="s">
        <v>179</v>
      </c>
      <c r="Q2" s="507"/>
      <c r="R2" s="508"/>
      <c r="S2" s="487" t="s">
        <v>225</v>
      </c>
      <c r="T2" s="488"/>
      <c r="U2" s="489"/>
      <c r="V2" s="481"/>
      <c r="Z2" s="479" t="s">
        <v>69</v>
      </c>
      <c r="AA2" s="479"/>
    </row>
    <row r="3" spans="1:256" ht="12.75" customHeight="1">
      <c r="A3" s="463"/>
      <c r="B3" s="466"/>
      <c r="C3" s="469"/>
      <c r="D3" s="14" t="s">
        <v>219</v>
      </c>
      <c r="E3" s="472"/>
      <c r="F3" s="469" t="s">
        <v>14</v>
      </c>
      <c r="G3" s="470"/>
      <c r="H3" s="469" t="s">
        <v>14</v>
      </c>
      <c r="I3" s="470"/>
      <c r="J3" s="469" t="s">
        <v>14</v>
      </c>
      <c r="K3" s="470"/>
      <c r="L3" s="469"/>
      <c r="M3" s="466"/>
      <c r="N3" s="469"/>
      <c r="O3" s="11"/>
      <c r="P3" s="509" t="s">
        <v>222</v>
      </c>
      <c r="Q3" s="510"/>
      <c r="R3" s="511"/>
      <c r="S3" s="469"/>
      <c r="T3" s="490"/>
      <c r="U3" s="470"/>
      <c r="V3" s="481"/>
    </row>
    <row r="4" spans="1:256" ht="12.75" customHeight="1">
      <c r="A4" s="463"/>
      <c r="B4" s="466"/>
      <c r="C4" s="469"/>
      <c r="D4" s="475" t="s">
        <v>16</v>
      </c>
      <c r="E4" s="472"/>
      <c r="F4" s="469"/>
      <c r="G4" s="470"/>
      <c r="H4" s="469"/>
      <c r="I4" s="470"/>
      <c r="J4" s="469"/>
      <c r="K4" s="470"/>
      <c r="L4" s="469"/>
      <c r="M4" s="466"/>
      <c r="N4" s="469"/>
      <c r="O4" s="11" t="s">
        <v>25</v>
      </c>
      <c r="P4" s="499" t="s">
        <v>224</v>
      </c>
      <c r="Q4" s="500"/>
      <c r="R4" s="501"/>
      <c r="S4" s="494" t="s">
        <v>22</v>
      </c>
      <c r="T4" s="494"/>
      <c r="U4" s="495"/>
      <c r="V4" s="481"/>
    </row>
    <row r="5" spans="1:256" ht="12.75" customHeight="1">
      <c r="A5" s="463"/>
      <c r="B5" s="466"/>
      <c r="C5" s="469"/>
      <c r="D5" s="475"/>
      <c r="E5" s="8"/>
      <c r="F5" s="469"/>
      <c r="G5" s="470"/>
      <c r="H5" s="469"/>
      <c r="I5" s="470"/>
      <c r="J5" s="469"/>
      <c r="K5" s="470"/>
      <c r="L5" s="469"/>
      <c r="M5" s="466"/>
      <c r="N5" s="469"/>
      <c r="O5" s="11" t="s">
        <v>26</v>
      </c>
      <c r="P5" s="499" t="s">
        <v>133</v>
      </c>
      <c r="Q5" s="500"/>
      <c r="R5" s="501"/>
      <c r="S5" s="485" t="s">
        <v>20</v>
      </c>
      <c r="T5" s="485"/>
      <c r="U5" s="486"/>
      <c r="V5" s="481"/>
    </row>
    <row r="6" spans="1:256" ht="12.75" customHeight="1">
      <c r="A6" s="463"/>
      <c r="B6" s="466"/>
      <c r="C6" s="469"/>
      <c r="D6" s="475"/>
      <c r="E6" s="8"/>
      <c r="F6" s="469"/>
      <c r="G6" s="470"/>
      <c r="H6" s="469"/>
      <c r="I6" s="470"/>
      <c r="J6" s="469"/>
      <c r="K6" s="470"/>
      <c r="L6" s="469"/>
      <c r="M6" s="466"/>
      <c r="N6" s="469"/>
      <c r="O6" s="11"/>
      <c r="P6" s="499" t="s">
        <v>221</v>
      </c>
      <c r="Q6" s="500"/>
      <c r="R6" s="501"/>
      <c r="S6" s="485" t="s">
        <v>21</v>
      </c>
      <c r="T6" s="485"/>
      <c r="U6" s="486"/>
      <c r="V6" s="481"/>
    </row>
    <row r="7" spans="1:256" ht="15" customHeight="1" thickBot="1">
      <c r="A7" s="464"/>
      <c r="B7" s="467"/>
      <c r="C7" s="454"/>
      <c r="D7" s="476"/>
      <c r="E7" s="8"/>
      <c r="F7" s="15"/>
      <c r="G7" s="16"/>
      <c r="H7" s="15"/>
      <c r="I7" s="16"/>
      <c r="J7" s="15"/>
      <c r="K7" s="16"/>
      <c r="L7" s="454"/>
      <c r="M7" s="467"/>
      <c r="N7" s="454"/>
      <c r="O7" s="11"/>
      <c r="P7" s="512" t="s">
        <v>223</v>
      </c>
      <c r="Q7" s="513"/>
      <c r="R7" s="514"/>
      <c r="S7" s="483" t="s">
        <v>27</v>
      </c>
      <c r="T7" s="483"/>
      <c r="U7" s="484"/>
      <c r="V7" s="482"/>
    </row>
    <row r="8" spans="1:256" s="32" customFormat="1" ht="15" customHeight="1">
      <c r="A8" s="322"/>
      <c r="B8" s="323"/>
      <c r="C8" s="321"/>
      <c r="D8" s="324"/>
      <c r="E8" s="319" t="s">
        <v>0</v>
      </c>
      <c r="F8" s="35" t="s">
        <v>5</v>
      </c>
      <c r="G8" s="36" t="s">
        <v>0</v>
      </c>
      <c r="H8" s="35" t="s">
        <v>6</v>
      </c>
      <c r="I8" s="36" t="s">
        <v>0</v>
      </c>
      <c r="J8" s="35" t="s">
        <v>30</v>
      </c>
      <c r="K8" s="28" t="s">
        <v>0</v>
      </c>
      <c r="L8" s="35" t="s">
        <v>0</v>
      </c>
      <c r="M8" s="28" t="s">
        <v>0</v>
      </c>
      <c r="N8" s="28" t="s">
        <v>4</v>
      </c>
      <c r="O8" s="28" t="s">
        <v>4</v>
      </c>
      <c r="P8" s="35" t="s">
        <v>12</v>
      </c>
      <c r="Q8" s="28" t="s">
        <v>9</v>
      </c>
      <c r="R8" s="28" t="s">
        <v>3</v>
      </c>
      <c r="S8" s="35" t="s">
        <v>12</v>
      </c>
      <c r="T8" s="4" t="s">
        <v>9</v>
      </c>
      <c r="U8" s="36" t="s">
        <v>3</v>
      </c>
      <c r="V8" s="37" t="s">
        <v>19</v>
      </c>
    </row>
    <row r="9" spans="1:256" s="313" customFormat="1" ht="26.25" customHeight="1">
      <c r="A9" s="70" t="s">
        <v>65</v>
      </c>
      <c r="B9" s="70" t="s">
        <v>65</v>
      </c>
      <c r="C9" s="70" t="s">
        <v>64</v>
      </c>
      <c r="D9" s="318" t="s">
        <v>56</v>
      </c>
      <c r="E9" s="86">
        <v>6532.9</v>
      </c>
      <c r="F9" s="87">
        <v>36523</v>
      </c>
      <c r="G9" s="88">
        <v>2904</v>
      </c>
      <c r="H9" s="87"/>
      <c r="I9" s="88">
        <v>0</v>
      </c>
      <c r="J9" s="87"/>
      <c r="K9" s="88">
        <v>0</v>
      </c>
      <c r="L9" s="88">
        <f t="shared" ref="L9:L14" si="0">G9+I9+K9</f>
        <v>2904</v>
      </c>
      <c r="M9" s="88">
        <f>G9+I9+K9</f>
        <v>2904</v>
      </c>
      <c r="N9" s="89">
        <f t="shared" ref="N9:N14" si="1">E9/M9</f>
        <v>2.249621212121212</v>
      </c>
      <c r="O9" s="61">
        <v>15</v>
      </c>
      <c r="P9" s="62" t="s">
        <v>82</v>
      </c>
      <c r="Q9" s="61"/>
      <c r="R9" s="61"/>
      <c r="S9" s="62" t="s">
        <v>32</v>
      </c>
      <c r="T9" s="61"/>
      <c r="U9" s="61"/>
      <c r="V9" s="90" t="s">
        <v>59</v>
      </c>
      <c r="X9" s="314">
        <f>E9</f>
        <v>6532.9</v>
      </c>
      <c r="Y9" s="315"/>
      <c r="Z9" s="316" t="b">
        <f>OR(P9="m",Q9="m",R9="m")</f>
        <v>0</v>
      </c>
      <c r="AA9" s="317">
        <f>IF(Z9,L9,0)</f>
        <v>0</v>
      </c>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5"/>
      <c r="BI9" s="315"/>
      <c r="BJ9" s="315"/>
      <c r="BK9" s="315"/>
      <c r="BL9" s="315"/>
      <c r="BM9" s="315"/>
      <c r="BN9" s="315"/>
      <c r="BO9" s="315"/>
      <c r="BP9" s="315"/>
      <c r="BQ9" s="315"/>
      <c r="BR9" s="315"/>
      <c r="BS9" s="315"/>
      <c r="BT9" s="315"/>
      <c r="BU9" s="315"/>
      <c r="BV9" s="315"/>
      <c r="BW9" s="315"/>
      <c r="BX9" s="315"/>
      <c r="BY9" s="315"/>
      <c r="BZ9" s="315"/>
      <c r="CA9" s="315"/>
      <c r="CB9" s="315"/>
      <c r="CC9" s="315"/>
      <c r="CD9" s="315"/>
      <c r="CE9" s="315"/>
      <c r="CF9" s="315"/>
      <c r="CG9" s="315"/>
      <c r="CH9" s="315"/>
      <c r="CI9" s="315"/>
      <c r="CJ9" s="315"/>
      <c r="CK9" s="315"/>
      <c r="CL9" s="315"/>
      <c r="CM9" s="315"/>
      <c r="CN9" s="315"/>
      <c r="CO9" s="315"/>
      <c r="CP9" s="315"/>
      <c r="CQ9" s="315"/>
      <c r="CR9" s="315"/>
      <c r="CS9" s="315"/>
      <c r="CT9" s="315"/>
      <c r="CU9" s="315"/>
      <c r="CV9" s="315"/>
      <c r="CW9" s="315"/>
      <c r="CX9" s="315"/>
      <c r="CY9" s="315"/>
      <c r="CZ9" s="315"/>
      <c r="DA9" s="315"/>
      <c r="DB9" s="315"/>
      <c r="DC9" s="315"/>
      <c r="DD9" s="315"/>
      <c r="DE9" s="315"/>
      <c r="DF9" s="315"/>
      <c r="DG9" s="315"/>
      <c r="DH9" s="315"/>
      <c r="DI9" s="315"/>
      <c r="DJ9" s="315"/>
      <c r="DK9" s="315"/>
      <c r="DL9" s="315"/>
      <c r="DM9" s="315"/>
      <c r="DN9" s="315"/>
      <c r="DO9" s="315"/>
      <c r="DP9" s="315"/>
      <c r="DQ9" s="315"/>
      <c r="DR9" s="315"/>
      <c r="DS9" s="315"/>
      <c r="DT9" s="315"/>
      <c r="DU9" s="315"/>
      <c r="DV9" s="315"/>
      <c r="DW9" s="315"/>
      <c r="DX9" s="315"/>
      <c r="DY9" s="315"/>
      <c r="DZ9" s="315"/>
      <c r="EA9" s="315"/>
      <c r="EB9" s="315"/>
      <c r="EC9" s="315"/>
      <c r="ED9" s="315"/>
      <c r="EE9" s="315"/>
      <c r="EF9" s="315"/>
      <c r="EG9" s="315"/>
      <c r="EH9" s="315"/>
      <c r="EI9" s="315"/>
      <c r="EJ9" s="315"/>
      <c r="EK9" s="315"/>
      <c r="EL9" s="315"/>
      <c r="EM9" s="315"/>
      <c r="EN9" s="315"/>
      <c r="EO9" s="315"/>
      <c r="EP9" s="315"/>
      <c r="EQ9" s="315"/>
      <c r="ER9" s="315"/>
      <c r="ES9" s="315"/>
      <c r="ET9" s="315"/>
      <c r="EU9" s="315"/>
      <c r="EV9" s="315"/>
      <c r="EW9" s="315"/>
      <c r="EX9" s="315"/>
      <c r="EY9" s="315"/>
      <c r="EZ9" s="315"/>
      <c r="FA9" s="315"/>
      <c r="FB9" s="315"/>
      <c r="FC9" s="315"/>
      <c r="FD9" s="315"/>
      <c r="FE9" s="315"/>
      <c r="FF9" s="315"/>
      <c r="FG9" s="315"/>
      <c r="FH9" s="315"/>
      <c r="FI9" s="315"/>
      <c r="FJ9" s="315"/>
      <c r="FK9" s="315"/>
      <c r="FL9" s="315"/>
      <c r="FM9" s="315"/>
      <c r="FN9" s="315"/>
      <c r="FO9" s="315"/>
      <c r="FP9" s="315"/>
      <c r="FQ9" s="315"/>
      <c r="FR9" s="315"/>
      <c r="FS9" s="315"/>
      <c r="FT9" s="315"/>
      <c r="FU9" s="315"/>
      <c r="FV9" s="315"/>
      <c r="FW9" s="315"/>
      <c r="FX9" s="315"/>
      <c r="FY9" s="315"/>
      <c r="FZ9" s="315"/>
      <c r="GA9" s="315"/>
      <c r="GB9" s="315"/>
      <c r="GC9" s="315"/>
      <c r="GD9" s="315"/>
      <c r="GE9" s="315"/>
      <c r="GF9" s="315"/>
      <c r="GG9" s="315"/>
      <c r="GH9" s="315"/>
      <c r="GI9" s="315"/>
      <c r="GJ9" s="315"/>
      <c r="GK9" s="315"/>
      <c r="GL9" s="315"/>
      <c r="GM9" s="315"/>
      <c r="GN9" s="315"/>
      <c r="GO9" s="315"/>
      <c r="GP9" s="315"/>
      <c r="GQ9" s="315"/>
      <c r="GR9" s="315"/>
      <c r="GS9" s="315"/>
      <c r="GT9" s="315"/>
      <c r="GU9" s="315"/>
      <c r="GV9" s="315"/>
      <c r="GW9" s="315"/>
      <c r="GX9" s="315"/>
      <c r="GY9" s="315"/>
      <c r="GZ9" s="315"/>
      <c r="HA9" s="315"/>
      <c r="HB9" s="315"/>
      <c r="HC9" s="315"/>
      <c r="HD9" s="315"/>
      <c r="HE9" s="315"/>
      <c r="HF9" s="315"/>
      <c r="HG9" s="315"/>
      <c r="HH9" s="315"/>
      <c r="HI9" s="315"/>
      <c r="HJ9" s="315"/>
      <c r="HK9" s="315"/>
      <c r="HL9" s="315"/>
      <c r="HM9" s="315"/>
      <c r="HN9" s="315"/>
      <c r="HO9" s="315"/>
      <c r="HP9" s="315"/>
      <c r="HQ9" s="315"/>
      <c r="HR9" s="315"/>
      <c r="HS9" s="315"/>
      <c r="HT9" s="315"/>
      <c r="HU9" s="315"/>
      <c r="HV9" s="315"/>
      <c r="HW9" s="315"/>
      <c r="HX9" s="315"/>
      <c r="HY9" s="315"/>
      <c r="HZ9" s="315"/>
      <c r="IA9" s="315"/>
      <c r="IB9" s="315"/>
      <c r="IC9" s="315"/>
      <c r="ID9" s="315"/>
      <c r="IE9" s="315"/>
      <c r="IF9" s="315"/>
      <c r="IG9" s="315"/>
      <c r="IH9" s="315"/>
      <c r="II9" s="315"/>
      <c r="IJ9" s="315"/>
      <c r="IK9" s="315"/>
      <c r="IL9" s="315"/>
      <c r="IM9" s="315"/>
      <c r="IN9" s="315"/>
      <c r="IO9" s="315"/>
      <c r="IP9" s="315"/>
      <c r="IQ9" s="315"/>
      <c r="IR9" s="315"/>
      <c r="IS9" s="315"/>
      <c r="IT9" s="315"/>
      <c r="IU9" s="315"/>
      <c r="IV9" s="315"/>
    </row>
    <row r="10" spans="1:256" s="313" customFormat="1" ht="26.25" customHeight="1">
      <c r="A10" s="70" t="s">
        <v>65</v>
      </c>
      <c r="B10" s="62" t="s">
        <v>65</v>
      </c>
      <c r="C10" s="62" t="s">
        <v>64</v>
      </c>
      <c r="D10" s="312" t="s">
        <v>58</v>
      </c>
      <c r="E10" s="86">
        <v>7238</v>
      </c>
      <c r="F10" s="87"/>
      <c r="G10" s="88"/>
      <c r="H10" s="87">
        <v>186</v>
      </c>
      <c r="I10" s="88">
        <v>1788</v>
      </c>
      <c r="J10" s="87"/>
      <c r="K10" s="88"/>
      <c r="L10" s="88">
        <f t="shared" si="0"/>
        <v>1788</v>
      </c>
      <c r="M10" s="88">
        <f>(G10+I10+K10)*0.9</f>
        <v>1609.2</v>
      </c>
      <c r="N10" s="89">
        <f t="shared" si="1"/>
        <v>4.4978871488938603</v>
      </c>
      <c r="O10" s="61"/>
      <c r="P10" s="61"/>
      <c r="Q10" s="62" t="s">
        <v>82</v>
      </c>
      <c r="R10" s="62"/>
      <c r="S10" s="61"/>
      <c r="T10" s="62" t="s">
        <v>32</v>
      </c>
      <c r="U10" s="62"/>
      <c r="V10" s="90" t="s">
        <v>60</v>
      </c>
      <c r="Y10" s="315"/>
      <c r="Z10" s="316" t="b">
        <f>OR(P10="m",Q10="m",R10="m")</f>
        <v>0</v>
      </c>
      <c r="AA10" s="317">
        <f>IF(Z10,L10,0)</f>
        <v>0</v>
      </c>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c r="CB10" s="315"/>
      <c r="CC10" s="315"/>
      <c r="CD10" s="315"/>
      <c r="CE10" s="315"/>
      <c r="CF10" s="315"/>
      <c r="CG10" s="315"/>
      <c r="CH10" s="315"/>
      <c r="CI10" s="315"/>
      <c r="CJ10" s="315"/>
      <c r="CK10" s="315"/>
      <c r="CL10" s="315"/>
      <c r="CM10" s="315"/>
      <c r="CN10" s="315"/>
      <c r="CO10" s="315"/>
      <c r="CP10" s="315"/>
      <c r="CQ10" s="315"/>
      <c r="CR10" s="315"/>
      <c r="CS10" s="315"/>
      <c r="CT10" s="315"/>
      <c r="CU10" s="315"/>
      <c r="CV10" s="315"/>
      <c r="CW10" s="315"/>
      <c r="CX10" s="315"/>
      <c r="CY10" s="315"/>
      <c r="CZ10" s="315"/>
      <c r="DA10" s="315"/>
      <c r="DB10" s="315"/>
      <c r="DC10" s="315"/>
      <c r="DD10" s="315"/>
      <c r="DE10" s="315"/>
      <c r="DF10" s="315"/>
      <c r="DG10" s="315"/>
      <c r="DH10" s="315"/>
      <c r="DI10" s="315"/>
      <c r="DJ10" s="315"/>
      <c r="DK10" s="315"/>
      <c r="DL10" s="315"/>
      <c r="DM10" s="315"/>
      <c r="DN10" s="315"/>
      <c r="DO10" s="315"/>
      <c r="DP10" s="315"/>
      <c r="DQ10" s="315"/>
      <c r="DR10" s="315"/>
      <c r="DS10" s="315"/>
      <c r="DT10" s="315"/>
      <c r="DU10" s="315"/>
      <c r="DV10" s="315"/>
      <c r="DW10" s="315"/>
      <c r="DX10" s="315"/>
      <c r="DY10" s="315"/>
      <c r="DZ10" s="315"/>
      <c r="EA10" s="315"/>
      <c r="EB10" s="315"/>
      <c r="EC10" s="315"/>
      <c r="ED10" s="315"/>
      <c r="EE10" s="315"/>
      <c r="EF10" s="315"/>
      <c r="EG10" s="315"/>
      <c r="EH10" s="315"/>
      <c r="EI10" s="315"/>
      <c r="EJ10" s="315"/>
      <c r="EK10" s="315"/>
      <c r="EL10" s="315"/>
      <c r="EM10" s="315"/>
      <c r="EN10" s="315"/>
      <c r="EO10" s="315"/>
      <c r="EP10" s="315"/>
      <c r="EQ10" s="315"/>
      <c r="ER10" s="315"/>
      <c r="ES10" s="315"/>
      <c r="ET10" s="315"/>
      <c r="EU10" s="315"/>
      <c r="EV10" s="315"/>
      <c r="EW10" s="315"/>
      <c r="EX10" s="315"/>
      <c r="EY10" s="315"/>
      <c r="EZ10" s="315"/>
      <c r="FA10" s="315"/>
      <c r="FB10" s="315"/>
      <c r="FC10" s="315"/>
      <c r="FD10" s="315"/>
      <c r="FE10" s="315"/>
      <c r="FF10" s="315"/>
      <c r="FG10" s="315"/>
      <c r="FH10" s="315"/>
      <c r="FI10" s="315"/>
      <c r="FJ10" s="315"/>
      <c r="FK10" s="315"/>
      <c r="FL10" s="315"/>
      <c r="FM10" s="315"/>
      <c r="FN10" s="315"/>
      <c r="FO10" s="315"/>
      <c r="FP10" s="315"/>
      <c r="FQ10" s="315"/>
      <c r="FR10" s="315"/>
      <c r="FS10" s="315"/>
      <c r="FT10" s="315"/>
      <c r="FU10" s="315"/>
      <c r="FV10" s="315"/>
      <c r="FW10" s="315"/>
      <c r="FX10" s="315"/>
      <c r="FY10" s="315"/>
      <c r="FZ10" s="315"/>
      <c r="GA10" s="315"/>
      <c r="GB10" s="315"/>
      <c r="GC10" s="315"/>
      <c r="GD10" s="315"/>
      <c r="GE10" s="315"/>
      <c r="GF10" s="315"/>
      <c r="GG10" s="315"/>
      <c r="GH10" s="315"/>
      <c r="GI10" s="315"/>
      <c r="GJ10" s="315"/>
      <c r="GK10" s="315"/>
      <c r="GL10" s="315"/>
      <c r="GM10" s="315"/>
      <c r="GN10" s="315"/>
      <c r="GO10" s="315"/>
      <c r="GP10" s="315"/>
      <c r="GQ10" s="315"/>
      <c r="GR10" s="315"/>
      <c r="GS10" s="315"/>
      <c r="GT10" s="315"/>
      <c r="GU10" s="315"/>
      <c r="GV10" s="315"/>
      <c r="GW10" s="315"/>
      <c r="GX10" s="315"/>
      <c r="GY10" s="315"/>
      <c r="GZ10" s="315"/>
      <c r="HA10" s="315"/>
      <c r="HB10" s="315"/>
      <c r="HC10" s="315"/>
      <c r="HD10" s="315"/>
      <c r="HE10" s="315"/>
      <c r="HF10" s="315"/>
      <c r="HG10" s="315"/>
      <c r="HH10" s="315"/>
      <c r="HI10" s="315"/>
      <c r="HJ10" s="315"/>
      <c r="HK10" s="315"/>
      <c r="HL10" s="315"/>
      <c r="HM10" s="315"/>
      <c r="HN10" s="315"/>
      <c r="HO10" s="315"/>
      <c r="HP10" s="315"/>
      <c r="HQ10" s="315"/>
      <c r="HR10" s="315"/>
      <c r="HS10" s="315"/>
      <c r="HT10" s="315"/>
      <c r="HU10" s="315"/>
      <c r="HV10" s="315"/>
      <c r="HW10" s="315"/>
      <c r="HX10" s="315"/>
      <c r="HY10" s="315"/>
      <c r="HZ10" s="315"/>
      <c r="IA10" s="315"/>
      <c r="IB10" s="315"/>
      <c r="IC10" s="315"/>
      <c r="ID10" s="315"/>
      <c r="IE10" s="315"/>
      <c r="IF10" s="315"/>
      <c r="IG10" s="315"/>
      <c r="IH10" s="315"/>
      <c r="II10" s="315"/>
      <c r="IJ10" s="315"/>
      <c r="IK10" s="315"/>
      <c r="IL10" s="315"/>
      <c r="IM10" s="315"/>
      <c r="IN10" s="315"/>
      <c r="IO10" s="315"/>
      <c r="IP10" s="315"/>
      <c r="IQ10" s="315"/>
      <c r="IR10" s="315"/>
      <c r="IS10" s="315"/>
      <c r="IT10" s="315"/>
      <c r="IU10" s="315"/>
      <c r="IV10" s="315"/>
    </row>
    <row r="11" spans="1:256" s="46" customFormat="1" ht="15" customHeight="1">
      <c r="A11" s="70" t="s">
        <v>65</v>
      </c>
      <c r="B11" s="62" t="s">
        <v>66</v>
      </c>
      <c r="C11" s="39" t="s">
        <v>64</v>
      </c>
      <c r="D11" s="40" t="s">
        <v>54</v>
      </c>
      <c r="E11" s="41">
        <v>3300</v>
      </c>
      <c r="F11" s="42">
        <v>18797</v>
      </c>
      <c r="G11" s="43">
        <v>1156</v>
      </c>
      <c r="H11" s="42"/>
      <c r="I11" s="43"/>
      <c r="J11" s="42"/>
      <c r="K11" s="43"/>
      <c r="L11" s="43">
        <f t="shared" si="0"/>
        <v>1156</v>
      </c>
      <c r="M11" s="43">
        <f>(G11+I11+K11)*0.9</f>
        <v>1040.4000000000001</v>
      </c>
      <c r="N11" s="44">
        <f t="shared" si="1"/>
        <v>3.1718569780853514</v>
      </c>
      <c r="O11" s="38">
        <v>15</v>
      </c>
      <c r="P11" s="39" t="s">
        <v>226</v>
      </c>
      <c r="Q11" s="39"/>
      <c r="R11" s="39"/>
      <c r="S11" s="39" t="s">
        <v>32</v>
      </c>
      <c r="T11" s="39"/>
      <c r="U11" s="39"/>
      <c r="V11" s="45" t="s">
        <v>59</v>
      </c>
      <c r="X11" s="47">
        <f>E11</f>
        <v>3300</v>
      </c>
      <c r="Y11" s="48"/>
      <c r="Z11" s="49" t="b">
        <f>OR(P11="m",Q11="m",R11="m")</f>
        <v>0</v>
      </c>
      <c r="AA11" s="50">
        <f>IF(Z11,L11,0)</f>
        <v>0</v>
      </c>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row>
    <row r="12" spans="1:256" s="46" customFormat="1" ht="15" customHeight="1">
      <c r="A12" s="70" t="s">
        <v>65</v>
      </c>
      <c r="B12" s="62" t="s">
        <v>66</v>
      </c>
      <c r="C12" s="39" t="s">
        <v>64</v>
      </c>
      <c r="D12" s="40" t="s">
        <v>55</v>
      </c>
      <c r="E12" s="41">
        <v>3564</v>
      </c>
      <c r="F12" s="42"/>
      <c r="G12" s="43"/>
      <c r="H12" s="42">
        <v>59</v>
      </c>
      <c r="I12" s="43">
        <v>714</v>
      </c>
      <c r="J12" s="42"/>
      <c r="K12" s="43"/>
      <c r="L12" s="43">
        <f t="shared" si="0"/>
        <v>714</v>
      </c>
      <c r="M12" s="43">
        <f>(G12+I12+K12)*0.9</f>
        <v>642.6</v>
      </c>
      <c r="N12" s="44">
        <f t="shared" si="1"/>
        <v>5.5462184873949578</v>
      </c>
      <c r="O12" s="38"/>
      <c r="P12" s="39" t="s">
        <v>226</v>
      </c>
      <c r="Q12" s="38"/>
      <c r="R12" s="38"/>
      <c r="S12" s="38"/>
      <c r="T12" s="39" t="s">
        <v>32</v>
      </c>
      <c r="U12" s="38"/>
      <c r="V12" s="45" t="s">
        <v>60</v>
      </c>
      <c r="Y12" s="48"/>
      <c r="Z12" s="49" t="b">
        <f>OR(P12="m",Q12="m",R12="m")</f>
        <v>0</v>
      </c>
      <c r="AA12" s="50">
        <f>IF(Z12,L12,0)</f>
        <v>0</v>
      </c>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row>
    <row r="13" spans="1:256" s="46" customFormat="1" ht="15" customHeight="1">
      <c r="A13" s="70" t="s">
        <v>65</v>
      </c>
      <c r="B13" s="62" t="s">
        <v>66</v>
      </c>
      <c r="C13" s="39" t="s">
        <v>64</v>
      </c>
      <c r="D13" s="40" t="s">
        <v>288</v>
      </c>
      <c r="E13" s="77">
        <v>20150</v>
      </c>
      <c r="F13" s="78"/>
      <c r="G13" s="79"/>
      <c r="H13" s="78"/>
      <c r="I13" s="79"/>
      <c r="J13" s="78">
        <v>307402</v>
      </c>
      <c r="K13" s="79">
        <v>2560</v>
      </c>
      <c r="L13" s="79">
        <f t="shared" si="0"/>
        <v>2560</v>
      </c>
      <c r="M13" s="79">
        <f>(G13+I13+K13)*0.9</f>
        <v>2304</v>
      </c>
      <c r="N13" s="44">
        <f t="shared" si="1"/>
        <v>8.7456597222222214</v>
      </c>
      <c r="O13" s="38">
        <v>20</v>
      </c>
      <c r="P13" s="38"/>
      <c r="Q13" s="39"/>
      <c r="R13" s="39" t="s">
        <v>226</v>
      </c>
      <c r="S13" s="38"/>
      <c r="T13" s="39"/>
      <c r="U13" s="39" t="s">
        <v>32</v>
      </c>
      <c r="V13" s="45" t="s">
        <v>59</v>
      </c>
      <c r="Y13" s="48"/>
      <c r="Z13" s="49" t="b">
        <f>OR(P13="m",Q13="m",R13="m")</f>
        <v>0</v>
      </c>
      <c r="AA13" s="50">
        <f>IF(Z13,L13,0)</f>
        <v>0</v>
      </c>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c r="IT13" s="48"/>
      <c r="IU13" s="48"/>
      <c r="IV13" s="48"/>
    </row>
    <row r="14" spans="1:256" s="66" customFormat="1" ht="15" customHeight="1">
      <c r="A14" s="70" t="s">
        <v>65</v>
      </c>
      <c r="B14" s="62" t="s">
        <v>66</v>
      </c>
      <c r="C14" s="39" t="s">
        <v>64</v>
      </c>
      <c r="D14" s="40" t="s">
        <v>289</v>
      </c>
      <c r="E14" s="102">
        <v>8150</v>
      </c>
      <c r="F14" s="103"/>
      <c r="G14" s="104"/>
      <c r="H14" s="78">
        <v>99</v>
      </c>
      <c r="I14" s="79">
        <v>1221</v>
      </c>
      <c r="J14" s="103">
        <v>307402</v>
      </c>
      <c r="K14" s="104">
        <v>2560</v>
      </c>
      <c r="L14" s="79">
        <f t="shared" si="0"/>
        <v>3781</v>
      </c>
      <c r="M14" s="79">
        <f>(G14+I14+K14)*0.9</f>
        <v>3402.9</v>
      </c>
      <c r="N14" s="44">
        <f t="shared" si="1"/>
        <v>2.395016015751271</v>
      </c>
      <c r="O14" s="81">
        <v>10</v>
      </c>
      <c r="P14" s="81"/>
      <c r="Q14" s="64" t="s">
        <v>226</v>
      </c>
      <c r="R14" s="64" t="s">
        <v>226</v>
      </c>
      <c r="S14" s="81"/>
      <c r="T14" s="39" t="s">
        <v>32</v>
      </c>
      <c r="U14" s="39" t="s">
        <v>32</v>
      </c>
      <c r="V14" s="65"/>
      <c r="Y14" s="67"/>
      <c r="Z14" s="68"/>
      <c r="AA14" s="69"/>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row>
    <row r="15" spans="1:256" s="66" customFormat="1" ht="15" customHeight="1">
      <c r="A15" s="63"/>
      <c r="B15" s="62"/>
      <c r="C15" s="70"/>
      <c r="D15" s="116" t="s">
        <v>73</v>
      </c>
      <c r="E15" s="80">
        <f>SUM(E9:E14)</f>
        <v>48934.9</v>
      </c>
      <c r="F15" s="110">
        <f t="shared" ref="F15:M15" si="2">SUM(F9:F13)</f>
        <v>55320</v>
      </c>
      <c r="G15" s="80">
        <f t="shared" si="2"/>
        <v>4060</v>
      </c>
      <c r="H15" s="110">
        <f t="shared" si="2"/>
        <v>245</v>
      </c>
      <c r="I15" s="80">
        <f t="shared" si="2"/>
        <v>2502</v>
      </c>
      <c r="J15" s="110">
        <f t="shared" si="2"/>
        <v>307402</v>
      </c>
      <c r="K15" s="80">
        <f t="shared" si="2"/>
        <v>2560</v>
      </c>
      <c r="L15" s="80">
        <f t="shared" si="2"/>
        <v>9122</v>
      </c>
      <c r="M15" s="80">
        <f t="shared" si="2"/>
        <v>8500.2000000000007</v>
      </c>
      <c r="N15" s="74"/>
      <c r="O15" s="63"/>
      <c r="P15" s="63"/>
      <c r="Q15" s="63"/>
      <c r="R15" s="70"/>
      <c r="S15" s="63"/>
      <c r="T15" s="70"/>
      <c r="U15" s="70"/>
      <c r="V15" s="75"/>
      <c r="Y15" s="67"/>
      <c r="Z15" s="68"/>
      <c r="AA15" s="69"/>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c r="IV15" s="67"/>
    </row>
    <row r="16" spans="1:256" s="66" customFormat="1" ht="15" customHeight="1">
      <c r="A16" s="63"/>
      <c r="B16" s="62"/>
      <c r="C16" s="70"/>
      <c r="D16" s="76" t="s">
        <v>74</v>
      </c>
      <c r="E16" s="71"/>
      <c r="F16" s="72"/>
      <c r="G16" s="119">
        <f>G15/F15</f>
        <v>7.3391178597252346E-2</v>
      </c>
      <c r="H16" s="72"/>
      <c r="I16" s="119">
        <f>I15/H15</f>
        <v>10.212244897959184</v>
      </c>
      <c r="J16" s="72"/>
      <c r="K16" s="119">
        <f>K15/J15</f>
        <v>8.3278573333940564E-3</v>
      </c>
      <c r="L16" s="73"/>
      <c r="M16" s="73"/>
      <c r="N16" s="74"/>
      <c r="O16" s="63"/>
      <c r="P16" s="63"/>
      <c r="Q16" s="63"/>
      <c r="R16" s="70"/>
      <c r="S16" s="63"/>
      <c r="T16" s="70"/>
      <c r="U16" s="70"/>
      <c r="V16" s="75"/>
      <c r="Y16" s="67"/>
      <c r="Z16" s="68"/>
      <c r="AA16" s="69"/>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s="46" customFormat="1" ht="15" customHeight="1">
      <c r="A17" s="61"/>
      <c r="B17" s="62"/>
      <c r="C17" s="62"/>
      <c r="D17" s="91" t="s">
        <v>75</v>
      </c>
      <c r="E17" s="86"/>
      <c r="F17" s="87"/>
      <c r="G17" s="119">
        <v>6.1499999999999999E-2</v>
      </c>
      <c r="H17" s="119"/>
      <c r="I17" s="119">
        <v>12.391</v>
      </c>
      <c r="J17" s="119"/>
      <c r="K17" s="119">
        <v>8.0999999999999996E-3</v>
      </c>
      <c r="L17" s="88"/>
      <c r="M17" s="88"/>
      <c r="N17" s="89"/>
      <c r="O17" s="61"/>
      <c r="P17" s="61"/>
      <c r="Q17" s="61"/>
      <c r="R17" s="62"/>
      <c r="S17" s="61"/>
      <c r="T17" s="62"/>
      <c r="U17" s="62"/>
      <c r="V17" s="90"/>
      <c r="Y17" s="48"/>
      <c r="Z17" s="49"/>
      <c r="AA17" s="50"/>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c r="II17" s="48"/>
      <c r="IJ17" s="48"/>
      <c r="IK17" s="48"/>
      <c r="IL17" s="48"/>
      <c r="IM17" s="48"/>
      <c r="IN17" s="48"/>
      <c r="IO17" s="48"/>
      <c r="IP17" s="48"/>
      <c r="IQ17" s="48"/>
      <c r="IR17" s="48"/>
      <c r="IS17" s="48"/>
      <c r="IT17" s="48"/>
      <c r="IU17" s="48"/>
      <c r="IV17" s="48"/>
    </row>
    <row r="18" spans="1:256" s="66" customFormat="1" ht="15" customHeight="1">
      <c r="A18" s="63"/>
      <c r="B18" s="70"/>
      <c r="C18" s="70"/>
      <c r="D18" s="76"/>
      <c r="E18" s="82"/>
      <c r="F18" s="72"/>
      <c r="G18" s="73"/>
      <c r="H18" s="72"/>
      <c r="I18" s="73"/>
      <c r="J18" s="72"/>
      <c r="K18" s="73"/>
      <c r="L18" s="73"/>
      <c r="M18" s="73"/>
      <c r="N18" s="74"/>
      <c r="O18" s="63"/>
      <c r="P18" s="63"/>
      <c r="Q18" s="63"/>
      <c r="R18" s="70"/>
      <c r="S18" s="63"/>
      <c r="T18" s="70"/>
      <c r="U18" s="70"/>
      <c r="V18" s="75"/>
      <c r="Y18" s="67"/>
      <c r="Z18" s="68"/>
      <c r="AA18" s="69"/>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1:256" s="66" customFormat="1" ht="15" customHeight="1">
      <c r="A19" s="64" t="s">
        <v>72</v>
      </c>
      <c r="B19" s="64" t="s">
        <v>72</v>
      </c>
      <c r="C19" s="64" t="s">
        <v>61</v>
      </c>
      <c r="D19" s="40" t="s">
        <v>288</v>
      </c>
      <c r="E19" s="82">
        <v>52468</v>
      </c>
      <c r="F19" s="83"/>
      <c r="G19" s="84"/>
      <c r="H19" s="83"/>
      <c r="I19" s="84"/>
      <c r="J19" s="83">
        <v>1151857</v>
      </c>
      <c r="K19" s="84">
        <v>10098</v>
      </c>
      <c r="L19" s="84">
        <f t="shared" ref="L19:L30" si="3">G19+I19+K19</f>
        <v>10098</v>
      </c>
      <c r="M19" s="84">
        <f>(G19+I19+K19)*0.93</f>
        <v>9391.1400000000012</v>
      </c>
      <c r="N19" s="44">
        <f>E19/M19</f>
        <v>5.5869681423128599</v>
      </c>
      <c r="O19" s="81">
        <v>20</v>
      </c>
      <c r="P19" s="64"/>
      <c r="Q19" s="39" t="s">
        <v>107</v>
      </c>
      <c r="R19" s="39" t="s">
        <v>226</v>
      </c>
      <c r="S19" s="64"/>
      <c r="T19" s="64"/>
      <c r="U19" s="64" t="s">
        <v>32</v>
      </c>
      <c r="V19" s="65" t="s">
        <v>59</v>
      </c>
      <c r="X19" s="85"/>
      <c r="Y19" s="67"/>
      <c r="Z19" s="68" t="b">
        <f>OR(P19="m",Q19="m",R19="m")</f>
        <v>0</v>
      </c>
      <c r="AA19" s="69">
        <f>IF(Z19,L19,0)</f>
        <v>0</v>
      </c>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s="66" customFormat="1" ht="15" customHeight="1">
      <c r="A20" s="64" t="s">
        <v>72</v>
      </c>
      <c r="B20" s="64" t="s">
        <v>72</v>
      </c>
      <c r="C20" s="64" t="s">
        <v>61</v>
      </c>
      <c r="D20" s="40" t="s">
        <v>289</v>
      </c>
      <c r="E20" s="82">
        <v>17491</v>
      </c>
      <c r="F20" s="83"/>
      <c r="G20" s="84"/>
      <c r="H20" s="83">
        <v>137</v>
      </c>
      <c r="I20" s="84">
        <v>1639</v>
      </c>
      <c r="J20" s="83">
        <v>1151856</v>
      </c>
      <c r="K20" s="84">
        <v>10098</v>
      </c>
      <c r="L20" s="84">
        <f t="shared" si="3"/>
        <v>11737</v>
      </c>
      <c r="M20" s="84">
        <f>(G20+I20+K20)*0.93</f>
        <v>10915.41</v>
      </c>
      <c r="N20" s="44">
        <f>E20/M20</f>
        <v>1.6024134686649425</v>
      </c>
      <c r="O20" s="81">
        <v>10</v>
      </c>
      <c r="P20" s="64"/>
      <c r="Q20" s="39" t="s">
        <v>226</v>
      </c>
      <c r="R20" s="39" t="s">
        <v>226</v>
      </c>
      <c r="S20" s="64"/>
      <c r="T20" s="64" t="s">
        <v>32</v>
      </c>
      <c r="U20" s="64" t="s">
        <v>32</v>
      </c>
      <c r="V20" s="65"/>
      <c r="X20" s="85"/>
      <c r="Y20" s="67"/>
      <c r="Z20" s="68"/>
      <c r="AA20" s="69"/>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row>
    <row r="21" spans="1:256" s="46" customFormat="1" ht="15" customHeight="1">
      <c r="A21" s="64" t="s">
        <v>72</v>
      </c>
      <c r="B21" s="39" t="s">
        <v>72</v>
      </c>
      <c r="C21" s="39" t="s">
        <v>61</v>
      </c>
      <c r="D21" s="40" t="s">
        <v>49</v>
      </c>
      <c r="E21" s="41">
        <v>28213.9</v>
      </c>
      <c r="F21" s="42">
        <v>105129</v>
      </c>
      <c r="G21" s="43">
        <v>6908</v>
      </c>
      <c r="H21" s="42"/>
      <c r="I21" s="43"/>
      <c r="J21" s="42"/>
      <c r="K21" s="43"/>
      <c r="L21" s="43">
        <f t="shared" si="3"/>
        <v>6908</v>
      </c>
      <c r="M21" s="43">
        <f>(G21+I21+K21)*0.9</f>
        <v>6217.2</v>
      </c>
      <c r="N21" s="44">
        <f t="shared" ref="N21:N30" si="4">E21/M21</f>
        <v>4.5380396319886769</v>
      </c>
      <c r="O21" s="38">
        <v>15</v>
      </c>
      <c r="P21" s="39" t="s">
        <v>226</v>
      </c>
      <c r="Q21" s="39"/>
      <c r="R21" s="39"/>
      <c r="S21" s="62" t="s">
        <v>32</v>
      </c>
      <c r="T21" s="39"/>
      <c r="U21" s="39"/>
      <c r="V21" s="45" t="s">
        <v>59</v>
      </c>
      <c r="X21" s="47">
        <f>E21</f>
        <v>28213.9</v>
      </c>
      <c r="Y21" s="48"/>
      <c r="Z21" s="49" t="b">
        <f t="shared" ref="Z21:Z30" si="5">OR(P21="m",Q21="m",R21="m")</f>
        <v>0</v>
      </c>
      <c r="AA21" s="50">
        <f t="shared" ref="AA21:AA30" si="6">IF(Z21,L21,0)</f>
        <v>0</v>
      </c>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c r="IT21" s="48"/>
      <c r="IU21" s="48"/>
      <c r="IV21" s="48"/>
    </row>
    <row r="22" spans="1:256" s="46" customFormat="1" ht="15" customHeight="1">
      <c r="A22" s="64" t="s">
        <v>72</v>
      </c>
      <c r="B22" s="39" t="s">
        <v>72</v>
      </c>
      <c r="C22" s="39" t="s">
        <v>61</v>
      </c>
      <c r="D22" s="40" t="s">
        <v>50</v>
      </c>
      <c r="E22" s="41">
        <v>15664</v>
      </c>
      <c r="F22" s="42">
        <v>34946</v>
      </c>
      <c r="G22" s="43">
        <v>2149</v>
      </c>
      <c r="H22" s="42"/>
      <c r="I22" s="43"/>
      <c r="J22" s="42"/>
      <c r="K22" s="43"/>
      <c r="L22" s="43">
        <f t="shared" si="3"/>
        <v>2149</v>
      </c>
      <c r="M22" s="43">
        <f>(G22+I22+K22)*0.9</f>
        <v>1934.1000000000001</v>
      </c>
      <c r="N22" s="44">
        <f t="shared" si="4"/>
        <v>8.0988573496716807</v>
      </c>
      <c r="O22" s="38">
        <v>20</v>
      </c>
      <c r="P22" s="39" t="s">
        <v>226</v>
      </c>
      <c r="Q22" s="38"/>
      <c r="R22" s="38"/>
      <c r="S22" s="62" t="s">
        <v>32</v>
      </c>
      <c r="T22" s="38"/>
      <c r="U22" s="38"/>
      <c r="V22" s="45" t="s">
        <v>60</v>
      </c>
      <c r="Y22" s="48"/>
      <c r="Z22" s="49" t="b">
        <f t="shared" si="5"/>
        <v>0</v>
      </c>
      <c r="AA22" s="50">
        <f t="shared" si="6"/>
        <v>0</v>
      </c>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row>
    <row r="23" spans="1:256" s="46" customFormat="1" ht="15" customHeight="1">
      <c r="A23" s="64" t="s">
        <v>72</v>
      </c>
      <c r="B23" s="39" t="s">
        <v>72</v>
      </c>
      <c r="C23" s="39" t="s">
        <v>61</v>
      </c>
      <c r="D23" s="40" t="s">
        <v>31</v>
      </c>
      <c r="E23" s="41">
        <v>820.6</v>
      </c>
      <c r="F23" s="42">
        <v>2034</v>
      </c>
      <c r="G23" s="43">
        <v>125</v>
      </c>
      <c r="H23" s="42"/>
      <c r="I23" s="43"/>
      <c r="J23" s="42"/>
      <c r="K23" s="43"/>
      <c r="L23" s="43">
        <f t="shared" si="3"/>
        <v>125</v>
      </c>
      <c r="M23" s="43">
        <f>(G23+I23+K23)*0.95</f>
        <v>118.75</v>
      </c>
      <c r="N23" s="44">
        <f t="shared" si="4"/>
        <v>6.9103157894736844</v>
      </c>
      <c r="O23" s="38">
        <v>15</v>
      </c>
      <c r="P23" s="39" t="s">
        <v>226</v>
      </c>
      <c r="Q23" s="39"/>
      <c r="R23" s="38"/>
      <c r="S23" s="62" t="s">
        <v>32</v>
      </c>
      <c r="T23" s="39"/>
      <c r="U23" s="38"/>
      <c r="V23" s="45" t="s">
        <v>59</v>
      </c>
      <c r="X23" s="47">
        <f>E23</f>
        <v>820.6</v>
      </c>
      <c r="Y23" s="48"/>
      <c r="Z23" s="49" t="b">
        <f t="shared" si="5"/>
        <v>0</v>
      </c>
      <c r="AA23" s="50">
        <f t="shared" si="6"/>
        <v>0</v>
      </c>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row>
    <row r="24" spans="1:256" s="46" customFormat="1" ht="15" customHeight="1">
      <c r="A24" s="64" t="s">
        <v>72</v>
      </c>
      <c r="B24" s="39" t="s">
        <v>72</v>
      </c>
      <c r="C24" s="39" t="s">
        <v>61</v>
      </c>
      <c r="D24" s="40" t="s">
        <v>51</v>
      </c>
      <c r="E24" s="41">
        <v>600771.6</v>
      </c>
      <c r="F24" s="42">
        <v>137501</v>
      </c>
      <c r="G24" s="43">
        <v>8415</v>
      </c>
      <c r="H24" s="42"/>
      <c r="I24" s="43"/>
      <c r="J24" s="42"/>
      <c r="K24" s="43"/>
      <c r="L24" s="43">
        <f t="shared" si="3"/>
        <v>8415</v>
      </c>
      <c r="M24" s="43">
        <f>(G24+I24+K24)*0.93</f>
        <v>7825.9500000000007</v>
      </c>
      <c r="N24" s="44">
        <f t="shared" si="4"/>
        <v>76.766603415559757</v>
      </c>
      <c r="O24" s="38">
        <v>30</v>
      </c>
      <c r="P24" s="39" t="s">
        <v>226</v>
      </c>
      <c r="Q24" s="38"/>
      <c r="R24" s="38"/>
      <c r="S24" s="39" t="s">
        <v>32</v>
      </c>
      <c r="T24" s="38"/>
      <c r="U24" s="38"/>
      <c r="V24" s="45" t="s">
        <v>60</v>
      </c>
      <c r="Y24" s="48"/>
      <c r="Z24" s="49" t="b">
        <f t="shared" si="5"/>
        <v>0</v>
      </c>
      <c r="AA24" s="50">
        <f t="shared" si="6"/>
        <v>0</v>
      </c>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48"/>
      <c r="IT24" s="48"/>
      <c r="IU24" s="48"/>
      <c r="IV24" s="48"/>
    </row>
    <row r="25" spans="1:256" s="46" customFormat="1" ht="15" customHeight="1">
      <c r="A25" s="64" t="s">
        <v>72</v>
      </c>
      <c r="B25" s="39" t="s">
        <v>72</v>
      </c>
      <c r="C25" s="39" t="s">
        <v>61</v>
      </c>
      <c r="D25" s="40" t="s">
        <v>52</v>
      </c>
      <c r="E25" s="41">
        <v>3300</v>
      </c>
      <c r="F25" s="42"/>
      <c r="G25" s="43"/>
      <c r="H25" s="42">
        <v>123</v>
      </c>
      <c r="I25" s="43">
        <v>1527</v>
      </c>
      <c r="J25" s="42"/>
      <c r="K25" s="43"/>
      <c r="L25" s="43">
        <f t="shared" si="3"/>
        <v>1527</v>
      </c>
      <c r="M25" s="43">
        <f>(G25+I25+K25)*0.85</f>
        <v>1297.95</v>
      </c>
      <c r="N25" s="44">
        <f t="shared" si="4"/>
        <v>2.5424708193690049</v>
      </c>
      <c r="O25" s="38"/>
      <c r="P25" s="39"/>
      <c r="Q25" s="39" t="s">
        <v>226</v>
      </c>
      <c r="R25" s="38"/>
      <c r="S25" s="39"/>
      <c r="T25" s="39" t="s">
        <v>32</v>
      </c>
      <c r="U25" s="38"/>
      <c r="V25" s="45" t="s">
        <v>60</v>
      </c>
      <c r="Y25" s="48"/>
      <c r="Z25" s="49" t="b">
        <f t="shared" si="5"/>
        <v>0</v>
      </c>
      <c r="AA25" s="50">
        <f t="shared" si="6"/>
        <v>0</v>
      </c>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row>
    <row r="26" spans="1:256" s="46" customFormat="1" ht="15" customHeight="1">
      <c r="A26" s="64" t="s">
        <v>72</v>
      </c>
      <c r="B26" s="39" t="s">
        <v>63</v>
      </c>
      <c r="C26" s="39" t="s">
        <v>62</v>
      </c>
      <c r="D26" s="40" t="s">
        <v>29</v>
      </c>
      <c r="E26" s="41">
        <v>33103.4</v>
      </c>
      <c r="F26" s="42"/>
      <c r="G26" s="43"/>
      <c r="H26" s="42">
        <v>24</v>
      </c>
      <c r="I26" s="43">
        <v>297</v>
      </c>
      <c r="J26" s="42">
        <v>3896529</v>
      </c>
      <c r="K26" s="43">
        <v>32281</v>
      </c>
      <c r="L26" s="43">
        <f t="shared" si="3"/>
        <v>32578</v>
      </c>
      <c r="M26" s="43">
        <f>(G26+I26+K26)*0.93</f>
        <v>30297.54</v>
      </c>
      <c r="N26" s="44">
        <f t="shared" si="4"/>
        <v>1.0926101591086272</v>
      </c>
      <c r="O26" s="38">
        <v>20</v>
      </c>
      <c r="P26" s="39"/>
      <c r="Q26" s="39" t="s">
        <v>226</v>
      </c>
      <c r="R26" s="39" t="s">
        <v>226</v>
      </c>
      <c r="S26" s="39"/>
      <c r="T26" s="39" t="s">
        <v>32</v>
      </c>
      <c r="U26" s="39" t="s">
        <v>32</v>
      </c>
      <c r="V26" s="45" t="s">
        <v>59</v>
      </c>
      <c r="Y26" s="48"/>
      <c r="Z26" s="49" t="b">
        <f t="shared" si="5"/>
        <v>0</v>
      </c>
      <c r="AA26" s="50">
        <f t="shared" si="6"/>
        <v>0</v>
      </c>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row>
    <row r="27" spans="1:256" s="313" customFormat="1" ht="15" customHeight="1">
      <c r="A27" s="64" t="s">
        <v>72</v>
      </c>
      <c r="B27" s="62" t="s">
        <v>63</v>
      </c>
      <c r="C27" s="62" t="s">
        <v>62</v>
      </c>
      <c r="D27" s="312" t="s">
        <v>53</v>
      </c>
      <c r="E27" s="86">
        <v>4950</v>
      </c>
      <c r="F27" s="87">
        <v>32812</v>
      </c>
      <c r="G27" s="88">
        <v>2880</v>
      </c>
      <c r="H27" s="87"/>
      <c r="I27" s="88"/>
      <c r="J27" s="87"/>
      <c r="K27" s="88"/>
      <c r="L27" s="88">
        <f t="shared" si="3"/>
        <v>2880</v>
      </c>
      <c r="M27" s="88">
        <f>G27+I27+K27</f>
        <v>2880</v>
      </c>
      <c r="N27" s="89">
        <f t="shared" si="4"/>
        <v>1.71875</v>
      </c>
      <c r="O27" s="61">
        <v>15</v>
      </c>
      <c r="P27" s="62" t="s">
        <v>82</v>
      </c>
      <c r="Q27" s="61"/>
      <c r="R27" s="61"/>
      <c r="S27" s="62" t="s">
        <v>32</v>
      </c>
      <c r="T27" s="61"/>
      <c r="U27" s="61"/>
      <c r="V27" s="90" t="s">
        <v>59</v>
      </c>
      <c r="X27" s="314">
        <f>E27</f>
        <v>4950</v>
      </c>
      <c r="Y27" s="315"/>
      <c r="Z27" s="316" t="b">
        <f t="shared" si="5"/>
        <v>0</v>
      </c>
      <c r="AA27" s="317">
        <f t="shared" si="6"/>
        <v>0</v>
      </c>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5"/>
      <c r="BC27" s="315"/>
      <c r="BD27" s="315"/>
      <c r="BE27" s="315"/>
      <c r="BF27" s="315"/>
      <c r="BG27" s="315"/>
      <c r="BH27" s="315"/>
      <c r="BI27" s="315"/>
      <c r="BJ27" s="315"/>
      <c r="BK27" s="315"/>
      <c r="BL27" s="315"/>
      <c r="BM27" s="315"/>
      <c r="BN27" s="315"/>
      <c r="BO27" s="315"/>
      <c r="BP27" s="315"/>
      <c r="BQ27" s="315"/>
      <c r="BR27" s="315"/>
      <c r="BS27" s="315"/>
      <c r="BT27" s="315"/>
      <c r="BU27" s="315"/>
      <c r="BV27" s="315"/>
      <c r="BW27" s="315"/>
      <c r="BX27" s="315"/>
      <c r="BY27" s="315"/>
      <c r="BZ27" s="315"/>
      <c r="CA27" s="315"/>
      <c r="CB27" s="315"/>
      <c r="CC27" s="315"/>
      <c r="CD27" s="315"/>
      <c r="CE27" s="315"/>
      <c r="CF27" s="315"/>
      <c r="CG27" s="315"/>
      <c r="CH27" s="315"/>
      <c r="CI27" s="315"/>
      <c r="CJ27" s="315"/>
      <c r="CK27" s="315"/>
      <c r="CL27" s="315"/>
      <c r="CM27" s="315"/>
      <c r="CN27" s="315"/>
      <c r="CO27" s="315"/>
      <c r="CP27" s="315"/>
      <c r="CQ27" s="315"/>
      <c r="CR27" s="315"/>
      <c r="CS27" s="315"/>
      <c r="CT27" s="315"/>
      <c r="CU27" s="315"/>
      <c r="CV27" s="315"/>
      <c r="CW27" s="315"/>
      <c r="CX27" s="315"/>
      <c r="CY27" s="315"/>
      <c r="CZ27" s="315"/>
      <c r="DA27" s="315"/>
      <c r="DB27" s="315"/>
      <c r="DC27" s="315"/>
      <c r="DD27" s="315"/>
      <c r="DE27" s="315"/>
      <c r="DF27" s="315"/>
      <c r="DG27" s="315"/>
      <c r="DH27" s="315"/>
      <c r="DI27" s="315"/>
      <c r="DJ27" s="315"/>
      <c r="DK27" s="315"/>
      <c r="DL27" s="315"/>
      <c r="DM27" s="315"/>
      <c r="DN27" s="315"/>
      <c r="DO27" s="315"/>
      <c r="DP27" s="315"/>
      <c r="DQ27" s="315"/>
      <c r="DR27" s="315"/>
      <c r="DS27" s="315"/>
      <c r="DT27" s="315"/>
      <c r="DU27" s="315"/>
      <c r="DV27" s="315"/>
      <c r="DW27" s="315"/>
      <c r="DX27" s="315"/>
      <c r="DY27" s="315"/>
      <c r="DZ27" s="315"/>
      <c r="EA27" s="315"/>
      <c r="EB27" s="315"/>
      <c r="EC27" s="315"/>
      <c r="ED27" s="315"/>
      <c r="EE27" s="315"/>
      <c r="EF27" s="315"/>
      <c r="EG27" s="315"/>
      <c r="EH27" s="315"/>
      <c r="EI27" s="315"/>
      <c r="EJ27" s="315"/>
      <c r="EK27" s="315"/>
      <c r="EL27" s="315"/>
      <c r="EM27" s="315"/>
      <c r="EN27" s="315"/>
      <c r="EO27" s="315"/>
      <c r="EP27" s="315"/>
      <c r="EQ27" s="315"/>
      <c r="ER27" s="315"/>
      <c r="ES27" s="315"/>
      <c r="ET27" s="315"/>
      <c r="EU27" s="315"/>
      <c r="EV27" s="315"/>
      <c r="EW27" s="315"/>
      <c r="EX27" s="315"/>
      <c r="EY27" s="315"/>
      <c r="EZ27" s="315"/>
      <c r="FA27" s="315"/>
      <c r="FB27" s="315"/>
      <c r="FC27" s="315"/>
      <c r="FD27" s="315"/>
      <c r="FE27" s="315"/>
      <c r="FF27" s="315"/>
      <c r="FG27" s="315"/>
      <c r="FH27" s="315"/>
      <c r="FI27" s="315"/>
      <c r="FJ27" s="315"/>
      <c r="FK27" s="315"/>
      <c r="FL27" s="315"/>
      <c r="FM27" s="315"/>
      <c r="FN27" s="315"/>
      <c r="FO27" s="315"/>
      <c r="FP27" s="315"/>
      <c r="FQ27" s="315"/>
      <c r="FR27" s="315"/>
      <c r="FS27" s="315"/>
      <c r="FT27" s="315"/>
      <c r="FU27" s="315"/>
      <c r="FV27" s="315"/>
      <c r="FW27" s="315"/>
      <c r="FX27" s="315"/>
      <c r="FY27" s="315"/>
      <c r="FZ27" s="315"/>
      <c r="GA27" s="315"/>
      <c r="GB27" s="315"/>
      <c r="GC27" s="315"/>
      <c r="GD27" s="315"/>
      <c r="GE27" s="315"/>
      <c r="GF27" s="315"/>
      <c r="GG27" s="315"/>
      <c r="GH27" s="315"/>
      <c r="GI27" s="315"/>
      <c r="GJ27" s="315"/>
      <c r="GK27" s="315"/>
      <c r="GL27" s="315"/>
      <c r="GM27" s="315"/>
      <c r="GN27" s="315"/>
      <c r="GO27" s="315"/>
      <c r="GP27" s="315"/>
      <c r="GQ27" s="315"/>
      <c r="GR27" s="315"/>
      <c r="GS27" s="315"/>
      <c r="GT27" s="315"/>
      <c r="GU27" s="315"/>
      <c r="GV27" s="315"/>
      <c r="GW27" s="315"/>
      <c r="GX27" s="315"/>
      <c r="GY27" s="315"/>
      <c r="GZ27" s="315"/>
      <c r="HA27" s="315"/>
      <c r="HB27" s="315"/>
      <c r="HC27" s="315"/>
      <c r="HD27" s="315"/>
      <c r="HE27" s="315"/>
      <c r="HF27" s="315"/>
      <c r="HG27" s="315"/>
      <c r="HH27" s="315"/>
      <c r="HI27" s="315"/>
      <c r="HJ27" s="315"/>
      <c r="HK27" s="315"/>
      <c r="HL27" s="315"/>
      <c r="HM27" s="315"/>
      <c r="HN27" s="315"/>
      <c r="HO27" s="315"/>
      <c r="HP27" s="315"/>
      <c r="HQ27" s="315"/>
      <c r="HR27" s="315"/>
      <c r="HS27" s="315"/>
      <c r="HT27" s="315"/>
      <c r="HU27" s="315"/>
      <c r="HV27" s="315"/>
      <c r="HW27" s="315"/>
      <c r="HX27" s="315"/>
      <c r="HY27" s="315"/>
      <c r="HZ27" s="315"/>
      <c r="IA27" s="315"/>
      <c r="IB27" s="315"/>
      <c r="IC27" s="315"/>
      <c r="ID27" s="315"/>
      <c r="IE27" s="315"/>
      <c r="IF27" s="315"/>
      <c r="IG27" s="315"/>
      <c r="IH27" s="315"/>
      <c r="II27" s="315"/>
      <c r="IJ27" s="315"/>
      <c r="IK27" s="315"/>
      <c r="IL27" s="315"/>
      <c r="IM27" s="315"/>
      <c r="IN27" s="315"/>
      <c r="IO27" s="315"/>
      <c r="IP27" s="315"/>
      <c r="IQ27" s="315"/>
      <c r="IR27" s="315"/>
      <c r="IS27" s="315"/>
      <c r="IT27" s="315"/>
      <c r="IU27" s="315"/>
      <c r="IV27" s="315"/>
    </row>
    <row r="28" spans="1:256" s="313" customFormat="1" ht="15" customHeight="1">
      <c r="A28" s="64" t="s">
        <v>72</v>
      </c>
      <c r="B28" s="62" t="s">
        <v>63</v>
      </c>
      <c r="C28" s="62" t="s">
        <v>62</v>
      </c>
      <c r="D28" s="312" t="s">
        <v>54</v>
      </c>
      <c r="E28" s="86">
        <v>4568.3</v>
      </c>
      <c r="F28" s="87">
        <v>21228</v>
      </c>
      <c r="G28" s="88">
        <v>1329</v>
      </c>
      <c r="H28" s="87"/>
      <c r="I28" s="88"/>
      <c r="J28" s="87"/>
      <c r="K28" s="88"/>
      <c r="L28" s="88">
        <f t="shared" si="3"/>
        <v>1329</v>
      </c>
      <c r="M28" s="88">
        <f>(G28+I28+K28)*0.9</f>
        <v>1196.1000000000001</v>
      </c>
      <c r="N28" s="89">
        <f t="shared" si="4"/>
        <v>3.8193294875010446</v>
      </c>
      <c r="O28" s="61">
        <v>15</v>
      </c>
      <c r="P28" s="39" t="s">
        <v>226</v>
      </c>
      <c r="Q28" s="62"/>
      <c r="R28" s="61"/>
      <c r="S28" s="62" t="s">
        <v>32</v>
      </c>
      <c r="T28" s="62"/>
      <c r="U28" s="61"/>
      <c r="V28" s="90" t="s">
        <v>59</v>
      </c>
      <c r="X28" s="314">
        <f>E28</f>
        <v>4568.3</v>
      </c>
      <c r="Y28" s="315"/>
      <c r="Z28" s="316" t="b">
        <f t="shared" si="5"/>
        <v>0</v>
      </c>
      <c r="AA28" s="317">
        <f t="shared" si="6"/>
        <v>0</v>
      </c>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c r="BW28" s="315"/>
      <c r="BX28" s="315"/>
      <c r="BY28" s="315"/>
      <c r="BZ28" s="315"/>
      <c r="CA28" s="315"/>
      <c r="CB28" s="315"/>
      <c r="CC28" s="315"/>
      <c r="CD28" s="315"/>
      <c r="CE28" s="315"/>
      <c r="CF28" s="315"/>
      <c r="CG28" s="315"/>
      <c r="CH28" s="315"/>
      <c r="CI28" s="315"/>
      <c r="CJ28" s="315"/>
      <c r="CK28" s="315"/>
      <c r="CL28" s="315"/>
      <c r="CM28" s="315"/>
      <c r="CN28" s="315"/>
      <c r="CO28" s="315"/>
      <c r="CP28" s="315"/>
      <c r="CQ28" s="315"/>
      <c r="CR28" s="315"/>
      <c r="CS28" s="315"/>
      <c r="CT28" s="315"/>
      <c r="CU28" s="315"/>
      <c r="CV28" s="315"/>
      <c r="CW28" s="315"/>
      <c r="CX28" s="315"/>
      <c r="CY28" s="315"/>
      <c r="CZ28" s="315"/>
      <c r="DA28" s="315"/>
      <c r="DB28" s="315"/>
      <c r="DC28" s="315"/>
      <c r="DD28" s="315"/>
      <c r="DE28" s="315"/>
      <c r="DF28" s="315"/>
      <c r="DG28" s="315"/>
      <c r="DH28" s="315"/>
      <c r="DI28" s="315"/>
      <c r="DJ28" s="315"/>
      <c r="DK28" s="315"/>
      <c r="DL28" s="315"/>
      <c r="DM28" s="315"/>
      <c r="DN28" s="315"/>
      <c r="DO28" s="315"/>
      <c r="DP28" s="315"/>
      <c r="DQ28" s="315"/>
      <c r="DR28" s="315"/>
      <c r="DS28" s="315"/>
      <c r="DT28" s="315"/>
      <c r="DU28" s="315"/>
      <c r="DV28" s="315"/>
      <c r="DW28" s="315"/>
      <c r="DX28" s="315"/>
      <c r="DY28" s="315"/>
      <c r="DZ28" s="315"/>
      <c r="EA28" s="315"/>
      <c r="EB28" s="315"/>
      <c r="EC28" s="315"/>
      <c r="ED28" s="315"/>
      <c r="EE28" s="315"/>
      <c r="EF28" s="315"/>
      <c r="EG28" s="315"/>
      <c r="EH28" s="315"/>
      <c r="EI28" s="315"/>
      <c r="EJ28" s="315"/>
      <c r="EK28" s="315"/>
      <c r="EL28" s="315"/>
      <c r="EM28" s="315"/>
      <c r="EN28" s="315"/>
      <c r="EO28" s="315"/>
      <c r="EP28" s="315"/>
      <c r="EQ28" s="315"/>
      <c r="ER28" s="315"/>
      <c r="ES28" s="315"/>
      <c r="ET28" s="315"/>
      <c r="EU28" s="315"/>
      <c r="EV28" s="315"/>
      <c r="EW28" s="315"/>
      <c r="EX28" s="315"/>
      <c r="EY28" s="315"/>
      <c r="EZ28" s="315"/>
      <c r="FA28" s="315"/>
      <c r="FB28" s="315"/>
      <c r="FC28" s="315"/>
      <c r="FD28" s="315"/>
      <c r="FE28" s="315"/>
      <c r="FF28" s="315"/>
      <c r="FG28" s="315"/>
      <c r="FH28" s="315"/>
      <c r="FI28" s="315"/>
      <c r="FJ28" s="315"/>
      <c r="FK28" s="315"/>
      <c r="FL28" s="315"/>
      <c r="FM28" s="315"/>
      <c r="FN28" s="315"/>
      <c r="FO28" s="315"/>
      <c r="FP28" s="315"/>
      <c r="FQ28" s="315"/>
      <c r="FR28" s="315"/>
      <c r="FS28" s="315"/>
      <c r="FT28" s="315"/>
      <c r="FU28" s="315"/>
      <c r="FV28" s="315"/>
      <c r="FW28" s="315"/>
      <c r="FX28" s="315"/>
      <c r="FY28" s="315"/>
      <c r="FZ28" s="315"/>
      <c r="GA28" s="315"/>
      <c r="GB28" s="315"/>
      <c r="GC28" s="315"/>
      <c r="GD28" s="315"/>
      <c r="GE28" s="315"/>
      <c r="GF28" s="315"/>
      <c r="GG28" s="315"/>
      <c r="GH28" s="315"/>
      <c r="GI28" s="315"/>
      <c r="GJ28" s="315"/>
      <c r="GK28" s="315"/>
      <c r="GL28" s="315"/>
      <c r="GM28" s="315"/>
      <c r="GN28" s="315"/>
      <c r="GO28" s="315"/>
      <c r="GP28" s="315"/>
      <c r="GQ28" s="315"/>
      <c r="GR28" s="315"/>
      <c r="GS28" s="315"/>
      <c r="GT28" s="315"/>
      <c r="GU28" s="315"/>
      <c r="GV28" s="315"/>
      <c r="GW28" s="315"/>
      <c r="GX28" s="315"/>
      <c r="GY28" s="315"/>
      <c r="GZ28" s="315"/>
      <c r="HA28" s="315"/>
      <c r="HB28" s="315"/>
      <c r="HC28" s="315"/>
      <c r="HD28" s="315"/>
      <c r="HE28" s="315"/>
      <c r="HF28" s="315"/>
      <c r="HG28" s="315"/>
      <c r="HH28" s="315"/>
      <c r="HI28" s="315"/>
      <c r="HJ28" s="315"/>
      <c r="HK28" s="315"/>
      <c r="HL28" s="315"/>
      <c r="HM28" s="315"/>
      <c r="HN28" s="315"/>
      <c r="HO28" s="315"/>
      <c r="HP28" s="315"/>
      <c r="HQ28" s="315"/>
      <c r="HR28" s="315"/>
      <c r="HS28" s="315"/>
      <c r="HT28" s="315"/>
      <c r="HU28" s="315"/>
      <c r="HV28" s="315"/>
      <c r="HW28" s="315"/>
      <c r="HX28" s="315"/>
      <c r="HY28" s="315"/>
      <c r="HZ28" s="315"/>
      <c r="IA28" s="315"/>
      <c r="IB28" s="315"/>
      <c r="IC28" s="315"/>
      <c r="ID28" s="315"/>
      <c r="IE28" s="315"/>
      <c r="IF28" s="315"/>
      <c r="IG28" s="315"/>
      <c r="IH28" s="315"/>
      <c r="II28" s="315"/>
      <c r="IJ28" s="315"/>
      <c r="IK28" s="315"/>
      <c r="IL28" s="315"/>
      <c r="IM28" s="315"/>
      <c r="IN28" s="315"/>
      <c r="IO28" s="315"/>
      <c r="IP28" s="315"/>
      <c r="IQ28" s="315"/>
      <c r="IR28" s="315"/>
      <c r="IS28" s="315"/>
      <c r="IT28" s="315"/>
      <c r="IU28" s="315"/>
      <c r="IV28" s="315"/>
    </row>
    <row r="29" spans="1:256" s="46" customFormat="1" ht="15" customHeight="1">
      <c r="A29" s="64" t="s">
        <v>72</v>
      </c>
      <c r="B29" s="39" t="s">
        <v>63</v>
      </c>
      <c r="C29" s="39" t="s">
        <v>62</v>
      </c>
      <c r="D29" s="40" t="s">
        <v>50</v>
      </c>
      <c r="E29" s="41">
        <v>10364.200000000001</v>
      </c>
      <c r="F29" s="42"/>
      <c r="G29" s="43"/>
      <c r="H29" s="42">
        <v>134</v>
      </c>
      <c r="I29" s="43">
        <v>1666</v>
      </c>
      <c r="J29" s="42"/>
      <c r="K29" s="43"/>
      <c r="L29" s="43">
        <f t="shared" si="3"/>
        <v>1666</v>
      </c>
      <c r="M29" s="43">
        <f>(G29+I29+K29)*0.9</f>
        <v>1499.4</v>
      </c>
      <c r="N29" s="44">
        <f t="shared" si="4"/>
        <v>6.9122315592903831</v>
      </c>
      <c r="O29" s="38">
        <v>20</v>
      </c>
      <c r="P29" s="39"/>
      <c r="Q29" s="39" t="s">
        <v>226</v>
      </c>
      <c r="R29" s="38"/>
      <c r="S29" s="39"/>
      <c r="T29" s="39" t="s">
        <v>32</v>
      </c>
      <c r="U29" s="38"/>
      <c r="V29" s="45" t="s">
        <v>60</v>
      </c>
      <c r="Y29" s="48"/>
      <c r="Z29" s="49" t="b">
        <f t="shared" si="5"/>
        <v>0</v>
      </c>
      <c r="AA29" s="50">
        <f t="shared" si="6"/>
        <v>0</v>
      </c>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row>
    <row r="30" spans="1:256" s="46" customFormat="1" ht="15" customHeight="1">
      <c r="A30" s="64" t="s">
        <v>72</v>
      </c>
      <c r="B30" s="39" t="s">
        <v>63</v>
      </c>
      <c r="C30" s="39" t="s">
        <v>62</v>
      </c>
      <c r="D30" s="40" t="s">
        <v>57</v>
      </c>
      <c r="E30" s="77">
        <v>3300</v>
      </c>
      <c r="F30" s="78"/>
      <c r="G30" s="79"/>
      <c r="H30" s="78">
        <v>249</v>
      </c>
      <c r="I30" s="79">
        <v>3085</v>
      </c>
      <c r="J30" s="78"/>
      <c r="K30" s="79"/>
      <c r="L30" s="79">
        <f t="shared" si="3"/>
        <v>3085</v>
      </c>
      <c r="M30" s="79">
        <f>(G30+I30+K30)*0.85</f>
        <v>2622.25</v>
      </c>
      <c r="N30" s="94">
        <f t="shared" si="4"/>
        <v>1.258461245113929</v>
      </c>
      <c r="O30" s="95"/>
      <c r="P30" s="96"/>
      <c r="Q30" s="96" t="s">
        <v>226</v>
      </c>
      <c r="R30" s="95"/>
      <c r="S30" s="95"/>
      <c r="T30" s="96" t="s">
        <v>32</v>
      </c>
      <c r="U30" s="95"/>
      <c r="V30" s="45" t="s">
        <v>60</v>
      </c>
      <c r="Y30" s="48"/>
      <c r="Z30" s="49" t="b">
        <f t="shared" si="5"/>
        <v>0</v>
      </c>
      <c r="AA30" s="50">
        <f t="shared" si="6"/>
        <v>0</v>
      </c>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row>
    <row r="31" spans="1:256" s="97" customFormat="1" ht="15" customHeight="1">
      <c r="A31" s="92"/>
      <c r="B31" s="93"/>
      <c r="C31" s="93"/>
      <c r="D31" s="117" t="s">
        <v>73</v>
      </c>
      <c r="E31" s="105">
        <f>SUM(E18:E30)</f>
        <v>775015</v>
      </c>
      <c r="F31" s="110">
        <f t="shared" ref="F31:M31" si="7">SUM(F19:F30)</f>
        <v>333650</v>
      </c>
      <c r="G31" s="105">
        <f t="shared" si="7"/>
        <v>21806</v>
      </c>
      <c r="H31" s="110">
        <f t="shared" si="7"/>
        <v>667</v>
      </c>
      <c r="I31" s="105">
        <f t="shared" si="7"/>
        <v>8214</v>
      </c>
      <c r="J31" s="110">
        <f t="shared" si="7"/>
        <v>6200242</v>
      </c>
      <c r="K31" s="105">
        <f t="shared" si="7"/>
        <v>52477</v>
      </c>
      <c r="L31" s="105">
        <f t="shared" si="7"/>
        <v>82497</v>
      </c>
      <c r="M31" s="111">
        <f t="shared" si="7"/>
        <v>76195.790000000008</v>
      </c>
      <c r="N31" s="108"/>
      <c r="O31" s="51"/>
      <c r="P31" s="29"/>
      <c r="Q31" s="29"/>
      <c r="R31" s="51"/>
      <c r="S31" s="51"/>
      <c r="T31" s="29"/>
      <c r="U31" s="51"/>
      <c r="V31" s="115"/>
      <c r="Y31" s="98"/>
      <c r="Z31" s="99"/>
      <c r="AA31" s="100"/>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row r="32" spans="1:256" s="97" customFormat="1" ht="15" customHeight="1">
      <c r="A32" s="92"/>
      <c r="B32" s="93"/>
      <c r="C32" s="93"/>
      <c r="D32" s="107" t="s">
        <v>74</v>
      </c>
      <c r="E32" s="102"/>
      <c r="F32" s="103"/>
      <c r="G32" s="119">
        <f>G31/F31</f>
        <v>6.5355911883710469E-2</v>
      </c>
      <c r="H32" s="103"/>
      <c r="I32" s="119">
        <f>I31/H31</f>
        <v>12.314842578710644</v>
      </c>
      <c r="J32" s="103"/>
      <c r="K32" s="119">
        <f>K31/J31</f>
        <v>8.4637019006677475E-3</v>
      </c>
      <c r="L32" s="104"/>
      <c r="M32" s="112"/>
      <c r="N32" s="108"/>
      <c r="O32" s="51"/>
      <c r="P32" s="29"/>
      <c r="Q32" s="29"/>
      <c r="R32" s="51"/>
      <c r="S32" s="51"/>
      <c r="T32" s="29"/>
      <c r="U32" s="51"/>
      <c r="V32" s="115"/>
      <c r="Y32" s="98"/>
      <c r="Z32" s="99"/>
      <c r="AA32" s="100"/>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8"/>
      <c r="DG32" s="98"/>
      <c r="DH32" s="98"/>
      <c r="DI32" s="98"/>
      <c r="DJ32" s="98"/>
      <c r="DK32" s="98"/>
      <c r="DL32" s="98"/>
      <c r="DM32" s="98"/>
      <c r="DN32" s="98"/>
      <c r="DO32" s="98"/>
      <c r="DP32" s="98"/>
      <c r="DQ32" s="98"/>
      <c r="DR32" s="98"/>
      <c r="DS32" s="98"/>
      <c r="DT32" s="98"/>
      <c r="DU32" s="98"/>
      <c r="DV32" s="98"/>
      <c r="DW32" s="98"/>
      <c r="DX32" s="98"/>
      <c r="DY32" s="98"/>
      <c r="DZ32" s="98"/>
      <c r="EA32" s="98"/>
      <c r="EB32" s="98"/>
      <c r="EC32" s="98"/>
      <c r="ED32" s="98"/>
      <c r="EE32" s="98"/>
      <c r="EF32" s="98"/>
      <c r="EG32" s="98"/>
      <c r="EH32" s="98"/>
      <c r="EI32" s="98"/>
      <c r="EJ32" s="98"/>
      <c r="EK32" s="98"/>
      <c r="EL32" s="98"/>
      <c r="EM32" s="98"/>
      <c r="EN32" s="98"/>
      <c r="EO32" s="98"/>
      <c r="EP32" s="98"/>
      <c r="EQ32" s="98"/>
      <c r="ER32" s="98"/>
      <c r="ES32" s="98"/>
      <c r="ET32" s="98"/>
      <c r="EU32" s="98"/>
      <c r="EV32" s="98"/>
      <c r="EW32" s="98"/>
      <c r="EX32" s="98"/>
      <c r="EY32" s="98"/>
      <c r="EZ32" s="98"/>
      <c r="FA32" s="98"/>
      <c r="FB32" s="98"/>
      <c r="FC32" s="98"/>
      <c r="FD32" s="98"/>
      <c r="FE32" s="98"/>
      <c r="FF32" s="98"/>
      <c r="FG32" s="98"/>
      <c r="FH32" s="98"/>
      <c r="FI32" s="98"/>
      <c r="FJ32" s="98"/>
      <c r="FK32" s="98"/>
      <c r="FL32" s="98"/>
      <c r="FM32" s="98"/>
      <c r="FN32" s="98"/>
      <c r="FO32" s="98"/>
      <c r="FP32" s="98"/>
      <c r="FQ32" s="98"/>
      <c r="FR32" s="98"/>
      <c r="FS32" s="98"/>
      <c r="FT32" s="98"/>
      <c r="FU32" s="98"/>
      <c r="FV32" s="98"/>
      <c r="FW32" s="98"/>
      <c r="FX32" s="98"/>
      <c r="FY32" s="98"/>
      <c r="FZ32" s="98"/>
      <c r="GA32" s="98"/>
      <c r="GB32" s="98"/>
      <c r="GC32" s="98"/>
      <c r="GD32" s="98"/>
      <c r="GE32" s="98"/>
      <c r="GF32" s="98"/>
      <c r="GG32" s="98"/>
      <c r="GH32" s="98"/>
      <c r="GI32" s="98"/>
      <c r="GJ32" s="98"/>
      <c r="GK32" s="98"/>
      <c r="GL32" s="98"/>
      <c r="GM32" s="98"/>
      <c r="GN32" s="98"/>
      <c r="GO32" s="98"/>
      <c r="GP32" s="98"/>
      <c r="GQ32" s="98"/>
      <c r="GR32" s="98"/>
      <c r="GS32" s="98"/>
      <c r="GT32" s="98"/>
      <c r="GU32" s="98"/>
      <c r="GV32" s="98"/>
      <c r="GW32" s="98"/>
      <c r="GX32" s="98"/>
      <c r="GY32" s="98"/>
      <c r="GZ32" s="98"/>
      <c r="HA32" s="98"/>
      <c r="HB32" s="98"/>
      <c r="HC32" s="98"/>
      <c r="HD32" s="98"/>
      <c r="HE32" s="98"/>
      <c r="HF32" s="98"/>
      <c r="HG32" s="98"/>
      <c r="HH32" s="98"/>
      <c r="HI32" s="98"/>
      <c r="HJ32" s="98"/>
      <c r="HK32" s="98"/>
      <c r="HL32" s="98"/>
      <c r="HM32" s="98"/>
      <c r="HN32" s="98"/>
      <c r="HO32" s="98"/>
      <c r="HP32" s="98"/>
      <c r="HQ32" s="98"/>
      <c r="HR32" s="98"/>
      <c r="HS32" s="98"/>
      <c r="HT32" s="98"/>
      <c r="HU32" s="98"/>
      <c r="HV32" s="98"/>
      <c r="HW32" s="98"/>
      <c r="HX32" s="98"/>
      <c r="HY32" s="98"/>
      <c r="HZ32" s="98"/>
      <c r="IA32" s="98"/>
      <c r="IB32" s="98"/>
      <c r="IC32" s="98"/>
      <c r="ID32" s="98"/>
      <c r="IE32" s="98"/>
      <c r="IF32" s="98"/>
      <c r="IG32" s="98"/>
      <c r="IH32" s="98"/>
      <c r="II32" s="98"/>
      <c r="IJ32" s="98"/>
      <c r="IK32" s="98"/>
      <c r="IL32" s="98"/>
      <c r="IM32" s="98"/>
      <c r="IN32" s="98"/>
      <c r="IO32" s="98"/>
      <c r="IP32" s="98"/>
      <c r="IQ32" s="98"/>
      <c r="IR32" s="98"/>
      <c r="IS32" s="98"/>
      <c r="IT32" s="98"/>
      <c r="IU32" s="98"/>
      <c r="IV32" s="98"/>
    </row>
    <row r="33" spans="1:256" s="97" customFormat="1" ht="15" customHeight="1">
      <c r="A33" s="92"/>
      <c r="B33" s="93"/>
      <c r="C33" s="93"/>
      <c r="D33" s="106" t="s">
        <v>75</v>
      </c>
      <c r="E33" s="77"/>
      <c r="F33" s="78"/>
      <c r="G33" s="119">
        <v>6.1499999999999999E-2</v>
      </c>
      <c r="H33" s="78"/>
      <c r="I33" s="119">
        <v>12.39</v>
      </c>
      <c r="J33" s="78"/>
      <c r="K33" s="119">
        <v>8.0999999999999996E-3</v>
      </c>
      <c r="L33" s="79"/>
      <c r="M33" s="113"/>
      <c r="N33" s="108"/>
      <c r="O33" s="51"/>
      <c r="P33" s="29"/>
      <c r="Q33" s="29"/>
      <c r="R33" s="51"/>
      <c r="S33" s="51"/>
      <c r="T33" s="29"/>
      <c r="U33" s="51"/>
      <c r="V33" s="115"/>
      <c r="Y33" s="98"/>
      <c r="Z33" s="99"/>
      <c r="AA33" s="100"/>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8"/>
      <c r="DY33" s="98"/>
      <c r="DZ33" s="98"/>
      <c r="EA33" s="98"/>
      <c r="EB33" s="98"/>
      <c r="EC33" s="98"/>
      <c r="ED33" s="98"/>
      <c r="EE33" s="98"/>
      <c r="EF33" s="98"/>
      <c r="EG33" s="98"/>
      <c r="EH33" s="98"/>
      <c r="EI33" s="98"/>
      <c r="EJ33" s="98"/>
      <c r="EK33" s="98"/>
      <c r="EL33" s="98"/>
      <c r="EM33" s="98"/>
      <c r="EN33" s="98"/>
      <c r="EO33" s="98"/>
      <c r="EP33" s="98"/>
      <c r="EQ33" s="98"/>
      <c r="ER33" s="98"/>
      <c r="ES33" s="98"/>
      <c r="ET33" s="98"/>
      <c r="EU33" s="98"/>
      <c r="EV33" s="98"/>
      <c r="EW33" s="98"/>
      <c r="EX33" s="98"/>
      <c r="EY33" s="98"/>
      <c r="EZ33" s="98"/>
      <c r="FA33" s="98"/>
      <c r="FB33" s="98"/>
      <c r="FC33" s="98"/>
      <c r="FD33" s="98"/>
      <c r="FE33" s="98"/>
      <c r="FF33" s="98"/>
      <c r="FG33" s="98"/>
      <c r="FH33" s="98"/>
      <c r="FI33" s="98"/>
      <c r="FJ33" s="98"/>
      <c r="FK33" s="98"/>
      <c r="FL33" s="98"/>
      <c r="FM33" s="98"/>
      <c r="FN33" s="98"/>
      <c r="FO33" s="98"/>
      <c r="FP33" s="98"/>
      <c r="FQ33" s="98"/>
      <c r="FR33" s="98"/>
      <c r="FS33" s="98"/>
      <c r="FT33" s="98"/>
      <c r="FU33" s="98"/>
      <c r="FV33" s="98"/>
      <c r="FW33" s="98"/>
      <c r="FX33" s="98"/>
      <c r="FY33" s="98"/>
      <c r="FZ33" s="98"/>
      <c r="GA33" s="98"/>
      <c r="GB33" s="98"/>
      <c r="GC33" s="98"/>
      <c r="GD33" s="98"/>
      <c r="GE33" s="98"/>
      <c r="GF33" s="98"/>
      <c r="GG33" s="98"/>
      <c r="GH33" s="98"/>
      <c r="GI33" s="98"/>
      <c r="GJ33" s="98"/>
      <c r="GK33" s="98"/>
      <c r="GL33" s="98"/>
      <c r="GM33" s="98"/>
      <c r="GN33" s="98"/>
      <c r="GO33" s="98"/>
      <c r="GP33" s="98"/>
      <c r="GQ33" s="98"/>
      <c r="GR33" s="98"/>
      <c r="GS33" s="98"/>
      <c r="GT33" s="98"/>
      <c r="GU33" s="98"/>
      <c r="GV33" s="98"/>
      <c r="GW33" s="98"/>
      <c r="GX33" s="98"/>
      <c r="GY33" s="98"/>
      <c r="GZ33" s="98"/>
      <c r="HA33" s="98"/>
      <c r="HB33" s="98"/>
      <c r="HC33" s="98"/>
      <c r="HD33" s="98"/>
      <c r="HE33" s="98"/>
      <c r="HF33" s="98"/>
      <c r="HG33" s="98"/>
      <c r="HH33" s="98"/>
      <c r="HI33" s="98"/>
      <c r="HJ33" s="98"/>
      <c r="HK33" s="98"/>
      <c r="HL33" s="98"/>
      <c r="HM33" s="98"/>
      <c r="HN33" s="98"/>
      <c r="HO33" s="98"/>
      <c r="HP33" s="98"/>
      <c r="HQ33" s="98"/>
      <c r="HR33" s="98"/>
      <c r="HS33" s="98"/>
      <c r="HT33" s="98"/>
      <c r="HU33" s="98"/>
      <c r="HV33" s="98"/>
      <c r="HW33" s="98"/>
      <c r="HX33" s="98"/>
      <c r="HY33" s="98"/>
      <c r="HZ33" s="98"/>
      <c r="IA33" s="98"/>
      <c r="IB33" s="98"/>
      <c r="IC33" s="98"/>
      <c r="ID33" s="98"/>
      <c r="IE33" s="98"/>
      <c r="IF33" s="98"/>
      <c r="IG33" s="98"/>
      <c r="IH33" s="98"/>
      <c r="II33" s="98"/>
      <c r="IJ33" s="98"/>
      <c r="IK33" s="98"/>
      <c r="IL33" s="98"/>
      <c r="IM33" s="98"/>
      <c r="IN33" s="98"/>
      <c r="IO33" s="98"/>
      <c r="IP33" s="98"/>
      <c r="IQ33" s="98"/>
      <c r="IR33" s="98"/>
      <c r="IS33" s="98"/>
      <c r="IT33" s="98"/>
      <c r="IU33" s="98"/>
      <c r="IV33" s="98"/>
    </row>
    <row r="34" spans="1:256" s="97" customFormat="1" ht="15" customHeight="1">
      <c r="A34" s="92"/>
      <c r="B34" s="93"/>
      <c r="C34" s="93"/>
      <c r="D34" s="101"/>
      <c r="E34" s="77"/>
      <c r="F34" s="78"/>
      <c r="G34" s="79"/>
      <c r="H34" s="78"/>
      <c r="I34" s="79"/>
      <c r="J34" s="78"/>
      <c r="K34" s="79"/>
      <c r="L34" s="79"/>
      <c r="M34" s="113"/>
      <c r="N34" s="108"/>
      <c r="O34" s="51"/>
      <c r="P34" s="29"/>
      <c r="Q34" s="29"/>
      <c r="R34" s="51"/>
      <c r="S34" s="51"/>
      <c r="T34" s="29"/>
      <c r="U34" s="51"/>
      <c r="V34" s="115"/>
      <c r="Y34" s="98"/>
      <c r="Z34" s="99"/>
      <c r="AA34" s="100"/>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c r="IV34" s="98"/>
    </row>
    <row r="35" spans="1:256" s="97" customFormat="1" ht="15" customHeight="1" thickBot="1">
      <c r="A35" s="92"/>
      <c r="B35" s="93"/>
      <c r="C35" s="93"/>
      <c r="D35" s="118" t="s">
        <v>44</v>
      </c>
      <c r="E35" s="109">
        <f>E15+E31</f>
        <v>823949.9</v>
      </c>
      <c r="F35" s="253">
        <f t="shared" ref="F35:M35" si="8">F15+F31</f>
        <v>388970</v>
      </c>
      <c r="G35" s="109">
        <f t="shared" si="8"/>
        <v>25866</v>
      </c>
      <c r="H35" s="253">
        <f t="shared" si="8"/>
        <v>912</v>
      </c>
      <c r="I35" s="109">
        <f t="shared" si="8"/>
        <v>10716</v>
      </c>
      <c r="J35" s="253">
        <f t="shared" si="8"/>
        <v>6507644</v>
      </c>
      <c r="K35" s="109">
        <f t="shared" si="8"/>
        <v>55037</v>
      </c>
      <c r="L35" s="109">
        <f t="shared" si="8"/>
        <v>91619</v>
      </c>
      <c r="M35" s="114">
        <f t="shared" si="8"/>
        <v>84695.99</v>
      </c>
      <c r="N35" s="108"/>
      <c r="O35" s="51"/>
      <c r="P35" s="29"/>
      <c r="Q35" s="29"/>
      <c r="R35" s="51"/>
      <c r="S35" s="51"/>
      <c r="T35" s="29"/>
      <c r="U35" s="51"/>
      <c r="V35" s="115"/>
      <c r="X35" s="226">
        <f>SUM(X9:X34)</f>
        <v>48385.700000000004</v>
      </c>
      <c r="Y35" s="98"/>
      <c r="Z35" s="99"/>
      <c r="AA35" s="227">
        <f>SUM(AA9:AA34)</f>
        <v>0</v>
      </c>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c r="FM35" s="98"/>
      <c r="FN35" s="98"/>
      <c r="FO35" s="98"/>
      <c r="FP35" s="98"/>
      <c r="FQ35" s="98"/>
      <c r="FR35" s="98"/>
      <c r="FS35" s="98"/>
      <c r="FT35" s="98"/>
      <c r="FU35" s="98"/>
      <c r="FV35" s="98"/>
      <c r="FW35" s="98"/>
      <c r="FX35" s="98"/>
      <c r="FY35" s="98"/>
      <c r="FZ35" s="98"/>
      <c r="GA35" s="98"/>
      <c r="GB35" s="98"/>
      <c r="GC35" s="98"/>
      <c r="GD35" s="98"/>
      <c r="GE35" s="98"/>
      <c r="GF35" s="98"/>
      <c r="GG35" s="98"/>
      <c r="GH35" s="98"/>
      <c r="GI35" s="98"/>
      <c r="GJ35" s="98"/>
      <c r="GK35" s="98"/>
      <c r="GL35" s="98"/>
      <c r="GM35" s="98"/>
      <c r="GN35" s="98"/>
      <c r="GO35" s="98"/>
      <c r="GP35" s="98"/>
      <c r="GQ35" s="98"/>
      <c r="GR35" s="98"/>
      <c r="GS35" s="98"/>
      <c r="GT35" s="98"/>
      <c r="GU35" s="98"/>
      <c r="GV35" s="98"/>
      <c r="GW35" s="98"/>
      <c r="GX35" s="98"/>
      <c r="GY35" s="98"/>
      <c r="GZ35" s="98"/>
      <c r="HA35" s="98"/>
      <c r="HB35" s="98"/>
      <c r="HC35" s="98"/>
      <c r="HD35" s="98"/>
      <c r="HE35" s="98"/>
      <c r="HF35" s="98"/>
      <c r="HG35" s="98"/>
      <c r="HH35" s="98"/>
      <c r="HI35" s="98"/>
      <c r="HJ35" s="98"/>
      <c r="HK35" s="98"/>
      <c r="HL35" s="98"/>
      <c r="HM35" s="98"/>
      <c r="HN35" s="98"/>
      <c r="HO35" s="98"/>
      <c r="HP35" s="98"/>
      <c r="HQ35" s="98"/>
      <c r="HR35" s="98"/>
      <c r="HS35" s="98"/>
      <c r="HT35" s="98"/>
      <c r="HU35" s="98"/>
      <c r="HV35" s="98"/>
      <c r="HW35" s="98"/>
      <c r="HX35" s="98"/>
      <c r="HY35" s="98"/>
      <c r="HZ35" s="98"/>
      <c r="IA35" s="98"/>
      <c r="IB35" s="98"/>
      <c r="IC35" s="98"/>
      <c r="ID35" s="98"/>
      <c r="IE35" s="98"/>
      <c r="IF35" s="98"/>
      <c r="IG35" s="98"/>
      <c r="IH35" s="98"/>
      <c r="II35" s="98"/>
      <c r="IJ35" s="98"/>
      <c r="IK35" s="98"/>
      <c r="IL35" s="98"/>
      <c r="IM35" s="98"/>
      <c r="IN35" s="98"/>
      <c r="IO35" s="98"/>
      <c r="IP35" s="98"/>
      <c r="IQ35" s="98"/>
      <c r="IR35" s="98"/>
      <c r="IS35" s="98"/>
      <c r="IT35" s="98"/>
      <c r="IU35" s="98"/>
      <c r="IV35" s="98"/>
    </row>
    <row r="36" spans="1:256" s="53" customFormat="1" ht="33" customHeight="1" thickTop="1" thickBot="1">
      <c r="A36" s="51"/>
      <c r="B36" s="51"/>
      <c r="C36" s="51"/>
      <c r="D36" s="51"/>
      <c r="E36" s="51"/>
      <c r="F36" s="51"/>
      <c r="G36" s="51"/>
      <c r="H36" s="51"/>
      <c r="I36" s="51"/>
      <c r="J36" s="51"/>
      <c r="K36" s="51"/>
      <c r="L36" s="51"/>
      <c r="M36" s="51"/>
      <c r="N36" s="51"/>
      <c r="O36" s="51"/>
      <c r="P36" s="51"/>
      <c r="Q36" s="51"/>
      <c r="R36" s="51"/>
      <c r="S36" s="51"/>
      <c r="T36" s="51"/>
      <c r="U36" s="51"/>
      <c r="V36" s="51"/>
      <c r="W36" s="52"/>
      <c r="X36" s="52"/>
      <c r="Y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c r="IV36" s="52"/>
    </row>
    <row r="37" spans="1:256" s="32" customFormat="1" ht="13">
      <c r="A37" s="3"/>
      <c r="B37" s="3"/>
      <c r="C37" s="3"/>
      <c r="D37" s="331" t="s">
        <v>42</v>
      </c>
      <c r="E37" s="332" t="s">
        <v>43</v>
      </c>
      <c r="F37" s="333" t="s">
        <v>44</v>
      </c>
      <c r="G37" s="3"/>
      <c r="H37" s="3"/>
      <c r="I37" s="3"/>
      <c r="J37" s="3"/>
      <c r="K37" s="3"/>
      <c r="L37" s="3"/>
      <c r="M37" s="3"/>
      <c r="N37" s="3"/>
      <c r="O37" s="3"/>
      <c r="P37" s="4"/>
      <c r="Q37" s="4"/>
      <c r="R37" s="4"/>
      <c r="S37" s="3"/>
      <c r="T37" s="3"/>
      <c r="U37" s="3"/>
      <c r="V37" s="3"/>
      <c r="Z37" s="53" t="s">
        <v>70</v>
      </c>
      <c r="AA37" s="34">
        <f>AA35/L35</f>
        <v>0</v>
      </c>
    </row>
    <row r="38" spans="1:256" s="32" customFormat="1">
      <c r="A38" s="3"/>
      <c r="B38" s="3"/>
      <c r="C38" s="3"/>
      <c r="D38" s="21" t="s">
        <v>34</v>
      </c>
      <c r="E38" s="20">
        <v>0.04</v>
      </c>
      <c r="F38" s="26">
        <f>E38*$E$35</f>
        <v>32957.995999999999</v>
      </c>
      <c r="G38" s="3"/>
      <c r="H38" s="3"/>
      <c r="I38" s="3"/>
      <c r="J38" s="3"/>
      <c r="K38" s="3"/>
      <c r="L38" s="3"/>
      <c r="M38" s="3"/>
      <c r="N38" s="3"/>
      <c r="O38" s="3"/>
      <c r="P38" s="4"/>
      <c r="Q38" s="4"/>
      <c r="R38" s="4"/>
      <c r="S38" s="3"/>
      <c r="T38" s="3"/>
      <c r="U38" s="3"/>
      <c r="V38" s="3"/>
      <c r="Z38" s="33" t="s">
        <v>71</v>
      </c>
      <c r="AA38" s="34">
        <f>1-AA37</f>
        <v>1</v>
      </c>
    </row>
    <row r="39" spans="1:256" s="32" customFormat="1">
      <c r="A39" s="3"/>
      <c r="B39" s="3"/>
      <c r="C39" s="3"/>
      <c r="D39" s="21" t="s">
        <v>35</v>
      </c>
      <c r="E39" s="20">
        <v>0.05</v>
      </c>
      <c r="F39" s="26">
        <f t="shared" ref="F39:F44" si="9">E39*$E$35</f>
        <v>41197.495000000003</v>
      </c>
      <c r="G39" s="3"/>
      <c r="H39" s="3"/>
      <c r="I39" s="3"/>
      <c r="J39" s="3"/>
      <c r="K39" s="3"/>
      <c r="L39" s="3"/>
      <c r="M39" s="3"/>
      <c r="N39" s="3"/>
      <c r="O39" s="3"/>
      <c r="P39" s="4"/>
      <c r="Q39" s="4"/>
      <c r="R39" s="4"/>
      <c r="S39" s="3"/>
      <c r="T39" s="3"/>
      <c r="U39" s="3"/>
      <c r="V39" s="3"/>
    </row>
    <row r="40" spans="1:256" s="32" customFormat="1">
      <c r="A40" s="3"/>
      <c r="B40" s="3"/>
      <c r="C40" s="3"/>
      <c r="D40" s="21" t="s">
        <v>185</v>
      </c>
      <c r="E40" s="20">
        <v>5.0000000000000001E-3</v>
      </c>
      <c r="F40" s="26">
        <f t="shared" si="9"/>
        <v>4119.7494999999999</v>
      </c>
      <c r="G40" s="3"/>
      <c r="H40" s="3"/>
      <c r="I40" s="3"/>
      <c r="J40" s="3"/>
      <c r="K40" s="3"/>
      <c r="L40" s="3"/>
      <c r="M40" s="3"/>
      <c r="N40" s="3"/>
      <c r="O40" s="3"/>
      <c r="P40" s="4"/>
      <c r="Q40" s="4"/>
      <c r="R40" s="4"/>
      <c r="S40" s="3"/>
      <c r="T40" s="3"/>
      <c r="U40" s="3"/>
      <c r="V40" s="3"/>
    </row>
    <row r="41" spans="1:256" s="32" customFormat="1">
      <c r="A41" s="3"/>
      <c r="B41" s="3"/>
      <c r="C41" s="3"/>
      <c r="D41" s="54" t="s">
        <v>186</v>
      </c>
      <c r="E41" s="20">
        <v>3.5000000000000003E-2</v>
      </c>
      <c r="F41" s="26">
        <f t="shared" si="9"/>
        <v>28838.246500000005</v>
      </c>
      <c r="G41" s="3"/>
      <c r="H41" s="320"/>
      <c r="I41" s="3"/>
      <c r="J41" s="3"/>
      <c r="K41" s="3"/>
      <c r="L41" s="3"/>
      <c r="M41" s="3"/>
      <c r="N41" s="3"/>
      <c r="O41" s="3"/>
      <c r="P41" s="4"/>
      <c r="Q41" s="4"/>
      <c r="R41" s="4"/>
      <c r="S41" s="3"/>
      <c r="T41" s="3"/>
      <c r="U41" s="3"/>
      <c r="V41" s="3"/>
    </row>
    <row r="42" spans="1:256" s="32" customFormat="1">
      <c r="A42" s="3"/>
      <c r="B42" s="3"/>
      <c r="C42" s="3"/>
      <c r="D42" s="21" t="s">
        <v>183</v>
      </c>
      <c r="E42" s="20">
        <v>1.2500000000000001E-2</v>
      </c>
      <c r="F42" s="26">
        <f t="shared" si="9"/>
        <v>10299.373750000001</v>
      </c>
      <c r="G42" s="3"/>
      <c r="H42" s="3"/>
      <c r="I42" s="3"/>
      <c r="J42" s="3"/>
      <c r="K42" s="3"/>
      <c r="L42" s="55"/>
      <c r="M42" s="17"/>
      <c r="N42" s="3"/>
      <c r="O42" s="3"/>
      <c r="P42" s="4"/>
      <c r="Q42" s="4"/>
      <c r="R42" s="4"/>
      <c r="S42" s="3"/>
      <c r="T42" s="3"/>
      <c r="U42" s="3"/>
      <c r="V42" s="3"/>
    </row>
    <row r="43" spans="1:256" s="32" customFormat="1">
      <c r="A43" s="3"/>
      <c r="B43" s="3"/>
      <c r="C43" s="3"/>
      <c r="D43" s="21" t="s">
        <v>28</v>
      </c>
      <c r="E43" s="20">
        <v>2.5000000000000001E-2</v>
      </c>
      <c r="F43" s="26">
        <f t="shared" si="9"/>
        <v>20598.747500000001</v>
      </c>
      <c r="G43" s="3"/>
      <c r="H43" s="3"/>
      <c r="I43" s="3"/>
      <c r="J43" s="3"/>
      <c r="K43" s="3"/>
      <c r="L43" s="55"/>
      <c r="M43" s="17"/>
      <c r="N43" s="3"/>
      <c r="O43" s="3"/>
      <c r="P43" s="4"/>
      <c r="Q43" s="4"/>
      <c r="R43" s="4"/>
      <c r="S43" s="3"/>
      <c r="T43" s="3"/>
      <c r="U43" s="3"/>
      <c r="V43" s="3"/>
    </row>
    <row r="44" spans="1:256" s="32" customFormat="1">
      <c r="A44" s="3"/>
      <c r="B44" s="3"/>
      <c r="C44" s="3"/>
      <c r="D44" s="21" t="s">
        <v>36</v>
      </c>
      <c r="E44" s="20">
        <v>1.2500000000000001E-2</v>
      </c>
      <c r="F44" s="26">
        <f t="shared" si="9"/>
        <v>10299.373750000001</v>
      </c>
      <c r="G44" s="3"/>
      <c r="H44" s="3"/>
      <c r="I44" s="3"/>
      <c r="J44" s="3"/>
      <c r="K44" s="3"/>
      <c r="L44" s="55"/>
      <c r="M44" s="17"/>
      <c r="N44" s="3"/>
      <c r="O44" s="3"/>
      <c r="P44" s="4"/>
      <c r="Q44" s="4"/>
      <c r="R44" s="4"/>
      <c r="S44" s="3"/>
      <c r="T44" s="3"/>
      <c r="U44" s="3"/>
      <c r="V44" s="3"/>
    </row>
    <row r="45" spans="1:256" s="32" customFormat="1" ht="13.5" thickBot="1">
      <c r="A45" s="3"/>
      <c r="B45" s="3"/>
      <c r="C45" s="3"/>
      <c r="D45" s="18" t="s">
        <v>45</v>
      </c>
      <c r="E45" s="19"/>
      <c r="F45" s="25">
        <f>SUM(F38:F44)</f>
        <v>148310.98200000002</v>
      </c>
      <c r="G45" s="3"/>
      <c r="H45" s="3"/>
      <c r="I45" s="3"/>
      <c r="J45" s="3"/>
      <c r="K45" s="3"/>
      <c r="L45" s="55"/>
      <c r="M45" s="17"/>
      <c r="N45" s="3"/>
      <c r="O45" s="3"/>
      <c r="P45" s="4"/>
      <c r="Q45" s="4"/>
      <c r="R45" s="4"/>
      <c r="S45" s="3"/>
      <c r="T45" s="3"/>
      <c r="U45" s="3"/>
      <c r="V45" s="3"/>
    </row>
    <row r="46" spans="1:256" s="32" customFormat="1" ht="13" thickBot="1">
      <c r="A46" s="3"/>
      <c r="B46" s="3"/>
      <c r="C46" s="3"/>
      <c r="D46" s="56"/>
      <c r="E46" s="57"/>
      <c r="F46" s="57"/>
      <c r="G46" s="3"/>
      <c r="H46" s="3"/>
      <c r="I46" s="3"/>
      <c r="J46" s="3"/>
      <c r="K46" s="3"/>
      <c r="L46" s="55"/>
      <c r="M46" s="17"/>
      <c r="N46" s="3"/>
      <c r="O46" s="3"/>
      <c r="P46" s="4"/>
      <c r="Q46" s="4"/>
      <c r="R46" s="4"/>
      <c r="S46" s="3"/>
      <c r="T46" s="3"/>
      <c r="U46" s="3"/>
      <c r="V46" s="3"/>
    </row>
    <row r="47" spans="1:256" s="32" customFormat="1" ht="13">
      <c r="A47" s="3"/>
      <c r="B47" s="3"/>
      <c r="C47" s="3"/>
      <c r="D47" s="328" t="s">
        <v>46</v>
      </c>
      <c r="E47" s="329" t="s">
        <v>43</v>
      </c>
      <c r="F47" s="330" t="s">
        <v>44</v>
      </c>
      <c r="G47" s="3"/>
      <c r="H47" s="3"/>
      <c r="I47" s="3"/>
      <c r="J47" s="3"/>
      <c r="K47" s="3"/>
      <c r="L47" s="55"/>
      <c r="M47" s="17"/>
      <c r="N47" s="3"/>
      <c r="O47" s="3"/>
      <c r="P47" s="4"/>
      <c r="Q47" s="4"/>
      <c r="R47" s="4"/>
      <c r="S47" s="3"/>
      <c r="T47" s="3"/>
      <c r="U47" s="3"/>
      <c r="V47" s="3"/>
    </row>
    <row r="48" spans="1:256" s="32" customFormat="1">
      <c r="A48" s="3"/>
      <c r="B48" s="3"/>
      <c r="C48" s="3"/>
      <c r="D48" s="58" t="s">
        <v>41</v>
      </c>
      <c r="E48" s="59"/>
      <c r="F48" s="60">
        <f>E35</f>
        <v>823949.9</v>
      </c>
      <c r="G48" s="3"/>
      <c r="H48" s="3"/>
      <c r="I48" s="3"/>
      <c r="J48" s="3"/>
      <c r="K48" s="3"/>
      <c r="L48" s="55"/>
      <c r="M48" s="17"/>
      <c r="N48" s="3"/>
      <c r="O48" s="3"/>
      <c r="P48" s="4"/>
      <c r="Q48" s="4"/>
      <c r="R48" s="4"/>
      <c r="S48" s="3"/>
      <c r="T48" s="3"/>
      <c r="U48" s="3"/>
      <c r="V48" s="3"/>
    </row>
    <row r="49" spans="1:22" s="32" customFormat="1">
      <c r="A49" s="3"/>
      <c r="B49" s="3"/>
      <c r="C49" s="3"/>
      <c r="D49" s="21" t="s">
        <v>42</v>
      </c>
      <c r="E49" s="20"/>
      <c r="F49" s="26">
        <f>F45</f>
        <v>148310.98200000002</v>
      </c>
      <c r="G49" s="3"/>
      <c r="H49" s="3"/>
      <c r="I49" s="3"/>
      <c r="J49" s="3"/>
      <c r="K49" s="3"/>
      <c r="L49" s="55"/>
      <c r="M49" s="17"/>
      <c r="N49" s="3"/>
      <c r="O49" s="3"/>
      <c r="P49" s="4"/>
      <c r="Q49" s="4"/>
      <c r="R49" s="4"/>
      <c r="S49" s="3"/>
      <c r="T49" s="3"/>
      <c r="U49" s="3"/>
      <c r="V49" s="3"/>
    </row>
    <row r="50" spans="1:22" s="32" customFormat="1">
      <c r="A50" s="3"/>
      <c r="B50" s="3"/>
      <c r="C50" s="3"/>
      <c r="D50" s="22" t="s">
        <v>37</v>
      </c>
      <c r="E50" s="20"/>
      <c r="F50" s="26">
        <f>SUM(F48:F49)</f>
        <v>972260.88199999998</v>
      </c>
      <c r="G50" s="3"/>
      <c r="H50" s="320"/>
      <c r="I50" s="320"/>
      <c r="J50" s="3"/>
      <c r="K50" s="3"/>
      <c r="L50" s="55"/>
      <c r="M50" s="17"/>
      <c r="N50" s="3"/>
      <c r="O50" s="3"/>
      <c r="P50" s="4"/>
      <c r="Q50" s="4"/>
      <c r="R50" s="4"/>
      <c r="S50" s="3"/>
      <c r="T50" s="3"/>
      <c r="U50" s="3"/>
      <c r="V50" s="3"/>
    </row>
    <row r="51" spans="1:22" s="32" customFormat="1">
      <c r="A51" s="3"/>
      <c r="B51" s="3"/>
      <c r="C51" s="3"/>
      <c r="D51" s="54" t="s">
        <v>38</v>
      </c>
      <c r="E51" s="20">
        <v>0.15</v>
      </c>
      <c r="F51" s="26">
        <f>F50*0.15</f>
        <v>145839.1323</v>
      </c>
      <c r="G51" s="3"/>
      <c r="H51" s="9"/>
      <c r="I51" s="3"/>
      <c r="J51" s="3"/>
      <c r="K51" s="3"/>
      <c r="L51" s="55"/>
      <c r="M51" s="17"/>
      <c r="N51" s="3"/>
      <c r="O51" s="3"/>
      <c r="P51" s="4"/>
      <c r="Q51" s="4"/>
      <c r="R51" s="4"/>
      <c r="S51" s="3"/>
      <c r="T51" s="3"/>
      <c r="U51" s="3"/>
      <c r="V51" s="3"/>
    </row>
    <row r="52" spans="1:22" s="32" customFormat="1">
      <c r="A52" s="3"/>
      <c r="B52" s="3"/>
      <c r="C52" s="3"/>
      <c r="D52" s="22" t="s">
        <v>37</v>
      </c>
      <c r="E52" s="20"/>
      <c r="F52" s="26">
        <f>SUM(F50:F51)</f>
        <v>1118100.0142999999</v>
      </c>
      <c r="G52" s="3"/>
      <c r="H52" s="3"/>
      <c r="I52" s="3"/>
      <c r="J52" s="3"/>
      <c r="K52" s="3"/>
      <c r="L52" s="55"/>
      <c r="M52" s="17"/>
      <c r="N52" s="3"/>
      <c r="O52" s="3"/>
      <c r="P52" s="4"/>
      <c r="Q52" s="4"/>
      <c r="R52" s="4"/>
      <c r="S52" s="3"/>
      <c r="T52" s="3"/>
      <c r="U52" s="3"/>
      <c r="V52" s="3"/>
    </row>
    <row r="53" spans="1:22" s="32" customFormat="1">
      <c r="A53" s="3"/>
      <c r="B53" s="3"/>
      <c r="C53" s="3"/>
      <c r="D53" s="21" t="s">
        <v>39</v>
      </c>
      <c r="E53" s="20">
        <v>0.1</v>
      </c>
      <c r="F53" s="26">
        <f>F52*0.1</f>
        <v>111810.00143</v>
      </c>
      <c r="G53" s="3"/>
      <c r="H53" s="3"/>
      <c r="I53" s="3"/>
      <c r="J53" s="3"/>
      <c r="K53" s="3"/>
      <c r="L53" s="55"/>
      <c r="M53" s="17"/>
      <c r="N53" s="3"/>
      <c r="O53" s="3"/>
      <c r="P53" s="4"/>
      <c r="Q53" s="4"/>
      <c r="R53" s="4"/>
      <c r="S53" s="3"/>
      <c r="T53" s="3"/>
      <c r="U53" s="3"/>
      <c r="V53" s="3"/>
    </row>
    <row r="54" spans="1:22" s="32" customFormat="1" ht="13.5" thickBot="1">
      <c r="A54" s="3"/>
      <c r="B54" s="3"/>
      <c r="C54" s="3"/>
      <c r="D54" s="23" t="s">
        <v>184</v>
      </c>
      <c r="E54" s="24"/>
      <c r="F54" s="27">
        <f>F53+F52</f>
        <v>1229910.0157299999</v>
      </c>
      <c r="G54" s="3"/>
      <c r="H54" s="3"/>
      <c r="I54" s="3"/>
      <c r="J54" s="3"/>
      <c r="K54" s="3"/>
      <c r="L54" s="55"/>
      <c r="M54" s="17"/>
      <c r="N54" s="3"/>
      <c r="O54" s="3"/>
      <c r="P54" s="4"/>
      <c r="Q54" s="4"/>
      <c r="R54" s="4"/>
      <c r="S54" s="3"/>
      <c r="T54" s="3"/>
      <c r="U54" s="3"/>
      <c r="V54" s="3"/>
    </row>
    <row r="55" spans="1:22" s="32" customFormat="1" ht="13" thickBot="1">
      <c r="A55" s="3"/>
      <c r="B55" s="3"/>
      <c r="C55" s="3"/>
      <c r="D55" s="3"/>
      <c r="E55" s="4"/>
      <c r="F55" s="3"/>
      <c r="G55" s="3"/>
      <c r="H55" s="3"/>
      <c r="I55" s="3"/>
      <c r="J55" s="3"/>
      <c r="K55" s="3"/>
      <c r="L55" s="55"/>
      <c r="M55" s="17"/>
      <c r="N55" s="3"/>
      <c r="O55" s="3"/>
      <c r="P55" s="4"/>
      <c r="Q55" s="4"/>
      <c r="R55" s="4"/>
      <c r="S55" s="3"/>
      <c r="T55" s="3"/>
      <c r="U55" s="3"/>
      <c r="V55" s="3"/>
    </row>
    <row r="56" spans="1:22" s="32" customFormat="1">
      <c r="A56" s="3"/>
      <c r="B56" s="3"/>
      <c r="C56" s="3"/>
      <c r="D56" s="267" t="s">
        <v>216</v>
      </c>
      <c r="E56" s="268">
        <v>0.05</v>
      </c>
      <c r="F56" s="269">
        <f>E56*$E$35</f>
        <v>41197.495000000003</v>
      </c>
      <c r="G56" s="3"/>
      <c r="H56" s="3"/>
      <c r="I56" s="3"/>
      <c r="J56" s="3"/>
      <c r="K56" s="3"/>
      <c r="L56" s="3"/>
      <c r="M56" s="3"/>
      <c r="N56" s="3"/>
      <c r="O56" s="3"/>
      <c r="P56" s="4"/>
      <c r="Q56" s="4"/>
      <c r="R56" s="4"/>
      <c r="S56" s="3"/>
      <c r="T56" s="3"/>
      <c r="U56" s="3"/>
      <c r="V56" s="3"/>
    </row>
    <row r="57" spans="1:22" s="32" customFormat="1" ht="13.5" thickBot="1">
      <c r="A57" s="3"/>
      <c r="B57" s="3"/>
      <c r="C57" s="3"/>
      <c r="D57" s="265" t="s">
        <v>40</v>
      </c>
      <c r="E57" s="266"/>
      <c r="F57" s="25">
        <f>F54+F56</f>
        <v>1271107.51073</v>
      </c>
      <c r="G57" s="3"/>
      <c r="H57" s="3"/>
      <c r="I57" s="3"/>
      <c r="J57" s="3"/>
      <c r="K57" s="3"/>
      <c r="L57" s="55"/>
      <c r="M57" s="17"/>
      <c r="N57" s="3"/>
      <c r="O57" s="3"/>
      <c r="P57" s="4"/>
      <c r="Q57" s="4"/>
      <c r="R57" s="4"/>
      <c r="S57" s="3"/>
      <c r="T57" s="3"/>
      <c r="U57" s="3"/>
      <c r="V57" s="3"/>
    </row>
    <row r="60" spans="1:22" ht="13">
      <c r="C60" s="327" t="s">
        <v>233</v>
      </c>
    </row>
    <row r="61" spans="1:22" ht="14">
      <c r="C61" s="325" t="s">
        <v>227</v>
      </c>
    </row>
    <row r="62" spans="1:22" ht="14">
      <c r="C62" s="326" t="s">
        <v>228</v>
      </c>
    </row>
    <row r="63" spans="1:22" ht="14">
      <c r="C63" s="326" t="s">
        <v>229</v>
      </c>
    </row>
    <row r="64" spans="1:22" ht="14">
      <c r="C64" s="326" t="s">
        <v>230</v>
      </c>
    </row>
    <row r="65" spans="3:3" ht="14">
      <c r="C65" s="326" t="s">
        <v>231</v>
      </c>
    </row>
    <row r="66" spans="3:3" ht="14">
      <c r="C66" s="325" t="s">
        <v>232</v>
      </c>
    </row>
  </sheetData>
  <mergeCells count="34">
    <mergeCell ref="L1:N1"/>
    <mergeCell ref="L2:L7"/>
    <mergeCell ref="P1:R1"/>
    <mergeCell ref="N2:N7"/>
    <mergeCell ref="M2:M7"/>
    <mergeCell ref="P2:R2"/>
    <mergeCell ref="P3:R3"/>
    <mergeCell ref="P7:R7"/>
    <mergeCell ref="J2:K2"/>
    <mergeCell ref="H1:I1"/>
    <mergeCell ref="J1:K1"/>
    <mergeCell ref="J3:K6"/>
    <mergeCell ref="S4:U4"/>
    <mergeCell ref="S1:U1"/>
    <mergeCell ref="S5:U5"/>
    <mergeCell ref="P5:R5"/>
    <mergeCell ref="P6:R6"/>
    <mergeCell ref="P4:R4"/>
    <mergeCell ref="H2:I2"/>
    <mergeCell ref="D4:D7"/>
    <mergeCell ref="F1:G1"/>
    <mergeCell ref="H3:I6"/>
    <mergeCell ref="Z1:AA1"/>
    <mergeCell ref="Z2:AA2"/>
    <mergeCell ref="V1:V7"/>
    <mergeCell ref="S7:U7"/>
    <mergeCell ref="S6:U6"/>
    <mergeCell ref="S2:U3"/>
    <mergeCell ref="A1:A7"/>
    <mergeCell ref="B1:B7"/>
    <mergeCell ref="C1:C7"/>
    <mergeCell ref="F3:G6"/>
    <mergeCell ref="E1:E4"/>
    <mergeCell ref="F2:G2"/>
  </mergeCells>
  <phoneticPr fontId="0" type="noConversion"/>
  <pageMargins left="0.52" right="0.18" top="0.31" bottom="0.43" header="0.18" footer="0.17"/>
  <pageSetup paperSize="17" scale="8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zoomScale="90" zoomScaleNormal="90" workbookViewId="0">
      <selection activeCell="A2" sqref="A2:H2"/>
    </sheetView>
  </sheetViews>
  <sheetFormatPr defaultColWidth="0" defaultRowHeight="12.75" customHeight="1"/>
  <cols>
    <col min="1" max="1" width="20.75" style="159" customWidth="1"/>
    <col min="2" max="2" width="17.33203125" style="159" customWidth="1"/>
    <col min="3" max="3" width="8.25" style="159" customWidth="1"/>
    <col min="4" max="6" width="12.58203125" style="30" customWidth="1"/>
    <col min="7" max="7" width="10" style="30" customWidth="1"/>
    <col min="8" max="8" width="41.25" style="30" customWidth="1"/>
    <col min="9" max="16384" width="0" style="30" hidden="1"/>
  </cols>
  <sheetData>
    <row r="1" spans="1:8" ht="18">
      <c r="A1" s="515" t="s">
        <v>219</v>
      </c>
      <c r="B1" s="515"/>
      <c r="C1" s="515"/>
      <c r="D1" s="515"/>
      <c r="E1" s="515"/>
      <c r="F1" s="515"/>
      <c r="G1" s="515"/>
      <c r="H1" s="515"/>
    </row>
    <row r="2" spans="1:8" ht="18">
      <c r="A2" s="515" t="s">
        <v>157</v>
      </c>
      <c r="B2" s="515"/>
      <c r="C2" s="515"/>
      <c r="D2" s="515"/>
      <c r="E2" s="515"/>
      <c r="F2" s="515"/>
      <c r="G2" s="515"/>
      <c r="H2" s="515"/>
    </row>
    <row r="3" spans="1:8" s="122" customFormat="1" ht="15.5">
      <c r="A3" s="516" t="s">
        <v>76</v>
      </c>
      <c r="B3" s="517"/>
      <c r="C3" s="120" t="s">
        <v>77</v>
      </c>
      <c r="D3" s="121" t="s">
        <v>78</v>
      </c>
      <c r="E3" s="121" t="s">
        <v>2</v>
      </c>
      <c r="F3" s="121" t="s">
        <v>3</v>
      </c>
      <c r="G3" s="120" t="s">
        <v>79</v>
      </c>
      <c r="H3" s="300" t="s">
        <v>80</v>
      </c>
    </row>
    <row r="4" spans="1:8" s="127" customFormat="1" ht="14">
      <c r="A4" s="123" t="s">
        <v>64</v>
      </c>
      <c r="B4" s="124" t="s">
        <v>65</v>
      </c>
      <c r="C4" s="124"/>
      <c r="D4" s="124" t="s">
        <v>81</v>
      </c>
      <c r="E4" s="124" t="s">
        <v>82</v>
      </c>
      <c r="F4" s="124" t="s">
        <v>47</v>
      </c>
      <c r="G4" s="125"/>
      <c r="H4" s="130"/>
    </row>
    <row r="5" spans="1:8" s="127" customFormat="1" ht="14">
      <c r="A5" s="123"/>
      <c r="B5" s="124" t="s">
        <v>66</v>
      </c>
      <c r="C5" s="124"/>
      <c r="D5" s="124" t="s">
        <v>47</v>
      </c>
      <c r="E5" s="124" t="s">
        <v>47</v>
      </c>
      <c r="F5" s="124" t="s">
        <v>47</v>
      </c>
      <c r="G5" s="128"/>
      <c r="H5" s="130"/>
    </row>
    <row r="6" spans="1:8" ht="15.5">
      <c r="A6" s="129"/>
      <c r="B6" s="129"/>
      <c r="C6" s="130" t="s">
        <v>83</v>
      </c>
      <c r="D6" s="131"/>
      <c r="E6" s="130" t="s">
        <v>84</v>
      </c>
      <c r="F6" s="131"/>
      <c r="G6" s="132"/>
      <c r="H6" s="132"/>
    </row>
    <row r="7" spans="1:8" ht="15.5">
      <c r="A7" s="129"/>
      <c r="B7" s="133"/>
      <c r="C7" s="133"/>
      <c r="D7" s="131"/>
      <c r="E7" s="131"/>
      <c r="F7" s="131"/>
      <c r="G7" s="132"/>
      <c r="H7" s="131"/>
    </row>
    <row r="8" spans="1:8" s="135" customFormat="1" ht="15.5">
      <c r="A8" s="134"/>
      <c r="B8" s="134"/>
      <c r="C8" s="134"/>
      <c r="D8" s="132" t="s">
        <v>85</v>
      </c>
      <c r="E8" s="132"/>
      <c r="F8" s="132"/>
      <c r="G8" s="132"/>
      <c r="H8" s="132"/>
    </row>
    <row r="9" spans="1:8" s="135" customFormat="1" ht="15.5">
      <c r="A9" s="518" t="s">
        <v>86</v>
      </c>
      <c r="B9" s="518"/>
      <c r="C9" s="136"/>
      <c r="D9" s="151" t="s">
        <v>78</v>
      </c>
      <c r="E9" s="151" t="s">
        <v>2</v>
      </c>
      <c r="F9" s="162" t="s">
        <v>3</v>
      </c>
      <c r="G9" s="523" t="s">
        <v>80</v>
      </c>
      <c r="H9" s="523"/>
    </row>
    <row r="10" spans="1:8" s="135" customFormat="1" ht="16" thickBot="1">
      <c r="A10" s="525" t="s">
        <v>87</v>
      </c>
      <c r="B10" s="525"/>
      <c r="C10" s="140"/>
      <c r="D10" s="141" t="s">
        <v>88</v>
      </c>
      <c r="E10" s="141" t="s">
        <v>89</v>
      </c>
      <c r="F10" s="301" t="s">
        <v>90</v>
      </c>
      <c r="G10" s="524"/>
      <c r="H10" s="524"/>
    </row>
    <row r="11" spans="1:8" s="135" customFormat="1" ht="15.75" customHeight="1">
      <c r="A11" s="298" t="s">
        <v>91</v>
      </c>
      <c r="B11" s="144"/>
      <c r="C11" s="144"/>
      <c r="D11" s="145"/>
      <c r="E11" s="145"/>
      <c r="F11" s="145"/>
      <c r="G11" s="302"/>
      <c r="H11" s="303"/>
    </row>
    <row r="12" spans="1:8" s="135" customFormat="1" ht="15" customHeight="1">
      <c r="A12" s="297" t="s">
        <v>92</v>
      </c>
      <c r="B12" s="151" t="s">
        <v>93</v>
      </c>
      <c r="C12" s="137"/>
      <c r="D12" s="147">
        <v>205770</v>
      </c>
      <c r="E12" s="147">
        <v>10813</v>
      </c>
      <c r="F12" s="147">
        <v>1003230</v>
      </c>
      <c r="G12" s="520"/>
      <c r="H12" s="521"/>
    </row>
    <row r="13" spans="1:8" s="135" customFormat="1" ht="15.5">
      <c r="A13" s="297" t="s">
        <v>94</v>
      </c>
      <c r="B13" s="299"/>
      <c r="C13" s="137"/>
      <c r="D13" s="147"/>
      <c r="E13" s="147"/>
      <c r="F13" s="147"/>
      <c r="G13" s="528"/>
      <c r="H13" s="529"/>
    </row>
    <row r="14" spans="1:8" s="135" customFormat="1" ht="15.5">
      <c r="A14" s="297" t="s">
        <v>95</v>
      </c>
      <c r="B14" s="151"/>
      <c r="C14" s="137"/>
      <c r="D14" s="147"/>
      <c r="E14" s="147"/>
      <c r="F14" s="147"/>
      <c r="G14" s="528"/>
      <c r="H14" s="529"/>
    </row>
    <row r="15" spans="1:8" s="135" customFormat="1" ht="15.5">
      <c r="A15" s="297" t="s">
        <v>96</v>
      </c>
      <c r="B15" s="151"/>
      <c r="C15" s="137"/>
      <c r="D15" s="147"/>
      <c r="E15" s="147"/>
      <c r="F15" s="147"/>
      <c r="G15" s="528"/>
      <c r="H15" s="529"/>
    </row>
    <row r="16" spans="1:8" s="135" customFormat="1" ht="15.5">
      <c r="A16" s="297" t="s">
        <v>97</v>
      </c>
      <c r="B16" s="151"/>
      <c r="C16" s="137"/>
      <c r="D16" s="147"/>
      <c r="E16" s="147"/>
      <c r="F16" s="147">
        <v>975200</v>
      </c>
      <c r="G16" s="526" t="s">
        <v>156</v>
      </c>
      <c r="H16" s="527"/>
    </row>
    <row r="17" spans="1:8" s="135" customFormat="1" ht="17">
      <c r="A17" s="297" t="s">
        <v>98</v>
      </c>
      <c r="B17" s="151"/>
      <c r="C17" s="137"/>
      <c r="D17" s="147"/>
      <c r="E17" s="147"/>
      <c r="F17" s="150"/>
      <c r="G17" s="304"/>
      <c r="H17" s="305"/>
    </row>
    <row r="18" spans="1:8" s="135" customFormat="1" ht="15.5">
      <c r="A18" s="137"/>
      <c r="B18" s="151" t="s">
        <v>177</v>
      </c>
      <c r="C18" s="137"/>
      <c r="D18" s="147">
        <f>D12</f>
        <v>205770</v>
      </c>
      <c r="E18" s="147">
        <f>E12</f>
        <v>10813</v>
      </c>
      <c r="F18" s="147">
        <f>SUM(F12:F17)</f>
        <v>1978430</v>
      </c>
      <c r="G18" s="304"/>
      <c r="H18" s="306"/>
    </row>
    <row r="19" spans="1:8" s="135" customFormat="1" ht="15" customHeight="1">
      <c r="A19" s="151"/>
      <c r="B19" s="151"/>
      <c r="C19" s="151"/>
      <c r="D19" s="147"/>
      <c r="E19" s="147"/>
      <c r="F19" s="147"/>
      <c r="G19" s="304"/>
      <c r="H19" s="306"/>
    </row>
    <row r="20" spans="1:8" s="135" customFormat="1" ht="15.5">
      <c r="A20" s="151" t="s">
        <v>99</v>
      </c>
      <c r="B20" s="153"/>
      <c r="C20" s="153"/>
      <c r="D20" s="154"/>
      <c r="E20" s="154"/>
      <c r="F20" s="154"/>
      <c r="G20" s="304"/>
      <c r="H20" s="306"/>
    </row>
    <row r="21" spans="1:8" s="135" customFormat="1" ht="15.5">
      <c r="A21" s="297" t="s">
        <v>92</v>
      </c>
      <c r="B21" s="151" t="s">
        <v>93</v>
      </c>
      <c r="C21" s="137"/>
      <c r="D21" s="147">
        <v>169782</v>
      </c>
      <c r="E21" s="147">
        <v>8782</v>
      </c>
      <c r="F21" s="147">
        <v>842580</v>
      </c>
      <c r="G21" s="520"/>
      <c r="H21" s="521"/>
    </row>
    <row r="22" spans="1:8" s="135" customFormat="1" ht="15.5">
      <c r="A22" s="297" t="s">
        <v>100</v>
      </c>
      <c r="B22" s="299"/>
      <c r="C22" s="137"/>
      <c r="D22" s="147"/>
      <c r="E22" s="147"/>
      <c r="F22" s="147"/>
      <c r="G22" s="304"/>
      <c r="H22" s="306"/>
    </row>
    <row r="23" spans="1:8" s="135" customFormat="1" ht="15.5">
      <c r="A23" s="297" t="s">
        <v>101</v>
      </c>
      <c r="B23" s="151"/>
      <c r="C23" s="137"/>
      <c r="D23" s="147"/>
      <c r="E23" s="147"/>
      <c r="F23" s="147"/>
      <c r="G23" s="304"/>
      <c r="H23" s="306"/>
    </row>
    <row r="24" spans="1:8" s="135" customFormat="1" ht="15.5">
      <c r="A24" s="297" t="s">
        <v>96</v>
      </c>
      <c r="B24" s="151"/>
      <c r="C24" s="137"/>
      <c r="D24" s="147"/>
      <c r="E24" s="147"/>
      <c r="F24" s="147"/>
      <c r="G24" s="304"/>
      <c r="H24" s="306"/>
    </row>
    <row r="25" spans="1:8" s="135" customFormat="1" ht="15.5">
      <c r="A25" s="297" t="s">
        <v>102</v>
      </c>
      <c r="B25" s="151"/>
      <c r="C25" s="137"/>
      <c r="D25" s="147"/>
      <c r="E25" s="147"/>
      <c r="F25" s="147">
        <v>975200</v>
      </c>
      <c r="G25" s="304"/>
      <c r="H25" s="306" t="s">
        <v>156</v>
      </c>
    </row>
    <row r="26" spans="1:8" s="135" customFormat="1" ht="15.5">
      <c r="A26" s="297" t="s">
        <v>98</v>
      </c>
      <c r="B26" s="151"/>
      <c r="C26" s="137"/>
      <c r="D26" s="147"/>
      <c r="E26" s="147"/>
      <c r="F26" s="147"/>
      <c r="G26" s="304"/>
      <c r="H26" s="306"/>
    </row>
    <row r="27" spans="1:8" s="135" customFormat="1" ht="15.5">
      <c r="A27" s="137"/>
      <c r="B27" s="151" t="s">
        <v>177</v>
      </c>
      <c r="C27" s="137"/>
      <c r="D27" s="147">
        <f>D21</f>
        <v>169782</v>
      </c>
      <c r="E27" s="147">
        <f>E21</f>
        <v>8782</v>
      </c>
      <c r="F27" s="147">
        <f>SUM(F21:F26)</f>
        <v>1817780</v>
      </c>
      <c r="G27" s="304"/>
      <c r="H27" s="306"/>
    </row>
    <row r="28" spans="1:8" s="135" customFormat="1" ht="15" customHeight="1">
      <c r="A28" s="151"/>
      <c r="B28" s="151"/>
      <c r="C28" s="151"/>
      <c r="D28" s="147"/>
      <c r="E28" s="147"/>
      <c r="F28" s="147"/>
      <c r="G28" s="304"/>
      <c r="H28" s="306"/>
    </row>
    <row r="29" spans="1:8" s="135" customFormat="1" ht="15.5">
      <c r="A29" s="151" t="s">
        <v>103</v>
      </c>
      <c r="B29" s="153"/>
      <c r="C29" s="153"/>
      <c r="D29" s="154"/>
      <c r="E29" s="154"/>
      <c r="F29" s="154"/>
      <c r="G29" s="304"/>
      <c r="H29" s="306"/>
    </row>
    <row r="30" spans="1:8" s="135" customFormat="1" ht="15.5">
      <c r="A30" s="297" t="s">
        <v>92</v>
      </c>
      <c r="B30" s="151" t="s">
        <v>93</v>
      </c>
      <c r="C30" s="137"/>
      <c r="D30" s="147">
        <v>199758</v>
      </c>
      <c r="E30" s="147">
        <v>10043</v>
      </c>
      <c r="F30" s="147">
        <v>945021</v>
      </c>
      <c r="G30" s="520"/>
      <c r="H30" s="521"/>
    </row>
    <row r="31" spans="1:8" s="135" customFormat="1" ht="15.5">
      <c r="A31" s="297" t="s">
        <v>94</v>
      </c>
      <c r="B31" s="299"/>
      <c r="C31" s="137"/>
      <c r="D31" s="147"/>
      <c r="E31" s="147"/>
      <c r="F31" s="147"/>
      <c r="G31" s="304"/>
      <c r="H31" s="306"/>
    </row>
    <row r="32" spans="1:8" s="135" customFormat="1" ht="15.5">
      <c r="A32" s="297" t="s">
        <v>95</v>
      </c>
      <c r="B32" s="151"/>
      <c r="C32" s="137"/>
      <c r="D32" s="147"/>
      <c r="E32" s="147"/>
      <c r="F32" s="147"/>
      <c r="G32" s="304"/>
      <c r="H32" s="306"/>
    </row>
    <row r="33" spans="1:8" s="135" customFormat="1" ht="15.5">
      <c r="A33" s="297" t="s">
        <v>96</v>
      </c>
      <c r="B33" s="151"/>
      <c r="C33" s="137"/>
      <c r="D33" s="147"/>
      <c r="E33" s="147"/>
      <c r="F33" s="147"/>
      <c r="G33" s="304"/>
      <c r="H33" s="306"/>
    </row>
    <row r="34" spans="1:8" s="135" customFormat="1" ht="15.5">
      <c r="A34" s="297" t="s">
        <v>97</v>
      </c>
      <c r="B34" s="151"/>
      <c r="C34" s="137"/>
      <c r="D34" s="147"/>
      <c r="E34" s="147"/>
      <c r="F34" s="147">
        <v>975200</v>
      </c>
      <c r="G34" s="304"/>
      <c r="H34" s="306" t="s">
        <v>156</v>
      </c>
    </row>
    <row r="35" spans="1:8" s="135" customFormat="1" ht="15.5">
      <c r="A35" s="297" t="s">
        <v>98</v>
      </c>
      <c r="B35" s="151"/>
      <c r="C35" s="137"/>
      <c r="D35" s="147"/>
      <c r="E35" s="147"/>
      <c r="F35" s="147"/>
      <c r="G35" s="304"/>
      <c r="H35" s="306"/>
    </row>
    <row r="36" spans="1:8" s="135" customFormat="1" ht="15.5">
      <c r="A36" s="137"/>
      <c r="B36" s="151" t="s">
        <v>177</v>
      </c>
      <c r="C36" s="137"/>
      <c r="D36" s="147">
        <f>D30</f>
        <v>199758</v>
      </c>
      <c r="E36" s="147">
        <f>E30</f>
        <v>10043</v>
      </c>
      <c r="F36" s="147">
        <f>SUM(F30:F35)</f>
        <v>1920221</v>
      </c>
      <c r="G36" s="304"/>
      <c r="H36" s="306"/>
    </row>
    <row r="37" spans="1:8" ht="15" customHeight="1">
      <c r="A37" s="151"/>
      <c r="B37" s="151"/>
      <c r="C37" s="151"/>
      <c r="D37" s="155"/>
      <c r="E37" s="155"/>
      <c r="F37" s="155"/>
      <c r="G37" s="263"/>
      <c r="H37" s="306"/>
    </row>
    <row r="38" spans="1:8" ht="15.5">
      <c r="A38" s="151" t="s">
        <v>104</v>
      </c>
      <c r="B38" s="153"/>
      <c r="C38" s="153"/>
      <c r="D38" s="154"/>
      <c r="E38" s="154"/>
      <c r="F38" s="154"/>
      <c r="G38" s="263"/>
      <c r="H38" s="307"/>
    </row>
    <row r="39" spans="1:8" ht="15.5">
      <c r="A39" s="297" t="s">
        <v>92</v>
      </c>
      <c r="B39" s="151" t="s">
        <v>93</v>
      </c>
      <c r="C39" s="137"/>
      <c r="D39" s="147">
        <f>AVERAGE(D12,D21,D30)</f>
        <v>191770</v>
      </c>
      <c r="E39" s="147">
        <f>AVERAGE(E12,E21,E30)</f>
        <v>9879.3333333333339</v>
      </c>
      <c r="F39" s="147">
        <f>AVERAGE(F12,F21,F30)</f>
        <v>930277</v>
      </c>
      <c r="G39" s="520"/>
      <c r="H39" s="521"/>
    </row>
    <row r="40" spans="1:8" ht="15.5">
      <c r="A40" s="157"/>
      <c r="B40" s="151" t="s">
        <v>177</v>
      </c>
      <c r="C40" s="137"/>
      <c r="D40" s="147">
        <f>AVERAGE(D18,D27,D36)</f>
        <v>191770</v>
      </c>
      <c r="E40" s="147">
        <f>AVERAGE(E18,E27,E36)</f>
        <v>9879.3333333333339</v>
      </c>
      <c r="F40" s="147">
        <f>AVERAGE(F18,F27,F36)</f>
        <v>1905477</v>
      </c>
      <c r="G40" s="147"/>
      <c r="H40" s="307"/>
    </row>
    <row r="41" spans="1:8" ht="15.5">
      <c r="A41" s="157"/>
      <c r="B41" s="151" t="s">
        <v>105</v>
      </c>
      <c r="C41" s="137"/>
      <c r="D41" s="147">
        <v>0</v>
      </c>
      <c r="E41" s="147">
        <v>0</v>
      </c>
      <c r="F41" s="147">
        <f>F40-F39</f>
        <v>975200</v>
      </c>
      <c r="G41" s="263"/>
      <c r="H41" s="307"/>
    </row>
    <row r="42" spans="1:8" ht="12.5">
      <c r="A42" s="157"/>
      <c r="B42" s="157" t="s">
        <v>106</v>
      </c>
      <c r="C42" s="157"/>
      <c r="D42" s="164">
        <f>D41/D39</f>
        <v>0</v>
      </c>
      <c r="E42" s="164">
        <f>E41/E39</f>
        <v>0</v>
      </c>
      <c r="F42" s="164">
        <f>F41/F39</f>
        <v>1.04828991794917</v>
      </c>
      <c r="G42" s="263"/>
      <c r="H42" s="307"/>
    </row>
    <row r="43" spans="1:8" s="131" customFormat="1" ht="15.5">
      <c r="A43" s="519" t="s">
        <v>180</v>
      </c>
      <c r="B43" s="519"/>
      <c r="C43" s="289"/>
      <c r="D43" s="290"/>
      <c r="E43" s="290"/>
      <c r="F43" s="291"/>
      <c r="G43" s="263"/>
      <c r="H43" s="308"/>
    </row>
    <row r="44" spans="1:8" s="131" customFormat="1" ht="12.75" customHeight="1">
      <c r="A44" s="519" t="s">
        <v>181</v>
      </c>
      <c r="B44" s="519"/>
      <c r="C44" s="292"/>
      <c r="D44" s="292"/>
      <c r="E44" s="292"/>
      <c r="F44" s="291"/>
      <c r="G44" s="264"/>
      <c r="H44" s="309"/>
    </row>
    <row r="45" spans="1:8" s="131" customFormat="1" ht="15.5">
      <c r="A45" s="519" t="s">
        <v>182</v>
      </c>
      <c r="B45" s="519"/>
      <c r="C45" s="289"/>
      <c r="D45" s="290"/>
      <c r="E45" s="290"/>
      <c r="F45" s="291"/>
      <c r="G45" s="310"/>
      <c r="H45" s="311"/>
    </row>
    <row r="46" spans="1:8" s="131" customFormat="1" ht="15.5">
      <c r="A46" s="293"/>
      <c r="B46" s="293"/>
      <c r="C46" s="294"/>
      <c r="D46" s="295"/>
      <c r="E46" s="295"/>
      <c r="F46" s="296"/>
    </row>
    <row r="47" spans="1:8" s="131" customFormat="1" ht="15.5">
      <c r="A47" s="293"/>
      <c r="B47" s="293"/>
      <c r="C47" s="294"/>
      <c r="D47" s="295"/>
      <c r="E47" s="295"/>
      <c r="F47" s="296"/>
    </row>
    <row r="48" spans="1:8" s="131" customFormat="1" ht="15.5">
      <c r="A48" s="293"/>
      <c r="B48" s="293"/>
      <c r="C48" s="294"/>
      <c r="D48" s="295"/>
      <c r="E48" s="295"/>
      <c r="F48" s="296"/>
    </row>
    <row r="49" spans="1:8" s="271" customFormat="1" ht="12.75" customHeight="1">
      <c r="A49" s="270"/>
      <c r="B49" s="270"/>
      <c r="C49" s="270"/>
    </row>
    <row r="50" spans="1:8" s="230" customFormat="1" ht="15.5">
      <c r="A50" s="272" t="s">
        <v>187</v>
      </c>
    </row>
    <row r="51" spans="1:8" customFormat="1" ht="14">
      <c r="A51" s="184">
        <v>1</v>
      </c>
      <c r="B51" t="s">
        <v>188</v>
      </c>
      <c r="H51" s="177"/>
    </row>
    <row r="52" spans="1:8" customFormat="1" ht="14">
      <c r="A52" s="184">
        <v>2</v>
      </c>
      <c r="B52" t="s">
        <v>189</v>
      </c>
      <c r="H52" s="177"/>
    </row>
    <row r="53" spans="1:8" customFormat="1" ht="14">
      <c r="A53" s="184">
        <v>3</v>
      </c>
      <c r="B53" s="177" t="s">
        <v>215</v>
      </c>
      <c r="H53" s="177"/>
    </row>
    <row r="54" spans="1:8" customFormat="1" ht="14">
      <c r="A54" s="184">
        <v>4</v>
      </c>
      <c r="B54" t="s">
        <v>190</v>
      </c>
      <c r="H54" s="177"/>
    </row>
    <row r="55" spans="1:8" customFormat="1" ht="14">
      <c r="A55" s="184"/>
      <c r="B55" s="184" t="s">
        <v>327</v>
      </c>
      <c r="C55" t="s">
        <v>191</v>
      </c>
      <c r="H55" s="177"/>
    </row>
    <row r="56" spans="1:8" customFormat="1" ht="14">
      <c r="A56" s="184"/>
      <c r="B56" s="184" t="s">
        <v>192</v>
      </c>
      <c r="C56" t="s">
        <v>193</v>
      </c>
      <c r="H56" s="177"/>
    </row>
    <row r="57" spans="1:8" customFormat="1" ht="63.75" customHeight="1">
      <c r="A57" s="184"/>
      <c r="B57" s="184"/>
      <c r="C57" s="522" t="s">
        <v>217</v>
      </c>
      <c r="D57" s="522"/>
      <c r="E57" s="522"/>
      <c r="F57" s="522"/>
      <c r="G57" s="522"/>
      <c r="H57" s="522"/>
    </row>
    <row r="58" spans="1:8" customFormat="1" ht="14">
      <c r="A58" s="184"/>
      <c r="B58" s="184" t="s">
        <v>194</v>
      </c>
      <c r="C58" t="s">
        <v>195</v>
      </c>
      <c r="H58" s="177"/>
    </row>
    <row r="59" spans="1:8" customFormat="1" ht="14.5" thickBot="1">
      <c r="A59" s="184"/>
      <c r="H59" s="177"/>
    </row>
    <row r="60" spans="1:8" customFormat="1" ht="15.5" thickBot="1">
      <c r="A60" s="184"/>
      <c r="C60" s="129"/>
      <c r="D60" s="273" t="s">
        <v>196</v>
      </c>
      <c r="E60" s="274" t="s">
        <v>197</v>
      </c>
      <c r="F60" s="275" t="s">
        <v>198</v>
      </c>
      <c r="G60" s="274" t="s">
        <v>199</v>
      </c>
      <c r="H60" s="177"/>
    </row>
    <row r="61" spans="1:8" customFormat="1" ht="14.5" thickBot="1">
      <c r="A61" s="184"/>
      <c r="C61" s="129"/>
      <c r="D61" s="276"/>
      <c r="E61" s="277"/>
      <c r="F61" s="278" t="s">
        <v>200</v>
      </c>
      <c r="G61" s="279"/>
      <c r="H61" s="177"/>
    </row>
    <row r="62" spans="1:8" customFormat="1" ht="36.75" customHeight="1" thickTop="1" thickBot="1">
      <c r="A62" s="184"/>
      <c r="C62" s="129"/>
      <c r="D62" s="280" t="s">
        <v>201</v>
      </c>
      <c r="E62" s="281">
        <v>39995</v>
      </c>
      <c r="F62" s="282">
        <v>2009</v>
      </c>
      <c r="G62" s="283" t="s">
        <v>202</v>
      </c>
      <c r="H62" s="177"/>
    </row>
    <row r="63" spans="1:8" customFormat="1" ht="37.5" customHeight="1" thickBot="1">
      <c r="A63" s="184"/>
      <c r="C63" s="129"/>
      <c r="D63" s="280" t="s">
        <v>203</v>
      </c>
      <c r="E63" s="281">
        <v>40148</v>
      </c>
      <c r="F63" s="282"/>
      <c r="G63" s="284"/>
      <c r="H63" s="177"/>
    </row>
    <row r="64" spans="1:8" customFormat="1" ht="25.5" thickBot="1">
      <c r="A64" s="184"/>
      <c r="C64" s="129"/>
      <c r="D64" s="285" t="s">
        <v>204</v>
      </c>
      <c r="E64" s="286" t="s">
        <v>205</v>
      </c>
      <c r="F64" s="286">
        <v>2010</v>
      </c>
      <c r="G64" s="287"/>
      <c r="H64" s="177"/>
    </row>
    <row r="65" spans="1:8" customFormat="1" ht="40" thickBot="1">
      <c r="A65" s="184"/>
      <c r="C65" s="129"/>
      <c r="D65" s="285" t="s">
        <v>206</v>
      </c>
      <c r="E65" s="288"/>
      <c r="F65" s="286">
        <v>2010</v>
      </c>
      <c r="G65" s="288"/>
      <c r="H65" s="177"/>
    </row>
    <row r="66" spans="1:8" customFormat="1" ht="14">
      <c r="A66" s="184"/>
      <c r="H66" s="177"/>
    </row>
    <row r="67" spans="1:8" customFormat="1" ht="16" customHeight="1">
      <c r="A67" s="184">
        <v>5</v>
      </c>
      <c r="B67" t="s">
        <v>207</v>
      </c>
      <c r="H67" s="177"/>
    </row>
    <row r="68" spans="1:8" customFormat="1" ht="16" customHeight="1">
      <c r="A68" s="184">
        <v>6</v>
      </c>
      <c r="B68" t="s">
        <v>208</v>
      </c>
      <c r="H68" s="177"/>
    </row>
    <row r="69" spans="1:8" customFormat="1" ht="16" customHeight="1">
      <c r="A69" s="184">
        <v>7</v>
      </c>
      <c r="B69" t="s">
        <v>209</v>
      </c>
      <c r="H69" s="177"/>
    </row>
    <row r="70" spans="1:8" customFormat="1" ht="16" customHeight="1">
      <c r="A70" s="184">
        <v>8</v>
      </c>
      <c r="B70" t="s">
        <v>210</v>
      </c>
      <c r="H70" s="177"/>
    </row>
    <row r="71" spans="1:8" customFormat="1" ht="16" customHeight="1">
      <c r="A71" s="184">
        <v>9</v>
      </c>
      <c r="B71" t="s">
        <v>211</v>
      </c>
      <c r="H71" s="177"/>
    </row>
    <row r="72" spans="1:8" customFormat="1" ht="16" customHeight="1">
      <c r="A72" s="184">
        <v>10</v>
      </c>
      <c r="B72" t="s">
        <v>212</v>
      </c>
      <c r="H72" s="177"/>
    </row>
    <row r="73" spans="1:8" customFormat="1" ht="16" customHeight="1">
      <c r="A73" s="184"/>
      <c r="H73" s="177"/>
    </row>
    <row r="74" spans="1:8" customFormat="1" ht="16" customHeight="1">
      <c r="A74" s="184">
        <v>11</v>
      </c>
      <c r="B74" t="s">
        <v>213</v>
      </c>
      <c r="H74" s="177"/>
    </row>
    <row r="75" spans="1:8" customFormat="1" ht="16" customHeight="1">
      <c r="A75" s="184"/>
      <c r="B75" t="s">
        <v>214</v>
      </c>
      <c r="H75" s="177"/>
    </row>
    <row r="76" spans="1:8" customFormat="1" ht="14">
      <c r="A76" s="184"/>
      <c r="H76" s="177"/>
    </row>
  </sheetData>
  <mergeCells count="18">
    <mergeCell ref="C57:H57"/>
    <mergeCell ref="A45:B45"/>
    <mergeCell ref="G9:H10"/>
    <mergeCell ref="A10:B10"/>
    <mergeCell ref="A43:B43"/>
    <mergeCell ref="G39:H39"/>
    <mergeCell ref="G30:H30"/>
    <mergeCell ref="G16:H16"/>
    <mergeCell ref="G13:H13"/>
    <mergeCell ref="G14:H14"/>
    <mergeCell ref="A1:H1"/>
    <mergeCell ref="A2:H2"/>
    <mergeCell ref="A3:B3"/>
    <mergeCell ref="A9:B9"/>
    <mergeCell ref="A44:B44"/>
    <mergeCell ref="G12:H12"/>
    <mergeCell ref="G21:H21"/>
    <mergeCell ref="G15:H15"/>
  </mergeCells>
  <phoneticPr fontId="0" type="noConversion"/>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topLeftCell="A23" workbookViewId="0">
      <selection activeCell="D45" sqref="D45"/>
    </sheetView>
  </sheetViews>
  <sheetFormatPr defaultColWidth="0" defaultRowHeight="12.75" customHeight="1" zeroHeight="1"/>
  <cols>
    <col min="1" max="1" width="20.75" style="159" customWidth="1"/>
    <col min="2" max="2" width="17.33203125" style="159" customWidth="1"/>
    <col min="3" max="3" width="8.25" style="159" customWidth="1"/>
    <col min="4" max="6" width="12.58203125" style="30" customWidth="1"/>
    <col min="7" max="7" width="10.5" style="30" customWidth="1"/>
    <col min="8" max="8" width="38" style="30" customWidth="1"/>
    <col min="9" max="16384" width="0" style="30" hidden="1"/>
  </cols>
  <sheetData>
    <row r="1" spans="1:8" ht="18">
      <c r="A1" s="515" t="s">
        <v>48</v>
      </c>
      <c r="B1" s="515"/>
      <c r="C1" s="515"/>
      <c r="D1" s="515"/>
      <c r="E1" s="515"/>
      <c r="F1" s="515"/>
      <c r="G1" s="515"/>
      <c r="H1" s="515"/>
    </row>
    <row r="2" spans="1:8" ht="18">
      <c r="A2" s="515" t="s">
        <v>158</v>
      </c>
      <c r="B2" s="515"/>
      <c r="C2" s="515"/>
      <c r="D2" s="515"/>
      <c r="E2" s="515"/>
      <c r="F2" s="515"/>
      <c r="G2" s="515"/>
      <c r="H2" s="515"/>
    </row>
    <row r="3" spans="1:8" s="122" customFormat="1" ht="15.5">
      <c r="A3" s="516" t="s">
        <v>76</v>
      </c>
      <c r="B3" s="517"/>
      <c r="C3" s="120" t="s">
        <v>77</v>
      </c>
      <c r="D3" s="121" t="s">
        <v>78</v>
      </c>
      <c r="E3" s="121" t="s">
        <v>2</v>
      </c>
      <c r="F3" s="121" t="s">
        <v>3</v>
      </c>
      <c r="G3" s="120" t="s">
        <v>79</v>
      </c>
      <c r="H3" s="120" t="s">
        <v>80</v>
      </c>
    </row>
    <row r="4" spans="1:8" s="127" customFormat="1" ht="14">
      <c r="A4" s="123" t="s">
        <v>61</v>
      </c>
      <c r="B4" s="124" t="s">
        <v>72</v>
      </c>
      <c r="C4" s="124" t="s">
        <v>107</v>
      </c>
      <c r="D4" s="124" t="s">
        <v>47</v>
      </c>
      <c r="E4" s="124" t="s">
        <v>47</v>
      </c>
      <c r="F4" s="124" t="s">
        <v>47</v>
      </c>
      <c r="G4" s="125"/>
      <c r="H4" s="126"/>
    </row>
    <row r="5" spans="1:8" s="127" customFormat="1" ht="14">
      <c r="A5" s="123" t="s">
        <v>62</v>
      </c>
      <c r="B5" s="124" t="s">
        <v>63</v>
      </c>
      <c r="C5" s="124"/>
      <c r="D5" s="124" t="s">
        <v>47</v>
      </c>
      <c r="E5" s="124" t="s">
        <v>47</v>
      </c>
      <c r="F5" s="124" t="s">
        <v>47</v>
      </c>
      <c r="G5" s="128"/>
      <c r="H5" s="126"/>
    </row>
    <row r="6" spans="1:8" ht="15.5">
      <c r="A6" s="129"/>
      <c r="B6" s="129"/>
      <c r="C6" s="130" t="s">
        <v>83</v>
      </c>
      <c r="D6" s="131"/>
      <c r="E6" s="130" t="s">
        <v>84</v>
      </c>
      <c r="F6" s="131"/>
      <c r="G6" s="132"/>
      <c r="H6" s="132"/>
    </row>
    <row r="7" spans="1:8" ht="15.5">
      <c r="A7" s="129"/>
      <c r="B7" s="133"/>
      <c r="C7" s="133"/>
      <c r="D7" s="131"/>
      <c r="E7" s="131"/>
      <c r="F7" s="131"/>
      <c r="G7" s="132"/>
      <c r="H7" s="131"/>
    </row>
    <row r="8" spans="1:8" s="135" customFormat="1" ht="15.5">
      <c r="A8" s="134"/>
      <c r="B8" s="134"/>
      <c r="C8" s="134"/>
      <c r="D8" s="132" t="s">
        <v>85</v>
      </c>
      <c r="E8" s="132"/>
      <c r="F8" s="132"/>
      <c r="G8" s="132"/>
      <c r="H8" s="132"/>
    </row>
    <row r="9" spans="1:8" s="135" customFormat="1" ht="15.5">
      <c r="A9" s="531" t="s">
        <v>86</v>
      </c>
      <c r="B9" s="531"/>
      <c r="C9" s="136"/>
      <c r="D9" s="137" t="s">
        <v>78</v>
      </c>
      <c r="E9" s="137" t="s">
        <v>2</v>
      </c>
      <c r="F9" s="137" t="s">
        <v>3</v>
      </c>
      <c r="G9" s="138"/>
      <c r="H9" s="139" t="s">
        <v>80</v>
      </c>
    </row>
    <row r="10" spans="1:8" s="135" customFormat="1" ht="16" thickBot="1">
      <c r="A10" s="532" t="s">
        <v>87</v>
      </c>
      <c r="B10" s="532"/>
      <c r="C10" s="140"/>
      <c r="D10" s="141" t="s">
        <v>88</v>
      </c>
      <c r="E10" s="141" t="s">
        <v>89</v>
      </c>
      <c r="F10" s="141" t="s">
        <v>90</v>
      </c>
      <c r="G10" s="142"/>
      <c r="H10" s="142"/>
    </row>
    <row r="11" spans="1:8" s="135" customFormat="1" ht="15.75" customHeight="1">
      <c r="A11" s="143" t="s">
        <v>91</v>
      </c>
      <c r="B11" s="144"/>
      <c r="C11" s="144"/>
      <c r="D11" s="145"/>
      <c r="E11" s="145"/>
      <c r="F11" s="145"/>
      <c r="G11" s="132"/>
      <c r="H11" s="146"/>
    </row>
    <row r="12" spans="1:8" s="135" customFormat="1" ht="15.5">
      <c r="A12" s="160" t="s">
        <v>92</v>
      </c>
      <c r="B12" s="137" t="s">
        <v>93</v>
      </c>
      <c r="C12" s="137"/>
      <c r="D12" s="147">
        <v>937396</v>
      </c>
      <c r="E12" s="147">
        <v>49260</v>
      </c>
      <c r="F12" s="147">
        <v>4570268</v>
      </c>
      <c r="G12" s="132"/>
      <c r="H12" s="148"/>
    </row>
    <row r="13" spans="1:8" s="135" customFormat="1" ht="15.5">
      <c r="A13" s="160" t="s">
        <v>94</v>
      </c>
      <c r="B13" s="137"/>
      <c r="C13" s="137"/>
      <c r="D13" s="147"/>
      <c r="E13" s="147"/>
      <c r="F13" s="147"/>
      <c r="G13" s="132"/>
      <c r="H13" s="149"/>
    </row>
    <row r="14" spans="1:8" s="135" customFormat="1" ht="15.5">
      <c r="A14" s="160" t="s">
        <v>95</v>
      </c>
      <c r="B14" s="137"/>
      <c r="C14" s="137"/>
      <c r="D14" s="147"/>
      <c r="E14" s="147"/>
      <c r="F14" s="147"/>
      <c r="G14" s="132"/>
      <c r="H14" s="149"/>
    </row>
    <row r="15" spans="1:8" s="135" customFormat="1" ht="15.5">
      <c r="A15" s="160" t="s">
        <v>96</v>
      </c>
      <c r="B15" s="137"/>
      <c r="C15" s="137"/>
      <c r="D15" s="147"/>
      <c r="E15" s="147"/>
      <c r="F15" s="147"/>
      <c r="G15" s="132"/>
      <c r="H15" s="149"/>
    </row>
    <row r="16" spans="1:8" s="135" customFormat="1" ht="15.5">
      <c r="A16" s="160" t="s">
        <v>97</v>
      </c>
      <c r="B16" s="137"/>
      <c r="C16" s="137"/>
      <c r="D16" s="147"/>
      <c r="E16" s="147"/>
      <c r="F16" s="147"/>
      <c r="G16" s="132"/>
      <c r="H16" s="148"/>
    </row>
    <row r="17" spans="1:8" s="135" customFormat="1" ht="15.5">
      <c r="A17" s="160" t="s">
        <v>98</v>
      </c>
      <c r="B17" s="137"/>
      <c r="C17" s="137"/>
      <c r="D17" s="147"/>
      <c r="E17" s="147"/>
      <c r="F17" s="147">
        <f>F41/3</f>
        <v>1822595.5555555557</v>
      </c>
      <c r="G17" s="132"/>
      <c r="H17" s="149" t="s">
        <v>108</v>
      </c>
    </row>
    <row r="18" spans="1:8" s="135" customFormat="1" ht="15.5">
      <c r="A18" s="161"/>
      <c r="B18" s="137" t="s">
        <v>177</v>
      </c>
      <c r="C18" s="137"/>
      <c r="D18" s="147">
        <f>D12</f>
        <v>937396</v>
      </c>
      <c r="E18" s="147">
        <f>E12</f>
        <v>49260</v>
      </c>
      <c r="F18" s="147">
        <f>F12+F17</f>
        <v>6392863.555555556</v>
      </c>
      <c r="G18" s="132"/>
      <c r="H18" s="148"/>
    </row>
    <row r="19" spans="1:8" s="135" customFormat="1" ht="15" customHeight="1">
      <c r="A19" s="162"/>
      <c r="B19" s="151"/>
      <c r="C19" s="151"/>
      <c r="D19" s="147"/>
      <c r="E19" s="147"/>
      <c r="F19" s="147"/>
      <c r="G19" s="132"/>
      <c r="H19" s="152"/>
    </row>
    <row r="20" spans="1:8" s="135" customFormat="1" ht="15.5">
      <c r="A20" s="161" t="s">
        <v>99</v>
      </c>
      <c r="B20" s="153"/>
      <c r="C20" s="153"/>
      <c r="D20" s="154"/>
      <c r="E20" s="154"/>
      <c r="F20" s="154"/>
      <c r="G20" s="132"/>
      <c r="H20" s="152"/>
    </row>
    <row r="21" spans="1:8" s="135" customFormat="1" ht="15.5">
      <c r="A21" s="160" t="s">
        <v>92</v>
      </c>
      <c r="B21" s="137" t="s">
        <v>93</v>
      </c>
      <c r="C21" s="137"/>
      <c r="D21" s="147">
        <v>773451</v>
      </c>
      <c r="E21" s="147">
        <v>40006</v>
      </c>
      <c r="F21" s="147">
        <v>3838420</v>
      </c>
      <c r="G21" s="132"/>
      <c r="H21" s="152"/>
    </row>
    <row r="22" spans="1:8" s="135" customFormat="1" ht="15.5">
      <c r="A22" s="160" t="s">
        <v>94</v>
      </c>
      <c r="B22" s="137"/>
      <c r="C22" s="137"/>
      <c r="D22" s="147"/>
      <c r="E22" s="147"/>
      <c r="F22" s="147"/>
      <c r="G22" s="132"/>
      <c r="H22" s="152"/>
    </row>
    <row r="23" spans="1:8" s="135" customFormat="1" ht="15.5">
      <c r="A23" s="160" t="s">
        <v>95</v>
      </c>
      <c r="B23" s="137"/>
      <c r="C23" s="137"/>
      <c r="D23" s="147"/>
      <c r="E23" s="147"/>
      <c r="F23" s="147"/>
      <c r="G23" s="132"/>
      <c r="H23" s="152"/>
    </row>
    <row r="24" spans="1:8" s="135" customFormat="1" ht="15.5">
      <c r="A24" s="160" t="s">
        <v>96</v>
      </c>
      <c r="B24" s="137"/>
      <c r="C24" s="137"/>
      <c r="D24" s="147"/>
      <c r="E24" s="147"/>
      <c r="F24" s="147"/>
      <c r="G24" s="132"/>
      <c r="H24" s="152"/>
    </row>
    <row r="25" spans="1:8" s="135" customFormat="1" ht="15.5">
      <c r="A25" s="160" t="s">
        <v>97</v>
      </c>
      <c r="B25" s="137"/>
      <c r="C25" s="137"/>
      <c r="D25" s="147"/>
      <c r="E25" s="147"/>
      <c r="F25" s="147"/>
      <c r="G25" s="132"/>
      <c r="H25" s="152"/>
    </row>
    <row r="26" spans="1:8" s="135" customFormat="1" ht="15.5">
      <c r="A26" s="160" t="s">
        <v>98</v>
      </c>
      <c r="B26" s="137"/>
      <c r="C26" s="137"/>
      <c r="D26" s="147"/>
      <c r="E26" s="147"/>
      <c r="F26" s="147">
        <f>F17</f>
        <v>1822595.5555555557</v>
      </c>
      <c r="G26" s="132"/>
      <c r="H26" s="149" t="s">
        <v>108</v>
      </c>
    </row>
    <row r="27" spans="1:8" s="135" customFormat="1" ht="15.5">
      <c r="A27" s="161"/>
      <c r="B27" s="137" t="s">
        <v>177</v>
      </c>
      <c r="C27" s="137"/>
      <c r="D27" s="147">
        <f>D21</f>
        <v>773451</v>
      </c>
      <c r="E27" s="147">
        <f>E21</f>
        <v>40006</v>
      </c>
      <c r="F27" s="147">
        <f>F21+F26</f>
        <v>5661015.555555556</v>
      </c>
      <c r="G27" s="132"/>
      <c r="H27" s="152"/>
    </row>
    <row r="28" spans="1:8" s="135" customFormat="1" ht="15" customHeight="1">
      <c r="A28" s="162"/>
      <c r="B28" s="151"/>
      <c r="C28" s="151"/>
      <c r="D28" s="147"/>
      <c r="E28" s="147"/>
      <c r="F28" s="147"/>
      <c r="G28" s="132"/>
      <c r="H28" s="152"/>
    </row>
    <row r="29" spans="1:8" s="135" customFormat="1" ht="15.5">
      <c r="A29" s="161" t="s">
        <v>103</v>
      </c>
      <c r="B29" s="153"/>
      <c r="C29" s="153"/>
      <c r="D29" s="154"/>
      <c r="E29" s="154"/>
      <c r="F29" s="154"/>
      <c r="G29" s="132"/>
      <c r="H29" s="152"/>
    </row>
    <row r="30" spans="1:8" s="135" customFormat="1" ht="15.5">
      <c r="A30" s="160" t="s">
        <v>92</v>
      </c>
      <c r="B30" s="137" t="s">
        <v>93</v>
      </c>
      <c r="C30" s="137"/>
      <c r="D30" s="147">
        <v>910006</v>
      </c>
      <c r="E30" s="147">
        <v>45752</v>
      </c>
      <c r="F30" s="147">
        <v>4305094</v>
      </c>
      <c r="G30" s="132"/>
      <c r="H30" s="152"/>
    </row>
    <row r="31" spans="1:8" s="135" customFormat="1" ht="15.5">
      <c r="A31" s="160" t="s">
        <v>94</v>
      </c>
      <c r="B31" s="137"/>
      <c r="C31" s="137"/>
      <c r="D31" s="147"/>
      <c r="E31" s="147"/>
      <c r="F31" s="147"/>
      <c r="G31" s="132"/>
      <c r="H31" s="152"/>
    </row>
    <row r="32" spans="1:8" s="135" customFormat="1" ht="15.5">
      <c r="A32" s="160" t="s">
        <v>95</v>
      </c>
      <c r="B32" s="137"/>
      <c r="C32" s="137"/>
      <c r="D32" s="147"/>
      <c r="E32" s="147"/>
      <c r="F32" s="147"/>
      <c r="G32" s="132"/>
      <c r="H32" s="152"/>
    </row>
    <row r="33" spans="1:8" s="135" customFormat="1" ht="15.5">
      <c r="A33" s="160" t="s">
        <v>96</v>
      </c>
      <c r="B33" s="137"/>
      <c r="C33" s="137"/>
      <c r="D33" s="147"/>
      <c r="E33" s="147"/>
      <c r="F33" s="147"/>
      <c r="G33" s="132"/>
      <c r="H33" s="152"/>
    </row>
    <row r="34" spans="1:8" s="135" customFormat="1" ht="15.5">
      <c r="A34" s="160" t="s">
        <v>97</v>
      </c>
      <c r="B34" s="137"/>
      <c r="C34" s="137"/>
      <c r="D34" s="147"/>
      <c r="E34" s="147"/>
      <c r="F34" s="147"/>
      <c r="G34" s="132"/>
      <c r="H34" s="152"/>
    </row>
    <row r="35" spans="1:8" s="135" customFormat="1" ht="15.5">
      <c r="A35" s="160" t="s">
        <v>98</v>
      </c>
      <c r="B35" s="137"/>
      <c r="C35" s="137"/>
      <c r="D35" s="147"/>
      <c r="E35" s="147"/>
      <c r="F35" s="147">
        <f>F26</f>
        <v>1822595.5555555557</v>
      </c>
      <c r="G35" s="132"/>
      <c r="H35" s="149" t="s">
        <v>108</v>
      </c>
    </row>
    <row r="36" spans="1:8" s="135" customFormat="1" ht="15.5">
      <c r="A36" s="161"/>
      <c r="B36" s="137" t="s">
        <v>177</v>
      </c>
      <c r="C36" s="137"/>
      <c r="D36" s="147">
        <f>D30</f>
        <v>910006</v>
      </c>
      <c r="E36" s="147">
        <f>E30</f>
        <v>45752</v>
      </c>
      <c r="F36" s="147">
        <f>F30+F35</f>
        <v>6127689.555555556</v>
      </c>
      <c r="G36" s="132"/>
      <c r="H36" s="152"/>
    </row>
    <row r="37" spans="1:8" ht="15" customHeight="1">
      <c r="A37" s="162"/>
      <c r="B37" s="151"/>
      <c r="C37" s="151"/>
      <c r="D37" s="155"/>
      <c r="E37" s="155"/>
      <c r="F37" s="155"/>
      <c r="G37" s="131"/>
      <c r="H37" s="152"/>
    </row>
    <row r="38" spans="1:8" ht="15.5">
      <c r="A38" s="161" t="s">
        <v>104</v>
      </c>
      <c r="B38" s="153"/>
      <c r="C38" s="153"/>
      <c r="D38" s="154"/>
      <c r="E38" s="154"/>
      <c r="F38" s="154"/>
      <c r="G38" s="131"/>
      <c r="H38" s="156"/>
    </row>
    <row r="39" spans="1:8" ht="15.5">
      <c r="A39" s="160" t="s">
        <v>92</v>
      </c>
      <c r="B39" s="137" t="s">
        <v>93</v>
      </c>
      <c r="C39" s="137"/>
      <c r="D39" s="147">
        <f>AVERAGE(D12,D21,D30)</f>
        <v>873617.66666666663</v>
      </c>
      <c r="E39" s="147">
        <f>AVERAGE(E12,E21,E30)</f>
        <v>45006</v>
      </c>
      <c r="F39" s="147">
        <f>AVERAGE(F12,F21,F30)</f>
        <v>4237927.333333333</v>
      </c>
      <c r="G39" s="131"/>
      <c r="H39" s="156"/>
    </row>
    <row r="40" spans="1:8" ht="15.5">
      <c r="A40" s="163"/>
      <c r="B40" s="137" t="s">
        <v>177</v>
      </c>
      <c r="C40" s="137"/>
      <c r="D40" s="147">
        <f>D39</f>
        <v>873617.66666666663</v>
      </c>
      <c r="E40" s="147">
        <f>E39</f>
        <v>45006</v>
      </c>
      <c r="F40" s="147">
        <v>9705714</v>
      </c>
      <c r="G40" s="131"/>
      <c r="H40" s="156"/>
    </row>
    <row r="41" spans="1:8" ht="15.5">
      <c r="A41" s="163"/>
      <c r="B41" s="137" t="s">
        <v>105</v>
      </c>
      <c r="C41" s="137"/>
      <c r="D41" s="147">
        <v>0</v>
      </c>
      <c r="E41" s="147">
        <v>0</v>
      </c>
      <c r="F41" s="147">
        <f>F40-F39</f>
        <v>5467786.666666667</v>
      </c>
      <c r="G41" s="131"/>
      <c r="H41" s="156"/>
    </row>
    <row r="42" spans="1:8" ht="12.5">
      <c r="A42" s="129"/>
      <c r="B42" s="157" t="s">
        <v>106</v>
      </c>
      <c r="C42" s="157"/>
      <c r="D42" s="164">
        <v>0</v>
      </c>
      <c r="E42" s="164">
        <v>0</v>
      </c>
      <c r="F42" s="164">
        <f>F41/F39</f>
        <v>1.2902030253468246</v>
      </c>
      <c r="G42" s="131"/>
      <c r="H42" s="156"/>
    </row>
    <row r="43" spans="1:8" s="131" customFormat="1" ht="15.5">
      <c r="A43" s="530" t="s">
        <v>180</v>
      </c>
      <c r="B43" s="530"/>
      <c r="C43" s="157"/>
      <c r="D43" s="263"/>
      <c r="E43" s="263"/>
      <c r="F43" s="147"/>
    </row>
    <row r="44" spans="1:8" s="131" customFormat="1" ht="12.75" customHeight="1">
      <c r="A44" s="530" t="s">
        <v>181</v>
      </c>
      <c r="B44" s="530"/>
      <c r="C44" s="264"/>
      <c r="D44" s="264"/>
      <c r="E44" s="264"/>
      <c r="F44" s="147"/>
      <c r="G44" s="158"/>
      <c r="H44" s="158"/>
    </row>
    <row r="45" spans="1:8" s="131" customFormat="1" ht="15.5">
      <c r="A45" s="530" t="s">
        <v>182</v>
      </c>
      <c r="B45" s="530"/>
      <c r="C45" s="157"/>
      <c r="D45" s="263"/>
      <c r="E45" s="263"/>
      <c r="F45" s="147"/>
    </row>
    <row r="46" spans="1:8" s="131" customFormat="1" ht="12.5" hidden="1">
      <c r="A46" s="129"/>
      <c r="B46" s="129"/>
      <c r="C46" s="129"/>
    </row>
    <row r="47" spans="1:8" s="131" customFormat="1" ht="12.5" hidden="1">
      <c r="A47" s="129"/>
      <c r="B47" s="129"/>
      <c r="C47" s="129"/>
    </row>
    <row r="48" spans="1:8" s="131" customFormat="1" ht="12.5" hidden="1">
      <c r="A48" s="129"/>
      <c r="B48" s="129"/>
      <c r="C48" s="129"/>
    </row>
    <row r="49" spans="1:3" s="131" customFormat="1" ht="12.5">
      <c r="A49" s="129"/>
      <c r="B49" s="129"/>
      <c r="C49" s="129"/>
    </row>
    <row r="50" spans="1:3" s="131" customFormat="1" ht="12.5" hidden="1">
      <c r="A50" s="129"/>
      <c r="B50" s="129"/>
      <c r="C50" s="129"/>
    </row>
    <row r="51" spans="1:3" ht="12.5" hidden="1"/>
    <row r="52" spans="1:3" ht="12.5" hidden="1"/>
    <row r="53" spans="1:3" ht="12.5" hidden="1"/>
    <row r="54" spans="1:3" ht="12.5" hidden="1"/>
    <row r="55" spans="1:3" ht="12.5" hidden="1"/>
    <row r="56" spans="1:3" ht="12.5" hidden="1"/>
    <row r="57" spans="1:3" ht="12.5" hidden="1"/>
    <row r="58" spans="1:3" ht="12.5" hidden="1"/>
    <row r="59" spans="1:3" ht="12.5" hidden="1"/>
    <row r="60" spans="1:3" ht="12.5" hidden="1"/>
    <row r="61" spans="1:3" ht="12.5" hidden="1"/>
    <row r="62" spans="1:3" ht="12.5" hidden="1"/>
    <row r="63" spans="1:3" ht="12.5" hidden="1"/>
    <row r="64" spans="1:3" ht="12.5" hidden="1"/>
  </sheetData>
  <mergeCells count="8">
    <mergeCell ref="A43:B43"/>
    <mergeCell ref="A44:B44"/>
    <mergeCell ref="A45:B45"/>
    <mergeCell ref="A1:H1"/>
    <mergeCell ref="A2:H2"/>
    <mergeCell ref="A3:B3"/>
    <mergeCell ref="A9:B9"/>
    <mergeCell ref="A10:B10"/>
  </mergeCells>
  <phoneticPr fontId="0" type="noConversion"/>
  <pageMargins left="0.7" right="0.7" top="0.75" bottom="0.75" header="0.3" footer="0.3"/>
  <pageSetup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opLeftCell="A10" zoomScaleNormal="100" zoomScaleSheetLayoutView="100" workbookViewId="0">
      <selection activeCell="I13" sqref="I13"/>
    </sheetView>
  </sheetViews>
  <sheetFormatPr defaultRowHeight="14"/>
  <cols>
    <col min="1" max="11" width="10.58203125" customWidth="1"/>
    <col min="13" max="13" width="9.08203125" bestFit="1" customWidth="1"/>
    <col min="14" max="14" width="11.5" bestFit="1" customWidth="1"/>
  </cols>
  <sheetData>
    <row r="1" spans="1:14" ht="15.75" customHeight="1">
      <c r="A1" s="533" t="s">
        <v>219</v>
      </c>
      <c r="B1" s="533"/>
      <c r="C1" s="533"/>
      <c r="D1" s="533"/>
      <c r="E1" s="533"/>
      <c r="F1" s="533"/>
      <c r="G1" s="533"/>
      <c r="H1" s="533"/>
      <c r="I1" s="533"/>
      <c r="J1" s="533"/>
      <c r="K1" s="533"/>
    </row>
    <row r="2" spans="1:14" ht="15.75" customHeight="1">
      <c r="A2" s="533" t="s">
        <v>290</v>
      </c>
      <c r="B2" s="533"/>
      <c r="C2" s="533"/>
      <c r="D2" s="533"/>
      <c r="E2" s="533"/>
      <c r="F2" s="533"/>
      <c r="G2" s="533"/>
      <c r="H2" s="533"/>
      <c r="I2" s="533"/>
      <c r="J2" s="533"/>
      <c r="K2" s="533"/>
      <c r="L2" s="165"/>
    </row>
    <row r="3" spans="1:14">
      <c r="A3" s="166"/>
      <c r="B3" s="167" t="s">
        <v>159</v>
      </c>
      <c r="C3" s="167" t="s">
        <v>109</v>
      </c>
      <c r="D3" s="167"/>
      <c r="E3" s="167" t="s">
        <v>110</v>
      </c>
      <c r="F3" s="534"/>
      <c r="G3" s="534"/>
      <c r="H3" s="167"/>
      <c r="I3" s="167"/>
      <c r="J3" s="167" t="s">
        <v>110</v>
      </c>
      <c r="K3" s="167" t="s">
        <v>111</v>
      </c>
      <c r="L3" s="167"/>
    </row>
    <row r="4" spans="1:14">
      <c r="A4" s="167" t="s">
        <v>112</v>
      </c>
      <c r="B4" s="169" t="s">
        <v>160</v>
      </c>
      <c r="C4" s="167" t="s">
        <v>113</v>
      </c>
      <c r="D4" s="167" t="s">
        <v>114</v>
      </c>
      <c r="E4" s="167" t="s">
        <v>115</v>
      </c>
      <c r="F4" s="534" t="s">
        <v>116</v>
      </c>
      <c r="G4" s="534"/>
      <c r="H4" s="167" t="s">
        <v>234</v>
      </c>
      <c r="I4" s="167" t="s">
        <v>44</v>
      </c>
      <c r="J4" s="167" t="s">
        <v>117</v>
      </c>
      <c r="K4" s="167" t="s">
        <v>117</v>
      </c>
      <c r="L4" s="167"/>
    </row>
    <row r="5" spans="1:14">
      <c r="A5" s="168"/>
      <c r="B5" s="184" t="s">
        <v>112</v>
      </c>
      <c r="C5" s="169" t="s">
        <v>118</v>
      </c>
      <c r="D5" s="169" t="s">
        <v>119</v>
      </c>
      <c r="E5" s="169" t="s">
        <v>120</v>
      </c>
      <c r="F5" s="169" t="s">
        <v>23</v>
      </c>
      <c r="G5" s="169" t="s">
        <v>121</v>
      </c>
      <c r="H5" s="169" t="s">
        <v>235</v>
      </c>
      <c r="I5" s="169" t="s">
        <v>326</v>
      </c>
      <c r="J5" s="169"/>
      <c r="K5" s="169"/>
      <c r="L5" s="169"/>
    </row>
    <row r="6" spans="1:14" s="1" customFormat="1" ht="13.5" thickBot="1">
      <c r="A6" s="170"/>
      <c r="B6" s="251"/>
      <c r="C6" s="171">
        <v>0.02</v>
      </c>
      <c r="D6" s="171"/>
      <c r="E6" s="334"/>
      <c r="F6" s="171">
        <v>0.03</v>
      </c>
      <c r="G6" s="171">
        <v>0.03</v>
      </c>
      <c r="H6" s="171"/>
      <c r="I6" s="171"/>
      <c r="J6" s="170"/>
      <c r="K6" s="170"/>
      <c r="L6" s="169"/>
    </row>
    <row r="7" spans="1:14" ht="14.5" thickTop="1">
      <c r="A7" s="252" t="s">
        <v>161</v>
      </c>
      <c r="B7" s="169"/>
      <c r="C7" s="172">
        <v>0</v>
      </c>
      <c r="D7" s="172">
        <v>0</v>
      </c>
      <c r="E7" s="169">
        <v>0</v>
      </c>
      <c r="F7" s="169">
        <v>0</v>
      </c>
      <c r="G7" s="169">
        <v>0</v>
      </c>
      <c r="H7" s="169"/>
      <c r="I7" s="172">
        <f>SUM(E7:H7)</f>
        <v>0</v>
      </c>
      <c r="J7" s="172">
        <f>C7-I7</f>
        <v>0</v>
      </c>
      <c r="K7" s="173">
        <f>J7</f>
        <v>0</v>
      </c>
      <c r="L7" s="174"/>
    </row>
    <row r="8" spans="1:14">
      <c r="A8" s="167">
        <v>1</v>
      </c>
      <c r="B8" s="167">
        <v>2011</v>
      </c>
      <c r="C8" s="172">
        <v>78442</v>
      </c>
      <c r="D8" s="172">
        <v>18634</v>
      </c>
      <c r="E8" s="172">
        <v>59112</v>
      </c>
      <c r="F8" s="172">
        <v>6762</v>
      </c>
      <c r="G8" s="172">
        <v>2036</v>
      </c>
      <c r="H8" s="172">
        <v>8160</v>
      </c>
      <c r="I8" s="172">
        <f>SUM(E8:H8)-D8</f>
        <v>57436</v>
      </c>
      <c r="J8" s="172">
        <f t="shared" ref="J8:J22" si="0">C8-I8</f>
        <v>21006</v>
      </c>
      <c r="K8" s="175">
        <f>K7+J8</f>
        <v>21006</v>
      </c>
      <c r="L8" s="175"/>
      <c r="M8" s="176"/>
      <c r="N8" s="336"/>
    </row>
    <row r="9" spans="1:14">
      <c r="A9" s="167">
        <v>2</v>
      </c>
      <c r="B9" s="167">
        <v>2012</v>
      </c>
      <c r="C9" s="172">
        <f>C8*(1+$C$6)</f>
        <v>80010.84</v>
      </c>
      <c r="D9" s="172">
        <v>3034</v>
      </c>
      <c r="E9" s="172">
        <v>59112</v>
      </c>
      <c r="F9" s="172">
        <f>(F8*$F$6)+F8</f>
        <v>6964.86</v>
      </c>
      <c r="G9" s="172">
        <f>(G8*$G$6)+G8</f>
        <v>2097.08</v>
      </c>
      <c r="H9" s="172">
        <v>8160</v>
      </c>
      <c r="I9" s="172">
        <f>SUM(E9:H9)-D9</f>
        <v>73299.94</v>
      </c>
      <c r="J9" s="172">
        <f t="shared" si="0"/>
        <v>6710.8999999999942</v>
      </c>
      <c r="K9" s="175">
        <f t="shared" ref="K9:K22" si="1">K8+J9</f>
        <v>27716.899999999994</v>
      </c>
      <c r="L9" s="172"/>
      <c r="M9" s="176"/>
      <c r="N9" s="177"/>
    </row>
    <row r="10" spans="1:14">
      <c r="A10" s="167">
        <v>3</v>
      </c>
      <c r="B10" s="167">
        <v>2013</v>
      </c>
      <c r="C10" s="172">
        <f t="shared" ref="C10:C22" si="2">C9*(1+$C$6)</f>
        <v>81611.056799999991</v>
      </c>
      <c r="D10" s="172"/>
      <c r="E10" s="172">
        <v>59112</v>
      </c>
      <c r="F10" s="172">
        <f t="shared" ref="F10:F22" si="3">(F9*$F$6)+F9</f>
        <v>7173.8058000000001</v>
      </c>
      <c r="G10" s="172">
        <f t="shared" ref="G10:G22" si="4">(G9*$G$6)+G9</f>
        <v>2159.9924000000001</v>
      </c>
      <c r="H10" s="172">
        <v>8160</v>
      </c>
      <c r="I10" s="172">
        <f>SUM(E10:H10)-D10</f>
        <v>76605.798200000005</v>
      </c>
      <c r="J10" s="172">
        <f t="shared" si="0"/>
        <v>5005.2585999999865</v>
      </c>
      <c r="K10" s="175">
        <f t="shared" si="1"/>
        <v>32722.158599999981</v>
      </c>
      <c r="L10" s="172"/>
      <c r="M10" s="335"/>
    </row>
    <row r="11" spans="1:14">
      <c r="A11" s="167">
        <v>4</v>
      </c>
      <c r="B11" s="167">
        <v>2014</v>
      </c>
      <c r="C11" s="172">
        <f t="shared" si="2"/>
        <v>83243.277935999999</v>
      </c>
      <c r="D11" s="172"/>
      <c r="E11" s="172">
        <v>59112</v>
      </c>
      <c r="F11" s="172">
        <f t="shared" si="3"/>
        <v>7389.0199739999998</v>
      </c>
      <c r="G11" s="172">
        <f t="shared" si="4"/>
        <v>2224.7921719999999</v>
      </c>
      <c r="H11" s="172">
        <v>8160</v>
      </c>
      <c r="I11" s="172">
        <f t="shared" ref="I11:I22" si="5">SUM(E11:H11)-D11</f>
        <v>76885.812145999997</v>
      </c>
      <c r="J11" s="172">
        <f t="shared" si="0"/>
        <v>6357.465790000002</v>
      </c>
      <c r="K11" s="175">
        <f t="shared" si="1"/>
        <v>39079.624389999983</v>
      </c>
      <c r="L11" s="172"/>
    </row>
    <row r="12" spans="1:14">
      <c r="A12" s="167">
        <v>5</v>
      </c>
      <c r="B12" s="167">
        <v>2015</v>
      </c>
      <c r="C12" s="172">
        <f t="shared" si="2"/>
        <v>84908.143494720003</v>
      </c>
      <c r="D12" s="172"/>
      <c r="E12" s="172">
        <v>59112</v>
      </c>
      <c r="F12" s="172">
        <f t="shared" si="3"/>
        <v>7610.6905732199994</v>
      </c>
      <c r="G12" s="172">
        <f t="shared" si="4"/>
        <v>2291.5359371599998</v>
      </c>
      <c r="H12" s="172">
        <v>8160</v>
      </c>
      <c r="I12" s="172">
        <f t="shared" si="5"/>
        <v>77174.226510380002</v>
      </c>
      <c r="J12" s="172">
        <f t="shared" si="0"/>
        <v>7733.9169843400014</v>
      </c>
      <c r="K12" s="175">
        <f t="shared" si="1"/>
        <v>46813.541374339984</v>
      </c>
      <c r="L12" s="172"/>
    </row>
    <row r="13" spans="1:14">
      <c r="A13" s="167">
        <v>6</v>
      </c>
      <c r="B13" s="167">
        <v>2016</v>
      </c>
      <c r="C13" s="172">
        <f t="shared" si="2"/>
        <v>86606.3063646144</v>
      </c>
      <c r="D13" s="172"/>
      <c r="E13" s="172">
        <v>59112</v>
      </c>
      <c r="F13" s="172">
        <f t="shared" si="3"/>
        <v>7839.011290416599</v>
      </c>
      <c r="G13" s="172">
        <f t="shared" si="4"/>
        <v>2360.2820152748</v>
      </c>
      <c r="H13" s="172">
        <v>8160</v>
      </c>
      <c r="I13" s="172">
        <f t="shared" si="5"/>
        <v>77471.293305691404</v>
      </c>
      <c r="J13" s="172">
        <f t="shared" si="0"/>
        <v>9135.0130589229957</v>
      </c>
      <c r="K13" s="175">
        <f t="shared" si="1"/>
        <v>55948.55443326298</v>
      </c>
      <c r="L13" s="172"/>
    </row>
    <row r="14" spans="1:14">
      <c r="A14" s="167">
        <v>7</v>
      </c>
      <c r="B14" s="167">
        <v>2017</v>
      </c>
      <c r="C14" s="172">
        <f t="shared" si="2"/>
        <v>88338.432491906686</v>
      </c>
      <c r="D14" s="172"/>
      <c r="E14" s="172">
        <v>59112</v>
      </c>
      <c r="F14" s="172">
        <f t="shared" si="3"/>
        <v>8074.181629129097</v>
      </c>
      <c r="G14" s="172">
        <f t="shared" si="4"/>
        <v>2431.0904757330441</v>
      </c>
      <c r="H14" s="172">
        <v>8160</v>
      </c>
      <c r="I14" s="172">
        <f t="shared" si="5"/>
        <v>77777.272104862146</v>
      </c>
      <c r="J14" s="172">
        <f t="shared" si="0"/>
        <v>10561.16038704454</v>
      </c>
      <c r="K14" s="175">
        <f t="shared" si="1"/>
        <v>66509.714820307519</v>
      </c>
      <c r="L14" s="172"/>
    </row>
    <row r="15" spans="1:14">
      <c r="A15" s="167">
        <v>8</v>
      </c>
      <c r="B15" s="167">
        <v>2018</v>
      </c>
      <c r="C15" s="172">
        <f t="shared" si="2"/>
        <v>90105.201141744823</v>
      </c>
      <c r="D15" s="172"/>
      <c r="E15" s="172">
        <v>59112</v>
      </c>
      <c r="F15" s="172">
        <f t="shared" si="3"/>
        <v>8316.4070780029706</v>
      </c>
      <c r="G15" s="172">
        <f t="shared" si="4"/>
        <v>2504.0231900050353</v>
      </c>
      <c r="H15" s="172">
        <v>8160</v>
      </c>
      <c r="I15" s="172">
        <f t="shared" si="5"/>
        <v>78092.430268008015</v>
      </c>
      <c r="J15" s="172">
        <f t="shared" si="0"/>
        <v>12012.770873736808</v>
      </c>
      <c r="K15" s="175">
        <f t="shared" si="1"/>
        <v>78522.485694044328</v>
      </c>
      <c r="L15" s="172"/>
    </row>
    <row r="16" spans="1:14">
      <c r="A16" s="167">
        <v>9</v>
      </c>
      <c r="B16" s="167">
        <v>2019</v>
      </c>
      <c r="C16" s="172">
        <f t="shared" si="2"/>
        <v>91907.305164579724</v>
      </c>
      <c r="D16" s="172"/>
      <c r="E16" s="172">
        <v>59112</v>
      </c>
      <c r="F16" s="172">
        <f t="shared" si="3"/>
        <v>8565.899290343059</v>
      </c>
      <c r="G16" s="172">
        <f t="shared" si="4"/>
        <v>2579.1438857051862</v>
      </c>
      <c r="H16" s="172">
        <v>8160</v>
      </c>
      <c r="I16" s="172">
        <f t="shared" si="5"/>
        <v>78417.043176048246</v>
      </c>
      <c r="J16" s="172">
        <f t="shared" si="0"/>
        <v>13490.261988531478</v>
      </c>
      <c r="K16" s="175">
        <f t="shared" si="1"/>
        <v>92012.747682575806</v>
      </c>
      <c r="L16" s="172"/>
    </row>
    <row r="17" spans="1:12">
      <c r="A17" s="167">
        <v>10</v>
      </c>
      <c r="B17" s="167">
        <v>2020</v>
      </c>
      <c r="C17" s="172">
        <f t="shared" si="2"/>
        <v>93745.451267871322</v>
      </c>
      <c r="D17" s="172"/>
      <c r="E17" s="172">
        <v>59112</v>
      </c>
      <c r="F17" s="172">
        <f t="shared" si="3"/>
        <v>8822.8762690533513</v>
      </c>
      <c r="G17" s="172">
        <f t="shared" si="4"/>
        <v>2656.518202276342</v>
      </c>
      <c r="H17" s="172">
        <v>8160</v>
      </c>
      <c r="I17" s="172">
        <f t="shared" si="5"/>
        <v>78751.394471329695</v>
      </c>
      <c r="J17" s="172">
        <f t="shared" si="0"/>
        <v>14994.056796541627</v>
      </c>
      <c r="K17" s="175">
        <f t="shared" si="1"/>
        <v>107006.80447911743</v>
      </c>
      <c r="L17" s="172"/>
    </row>
    <row r="18" spans="1:12">
      <c r="A18" s="167">
        <v>11</v>
      </c>
      <c r="B18" s="167">
        <v>2021</v>
      </c>
      <c r="C18" s="172">
        <f t="shared" si="2"/>
        <v>95620.360293228747</v>
      </c>
      <c r="D18" s="172"/>
      <c r="E18" s="172">
        <v>59112</v>
      </c>
      <c r="F18" s="172">
        <f t="shared" si="3"/>
        <v>9087.5625571249511</v>
      </c>
      <c r="G18" s="172">
        <f t="shared" si="4"/>
        <v>2736.2137483446322</v>
      </c>
      <c r="H18" s="172">
        <v>8160</v>
      </c>
      <c r="I18" s="172">
        <f t="shared" si="5"/>
        <v>79095.776305469582</v>
      </c>
      <c r="J18" s="172">
        <f t="shared" si="0"/>
        <v>16524.583987759164</v>
      </c>
      <c r="K18" s="175">
        <f t="shared" si="1"/>
        <v>123531.3884668766</v>
      </c>
      <c r="L18" s="172"/>
    </row>
    <row r="19" spans="1:12">
      <c r="A19" s="167">
        <v>12</v>
      </c>
      <c r="B19" s="167">
        <v>2022</v>
      </c>
      <c r="C19" s="172">
        <f t="shared" si="2"/>
        <v>97532.76749909333</v>
      </c>
      <c r="D19" s="172"/>
      <c r="E19" s="172">
        <v>59112</v>
      </c>
      <c r="F19" s="172">
        <f t="shared" si="3"/>
        <v>9360.1894338386992</v>
      </c>
      <c r="G19" s="172">
        <f t="shared" si="4"/>
        <v>2818.3001607949714</v>
      </c>
      <c r="H19" s="172">
        <v>8160</v>
      </c>
      <c r="I19" s="172">
        <f t="shared" si="5"/>
        <v>79450.489594633676</v>
      </c>
      <c r="J19" s="172">
        <f t="shared" si="0"/>
        <v>18082.277904459654</v>
      </c>
      <c r="K19" s="175">
        <f t="shared" si="1"/>
        <v>141613.66637133627</v>
      </c>
      <c r="L19" s="172"/>
    </row>
    <row r="20" spans="1:12">
      <c r="A20" s="167">
        <v>13</v>
      </c>
      <c r="B20" s="167">
        <v>2023</v>
      </c>
      <c r="C20" s="172">
        <f t="shared" si="2"/>
        <v>99483.422849075199</v>
      </c>
      <c r="D20" s="172"/>
      <c r="E20" s="172">
        <v>59112</v>
      </c>
      <c r="F20" s="172">
        <f t="shared" si="3"/>
        <v>9640.995116853861</v>
      </c>
      <c r="G20" s="172">
        <f t="shared" si="4"/>
        <v>2902.8491656188203</v>
      </c>
      <c r="H20" s="172">
        <v>8160</v>
      </c>
      <c r="I20" s="172">
        <f t="shared" si="5"/>
        <v>79815.844282472681</v>
      </c>
      <c r="J20" s="172">
        <f t="shared" si="0"/>
        <v>19667.578566602519</v>
      </c>
      <c r="K20" s="175">
        <f t="shared" si="1"/>
        <v>161281.24493793878</v>
      </c>
    </row>
    <row r="21" spans="1:12">
      <c r="A21" s="167">
        <v>14</v>
      </c>
      <c r="B21" s="167">
        <v>2024</v>
      </c>
      <c r="C21" s="172">
        <f t="shared" si="2"/>
        <v>101473.09130605671</v>
      </c>
      <c r="D21" s="172"/>
      <c r="E21" s="172">
        <v>59112</v>
      </c>
      <c r="F21" s="172">
        <f t="shared" si="3"/>
        <v>9930.2249703594771</v>
      </c>
      <c r="G21" s="172">
        <f t="shared" si="4"/>
        <v>2989.9346405873848</v>
      </c>
      <c r="H21" s="172">
        <v>8160</v>
      </c>
      <c r="I21" s="172">
        <f t="shared" si="5"/>
        <v>80192.159610946852</v>
      </c>
      <c r="J21" s="172">
        <f t="shared" si="0"/>
        <v>21280.931695109859</v>
      </c>
      <c r="K21" s="175">
        <f t="shared" si="1"/>
        <v>182562.17663304863</v>
      </c>
    </row>
    <row r="22" spans="1:12">
      <c r="A22" s="167">
        <v>15</v>
      </c>
      <c r="B22" s="167">
        <v>2025</v>
      </c>
      <c r="C22" s="172">
        <f t="shared" si="2"/>
        <v>103502.55313217784</v>
      </c>
      <c r="D22" s="172"/>
      <c r="E22" s="172">
        <v>59112</v>
      </c>
      <c r="F22" s="172">
        <f t="shared" si="3"/>
        <v>10228.131719470261</v>
      </c>
      <c r="G22" s="172">
        <f t="shared" si="4"/>
        <v>3079.6326798050063</v>
      </c>
      <c r="H22" s="172">
        <v>8160</v>
      </c>
      <c r="I22" s="172">
        <f t="shared" si="5"/>
        <v>80579.764399275256</v>
      </c>
      <c r="J22" s="172">
        <f t="shared" si="0"/>
        <v>22922.788732902583</v>
      </c>
      <c r="K22" s="175">
        <f t="shared" si="1"/>
        <v>205484.96536595121</v>
      </c>
    </row>
    <row r="23" spans="1:12" ht="14.5" thickBot="1">
      <c r="A23" s="167"/>
      <c r="B23" s="167"/>
      <c r="C23" s="250">
        <f>SUM(C8:C22)</f>
        <v>1356530.209741069</v>
      </c>
      <c r="D23" s="250">
        <f>SUM(D8:D22)</f>
        <v>21668</v>
      </c>
      <c r="E23" s="250">
        <f t="shared" ref="E23:J23" si="6">SUM(E8:E22)</f>
        <v>886680</v>
      </c>
      <c r="F23" s="250">
        <f t="shared" si="6"/>
        <v>125765.85570181231</v>
      </c>
      <c r="G23" s="250">
        <f t="shared" si="6"/>
        <v>37867.38867330522</v>
      </c>
      <c r="H23" s="250">
        <f t="shared" si="6"/>
        <v>122400</v>
      </c>
      <c r="I23" s="250">
        <f t="shared" si="6"/>
        <v>1151045.2443751174</v>
      </c>
      <c r="J23" s="250">
        <f t="shared" si="6"/>
        <v>205484.96536595121</v>
      </c>
      <c r="K23" s="175"/>
    </row>
    <row r="24" spans="1:12" ht="14.5" thickTop="1">
      <c r="G24" s="177"/>
      <c r="H24" s="177"/>
      <c r="I24" s="177"/>
      <c r="K24" s="175"/>
    </row>
    <row r="25" spans="1:12">
      <c r="B25" s="167" t="s">
        <v>291</v>
      </c>
      <c r="C25" s="167"/>
      <c r="D25" s="167"/>
      <c r="E25" s="167"/>
      <c r="F25" s="167"/>
      <c r="G25" s="167"/>
      <c r="H25" s="167"/>
      <c r="I25" s="167"/>
      <c r="J25" s="167"/>
      <c r="K25" s="167"/>
    </row>
    <row r="26" spans="1:12">
      <c r="B26" s="167">
        <v>1</v>
      </c>
      <c r="C26" s="448">
        <f>I23/C23</f>
        <v>0.84852164449387812</v>
      </c>
      <c r="D26" s="401" t="s">
        <v>292</v>
      </c>
      <c r="E26" s="167"/>
      <c r="F26" s="167"/>
      <c r="G26" s="167"/>
      <c r="H26" s="167"/>
      <c r="I26" s="167"/>
      <c r="J26" s="167"/>
      <c r="K26" s="167"/>
    </row>
    <row r="27" spans="1:12">
      <c r="B27" s="167">
        <v>2</v>
      </c>
      <c r="C27" s="401" t="s">
        <v>293</v>
      </c>
      <c r="D27" s="167"/>
      <c r="E27" s="167"/>
      <c r="F27" s="167"/>
      <c r="G27" s="167"/>
      <c r="H27" s="167"/>
      <c r="I27" s="167"/>
      <c r="J27" s="167"/>
      <c r="K27" s="167"/>
    </row>
    <row r="28" spans="1:12">
      <c r="B28" s="184">
        <v>3</v>
      </c>
      <c r="C28" s="166" t="s">
        <v>366</v>
      </c>
    </row>
  </sheetData>
  <mergeCells count="4">
    <mergeCell ref="A1:K1"/>
    <mergeCell ref="A2:K2"/>
    <mergeCell ref="F3:G3"/>
    <mergeCell ref="F4:G4"/>
  </mergeCells>
  <phoneticPr fontId="0" type="noConversion"/>
  <pageMargins left="0.7" right="0.7" top="0.75" bottom="0.75" header="0.3" footer="0.3"/>
  <pageSetup scale="97"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35"/>
  <sheetViews>
    <sheetView workbookViewId="0">
      <selection activeCell="C6" sqref="C6"/>
    </sheetView>
  </sheetViews>
  <sheetFormatPr defaultRowHeight="14"/>
  <cols>
    <col min="5" max="5" width="0" hidden="1" customWidth="1"/>
    <col min="6" max="6" width="16.25" style="184" hidden="1" customWidth="1"/>
    <col min="7" max="7" width="15.83203125" customWidth="1"/>
    <col min="9" max="9" width="10.75" customWidth="1"/>
  </cols>
  <sheetData>
    <row r="4" spans="2:16" ht="14.5">
      <c r="B4" s="228" t="s">
        <v>153</v>
      </c>
      <c r="C4" s="228"/>
      <c r="D4" s="228"/>
      <c r="E4" s="228"/>
      <c r="F4" s="228"/>
      <c r="G4" s="228"/>
      <c r="H4" s="228"/>
      <c r="I4" s="228"/>
      <c r="J4" s="228"/>
    </row>
    <row r="5" spans="2:16" ht="14.5">
      <c r="B5" s="228" t="s">
        <v>146</v>
      </c>
      <c r="C5" s="228"/>
      <c r="D5" s="228"/>
      <c r="E5" s="228"/>
      <c r="F5" s="228"/>
      <c r="G5" s="228"/>
      <c r="H5" s="228"/>
      <c r="I5" s="228"/>
      <c r="J5" s="228"/>
    </row>
    <row r="6" spans="2:16" ht="14.5">
      <c r="B6" s="228" t="s">
        <v>154</v>
      </c>
      <c r="C6" s="228"/>
      <c r="D6" s="228"/>
      <c r="E6" s="228"/>
      <c r="F6" s="228"/>
      <c r="G6" s="228"/>
      <c r="H6" s="228"/>
      <c r="I6" s="228"/>
      <c r="J6" s="228"/>
    </row>
    <row r="7" spans="2:16" ht="14.5">
      <c r="B7" s="228" t="s">
        <v>155</v>
      </c>
      <c r="C7" s="228"/>
      <c r="D7" s="228"/>
      <c r="E7" s="228"/>
      <c r="F7" s="228"/>
      <c r="G7" s="228"/>
      <c r="H7" s="228"/>
      <c r="I7" s="228"/>
      <c r="J7" s="228"/>
    </row>
    <row r="8" spans="2:16" ht="14.5">
      <c r="B8" s="228" t="s">
        <v>147</v>
      </c>
      <c r="D8" s="229" t="s">
        <v>148</v>
      </c>
      <c r="E8" s="228"/>
      <c r="F8" s="228"/>
      <c r="G8" s="228"/>
      <c r="H8" s="228"/>
      <c r="I8" s="228"/>
      <c r="J8" s="228"/>
    </row>
    <row r="9" spans="2:16" ht="14.5">
      <c r="B9" s="228" t="s">
        <v>149</v>
      </c>
      <c r="C9" s="228"/>
      <c r="D9" s="228"/>
      <c r="E9" s="228"/>
      <c r="F9" s="228"/>
      <c r="G9" s="228"/>
      <c r="H9" s="228"/>
      <c r="I9" s="228"/>
      <c r="J9" s="228"/>
    </row>
    <row r="10" spans="2:16" ht="14.5">
      <c r="B10" s="228"/>
      <c r="C10" s="228"/>
      <c r="D10" s="228"/>
      <c r="E10" s="228"/>
      <c r="F10" s="228"/>
      <c r="G10" s="228"/>
      <c r="H10" s="228"/>
      <c r="I10" s="228"/>
      <c r="J10" s="228"/>
    </row>
    <row r="11" spans="2:16" ht="15.5">
      <c r="H11" s="230" t="s">
        <v>150</v>
      </c>
    </row>
    <row r="12" spans="2:16" s="231" customFormat="1" ht="13.5">
      <c r="C12" s="232" t="s">
        <v>112</v>
      </c>
      <c r="D12" s="233" t="s">
        <v>110</v>
      </c>
      <c r="E12" s="231" t="s">
        <v>105</v>
      </c>
      <c r="F12" s="234" t="s">
        <v>151</v>
      </c>
      <c r="H12" s="232" t="s">
        <v>112</v>
      </c>
      <c r="I12" s="233" t="s">
        <v>110</v>
      </c>
    </row>
    <row r="13" spans="2:16" s="231" customFormat="1" thickBot="1">
      <c r="C13" s="235">
        <v>1989</v>
      </c>
      <c r="D13" s="236">
        <v>107</v>
      </c>
      <c r="F13" s="234"/>
      <c r="H13" s="235">
        <v>1989</v>
      </c>
      <c r="I13" s="237"/>
    </row>
    <row r="14" spans="2:16" s="231" customFormat="1" ht="14.5" thickBot="1">
      <c r="C14" s="238">
        <v>1990</v>
      </c>
      <c r="D14" s="239">
        <v>104.6</v>
      </c>
      <c r="E14" s="231">
        <f>D14-D13</f>
        <v>-2.4000000000000057</v>
      </c>
      <c r="F14" s="240">
        <f>E14/$D$13</f>
        <v>-2.2429906542056129E-2</v>
      </c>
      <c r="H14" s="238">
        <v>1990</v>
      </c>
      <c r="I14" s="241">
        <f>(D14-D13)/D13</f>
        <v>-2.2429906542056129E-2</v>
      </c>
      <c r="L14" s="535" t="s">
        <v>15</v>
      </c>
      <c r="M14" s="535"/>
      <c r="N14" s="535"/>
      <c r="O14" s="535"/>
      <c r="P14" s="535"/>
    </row>
    <row r="15" spans="2:16" s="231" customFormat="1" thickBot="1">
      <c r="C15" s="235">
        <v>1991</v>
      </c>
      <c r="D15" s="236">
        <v>106.7</v>
      </c>
      <c r="E15" s="231">
        <f t="shared" ref="E15:E32" si="0">D15-D14</f>
        <v>2.1000000000000085</v>
      </c>
      <c r="F15" s="240">
        <f t="shared" ref="F15:F32" si="1">E15/$D$13</f>
        <v>1.9626168224299145E-2</v>
      </c>
      <c r="H15" s="235">
        <v>1991</v>
      </c>
      <c r="I15" s="242">
        <f t="shared" ref="I15:I32" si="2">(D15-D14)/D14</f>
        <v>2.0076481835564135E-2</v>
      </c>
    </row>
    <row r="16" spans="2:16" s="231" customFormat="1" thickBot="1">
      <c r="C16" s="238">
        <v>1992</v>
      </c>
      <c r="D16" s="239">
        <v>111.5</v>
      </c>
      <c r="E16" s="231">
        <f t="shared" si="0"/>
        <v>4.7999999999999972</v>
      </c>
      <c r="F16" s="240">
        <f t="shared" si="1"/>
        <v>4.4859813084112125E-2</v>
      </c>
      <c r="H16" s="238">
        <v>1992</v>
      </c>
      <c r="I16" s="241">
        <f t="shared" si="2"/>
        <v>4.4985941893158361E-2</v>
      </c>
      <c r="L16" s="231" t="s">
        <v>168</v>
      </c>
    </row>
    <row r="17" spans="3:16" s="231" customFormat="1" ht="14.5" thickBot="1">
      <c r="C17" s="235">
        <v>1993</v>
      </c>
      <c r="D17" s="236">
        <v>109.3</v>
      </c>
      <c r="E17" s="231">
        <f t="shared" si="0"/>
        <v>-2.2000000000000028</v>
      </c>
      <c r="F17" s="240">
        <f t="shared" si="1"/>
        <v>-2.056074766355143E-2</v>
      </c>
      <c r="H17" s="235">
        <v>1993</v>
      </c>
      <c r="I17" s="242">
        <f t="shared" si="2"/>
        <v>-1.9730941704035901E-2</v>
      </c>
      <c r="L17" s="234">
        <v>1</v>
      </c>
      <c r="M17" s="262" t="s">
        <v>169</v>
      </c>
    </row>
    <row r="18" spans="3:16" s="231" customFormat="1" thickBot="1">
      <c r="C18" s="238">
        <v>1994</v>
      </c>
      <c r="D18" s="239">
        <v>107.5</v>
      </c>
      <c r="E18" s="231">
        <f t="shared" si="0"/>
        <v>-1.7999999999999972</v>
      </c>
      <c r="F18" s="240">
        <f t="shared" si="1"/>
        <v>-1.6822429906542029E-2</v>
      </c>
      <c r="H18" s="238">
        <v>1994</v>
      </c>
      <c r="I18" s="241">
        <f t="shared" si="2"/>
        <v>-1.6468435498627605E-2</v>
      </c>
      <c r="L18" s="234">
        <v>2</v>
      </c>
      <c r="M18" s="231" t="s">
        <v>170</v>
      </c>
    </row>
    <row r="19" spans="3:16" s="231" customFormat="1" thickBot="1">
      <c r="C19" s="235">
        <v>1995</v>
      </c>
      <c r="D19" s="236">
        <v>104.8</v>
      </c>
      <c r="E19" s="231">
        <f t="shared" si="0"/>
        <v>-2.7000000000000028</v>
      </c>
      <c r="F19" s="240">
        <f t="shared" si="1"/>
        <v>-2.5233644859813109E-2</v>
      </c>
      <c r="H19" s="235">
        <v>1995</v>
      </c>
      <c r="I19" s="242">
        <f t="shared" si="2"/>
        <v>-2.5116279069767468E-2</v>
      </c>
      <c r="L19" s="234">
        <v>3</v>
      </c>
      <c r="M19" s="231" t="s">
        <v>171</v>
      </c>
    </row>
    <row r="20" spans="3:16" s="231" customFormat="1" thickBot="1">
      <c r="C20" s="238">
        <v>1996</v>
      </c>
      <c r="D20" s="239">
        <v>109</v>
      </c>
      <c r="E20" s="231">
        <f t="shared" si="0"/>
        <v>4.2000000000000028</v>
      </c>
      <c r="F20" s="240">
        <f t="shared" si="1"/>
        <v>3.9252336448598157E-2</v>
      </c>
      <c r="H20" s="238">
        <v>1996</v>
      </c>
      <c r="I20" s="241">
        <f t="shared" si="2"/>
        <v>4.0076335877862621E-2</v>
      </c>
      <c r="L20" s="234">
        <v>4</v>
      </c>
      <c r="M20" s="231" t="s">
        <v>172</v>
      </c>
    </row>
    <row r="21" spans="3:16" s="231" customFormat="1" thickBot="1">
      <c r="C21" s="235">
        <v>1997</v>
      </c>
      <c r="D21" s="236">
        <v>110.1</v>
      </c>
      <c r="E21" s="231">
        <f t="shared" si="0"/>
        <v>1.0999999999999943</v>
      </c>
      <c r="F21" s="240">
        <f t="shared" si="1"/>
        <v>1.0280373831775647E-2</v>
      </c>
      <c r="H21" s="235">
        <v>1997</v>
      </c>
      <c r="I21" s="242">
        <f t="shared" si="2"/>
        <v>1.0091743119266004E-2</v>
      </c>
      <c r="L21" s="234">
        <v>5</v>
      </c>
      <c r="M21" s="231" t="s">
        <v>173</v>
      </c>
      <c r="P21" s="231" t="s">
        <v>167</v>
      </c>
    </row>
    <row r="22" spans="3:16" s="231" customFormat="1" thickBot="1">
      <c r="C22" s="238">
        <v>1998</v>
      </c>
      <c r="D22" s="239">
        <v>106.5</v>
      </c>
      <c r="E22" s="231">
        <f t="shared" si="0"/>
        <v>-3.5999999999999943</v>
      </c>
      <c r="F22" s="240">
        <f t="shared" si="1"/>
        <v>-3.3644859813084058E-2</v>
      </c>
      <c r="H22" s="238">
        <v>1998</v>
      </c>
      <c r="I22" s="241">
        <f t="shared" si="2"/>
        <v>-3.2697547683923654E-2</v>
      </c>
      <c r="L22" s="234">
        <v>6</v>
      </c>
      <c r="M22" s="231" t="s">
        <v>174</v>
      </c>
    </row>
    <row r="23" spans="3:16" s="231" customFormat="1" thickBot="1">
      <c r="C23" s="235">
        <v>1999</v>
      </c>
      <c r="D23" s="236">
        <v>109</v>
      </c>
      <c r="E23" s="231">
        <f t="shared" si="0"/>
        <v>2.5</v>
      </c>
      <c r="F23" s="240">
        <f t="shared" si="1"/>
        <v>2.336448598130841E-2</v>
      </c>
      <c r="H23" s="235">
        <v>1999</v>
      </c>
      <c r="I23" s="242">
        <f t="shared" si="2"/>
        <v>2.3474178403755867E-2</v>
      </c>
      <c r="L23" s="234">
        <v>7</v>
      </c>
      <c r="M23" s="231" t="s">
        <v>175</v>
      </c>
    </row>
    <row r="24" spans="3:16" s="231" customFormat="1" thickBot="1">
      <c r="C24" s="238">
        <v>2000</v>
      </c>
      <c r="D24" s="239">
        <v>108</v>
      </c>
      <c r="E24" s="231">
        <f t="shared" si="0"/>
        <v>-1</v>
      </c>
      <c r="F24" s="240">
        <f t="shared" si="1"/>
        <v>-9.3457943925233638E-3</v>
      </c>
      <c r="H24" s="238">
        <v>2000</v>
      </c>
      <c r="I24" s="241">
        <f t="shared" si="2"/>
        <v>-9.1743119266055051E-3</v>
      </c>
      <c r="L24" s="234">
        <v>8</v>
      </c>
      <c r="M24" s="231" t="s">
        <v>176</v>
      </c>
    </row>
    <row r="25" spans="3:16" s="231" customFormat="1" thickBot="1">
      <c r="C25" s="235">
        <v>2001</v>
      </c>
      <c r="D25" s="236">
        <v>111.7</v>
      </c>
      <c r="E25" s="231">
        <f t="shared" si="0"/>
        <v>3.7000000000000028</v>
      </c>
      <c r="F25" s="240">
        <f t="shared" si="1"/>
        <v>3.4579439252336475E-2</v>
      </c>
      <c r="H25" s="235">
        <v>2001</v>
      </c>
      <c r="I25" s="242">
        <f t="shared" si="2"/>
        <v>3.4259259259259288E-2</v>
      </c>
      <c r="L25" s="234"/>
    </row>
    <row r="26" spans="3:16" s="231" customFormat="1" thickBot="1">
      <c r="C26" s="238">
        <v>2002</v>
      </c>
      <c r="D26" s="239">
        <v>120.1</v>
      </c>
      <c r="E26" s="231">
        <f t="shared" si="0"/>
        <v>8.3999999999999915</v>
      </c>
      <c r="F26" s="240">
        <f t="shared" si="1"/>
        <v>7.8504672897196176E-2</v>
      </c>
      <c r="H26" s="238">
        <v>2002</v>
      </c>
      <c r="I26" s="241">
        <f t="shared" si="2"/>
        <v>7.5201432408236263E-2</v>
      </c>
    </row>
    <row r="27" spans="3:16" s="231" customFormat="1" thickBot="1">
      <c r="C27" s="235">
        <v>2003</v>
      </c>
      <c r="D27" s="236">
        <v>129.80000000000001</v>
      </c>
      <c r="E27" s="231">
        <f t="shared" si="0"/>
        <v>9.7000000000000171</v>
      </c>
      <c r="F27" s="240">
        <f t="shared" si="1"/>
        <v>9.0654205607476793E-2</v>
      </c>
      <c r="H27" s="235">
        <v>2003</v>
      </c>
      <c r="I27" s="242">
        <f t="shared" si="2"/>
        <v>8.0766028309742027E-2</v>
      </c>
    </row>
    <row r="28" spans="3:16" s="231" customFormat="1" thickBot="1">
      <c r="C28" s="238">
        <v>2004</v>
      </c>
      <c r="D28" s="239">
        <v>141.19999999999999</v>
      </c>
      <c r="E28" s="231">
        <f t="shared" si="0"/>
        <v>11.399999999999977</v>
      </c>
      <c r="F28" s="240">
        <f t="shared" si="1"/>
        <v>0.10654205607476615</v>
      </c>
      <c r="H28" s="238">
        <v>2004</v>
      </c>
      <c r="I28" s="241">
        <f t="shared" si="2"/>
        <v>8.7827426810477477E-2</v>
      </c>
    </row>
    <row r="29" spans="3:16" s="231" customFormat="1" thickBot="1">
      <c r="C29" s="235">
        <v>2005</v>
      </c>
      <c r="D29" s="236">
        <v>163.1</v>
      </c>
      <c r="E29" s="231">
        <f t="shared" si="0"/>
        <v>21.900000000000006</v>
      </c>
      <c r="F29" s="240">
        <f t="shared" si="1"/>
        <v>0.20467289719626172</v>
      </c>
      <c r="H29" s="235">
        <v>2005</v>
      </c>
      <c r="I29" s="242">
        <f t="shared" si="2"/>
        <v>0.15509915014164311</v>
      </c>
    </row>
    <row r="30" spans="3:16" s="231" customFormat="1" thickBot="1">
      <c r="C30" s="238">
        <v>2006</v>
      </c>
      <c r="D30" s="239">
        <v>184</v>
      </c>
      <c r="E30" s="231">
        <f t="shared" si="0"/>
        <v>20.900000000000006</v>
      </c>
      <c r="F30" s="240">
        <f t="shared" si="1"/>
        <v>0.19532710280373838</v>
      </c>
      <c r="H30" s="238">
        <v>2006</v>
      </c>
      <c r="I30" s="241">
        <f t="shared" si="2"/>
        <v>0.12814224402207239</v>
      </c>
    </row>
    <row r="31" spans="3:16" s="231" customFormat="1" thickBot="1">
      <c r="C31" s="235">
        <v>2007</v>
      </c>
      <c r="D31" s="236">
        <v>178.87899999999999</v>
      </c>
      <c r="E31" s="231">
        <f t="shared" si="0"/>
        <v>-5.1210000000000093</v>
      </c>
      <c r="F31" s="240">
        <f t="shared" si="1"/>
        <v>-4.7859813084112239E-2</v>
      </c>
      <c r="H31" s="235">
        <v>2007</v>
      </c>
      <c r="I31" s="242">
        <f t="shared" si="2"/>
        <v>-2.7831521739130484E-2</v>
      </c>
    </row>
    <row r="32" spans="3:16" s="231" customFormat="1" thickBot="1">
      <c r="C32" s="238">
        <v>2008</v>
      </c>
      <c r="D32" s="239">
        <v>193.59299999999999</v>
      </c>
      <c r="E32" s="231">
        <f t="shared" si="0"/>
        <v>14.713999999999999</v>
      </c>
      <c r="F32" s="240">
        <f t="shared" si="1"/>
        <v>0.13751401869158877</v>
      </c>
      <c r="H32" s="238">
        <v>2008</v>
      </c>
      <c r="I32" s="241">
        <f t="shared" si="2"/>
        <v>8.2256721023708762E-2</v>
      </c>
    </row>
    <row r="33" spans="3:9" s="231" customFormat="1" ht="13.5">
      <c r="C33" s="243">
        <v>2009</v>
      </c>
      <c r="D33" s="244"/>
      <c r="F33" s="234"/>
      <c r="H33" s="243">
        <v>2009</v>
      </c>
      <c r="I33" s="244"/>
    </row>
    <row r="34" spans="3:9" s="245" customFormat="1">
      <c r="F34" s="205"/>
    </row>
    <row r="35" spans="3:9" s="246" customFormat="1" ht="15.5">
      <c r="F35" s="247">
        <f>AVERAGE(F32,F31,F30,F29,F28,F27,F26,F25,F24,F23,F22,F21,F20,F19,F18,F17,F16,F15,F14)</f>
        <v>4.2593703885882926E-2</v>
      </c>
      <c r="G35" s="248" t="s">
        <v>152</v>
      </c>
      <c r="H35" s="248"/>
      <c r="I35" s="249">
        <f>F35</f>
        <v>4.2593703885882926E-2</v>
      </c>
    </row>
  </sheetData>
  <mergeCells count="1">
    <mergeCell ref="L14:P14"/>
  </mergeCells>
  <phoneticPr fontId="0" type="noConversion"/>
  <hyperlinks>
    <hyperlink ref="M17" r:id="rId1"/>
  </hyperlinks>
  <pageMargins left="0.7" right="0.7" top="0.75" bottom="0.75" header="0.3" footer="0.3"/>
  <pageSetup scale="65"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activeCell="H10" sqref="H10"/>
    </sheetView>
  </sheetViews>
  <sheetFormatPr defaultRowHeight="14"/>
  <cols>
    <col min="1" max="1" width="20.58203125" style="184" customWidth="1"/>
    <col min="2" max="2" width="16.58203125" customWidth="1"/>
    <col min="4" max="4" width="9" style="184" customWidth="1"/>
    <col min="5" max="5" width="11.08203125" style="184" customWidth="1"/>
    <col min="6" max="8" width="9" style="190" customWidth="1"/>
    <col min="9" max="9" width="11.5" style="190" customWidth="1"/>
    <col min="10" max="10" width="9" style="190" customWidth="1"/>
    <col min="11" max="11" width="9" style="210" customWidth="1"/>
    <col min="12" max="14" width="9" style="184" customWidth="1"/>
  </cols>
  <sheetData>
    <row r="1" spans="1:14" s="183" customFormat="1" ht="18">
      <c r="A1" s="179" t="s">
        <v>331</v>
      </c>
      <c r="B1" s="179"/>
      <c r="C1" s="179"/>
      <c r="D1" s="180"/>
      <c r="E1" s="180"/>
      <c r="F1" s="181"/>
      <c r="G1" s="182"/>
      <c r="H1" s="182"/>
      <c r="I1" s="182"/>
      <c r="J1" s="539" t="s">
        <v>10</v>
      </c>
      <c r="K1" s="540"/>
      <c r="L1" s="540"/>
    </row>
    <row r="2" spans="1:14">
      <c r="F2" s="185"/>
      <c r="G2" s="186"/>
      <c r="H2" s="186"/>
      <c r="I2" s="186"/>
      <c r="J2" s="487" t="s">
        <v>122</v>
      </c>
      <c r="K2" s="541"/>
      <c r="L2" s="542"/>
      <c r="M2"/>
      <c r="N2"/>
    </row>
    <row r="3" spans="1:14">
      <c r="A3" s="187"/>
      <c r="F3" s="549" t="s">
        <v>123</v>
      </c>
      <c r="G3" s="550"/>
      <c r="H3" s="550"/>
      <c r="I3" s="551"/>
      <c r="J3" s="543"/>
      <c r="K3" s="544"/>
      <c r="L3" s="545"/>
      <c r="M3"/>
      <c r="N3"/>
    </row>
    <row r="4" spans="1:14">
      <c r="F4" s="555" t="s">
        <v>124</v>
      </c>
      <c r="G4" s="556"/>
      <c r="H4" s="556"/>
      <c r="I4" s="557"/>
      <c r="J4" s="546"/>
      <c r="K4" s="547"/>
      <c r="L4" s="548"/>
      <c r="M4"/>
      <c r="N4"/>
    </row>
    <row r="5" spans="1:14">
      <c r="F5" s="188"/>
      <c r="G5" s="189"/>
      <c r="H5" s="189"/>
      <c r="I5" s="191" t="s">
        <v>125</v>
      </c>
      <c r="J5" s="558"/>
      <c r="K5" s="559"/>
      <c r="L5" s="560"/>
      <c r="M5"/>
      <c r="N5"/>
    </row>
    <row r="6" spans="1:14">
      <c r="A6" s="192"/>
      <c r="B6" s="193"/>
      <c r="C6" s="192"/>
      <c r="D6" s="192"/>
      <c r="E6" s="192"/>
      <c r="F6" s="194" t="s">
        <v>372</v>
      </c>
      <c r="G6" s="186" t="s">
        <v>178</v>
      </c>
      <c r="H6" s="186" t="s">
        <v>178</v>
      </c>
      <c r="I6" s="195" t="s">
        <v>126</v>
      </c>
      <c r="J6" s="552" t="s">
        <v>127</v>
      </c>
      <c r="K6" s="553"/>
      <c r="L6" s="554"/>
      <c r="M6"/>
      <c r="N6"/>
    </row>
    <row r="7" spans="1:14" ht="14.5" thickBot="1">
      <c r="A7" s="187" t="s">
        <v>332</v>
      </c>
      <c r="B7" s="444" t="s">
        <v>335</v>
      </c>
      <c r="C7" s="192" t="s">
        <v>128</v>
      </c>
      <c r="E7" s="184" t="s">
        <v>129</v>
      </c>
      <c r="F7" s="196" t="s">
        <v>130</v>
      </c>
      <c r="G7" s="197" t="s">
        <v>131</v>
      </c>
      <c r="H7" s="197" t="s">
        <v>132</v>
      </c>
      <c r="I7" s="198" t="s">
        <v>118</v>
      </c>
      <c r="J7" s="536" t="s">
        <v>133</v>
      </c>
      <c r="K7" s="537"/>
      <c r="L7" s="538"/>
      <c r="M7"/>
      <c r="N7"/>
    </row>
    <row r="8" spans="1:14" ht="14.5" thickBot="1">
      <c r="A8" s="199" t="s">
        <v>134</v>
      </c>
      <c r="B8" s="200" t="s">
        <v>135</v>
      </c>
      <c r="C8" s="199" t="s">
        <v>136</v>
      </c>
      <c r="D8" s="199" t="s">
        <v>77</v>
      </c>
      <c r="E8" s="199" t="s">
        <v>137</v>
      </c>
      <c r="F8" s="201" t="s">
        <v>138</v>
      </c>
      <c r="G8" s="202"/>
      <c r="H8" s="202"/>
      <c r="I8" s="203"/>
      <c r="J8" s="6" t="s">
        <v>12</v>
      </c>
      <c r="K8" s="5" t="s">
        <v>9</v>
      </c>
      <c r="L8" s="7" t="s">
        <v>3</v>
      </c>
      <c r="M8" s="204"/>
      <c r="N8"/>
    </row>
    <row r="9" spans="1:14" s="206" customFormat="1">
      <c r="A9" s="205"/>
      <c r="B9" s="446"/>
      <c r="C9" s="445"/>
      <c r="D9" s="410" t="s">
        <v>47</v>
      </c>
      <c r="E9" s="410"/>
      <c r="F9" s="447"/>
      <c r="G9" s="207" t="s">
        <v>139</v>
      </c>
      <c r="H9" s="207" t="s">
        <v>33</v>
      </c>
      <c r="I9" s="207" t="s">
        <v>338</v>
      </c>
      <c r="J9" s="208"/>
      <c r="K9" s="209"/>
      <c r="L9" s="209"/>
    </row>
    <row r="10" spans="1:14" ht="18">
      <c r="A10" s="415" t="s">
        <v>333</v>
      </c>
      <c r="B10" s="336" t="s">
        <v>336</v>
      </c>
      <c r="C10" s="184" t="s">
        <v>140</v>
      </c>
      <c r="D10" s="184">
        <v>2</v>
      </c>
      <c r="E10" s="184" t="s">
        <v>141</v>
      </c>
      <c r="F10" s="185">
        <v>140</v>
      </c>
      <c r="G10" s="186">
        <v>167</v>
      </c>
      <c r="H10" s="186">
        <v>165</v>
      </c>
      <c r="I10" s="210">
        <f>(G10-H10)*D10</f>
        <v>4</v>
      </c>
      <c r="J10" s="211" t="s">
        <v>81</v>
      </c>
      <c r="K10" s="255" t="s">
        <v>165</v>
      </c>
      <c r="L10" s="212" t="s">
        <v>47</v>
      </c>
      <c r="M10" s="213"/>
      <c r="N10"/>
    </row>
    <row r="11" spans="1:14" ht="18">
      <c r="B11" s="336" t="s">
        <v>336</v>
      </c>
      <c r="C11" s="184" t="s">
        <v>142</v>
      </c>
      <c r="D11" s="184">
        <v>40</v>
      </c>
      <c r="F11" s="185">
        <v>187</v>
      </c>
      <c r="G11" s="186">
        <v>215</v>
      </c>
      <c r="H11" s="186">
        <v>210</v>
      </c>
      <c r="I11" s="210">
        <f t="shared" ref="I11:I18" si="0">(G11-H11)*D11</f>
        <v>200</v>
      </c>
      <c r="J11" s="211" t="s">
        <v>81</v>
      </c>
      <c r="K11" s="255" t="s">
        <v>165</v>
      </c>
      <c r="L11" s="212" t="s">
        <v>47</v>
      </c>
      <c r="M11"/>
      <c r="N11"/>
    </row>
    <row r="12" spans="1:14" ht="18">
      <c r="B12" s="336" t="s">
        <v>336</v>
      </c>
      <c r="C12" s="184" t="s">
        <v>143</v>
      </c>
      <c r="D12" s="184">
        <v>39</v>
      </c>
      <c r="F12" s="185">
        <v>234</v>
      </c>
      <c r="G12" s="186">
        <v>260</v>
      </c>
      <c r="H12" s="186">
        <v>255</v>
      </c>
      <c r="I12" s="210">
        <f t="shared" si="0"/>
        <v>195</v>
      </c>
      <c r="J12" s="211" t="s">
        <v>81</v>
      </c>
      <c r="K12" s="255" t="s">
        <v>165</v>
      </c>
      <c r="L12" s="212" t="s">
        <v>47</v>
      </c>
      <c r="M12"/>
      <c r="N12"/>
    </row>
    <row r="13" spans="1:14" ht="18">
      <c r="B13" s="336" t="s">
        <v>336</v>
      </c>
      <c r="C13" s="184" t="s">
        <v>144</v>
      </c>
      <c r="D13" s="184">
        <v>5</v>
      </c>
      <c r="F13" s="185">
        <v>287</v>
      </c>
      <c r="G13" s="186">
        <v>285</v>
      </c>
      <c r="H13" s="186">
        <v>280</v>
      </c>
      <c r="I13" s="210">
        <f t="shared" si="0"/>
        <v>25</v>
      </c>
      <c r="J13" s="211" t="s">
        <v>81</v>
      </c>
      <c r="K13" s="255" t="s">
        <v>165</v>
      </c>
      <c r="L13" s="212" t="s">
        <v>47</v>
      </c>
      <c r="M13"/>
      <c r="N13"/>
    </row>
    <row r="14" spans="1:14">
      <c r="F14" s="185"/>
      <c r="G14" s="186"/>
      <c r="H14" s="186"/>
      <c r="I14" s="210">
        <f t="shared" si="0"/>
        <v>0</v>
      </c>
      <c r="J14" s="211"/>
      <c r="K14" s="212"/>
      <c r="L14" s="212"/>
      <c r="M14"/>
      <c r="N14"/>
    </row>
    <row r="15" spans="1:14">
      <c r="A15" s="415" t="s">
        <v>334</v>
      </c>
      <c r="B15" s="177" t="s">
        <v>337</v>
      </c>
      <c r="C15" s="184" t="s">
        <v>140</v>
      </c>
      <c r="D15" s="184">
        <v>10</v>
      </c>
      <c r="E15" s="184" t="s">
        <v>141</v>
      </c>
      <c r="F15" s="185">
        <v>142</v>
      </c>
      <c r="G15" s="186">
        <v>145</v>
      </c>
      <c r="H15" s="186">
        <v>140</v>
      </c>
      <c r="I15" s="210">
        <f t="shared" si="0"/>
        <v>50</v>
      </c>
      <c r="J15" s="256" t="s">
        <v>81</v>
      </c>
      <c r="K15" s="212" t="s">
        <v>81</v>
      </c>
      <c r="L15" s="212" t="s">
        <v>47</v>
      </c>
      <c r="M15" s="213"/>
      <c r="N15"/>
    </row>
    <row r="16" spans="1:14">
      <c r="B16" s="177" t="s">
        <v>337</v>
      </c>
      <c r="C16" s="184" t="s">
        <v>142</v>
      </c>
      <c r="D16" s="184">
        <v>30</v>
      </c>
      <c r="F16" s="185">
        <v>191</v>
      </c>
      <c r="G16" s="186">
        <v>182</v>
      </c>
      <c r="H16" s="186">
        <v>178</v>
      </c>
      <c r="I16" s="210">
        <f t="shared" si="0"/>
        <v>120</v>
      </c>
      <c r="J16" s="256" t="s">
        <v>81</v>
      </c>
      <c r="K16" s="212" t="s">
        <v>81</v>
      </c>
      <c r="L16" s="212" t="s">
        <v>47</v>
      </c>
      <c r="M16"/>
      <c r="N16"/>
    </row>
    <row r="17" spans="2:14">
      <c r="B17" s="177" t="s">
        <v>337</v>
      </c>
      <c r="C17" s="184" t="s">
        <v>143</v>
      </c>
      <c r="D17" s="184">
        <v>16</v>
      </c>
      <c r="F17" s="185">
        <v>237</v>
      </c>
      <c r="G17" s="186">
        <v>211</v>
      </c>
      <c r="H17" s="186">
        <v>205</v>
      </c>
      <c r="I17" s="210">
        <f t="shared" si="0"/>
        <v>96</v>
      </c>
      <c r="J17" s="256" t="s">
        <v>81</v>
      </c>
      <c r="K17" s="212" t="s">
        <v>81</v>
      </c>
      <c r="L17" s="212" t="s">
        <v>47</v>
      </c>
      <c r="M17"/>
      <c r="N17"/>
    </row>
    <row r="18" spans="2:14">
      <c r="B18" s="177" t="s">
        <v>337</v>
      </c>
      <c r="C18" s="184" t="s">
        <v>144</v>
      </c>
      <c r="D18" s="184">
        <v>4</v>
      </c>
      <c r="F18" s="185">
        <v>290</v>
      </c>
      <c r="G18" s="186">
        <v>244</v>
      </c>
      <c r="H18" s="186">
        <v>235</v>
      </c>
      <c r="I18" s="210">
        <f t="shared" si="0"/>
        <v>36</v>
      </c>
      <c r="J18" s="256" t="s">
        <v>81</v>
      </c>
      <c r="K18" s="212" t="s">
        <v>81</v>
      </c>
      <c r="L18" s="212" t="s">
        <v>47</v>
      </c>
      <c r="M18"/>
      <c r="N18"/>
    </row>
    <row r="19" spans="2:14" ht="14.5" thickBot="1">
      <c r="D19" s="214">
        <f>SUM(D10:D18)</f>
        <v>146</v>
      </c>
      <c r="F19" s="215">
        <f>SUM(F10:F18)</f>
        <v>1708</v>
      </c>
      <c r="G19" s="215">
        <f>SUM(G10:G18)</f>
        <v>1709</v>
      </c>
      <c r="H19" s="215">
        <f>SUM(H10:H18)</f>
        <v>1668</v>
      </c>
      <c r="I19" s="216">
        <f>SUM(I10:I18)</f>
        <v>726</v>
      </c>
      <c r="J19" s="192"/>
      <c r="K19" s="212"/>
      <c r="L19" s="212"/>
      <c r="M19"/>
      <c r="N19"/>
    </row>
    <row r="20" spans="2:14" ht="14.5" thickTop="1">
      <c r="F20" s="186"/>
      <c r="G20" s="186"/>
      <c r="I20" s="254"/>
      <c r="J20" s="184"/>
      <c r="K20" s="184"/>
      <c r="M20"/>
      <c r="N20"/>
    </row>
    <row r="21" spans="2:14">
      <c r="F21" s="186"/>
      <c r="G21" s="186"/>
      <c r="I21" s="191">
        <f>I19*12</f>
        <v>8712</v>
      </c>
      <c r="J21" s="217" t="s">
        <v>145</v>
      </c>
      <c r="M21"/>
      <c r="N21"/>
    </row>
    <row r="22" spans="2:14">
      <c r="F22" s="186"/>
      <c r="G22" s="186"/>
      <c r="H22" s="218"/>
      <c r="I22" s="186"/>
      <c r="J22" s="219"/>
    </row>
    <row r="23" spans="2:14">
      <c r="F23" s="186"/>
      <c r="G23" s="186"/>
      <c r="H23" s="218"/>
      <c r="I23" s="258" t="s">
        <v>164</v>
      </c>
      <c r="J23" s="259"/>
      <c r="K23" s="260"/>
      <c r="L23" s="261"/>
      <c r="M23" s="261"/>
    </row>
    <row r="24" spans="2:14">
      <c r="F24" s="186"/>
      <c r="G24" s="186"/>
      <c r="H24" s="218"/>
      <c r="I24" s="257" t="s">
        <v>166</v>
      </c>
      <c r="J24" s="186"/>
    </row>
    <row r="25" spans="2:14">
      <c r="F25" s="186"/>
      <c r="G25" s="186"/>
      <c r="H25" s="218"/>
      <c r="I25" s="186"/>
      <c r="J25" s="186"/>
      <c r="K25" s="191"/>
    </row>
    <row r="26" spans="2:14">
      <c r="F26" s="186"/>
      <c r="G26" s="186"/>
      <c r="H26" s="218"/>
      <c r="I26" s="186"/>
      <c r="J26" s="186"/>
      <c r="K26" s="191"/>
    </row>
    <row r="27" spans="2:14">
      <c r="F27" s="186"/>
      <c r="G27" s="186"/>
      <c r="H27" s="218"/>
      <c r="I27" s="186"/>
      <c r="J27" s="186"/>
      <c r="K27" s="191"/>
    </row>
    <row r="28" spans="2:14">
      <c r="F28" s="186"/>
      <c r="G28" s="186"/>
      <c r="H28" s="218"/>
      <c r="I28" s="186"/>
      <c r="J28" s="186"/>
      <c r="K28" s="191"/>
    </row>
    <row r="29" spans="2:14">
      <c r="F29" s="186"/>
      <c r="G29" s="186"/>
      <c r="H29" s="218"/>
      <c r="I29" s="186"/>
      <c r="J29" s="186"/>
      <c r="K29" s="191"/>
    </row>
    <row r="30" spans="2:14">
      <c r="F30" s="186"/>
      <c r="G30" s="186"/>
      <c r="H30" s="218"/>
      <c r="I30" s="186"/>
      <c r="J30" s="186"/>
      <c r="K30" s="191"/>
    </row>
    <row r="31" spans="2:14">
      <c r="F31" s="186"/>
      <c r="G31" s="186"/>
      <c r="H31" s="218"/>
      <c r="I31" s="186"/>
      <c r="J31" s="186"/>
      <c r="K31" s="191"/>
    </row>
    <row r="32" spans="2:14">
      <c r="F32" s="186"/>
      <c r="G32" s="186"/>
      <c r="H32" s="218"/>
      <c r="I32" s="186"/>
      <c r="J32" s="186"/>
      <c r="K32" s="191"/>
    </row>
    <row r="33" spans="1:14">
      <c r="F33" s="186"/>
      <c r="G33" s="186"/>
      <c r="H33" s="218"/>
      <c r="I33" s="186"/>
      <c r="J33" s="186"/>
      <c r="K33" s="191"/>
    </row>
    <row r="34" spans="1:14">
      <c r="F34" s="186"/>
      <c r="G34" s="186"/>
      <c r="H34" s="218"/>
      <c r="I34" s="186"/>
      <c r="J34" s="186"/>
      <c r="K34" s="191"/>
    </row>
    <row r="35" spans="1:14">
      <c r="A35"/>
      <c r="C35" s="184"/>
      <c r="E35" s="220"/>
      <c r="F35" s="220"/>
      <c r="G35" s="220"/>
      <c r="H35" s="220"/>
      <c r="I35" s="221"/>
      <c r="N35"/>
    </row>
  </sheetData>
  <mergeCells count="7">
    <mergeCell ref="J7:L7"/>
    <mergeCell ref="J1:L1"/>
    <mergeCell ref="J2:L4"/>
    <mergeCell ref="F3:I3"/>
    <mergeCell ref="J6:L6"/>
    <mergeCell ref="F4:I4"/>
    <mergeCell ref="J5:L5"/>
  </mergeCells>
  <phoneticPr fontId="0" type="noConversion"/>
  <pageMargins left="0.7" right="0.7" top="0.75" bottom="0.75" header="0.3" footer="0.3"/>
  <pageSetup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9"/>
  <sheetViews>
    <sheetView workbookViewId="0">
      <selection activeCell="B4" sqref="B4"/>
    </sheetView>
  </sheetViews>
  <sheetFormatPr defaultColWidth="9" defaultRowHeight="14"/>
  <cols>
    <col min="1" max="1" width="37" style="388" customWidth="1"/>
    <col min="2" max="13" width="14.58203125" style="388" customWidth="1"/>
    <col min="14" max="14" width="14.58203125" style="389" customWidth="1"/>
    <col min="15" max="22" width="14.58203125" style="388" customWidth="1"/>
    <col min="23" max="23" width="29" style="388" hidden="1" customWidth="1"/>
    <col min="24" max="24" width="0" style="388" hidden="1" customWidth="1"/>
    <col min="25" max="16384" width="9" style="388"/>
  </cols>
  <sheetData>
    <row r="1" spans="1:24" s="338" customFormat="1" ht="30">
      <c r="A1" s="578" t="str">
        <f>H40&amp;" Housing Authority"</f>
        <v>Canton Housing Authority</v>
      </c>
      <c r="B1" s="578"/>
      <c r="C1" s="578"/>
      <c r="D1" s="578"/>
      <c r="E1" s="578"/>
      <c r="F1" s="578"/>
      <c r="G1" s="578"/>
      <c r="H1" s="578"/>
      <c r="I1" s="578"/>
      <c r="J1" s="578"/>
      <c r="K1" s="578"/>
      <c r="L1" s="578"/>
      <c r="M1" s="578"/>
      <c r="N1" s="578"/>
      <c r="O1" s="337"/>
      <c r="P1" s="337"/>
      <c r="Q1" s="337"/>
      <c r="R1" s="337"/>
      <c r="S1" s="337"/>
      <c r="T1" s="337"/>
      <c r="U1" s="337"/>
      <c r="V1" s="337"/>
      <c r="W1" s="337"/>
    </row>
    <row r="2" spans="1:24" s="340" customFormat="1" ht="30">
      <c r="A2" s="579" t="s">
        <v>236</v>
      </c>
      <c r="B2" s="579"/>
      <c r="C2" s="579"/>
      <c r="D2" s="579"/>
      <c r="E2" s="579"/>
      <c r="F2" s="579"/>
      <c r="G2" s="579"/>
      <c r="H2" s="579"/>
      <c r="I2" s="579"/>
      <c r="J2" s="579"/>
      <c r="K2" s="579"/>
      <c r="L2" s="579"/>
      <c r="M2" s="579"/>
      <c r="N2" s="579"/>
      <c r="O2" s="339"/>
      <c r="P2" s="339"/>
      <c r="Q2" s="339"/>
      <c r="R2" s="339"/>
      <c r="S2" s="339"/>
      <c r="T2" s="339"/>
      <c r="U2" s="339"/>
      <c r="V2" s="339"/>
      <c r="W2" s="339"/>
    </row>
    <row r="3" spans="1:24" s="340" customFormat="1" ht="30">
      <c r="A3" s="579" t="s">
        <v>237</v>
      </c>
      <c r="B3" s="579"/>
      <c r="C3" s="579"/>
      <c r="D3" s="579"/>
      <c r="E3" s="579"/>
      <c r="F3" s="579"/>
      <c r="G3" s="579"/>
      <c r="H3" s="579"/>
      <c r="I3" s="579"/>
      <c r="J3" s="579"/>
      <c r="K3" s="579"/>
      <c r="L3" s="579"/>
      <c r="M3" s="579"/>
      <c r="N3" s="579"/>
      <c r="O3" s="339"/>
      <c r="P3" s="339"/>
      <c r="Q3" s="339"/>
      <c r="R3" s="339"/>
      <c r="S3" s="339"/>
      <c r="T3" s="339"/>
      <c r="U3" s="339"/>
      <c r="V3" s="339"/>
      <c r="W3" s="339"/>
    </row>
    <row r="4" spans="1:24" s="343" customFormat="1" ht="20">
      <c r="A4" s="341"/>
      <c r="B4" s="342"/>
      <c r="C4" s="341"/>
      <c r="D4" s="341"/>
      <c r="E4" s="341"/>
      <c r="F4" s="341"/>
      <c r="G4" s="341"/>
      <c r="H4" s="341"/>
      <c r="I4" s="341"/>
      <c r="J4" s="341"/>
      <c r="K4" s="341"/>
      <c r="L4" s="341"/>
      <c r="M4" s="341"/>
      <c r="N4" s="341"/>
    </row>
    <row r="5" spans="1:24" s="343" customFormat="1" ht="24" hidden="1" customHeight="1">
      <c r="A5" s="344" t="s">
        <v>238</v>
      </c>
      <c r="B5" s="345"/>
      <c r="C5" s="345"/>
      <c r="D5" s="345"/>
      <c r="E5" s="345"/>
      <c r="F5" s="345"/>
      <c r="G5" s="345"/>
      <c r="H5" s="345"/>
      <c r="I5" s="345"/>
      <c r="J5" s="345"/>
      <c r="K5" s="345"/>
      <c r="L5" s="346"/>
      <c r="M5" s="347"/>
      <c r="N5" s="348"/>
    </row>
    <row r="6" spans="1:24" s="354" customFormat="1" ht="24" hidden="1" customHeight="1">
      <c r="A6" s="349" t="s">
        <v>239</v>
      </c>
      <c r="B6" s="350" t="e">
        <f>#REF!-#REF!-#REF!</f>
        <v>#REF!</v>
      </c>
      <c r="C6" s="350" t="e">
        <f>#REF!-#REF!-#REF!</f>
        <v>#REF!</v>
      </c>
      <c r="D6" s="350" t="e">
        <f>#REF!-#REF!-#REF!</f>
        <v>#REF!</v>
      </c>
      <c r="E6" s="350" t="e">
        <f>#REF!-#REF!-#REF!</f>
        <v>#REF!</v>
      </c>
      <c r="F6" s="350" t="e">
        <f>#REF!-#REF!-#REF!</f>
        <v>#REF!</v>
      </c>
      <c r="G6" s="350" t="e">
        <f>#REF!-#REF!-#REF!</f>
        <v>#REF!</v>
      </c>
      <c r="H6" s="350" t="e">
        <f>#REF!-#REF!-#REF!</f>
        <v>#REF!</v>
      </c>
      <c r="I6" s="350" t="e">
        <f>#REF!-#REF!-#REF!</f>
        <v>#REF!</v>
      </c>
      <c r="J6" s="350" t="e">
        <f>#REF!-#REF!-#REF!</f>
        <v>#REF!</v>
      </c>
      <c r="K6" s="350" t="e">
        <f>#REF!-#REF!-#REF!</f>
        <v>#REF!</v>
      </c>
      <c r="L6" s="350" t="e">
        <f>#REF!-#REF!-#REF!</f>
        <v>#REF!</v>
      </c>
      <c r="M6" s="351" t="e">
        <f>#REF!-#REF!-#REF!</f>
        <v>#REF!</v>
      </c>
      <c r="N6" s="352"/>
      <c r="O6" s="353"/>
    </row>
    <row r="7" spans="1:24" s="357" customFormat="1" ht="24" hidden="1" customHeight="1">
      <c r="A7" s="349" t="s">
        <v>240</v>
      </c>
      <c r="B7" s="350" t="e">
        <f>B6</f>
        <v>#REF!</v>
      </c>
      <c r="C7" s="350" t="e">
        <f>B6+C6</f>
        <v>#REF!</v>
      </c>
      <c r="D7" s="350" t="e">
        <f>C7+D6</f>
        <v>#REF!</v>
      </c>
      <c r="E7" s="350" t="e">
        <f t="shared" ref="E7:J7" si="0">D7+E6</f>
        <v>#REF!</v>
      </c>
      <c r="F7" s="350" t="e">
        <f t="shared" si="0"/>
        <v>#REF!</v>
      </c>
      <c r="G7" s="350" t="e">
        <f t="shared" si="0"/>
        <v>#REF!</v>
      </c>
      <c r="H7" s="350" t="e">
        <f t="shared" si="0"/>
        <v>#REF!</v>
      </c>
      <c r="I7" s="350" t="e">
        <f t="shared" si="0"/>
        <v>#REF!</v>
      </c>
      <c r="J7" s="350" t="e">
        <f t="shared" si="0"/>
        <v>#REF!</v>
      </c>
      <c r="K7" s="350" t="e">
        <f>J7+K6</f>
        <v>#REF!</v>
      </c>
      <c r="L7" s="350" t="e">
        <f>K7+L6</f>
        <v>#REF!</v>
      </c>
      <c r="M7" s="351" t="e">
        <f>L7+M6</f>
        <v>#REF!</v>
      </c>
      <c r="N7" s="355"/>
      <c r="O7" s="356"/>
    </row>
    <row r="8" spans="1:24" s="357" customFormat="1" ht="24" hidden="1" customHeight="1">
      <c r="A8" s="343"/>
      <c r="B8" s="343"/>
      <c r="C8" s="343"/>
      <c r="D8" s="343"/>
      <c r="E8" s="343"/>
      <c r="F8" s="343"/>
      <c r="G8" s="343"/>
      <c r="H8" s="343"/>
      <c r="I8" s="343"/>
      <c r="J8" s="343"/>
      <c r="K8" s="343"/>
      <c r="L8" s="343"/>
      <c r="M8" s="347" t="s">
        <v>241</v>
      </c>
      <c r="N8" s="348" t="e">
        <f>NPV(H46,B7,C7,D7,E7,F7,G7,H7,I7,J7,K7,L7,M7)</f>
        <v>#REF!</v>
      </c>
      <c r="O8" s="343"/>
    </row>
    <row r="9" spans="1:24" s="357" customFormat="1" ht="24" customHeight="1">
      <c r="A9" s="343"/>
      <c r="B9" s="343"/>
      <c r="C9" s="343"/>
      <c r="D9" s="343"/>
      <c r="E9" s="343"/>
      <c r="F9" s="343"/>
      <c r="G9" s="343"/>
      <c r="H9" s="343"/>
      <c r="I9" s="343"/>
      <c r="J9" s="343"/>
      <c r="K9" s="343"/>
      <c r="L9" s="343"/>
      <c r="M9" s="343"/>
      <c r="N9" s="358"/>
      <c r="O9" s="343"/>
      <c r="P9"/>
      <c r="Q9"/>
      <c r="R9"/>
      <c r="S9"/>
      <c r="T9"/>
      <c r="U9"/>
      <c r="V9"/>
      <c r="W9" s="174"/>
    </row>
    <row r="10" spans="1:24" s="363" customFormat="1" ht="24" customHeight="1">
      <c r="A10" s="359" t="s">
        <v>242</v>
      </c>
      <c r="B10" s="360"/>
      <c r="C10" s="360"/>
      <c r="D10" s="360"/>
      <c r="E10" s="360"/>
      <c r="F10" s="360"/>
      <c r="G10" s="360"/>
      <c r="H10" s="360"/>
      <c r="I10" s="360"/>
      <c r="J10" s="360"/>
      <c r="K10" s="360"/>
      <c r="L10" s="360"/>
      <c r="M10" s="360"/>
      <c r="N10" s="360"/>
      <c r="O10" s="361"/>
      <c r="P10" s="362"/>
      <c r="Q10" s="362"/>
      <c r="R10" s="362"/>
      <c r="S10" s="362"/>
      <c r="T10" s="362"/>
      <c r="U10" s="362"/>
      <c r="V10" s="362"/>
      <c r="W10" s="174"/>
    </row>
    <row r="11" spans="1:24" s="363" customFormat="1" ht="24" customHeight="1">
      <c r="A11" s="364" t="s">
        <v>107</v>
      </c>
      <c r="B11" s="365" t="s">
        <v>243</v>
      </c>
      <c r="C11" s="365" t="s">
        <v>244</v>
      </c>
      <c r="D11" s="365" t="s">
        <v>245</v>
      </c>
      <c r="E11" s="365" t="s">
        <v>246</v>
      </c>
      <c r="F11" s="365" t="s">
        <v>247</v>
      </c>
      <c r="G11" s="365" t="s">
        <v>248</v>
      </c>
      <c r="H11" s="365" t="s">
        <v>249</v>
      </c>
      <c r="I11" s="365" t="s">
        <v>250</v>
      </c>
      <c r="J11" s="365" t="s">
        <v>251</v>
      </c>
      <c r="K11" s="365" t="s">
        <v>252</v>
      </c>
      <c r="L11" s="365" t="s">
        <v>253</v>
      </c>
      <c r="M11" s="365" t="s">
        <v>254</v>
      </c>
      <c r="N11" s="365" t="s">
        <v>255</v>
      </c>
      <c r="O11" s="365" t="s">
        <v>256</v>
      </c>
      <c r="P11" s="365" t="s">
        <v>257</v>
      </c>
      <c r="Q11" s="365" t="s">
        <v>258</v>
      </c>
      <c r="R11" s="365" t="s">
        <v>259</v>
      </c>
      <c r="S11" s="365" t="s">
        <v>260</v>
      </c>
      <c r="T11" s="365" t="s">
        <v>261</v>
      </c>
      <c r="U11" s="365" t="s">
        <v>262</v>
      </c>
      <c r="V11" s="366" t="s">
        <v>44</v>
      </c>
      <c r="W11" s="367" t="s">
        <v>107</v>
      </c>
      <c r="X11" s="368" t="s">
        <v>263</v>
      </c>
    </row>
    <row r="12" spans="1:24" s="363" customFormat="1" ht="24" customHeight="1">
      <c r="A12" s="364" t="s">
        <v>264</v>
      </c>
      <c r="B12" s="369">
        <f t="shared" ref="B12:U12" si="1">$H$42</f>
        <v>44352</v>
      </c>
      <c r="C12" s="369">
        <f t="shared" si="1"/>
        <v>44352</v>
      </c>
      <c r="D12" s="369">
        <f t="shared" si="1"/>
        <v>44352</v>
      </c>
      <c r="E12" s="369">
        <f t="shared" si="1"/>
        <v>44352</v>
      </c>
      <c r="F12" s="369">
        <f t="shared" si="1"/>
        <v>44352</v>
      </c>
      <c r="G12" s="369">
        <f t="shared" si="1"/>
        <v>44352</v>
      </c>
      <c r="H12" s="369">
        <f t="shared" si="1"/>
        <v>44352</v>
      </c>
      <c r="I12" s="369">
        <f t="shared" si="1"/>
        <v>44352</v>
      </c>
      <c r="J12" s="369">
        <f t="shared" si="1"/>
        <v>44352</v>
      </c>
      <c r="K12" s="369">
        <f t="shared" si="1"/>
        <v>44352</v>
      </c>
      <c r="L12" s="369">
        <f t="shared" si="1"/>
        <v>44352</v>
      </c>
      <c r="M12" s="369">
        <f t="shared" si="1"/>
        <v>44352</v>
      </c>
      <c r="N12" s="369">
        <f t="shared" si="1"/>
        <v>44352</v>
      </c>
      <c r="O12" s="369">
        <f t="shared" si="1"/>
        <v>44352</v>
      </c>
      <c r="P12" s="369">
        <f t="shared" si="1"/>
        <v>44352</v>
      </c>
      <c r="Q12" s="369">
        <f t="shared" si="1"/>
        <v>44352</v>
      </c>
      <c r="R12" s="369">
        <f t="shared" si="1"/>
        <v>44352</v>
      </c>
      <c r="S12" s="369">
        <f t="shared" si="1"/>
        <v>44352</v>
      </c>
      <c r="T12" s="369">
        <f t="shared" si="1"/>
        <v>44352</v>
      </c>
      <c r="U12" s="369">
        <f t="shared" si="1"/>
        <v>44352</v>
      </c>
      <c r="V12"/>
      <c r="W12" s="174"/>
      <c r="X12" s="370">
        <f>W12*100</f>
        <v>0</v>
      </c>
    </row>
    <row r="13" spans="1:24" s="363" customFormat="1" ht="24" customHeight="1">
      <c r="A13" s="364" t="str">
        <f>"Rate Esculation " &amp; $I$41&amp; "%"</f>
        <v>Rate Esculation 3%</v>
      </c>
      <c r="B13" s="371"/>
      <c r="C13" s="369">
        <f t="shared" ref="C13:U13" si="2">B14*$H$41</f>
        <v>1330.56</v>
      </c>
      <c r="D13" s="371">
        <f t="shared" si="2"/>
        <v>1370.4767999999999</v>
      </c>
      <c r="E13" s="371">
        <f t="shared" si="2"/>
        <v>1371.6743039999999</v>
      </c>
      <c r="F13" s="371">
        <f t="shared" si="2"/>
        <v>1371.7102291199999</v>
      </c>
      <c r="G13" s="371">
        <f t="shared" si="2"/>
        <v>1371.7113068735998</v>
      </c>
      <c r="H13" s="371">
        <f t="shared" si="2"/>
        <v>1371.7113392062079</v>
      </c>
      <c r="I13" s="371">
        <f t="shared" si="2"/>
        <v>1371.7113401761862</v>
      </c>
      <c r="J13" s="371">
        <f t="shared" si="2"/>
        <v>1371.7113402052855</v>
      </c>
      <c r="K13" s="371">
        <f t="shared" si="2"/>
        <v>1371.7113402061584</v>
      </c>
      <c r="L13" s="371">
        <f t="shared" si="2"/>
        <v>1371.7113402061848</v>
      </c>
      <c r="M13" s="371">
        <f t="shared" si="2"/>
        <v>1371.7113402061855</v>
      </c>
      <c r="N13" s="371">
        <f t="shared" si="2"/>
        <v>1371.7113402061855</v>
      </c>
      <c r="O13" s="371">
        <f t="shared" si="2"/>
        <v>1371.7113402061855</v>
      </c>
      <c r="P13" s="371">
        <f t="shared" si="2"/>
        <v>1371.7113402061855</v>
      </c>
      <c r="Q13" s="371">
        <f t="shared" si="2"/>
        <v>1371.7113402061855</v>
      </c>
      <c r="R13" s="371">
        <f t="shared" si="2"/>
        <v>1371.7113402061855</v>
      </c>
      <c r="S13" s="371">
        <f t="shared" si="2"/>
        <v>1371.7113402061855</v>
      </c>
      <c r="T13" s="371">
        <f t="shared" si="2"/>
        <v>1371.7113402061855</v>
      </c>
      <c r="U13" s="371">
        <f t="shared" si="2"/>
        <v>1371.7113402061855</v>
      </c>
      <c r="V13"/>
      <c r="W13" s="174"/>
    </row>
    <row r="14" spans="1:24" s="363" customFormat="1" ht="24" customHeight="1">
      <c r="A14" s="364" t="s">
        <v>265</v>
      </c>
      <c r="B14" s="371">
        <f>SUM(B12:B13)</f>
        <v>44352</v>
      </c>
      <c r="C14" s="371">
        <f t="shared" ref="C14:U14" si="3">SUM(C12:C13)</f>
        <v>45682.559999999998</v>
      </c>
      <c r="D14" s="371">
        <f t="shared" si="3"/>
        <v>45722.476799999997</v>
      </c>
      <c r="E14" s="371">
        <f t="shared" si="3"/>
        <v>45723.674304</v>
      </c>
      <c r="F14" s="371">
        <f t="shared" si="3"/>
        <v>45723.710229119999</v>
      </c>
      <c r="G14" s="371">
        <f t="shared" si="3"/>
        <v>45723.7113068736</v>
      </c>
      <c r="H14" s="371">
        <f t="shared" si="3"/>
        <v>45723.711339206209</v>
      </c>
      <c r="I14" s="371">
        <f t="shared" si="3"/>
        <v>45723.711340176189</v>
      </c>
      <c r="J14" s="371">
        <f t="shared" si="3"/>
        <v>45723.711340205286</v>
      </c>
      <c r="K14" s="371">
        <f t="shared" si="3"/>
        <v>45723.711340206159</v>
      </c>
      <c r="L14" s="371">
        <f t="shared" si="3"/>
        <v>45723.711340206188</v>
      </c>
      <c r="M14" s="371">
        <f t="shared" si="3"/>
        <v>45723.711340206188</v>
      </c>
      <c r="N14" s="371">
        <f t="shared" si="3"/>
        <v>45723.711340206188</v>
      </c>
      <c r="O14" s="371">
        <f t="shared" si="3"/>
        <v>45723.711340206188</v>
      </c>
      <c r="P14" s="371">
        <f t="shared" si="3"/>
        <v>45723.711340206188</v>
      </c>
      <c r="Q14" s="371">
        <f t="shared" si="3"/>
        <v>45723.711340206188</v>
      </c>
      <c r="R14" s="371">
        <f t="shared" si="3"/>
        <v>45723.711340206188</v>
      </c>
      <c r="S14" s="371">
        <f t="shared" si="3"/>
        <v>45723.711340206188</v>
      </c>
      <c r="T14" s="371">
        <f t="shared" si="3"/>
        <v>45723.711340206188</v>
      </c>
      <c r="U14" s="371">
        <f t="shared" si="3"/>
        <v>45723.711340206188</v>
      </c>
      <c r="V14"/>
      <c r="W14"/>
    </row>
    <row r="15" spans="1:24" s="363" customFormat="1" ht="24" customHeight="1">
      <c r="A15" s="372" t="str">
        <f>"Annual HUD Funding Level "&amp; $I$44&amp;"%"</f>
        <v>Annual HUD Funding Level 90%</v>
      </c>
      <c r="B15" s="369">
        <f t="shared" ref="B15:U15" si="4">B14*$H$45</f>
        <v>39916.800000000003</v>
      </c>
      <c r="C15" s="369">
        <f t="shared" si="4"/>
        <v>41114.303999999996</v>
      </c>
      <c r="D15" s="369">
        <f t="shared" si="4"/>
        <v>41150.229119999996</v>
      </c>
      <c r="E15" s="369">
        <f t="shared" si="4"/>
        <v>41151.306873599999</v>
      </c>
      <c r="F15" s="369">
        <f t="shared" si="4"/>
        <v>41151.339206208002</v>
      </c>
      <c r="G15" s="369">
        <f t="shared" si="4"/>
        <v>41151.340176186241</v>
      </c>
      <c r="H15" s="369">
        <f t="shared" si="4"/>
        <v>41151.340205285589</v>
      </c>
      <c r="I15" s="369">
        <f t="shared" si="4"/>
        <v>41151.340206158573</v>
      </c>
      <c r="J15" s="369">
        <f t="shared" si="4"/>
        <v>41151.340206184759</v>
      </c>
      <c r="K15" s="369">
        <f t="shared" si="4"/>
        <v>41151.340206185545</v>
      </c>
      <c r="L15" s="369">
        <f t="shared" si="4"/>
        <v>41151.340206185567</v>
      </c>
      <c r="M15" s="369">
        <f t="shared" si="4"/>
        <v>41151.340206185567</v>
      </c>
      <c r="N15" s="369">
        <f t="shared" si="4"/>
        <v>41151.340206185567</v>
      </c>
      <c r="O15" s="369">
        <f t="shared" si="4"/>
        <v>41151.340206185567</v>
      </c>
      <c r="P15" s="369">
        <f t="shared" si="4"/>
        <v>41151.340206185567</v>
      </c>
      <c r="Q15" s="369">
        <f t="shared" si="4"/>
        <v>41151.340206185567</v>
      </c>
      <c r="R15" s="369">
        <f t="shared" si="4"/>
        <v>41151.340206185567</v>
      </c>
      <c r="S15" s="369">
        <f t="shared" si="4"/>
        <v>41151.340206185567</v>
      </c>
      <c r="T15" s="369">
        <f t="shared" si="4"/>
        <v>41151.340206185567</v>
      </c>
      <c r="U15" s="369">
        <f t="shared" si="4"/>
        <v>41151.340206185567</v>
      </c>
      <c r="V15"/>
      <c r="W15"/>
      <c r="X15" s="370">
        <f>W15*100</f>
        <v>0</v>
      </c>
    </row>
    <row r="16" spans="1:24" s="363" customFormat="1" ht="24" customHeight="1">
      <c r="A16" s="372" t="s">
        <v>266</v>
      </c>
      <c r="B16" s="369">
        <f t="shared" ref="B16:U16" si="5">PMT($H$44,20,-$H$43)</f>
        <v>48990.733068497539</v>
      </c>
      <c r="C16" s="369">
        <f t="shared" si="5"/>
        <v>48990.733068497539</v>
      </c>
      <c r="D16" s="369">
        <f t="shared" si="5"/>
        <v>48990.733068497539</v>
      </c>
      <c r="E16" s="369">
        <f t="shared" si="5"/>
        <v>48990.733068497539</v>
      </c>
      <c r="F16" s="369">
        <f t="shared" si="5"/>
        <v>48990.733068497539</v>
      </c>
      <c r="G16" s="369">
        <f t="shared" si="5"/>
        <v>48990.733068497539</v>
      </c>
      <c r="H16" s="369">
        <f t="shared" si="5"/>
        <v>48990.733068497539</v>
      </c>
      <c r="I16" s="369">
        <f t="shared" si="5"/>
        <v>48990.733068497539</v>
      </c>
      <c r="J16" s="369">
        <f t="shared" si="5"/>
        <v>48990.733068497539</v>
      </c>
      <c r="K16" s="369">
        <f t="shared" si="5"/>
        <v>48990.733068497539</v>
      </c>
      <c r="L16" s="369">
        <f t="shared" si="5"/>
        <v>48990.733068497539</v>
      </c>
      <c r="M16" s="369">
        <f t="shared" si="5"/>
        <v>48990.733068497539</v>
      </c>
      <c r="N16" s="369">
        <f t="shared" si="5"/>
        <v>48990.733068497539</v>
      </c>
      <c r="O16" s="369">
        <f t="shared" si="5"/>
        <v>48990.733068497539</v>
      </c>
      <c r="P16" s="369">
        <f t="shared" si="5"/>
        <v>48990.733068497539</v>
      </c>
      <c r="Q16" s="369">
        <f t="shared" si="5"/>
        <v>48990.733068497539</v>
      </c>
      <c r="R16" s="369">
        <f t="shared" si="5"/>
        <v>48990.733068497539</v>
      </c>
      <c r="S16" s="369">
        <f t="shared" si="5"/>
        <v>48990.733068497539</v>
      </c>
      <c r="T16" s="369">
        <f t="shared" si="5"/>
        <v>48990.733068497539</v>
      </c>
      <c r="U16" s="369">
        <f t="shared" si="5"/>
        <v>48990.733068497539</v>
      </c>
      <c r="V16"/>
      <c r="W16"/>
      <c r="X16" s="370"/>
    </row>
    <row r="17" spans="1:24" s="363" customFormat="1" ht="24" customHeight="1">
      <c r="A17" s="372" t="s">
        <v>267</v>
      </c>
      <c r="B17" s="369">
        <f>H47</f>
        <v>56000</v>
      </c>
      <c r="C17" s="369">
        <f t="shared" ref="C17:U17" si="6">B17+(B17*$H$46)</f>
        <v>57680</v>
      </c>
      <c r="D17" s="369">
        <f t="shared" si="6"/>
        <v>59410.400000000001</v>
      </c>
      <c r="E17" s="369">
        <f t="shared" si="6"/>
        <v>61192.712</v>
      </c>
      <c r="F17" s="369">
        <f t="shared" si="6"/>
        <v>63028.49336</v>
      </c>
      <c r="G17" s="369">
        <f t="shared" si="6"/>
        <v>64919.3481608</v>
      </c>
      <c r="H17" s="369">
        <f t="shared" si="6"/>
        <v>66866.928605623994</v>
      </c>
      <c r="I17" s="369">
        <f t="shared" si="6"/>
        <v>68872.936463792721</v>
      </c>
      <c r="J17" s="369">
        <f t="shared" si="6"/>
        <v>70939.124557706498</v>
      </c>
      <c r="K17" s="369">
        <f t="shared" si="6"/>
        <v>73067.2982944377</v>
      </c>
      <c r="L17" s="369">
        <f t="shared" si="6"/>
        <v>75259.317243270838</v>
      </c>
      <c r="M17" s="369">
        <f t="shared" si="6"/>
        <v>77517.096760568966</v>
      </c>
      <c r="N17" s="369">
        <f t="shared" si="6"/>
        <v>79842.609663386029</v>
      </c>
      <c r="O17" s="369">
        <f t="shared" si="6"/>
        <v>82237.887953287616</v>
      </c>
      <c r="P17" s="369">
        <f t="shared" si="6"/>
        <v>84705.024591886249</v>
      </c>
      <c r="Q17" s="369">
        <f t="shared" si="6"/>
        <v>87246.175329642836</v>
      </c>
      <c r="R17" s="369">
        <f t="shared" si="6"/>
        <v>89863.560589532121</v>
      </c>
      <c r="S17" s="369">
        <f t="shared" si="6"/>
        <v>92559.467407218079</v>
      </c>
      <c r="T17" s="369">
        <f t="shared" si="6"/>
        <v>95336.251429434618</v>
      </c>
      <c r="U17" s="369">
        <f t="shared" si="6"/>
        <v>98196.338972317651</v>
      </c>
      <c r="V17"/>
      <c r="W17"/>
      <c r="X17" s="370"/>
    </row>
    <row r="18" spans="1:24" s="375" customFormat="1" ht="24" customHeight="1">
      <c r="A18" s="373" t="s">
        <v>268</v>
      </c>
      <c r="B18" s="348">
        <f t="shared" ref="B18:U18" si="7">B15-B16-B17</f>
        <v>-65073.933068497536</v>
      </c>
      <c r="C18" s="348">
        <f t="shared" si="7"/>
        <v>-65556.429068497542</v>
      </c>
      <c r="D18" s="348">
        <f t="shared" si="7"/>
        <v>-67250.903948497551</v>
      </c>
      <c r="E18" s="348">
        <f t="shared" si="7"/>
        <v>-69032.138194897532</v>
      </c>
      <c r="F18" s="348">
        <f t="shared" si="7"/>
        <v>-70867.887222289544</v>
      </c>
      <c r="G18" s="348">
        <f t="shared" si="7"/>
        <v>-72758.741053111298</v>
      </c>
      <c r="H18" s="348">
        <f t="shared" si="7"/>
        <v>-74706.321468835944</v>
      </c>
      <c r="I18" s="348">
        <f t="shared" si="7"/>
        <v>-76712.329326131687</v>
      </c>
      <c r="J18" s="348">
        <f t="shared" si="7"/>
        <v>-78778.517420019285</v>
      </c>
      <c r="K18" s="348">
        <f t="shared" si="7"/>
        <v>-80906.691156749701</v>
      </c>
      <c r="L18" s="348">
        <f t="shared" si="7"/>
        <v>-83098.71010558281</v>
      </c>
      <c r="M18" s="348">
        <f t="shared" si="7"/>
        <v>-85356.489622880938</v>
      </c>
      <c r="N18" s="348">
        <f t="shared" si="7"/>
        <v>-87682.002525698001</v>
      </c>
      <c r="O18" s="348">
        <f t="shared" si="7"/>
        <v>-90077.280815599588</v>
      </c>
      <c r="P18" s="348">
        <f t="shared" si="7"/>
        <v>-92544.417454198221</v>
      </c>
      <c r="Q18" s="348">
        <f t="shared" si="7"/>
        <v>-95085.568191954808</v>
      </c>
      <c r="R18" s="348">
        <f t="shared" si="7"/>
        <v>-97702.953451844092</v>
      </c>
      <c r="S18" s="348">
        <f t="shared" si="7"/>
        <v>-100398.86026953005</v>
      </c>
      <c r="T18" s="348">
        <f t="shared" si="7"/>
        <v>-103175.64429174659</v>
      </c>
      <c r="U18" s="348">
        <f t="shared" si="7"/>
        <v>-106035.73183462962</v>
      </c>
      <c r="V18" s="374">
        <f>SUM(B18:U18)</f>
        <v>-1662801.5504911924</v>
      </c>
    </row>
    <row r="19" spans="1:24" s="363" customFormat="1" ht="24" customHeight="1">
      <c r="A19" s="376"/>
      <c r="B19" s="346"/>
      <c r="C19" s="346"/>
      <c r="D19" s="346"/>
      <c r="E19" s="346"/>
      <c r="F19" s="346"/>
      <c r="G19" s="346"/>
      <c r="H19" s="346"/>
      <c r="I19" s="346"/>
      <c r="J19" s="346"/>
      <c r="K19" s="346"/>
      <c r="L19" s="346"/>
      <c r="M19" s="377" t="s">
        <v>107</v>
      </c>
      <c r="N19" s="378" t="s">
        <v>107</v>
      </c>
      <c r="U19" s="347" t="s">
        <v>241</v>
      </c>
      <c r="V19" s="348">
        <f>NPV($H$46,B18,C18,D18,E18,F18,G18,H18,I18,J18,K18,L18,M18,N18,O18,P18,Q18,R18,S18,T18,U18)</f>
        <v>-1205243.551213165</v>
      </c>
    </row>
    <row r="20" spans="1:24" s="363" customFormat="1" ht="24" hidden="1" customHeight="1">
      <c r="A20" s="376" t="s">
        <v>269</v>
      </c>
      <c r="B20" s="379">
        <f t="shared" ref="B20:U20" si="8">B16/B14</f>
        <v>1.1045890392428197</v>
      </c>
      <c r="C20" s="379">
        <f t="shared" si="8"/>
        <v>1.0724165429541939</v>
      </c>
      <c r="D20" s="379">
        <f t="shared" si="8"/>
        <v>1.071480298033582</v>
      </c>
      <c r="E20" s="379">
        <f t="shared" si="8"/>
        <v>1.0714522359418461</v>
      </c>
      <c r="F20" s="379">
        <f t="shared" si="8"/>
        <v>1.071451394101804</v>
      </c>
      <c r="G20" s="379">
        <f t="shared" si="8"/>
        <v>1.0714513688466232</v>
      </c>
      <c r="H20" s="379">
        <f t="shared" si="8"/>
        <v>1.0714513680889677</v>
      </c>
      <c r="I20" s="379">
        <f t="shared" si="8"/>
        <v>1.0714513680662381</v>
      </c>
      <c r="J20" s="379">
        <f t="shared" si="8"/>
        <v>1.0714513680655562</v>
      </c>
      <c r="K20" s="379">
        <f t="shared" si="8"/>
        <v>1.0714513680655358</v>
      </c>
      <c r="L20" s="379">
        <f t="shared" si="8"/>
        <v>1.0714513680655351</v>
      </c>
      <c r="M20" s="379">
        <f t="shared" si="8"/>
        <v>1.0714513680655351</v>
      </c>
      <c r="N20" s="379">
        <f t="shared" si="8"/>
        <v>1.0714513680655351</v>
      </c>
      <c r="O20" s="379">
        <f t="shared" si="8"/>
        <v>1.0714513680655351</v>
      </c>
      <c r="P20" s="379">
        <f t="shared" si="8"/>
        <v>1.0714513680655351</v>
      </c>
      <c r="Q20" s="379">
        <f t="shared" si="8"/>
        <v>1.0714513680655351</v>
      </c>
      <c r="R20" s="379">
        <f t="shared" si="8"/>
        <v>1.0714513680655351</v>
      </c>
      <c r="S20" s="379">
        <f t="shared" si="8"/>
        <v>1.0714513680655351</v>
      </c>
      <c r="T20" s="379">
        <f t="shared" si="8"/>
        <v>1.0714513680655351</v>
      </c>
      <c r="U20" s="379">
        <f t="shared" si="8"/>
        <v>1.0714513680655351</v>
      </c>
    </row>
    <row r="21" spans="1:24" s="363" customFormat="1" ht="24" hidden="1" customHeight="1">
      <c r="A21" s="380" t="s">
        <v>270</v>
      </c>
      <c r="B21" s="346"/>
      <c r="C21" s="346"/>
      <c r="D21" s="346"/>
      <c r="E21" s="346"/>
      <c r="F21" s="346"/>
      <c r="G21" s="346"/>
      <c r="H21" s="346"/>
      <c r="I21" s="346"/>
      <c r="J21" s="346"/>
      <c r="K21" s="346"/>
      <c r="L21" s="346"/>
      <c r="M21" s="377"/>
      <c r="N21" s="381"/>
    </row>
    <row r="22" spans="1:24" s="363" customFormat="1" ht="24" customHeight="1">
      <c r="A22" s="359" t="s">
        <v>271</v>
      </c>
      <c r="B22" s="360"/>
      <c r="C22" s="360"/>
      <c r="D22" s="360"/>
      <c r="E22" s="360"/>
      <c r="F22" s="360"/>
      <c r="G22" s="360"/>
      <c r="H22" s="360"/>
      <c r="I22" s="360"/>
      <c r="J22" s="360"/>
      <c r="K22" s="360"/>
      <c r="L22" s="360"/>
      <c r="M22" s="360"/>
      <c r="N22" s="382"/>
      <c r="O22" s="383"/>
      <c r="P22" s="383"/>
      <c r="Q22" s="383"/>
      <c r="R22" s="383"/>
      <c r="S22" s="383"/>
      <c r="T22" s="383"/>
      <c r="U22" s="383"/>
      <c r="V22" s="383"/>
    </row>
    <row r="23" spans="1:24" s="363" customFormat="1" ht="24" customHeight="1">
      <c r="A23" s="384"/>
      <c r="B23" s="385" t="s">
        <v>243</v>
      </c>
      <c r="C23" s="385" t="s">
        <v>244</v>
      </c>
      <c r="D23" s="385" t="s">
        <v>245</v>
      </c>
      <c r="E23" s="385" t="s">
        <v>246</v>
      </c>
      <c r="F23" s="385" t="s">
        <v>247</v>
      </c>
      <c r="G23" s="385" t="s">
        <v>248</v>
      </c>
      <c r="H23" s="385" t="s">
        <v>249</v>
      </c>
      <c r="I23" s="385" t="s">
        <v>250</v>
      </c>
      <c r="J23" s="385" t="s">
        <v>251</v>
      </c>
      <c r="K23" s="385" t="s">
        <v>252</v>
      </c>
      <c r="L23" s="385" t="s">
        <v>253</v>
      </c>
      <c r="M23" s="386" t="s">
        <v>254</v>
      </c>
      <c r="N23" s="386" t="s">
        <v>255</v>
      </c>
      <c r="O23" s="386" t="s">
        <v>256</v>
      </c>
      <c r="P23" s="386" t="s">
        <v>257</v>
      </c>
      <c r="Q23" s="386" t="s">
        <v>258</v>
      </c>
      <c r="R23" s="386" t="s">
        <v>259</v>
      </c>
      <c r="S23" s="386" t="s">
        <v>260</v>
      </c>
      <c r="T23" s="386" t="s">
        <v>261</v>
      </c>
      <c r="U23" s="386" t="s">
        <v>262</v>
      </c>
      <c r="V23" s="386" t="s">
        <v>44</v>
      </c>
    </row>
    <row r="24" spans="1:24" s="363" customFormat="1" ht="24" customHeight="1">
      <c r="A24" s="364" t="s">
        <v>264</v>
      </c>
      <c r="B24" s="369">
        <f>$H$42</f>
        <v>44352</v>
      </c>
      <c r="C24" s="369">
        <f>$H$42</f>
        <v>44352</v>
      </c>
      <c r="D24" s="369">
        <f t="shared" ref="D24:U24" si="9">$H$42</f>
        <v>44352</v>
      </c>
      <c r="E24" s="369">
        <f t="shared" si="9"/>
        <v>44352</v>
      </c>
      <c r="F24" s="369">
        <f t="shared" si="9"/>
        <v>44352</v>
      </c>
      <c r="G24" s="369">
        <f t="shared" si="9"/>
        <v>44352</v>
      </c>
      <c r="H24" s="369">
        <f t="shared" si="9"/>
        <v>44352</v>
      </c>
      <c r="I24" s="369">
        <f t="shared" si="9"/>
        <v>44352</v>
      </c>
      <c r="J24" s="369">
        <f t="shared" si="9"/>
        <v>44352</v>
      </c>
      <c r="K24" s="369">
        <f t="shared" si="9"/>
        <v>44352</v>
      </c>
      <c r="L24" s="369">
        <f t="shared" si="9"/>
        <v>44352</v>
      </c>
      <c r="M24" s="369">
        <f t="shared" si="9"/>
        <v>44352</v>
      </c>
      <c r="N24" s="369">
        <f t="shared" si="9"/>
        <v>44352</v>
      </c>
      <c r="O24" s="369">
        <f t="shared" si="9"/>
        <v>44352</v>
      </c>
      <c r="P24" s="369">
        <f t="shared" si="9"/>
        <v>44352</v>
      </c>
      <c r="Q24" s="369">
        <f t="shared" si="9"/>
        <v>44352</v>
      </c>
      <c r="R24" s="369">
        <f t="shared" si="9"/>
        <v>44352</v>
      </c>
      <c r="S24" s="369">
        <f t="shared" si="9"/>
        <v>44352</v>
      </c>
      <c r="T24" s="369">
        <f t="shared" si="9"/>
        <v>44352</v>
      </c>
      <c r="U24" s="369">
        <f t="shared" si="9"/>
        <v>44352</v>
      </c>
      <c r="V24"/>
      <c r="W24" s="174"/>
      <c r="X24" s="370">
        <f>W24*100</f>
        <v>0</v>
      </c>
    </row>
    <row r="25" spans="1:24" s="363" customFormat="1" ht="24" customHeight="1">
      <c r="A25" s="364" t="str">
        <f>"Rate Esculation " &amp; $I$41&amp; "%"</f>
        <v>Rate Esculation 3%</v>
      </c>
      <c r="B25" s="371"/>
      <c r="C25" s="369">
        <f t="shared" ref="C25:U25" si="10">B26*$H$41</f>
        <v>1330.56</v>
      </c>
      <c r="D25" s="371">
        <f t="shared" si="10"/>
        <v>1370.4767999999999</v>
      </c>
      <c r="E25" s="371">
        <f t="shared" si="10"/>
        <v>1371.6743039999999</v>
      </c>
      <c r="F25" s="371">
        <f t="shared" si="10"/>
        <v>1371.7102291199999</v>
      </c>
      <c r="G25" s="371">
        <f t="shared" si="10"/>
        <v>1371.7113068735998</v>
      </c>
      <c r="H25" s="371">
        <f t="shared" si="10"/>
        <v>1371.7113392062079</v>
      </c>
      <c r="I25" s="371">
        <f t="shared" si="10"/>
        <v>1371.7113401761862</v>
      </c>
      <c r="J25" s="371">
        <f t="shared" si="10"/>
        <v>1371.7113402052855</v>
      </c>
      <c r="K25" s="371">
        <f t="shared" si="10"/>
        <v>1371.7113402061584</v>
      </c>
      <c r="L25" s="371">
        <f t="shared" si="10"/>
        <v>1371.7113402061848</v>
      </c>
      <c r="M25" s="371">
        <f t="shared" si="10"/>
        <v>1371.7113402061855</v>
      </c>
      <c r="N25" s="371">
        <f t="shared" si="10"/>
        <v>1371.7113402061855</v>
      </c>
      <c r="O25" s="371">
        <f t="shared" si="10"/>
        <v>1371.7113402061855</v>
      </c>
      <c r="P25" s="371">
        <f t="shared" si="10"/>
        <v>1371.7113402061855</v>
      </c>
      <c r="Q25" s="371">
        <f t="shared" si="10"/>
        <v>1371.7113402061855</v>
      </c>
      <c r="R25" s="371">
        <f t="shared" si="10"/>
        <v>1371.7113402061855</v>
      </c>
      <c r="S25" s="371">
        <f t="shared" si="10"/>
        <v>1371.7113402061855</v>
      </c>
      <c r="T25" s="371">
        <f t="shared" si="10"/>
        <v>1371.7113402061855</v>
      </c>
      <c r="U25" s="371">
        <f t="shared" si="10"/>
        <v>1371.7113402061855</v>
      </c>
      <c r="V25"/>
      <c r="W25" s="174"/>
    </row>
    <row r="26" spans="1:24" s="363" customFormat="1" ht="24" customHeight="1">
      <c r="A26" s="364" t="s">
        <v>265</v>
      </c>
      <c r="B26" s="371">
        <f>SUM(B24:B25)</f>
        <v>44352</v>
      </c>
      <c r="C26" s="371">
        <f t="shared" ref="C26:U26" si="11">SUM(C24:C25)</f>
        <v>45682.559999999998</v>
      </c>
      <c r="D26" s="371">
        <f t="shared" si="11"/>
        <v>45722.476799999997</v>
      </c>
      <c r="E26" s="371">
        <f t="shared" si="11"/>
        <v>45723.674304</v>
      </c>
      <c r="F26" s="371">
        <f t="shared" si="11"/>
        <v>45723.710229119999</v>
      </c>
      <c r="G26" s="371">
        <f t="shared" si="11"/>
        <v>45723.7113068736</v>
      </c>
      <c r="H26" s="371">
        <f t="shared" si="11"/>
        <v>45723.711339206209</v>
      </c>
      <c r="I26" s="371">
        <f t="shared" si="11"/>
        <v>45723.711340176189</v>
      </c>
      <c r="J26" s="371">
        <f t="shared" si="11"/>
        <v>45723.711340205286</v>
      </c>
      <c r="K26" s="371">
        <f t="shared" si="11"/>
        <v>45723.711340206159</v>
      </c>
      <c r="L26" s="371">
        <f t="shared" si="11"/>
        <v>45723.711340206188</v>
      </c>
      <c r="M26" s="371">
        <f t="shared" si="11"/>
        <v>45723.711340206188</v>
      </c>
      <c r="N26" s="371">
        <f t="shared" si="11"/>
        <v>45723.711340206188</v>
      </c>
      <c r="O26" s="371">
        <f t="shared" si="11"/>
        <v>45723.711340206188</v>
      </c>
      <c r="P26" s="371">
        <f t="shared" si="11"/>
        <v>45723.711340206188</v>
      </c>
      <c r="Q26" s="371">
        <f t="shared" si="11"/>
        <v>45723.711340206188</v>
      </c>
      <c r="R26" s="371">
        <f t="shared" si="11"/>
        <v>45723.711340206188</v>
      </c>
      <c r="S26" s="371">
        <f t="shared" si="11"/>
        <v>45723.711340206188</v>
      </c>
      <c r="T26" s="371">
        <f t="shared" si="11"/>
        <v>45723.711340206188</v>
      </c>
      <c r="U26" s="371">
        <f t="shared" si="11"/>
        <v>45723.711340206188</v>
      </c>
    </row>
    <row r="27" spans="1:24" s="363" customFormat="1" ht="24" customHeight="1">
      <c r="A27" s="364" t="s">
        <v>272</v>
      </c>
      <c r="B27" s="369">
        <f>B16</f>
        <v>48990.733068497539</v>
      </c>
      <c r="C27" s="369">
        <f>B27</f>
        <v>48990.733068497539</v>
      </c>
      <c r="D27" s="369">
        <f t="shared" ref="D27:U27" si="12">C27</f>
        <v>48990.733068497539</v>
      </c>
      <c r="E27" s="369">
        <f t="shared" si="12"/>
        <v>48990.733068497539</v>
      </c>
      <c r="F27" s="369">
        <f t="shared" si="12"/>
        <v>48990.733068497539</v>
      </c>
      <c r="G27" s="369">
        <f t="shared" si="12"/>
        <v>48990.733068497539</v>
      </c>
      <c r="H27" s="369">
        <f t="shared" si="12"/>
        <v>48990.733068497539</v>
      </c>
      <c r="I27" s="369">
        <f t="shared" si="12"/>
        <v>48990.733068497539</v>
      </c>
      <c r="J27" s="369">
        <f t="shared" si="12"/>
        <v>48990.733068497539</v>
      </c>
      <c r="K27" s="369">
        <f t="shared" si="12"/>
        <v>48990.733068497539</v>
      </c>
      <c r="L27" s="369">
        <f t="shared" si="12"/>
        <v>48990.733068497539</v>
      </c>
      <c r="M27" s="369">
        <f t="shared" si="12"/>
        <v>48990.733068497539</v>
      </c>
      <c r="N27" s="369">
        <f t="shared" si="12"/>
        <v>48990.733068497539</v>
      </c>
      <c r="O27" s="369">
        <f t="shared" si="12"/>
        <v>48990.733068497539</v>
      </c>
      <c r="P27" s="369">
        <f t="shared" si="12"/>
        <v>48990.733068497539</v>
      </c>
      <c r="Q27" s="369">
        <f t="shared" si="12"/>
        <v>48990.733068497539</v>
      </c>
      <c r="R27" s="369">
        <f t="shared" si="12"/>
        <v>48990.733068497539</v>
      </c>
      <c r="S27" s="369">
        <f t="shared" si="12"/>
        <v>48990.733068497539</v>
      </c>
      <c r="T27" s="369">
        <f t="shared" si="12"/>
        <v>48990.733068497539</v>
      </c>
      <c r="U27" s="369">
        <f t="shared" si="12"/>
        <v>48990.733068497539</v>
      </c>
    </row>
    <row r="28" spans="1:24" s="363" customFormat="1" ht="24" customHeight="1">
      <c r="A28" s="364" t="str">
        <f>"Add-On Subsidy (funded at "&amp;$I$44&amp;"%)"</f>
        <v>Add-On Subsidy (funded at 90%)</v>
      </c>
      <c r="B28" s="369">
        <f t="shared" ref="B28:U28" si="13">B27*$H$45</f>
        <v>44091.659761647788</v>
      </c>
      <c r="C28" s="369">
        <f t="shared" si="13"/>
        <v>44091.659761647788</v>
      </c>
      <c r="D28" s="369">
        <f t="shared" si="13"/>
        <v>44091.659761647788</v>
      </c>
      <c r="E28" s="369">
        <f t="shared" si="13"/>
        <v>44091.659761647788</v>
      </c>
      <c r="F28" s="369">
        <f t="shared" si="13"/>
        <v>44091.659761647788</v>
      </c>
      <c r="G28" s="369">
        <f t="shared" si="13"/>
        <v>44091.659761647788</v>
      </c>
      <c r="H28" s="369">
        <f t="shared" si="13"/>
        <v>44091.659761647788</v>
      </c>
      <c r="I28" s="369">
        <f t="shared" si="13"/>
        <v>44091.659761647788</v>
      </c>
      <c r="J28" s="369">
        <f t="shared" si="13"/>
        <v>44091.659761647788</v>
      </c>
      <c r="K28" s="369">
        <f t="shared" si="13"/>
        <v>44091.659761647788</v>
      </c>
      <c r="L28" s="369">
        <f t="shared" si="13"/>
        <v>44091.659761647788</v>
      </c>
      <c r="M28" s="369">
        <f t="shared" si="13"/>
        <v>44091.659761647788</v>
      </c>
      <c r="N28" s="369">
        <f t="shared" si="13"/>
        <v>44091.659761647788</v>
      </c>
      <c r="O28" s="369">
        <f t="shared" si="13"/>
        <v>44091.659761647788</v>
      </c>
      <c r="P28" s="369">
        <f t="shared" si="13"/>
        <v>44091.659761647788</v>
      </c>
      <c r="Q28" s="369">
        <f t="shared" si="13"/>
        <v>44091.659761647788</v>
      </c>
      <c r="R28" s="369">
        <f t="shared" si="13"/>
        <v>44091.659761647788</v>
      </c>
      <c r="S28" s="369">
        <f t="shared" si="13"/>
        <v>44091.659761647788</v>
      </c>
      <c r="T28" s="369">
        <f t="shared" si="13"/>
        <v>44091.659761647788</v>
      </c>
      <c r="U28" s="369">
        <f t="shared" si="13"/>
        <v>44091.659761647788</v>
      </c>
    </row>
    <row r="29" spans="1:24" s="363" customFormat="1" ht="24" customHeight="1">
      <c r="A29" s="364"/>
      <c r="B29" s="369"/>
      <c r="C29" s="369"/>
      <c r="D29" s="369"/>
      <c r="E29" s="369"/>
      <c r="F29" s="369"/>
      <c r="G29" s="369"/>
      <c r="H29" s="369"/>
      <c r="I29" s="369"/>
      <c r="J29" s="369"/>
      <c r="K29" s="369"/>
      <c r="L29" s="369"/>
      <c r="M29" s="369"/>
      <c r="N29" s="365"/>
      <c r="O29" s="387"/>
      <c r="P29" s="387"/>
      <c r="Q29" s="387"/>
      <c r="R29" s="387"/>
      <c r="S29" s="387"/>
      <c r="T29" s="387"/>
      <c r="U29" s="387"/>
    </row>
    <row r="30" spans="1:24" s="363" customFormat="1" ht="24" customHeight="1">
      <c r="A30" s="364" t="s">
        <v>273</v>
      </c>
      <c r="B30" s="369">
        <f>B26</f>
        <v>44352</v>
      </c>
      <c r="C30" s="369">
        <f>B30</f>
        <v>44352</v>
      </c>
      <c r="D30" s="369">
        <f>C30*0.66</f>
        <v>29272.32</v>
      </c>
      <c r="E30" s="369">
        <f>C30*0.33</f>
        <v>14636.16</v>
      </c>
      <c r="F30" s="369">
        <v>0</v>
      </c>
      <c r="G30" s="369">
        <v>0</v>
      </c>
      <c r="H30" s="369">
        <v>0</v>
      </c>
      <c r="I30" s="369">
        <v>0</v>
      </c>
      <c r="J30" s="369">
        <v>0</v>
      </c>
      <c r="K30" s="369">
        <v>0</v>
      </c>
      <c r="L30" s="369">
        <v>0</v>
      </c>
      <c r="M30" s="369">
        <v>0</v>
      </c>
      <c r="N30" s="369">
        <v>0</v>
      </c>
      <c r="O30" s="369">
        <v>0</v>
      </c>
      <c r="P30" s="369">
        <v>0</v>
      </c>
      <c r="Q30" s="369">
        <v>0</v>
      </c>
      <c r="R30" s="369">
        <v>0</v>
      </c>
      <c r="S30" s="369">
        <v>0</v>
      </c>
      <c r="T30" s="369">
        <v>0</v>
      </c>
      <c r="U30" s="369">
        <v>0</v>
      </c>
    </row>
    <row r="31" spans="1:24" s="363" customFormat="1" ht="24" customHeight="1">
      <c r="A31" s="364" t="s">
        <v>274</v>
      </c>
      <c r="B31" s="369">
        <f t="shared" ref="B31:U31" si="14">B30*0.75</f>
        <v>33264</v>
      </c>
      <c r="C31" s="369">
        <f t="shared" si="14"/>
        <v>33264</v>
      </c>
      <c r="D31" s="369">
        <f t="shared" si="14"/>
        <v>21954.239999999998</v>
      </c>
      <c r="E31" s="369">
        <f t="shared" si="14"/>
        <v>10977.119999999999</v>
      </c>
      <c r="F31" s="369">
        <f t="shared" si="14"/>
        <v>0</v>
      </c>
      <c r="G31" s="369">
        <f t="shared" si="14"/>
        <v>0</v>
      </c>
      <c r="H31" s="369">
        <f t="shared" si="14"/>
        <v>0</v>
      </c>
      <c r="I31" s="369">
        <f t="shared" si="14"/>
        <v>0</v>
      </c>
      <c r="J31" s="369">
        <f t="shared" si="14"/>
        <v>0</v>
      </c>
      <c r="K31" s="369">
        <f t="shared" si="14"/>
        <v>0</v>
      </c>
      <c r="L31" s="369">
        <f t="shared" si="14"/>
        <v>0</v>
      </c>
      <c r="M31" s="369">
        <f t="shared" si="14"/>
        <v>0</v>
      </c>
      <c r="N31" s="369">
        <f t="shared" si="14"/>
        <v>0</v>
      </c>
      <c r="O31" s="369">
        <f t="shared" si="14"/>
        <v>0</v>
      </c>
      <c r="P31" s="369">
        <f t="shared" si="14"/>
        <v>0</v>
      </c>
      <c r="Q31" s="369">
        <f t="shared" si="14"/>
        <v>0</v>
      </c>
      <c r="R31" s="369">
        <f t="shared" si="14"/>
        <v>0</v>
      </c>
      <c r="S31" s="369">
        <f t="shared" si="14"/>
        <v>0</v>
      </c>
      <c r="T31" s="369">
        <f t="shared" si="14"/>
        <v>0</v>
      </c>
      <c r="U31" s="369">
        <f t="shared" si="14"/>
        <v>0</v>
      </c>
    </row>
    <row r="32" spans="1:24" s="363" customFormat="1" ht="24" customHeight="1">
      <c r="A32" s="372" t="str">
        <f>"Annual HUD Funding Level "&amp; $I$44&amp;"%"</f>
        <v>Annual HUD Funding Level 90%</v>
      </c>
      <c r="B32" s="369">
        <f t="shared" ref="B32:U32" si="15">B31*$H$45</f>
        <v>29937.600000000002</v>
      </c>
      <c r="C32" s="369">
        <f t="shared" si="15"/>
        <v>29937.600000000002</v>
      </c>
      <c r="D32" s="369">
        <f t="shared" si="15"/>
        <v>19758.815999999999</v>
      </c>
      <c r="E32" s="369">
        <f t="shared" si="15"/>
        <v>9879.4079999999994</v>
      </c>
      <c r="F32" s="369">
        <f t="shared" si="15"/>
        <v>0</v>
      </c>
      <c r="G32" s="369">
        <f t="shared" si="15"/>
        <v>0</v>
      </c>
      <c r="H32" s="369">
        <f t="shared" si="15"/>
        <v>0</v>
      </c>
      <c r="I32" s="369">
        <f t="shared" si="15"/>
        <v>0</v>
      </c>
      <c r="J32" s="369">
        <f t="shared" si="15"/>
        <v>0</v>
      </c>
      <c r="K32" s="369">
        <f t="shared" si="15"/>
        <v>0</v>
      </c>
      <c r="L32" s="369">
        <f t="shared" si="15"/>
        <v>0</v>
      </c>
      <c r="M32" s="369">
        <f t="shared" si="15"/>
        <v>0</v>
      </c>
      <c r="N32" s="369">
        <f t="shared" si="15"/>
        <v>0</v>
      </c>
      <c r="O32" s="369">
        <f t="shared" si="15"/>
        <v>0</v>
      </c>
      <c r="P32" s="369">
        <f t="shared" si="15"/>
        <v>0</v>
      </c>
      <c r="Q32" s="369">
        <f t="shared" si="15"/>
        <v>0</v>
      </c>
      <c r="R32" s="369">
        <f t="shared" si="15"/>
        <v>0</v>
      </c>
      <c r="S32" s="369">
        <f t="shared" si="15"/>
        <v>0</v>
      </c>
      <c r="T32" s="369">
        <f t="shared" si="15"/>
        <v>0</v>
      </c>
      <c r="U32" s="369">
        <f t="shared" si="15"/>
        <v>0</v>
      </c>
    </row>
    <row r="33" spans="1:22" s="363" customFormat="1" ht="24" customHeight="1">
      <c r="A33" s="372" t="s">
        <v>267</v>
      </c>
      <c r="B33" s="369">
        <f>H47</f>
        <v>56000</v>
      </c>
      <c r="C33" s="369">
        <f t="shared" ref="C33:U33" si="16">B33+(B33*$H$46)</f>
        <v>57680</v>
      </c>
      <c r="D33" s="369">
        <f t="shared" si="16"/>
        <v>59410.400000000001</v>
      </c>
      <c r="E33" s="369">
        <f t="shared" si="16"/>
        <v>61192.712</v>
      </c>
      <c r="F33" s="369">
        <f t="shared" si="16"/>
        <v>63028.49336</v>
      </c>
      <c r="G33" s="369">
        <f t="shared" si="16"/>
        <v>64919.3481608</v>
      </c>
      <c r="H33" s="369">
        <f t="shared" si="16"/>
        <v>66866.928605623994</v>
      </c>
      <c r="I33" s="369">
        <f t="shared" si="16"/>
        <v>68872.936463792721</v>
      </c>
      <c r="J33" s="369">
        <f t="shared" si="16"/>
        <v>70939.124557706498</v>
      </c>
      <c r="K33" s="369">
        <f t="shared" si="16"/>
        <v>73067.2982944377</v>
      </c>
      <c r="L33" s="369">
        <f t="shared" si="16"/>
        <v>75259.317243270838</v>
      </c>
      <c r="M33" s="369">
        <f t="shared" si="16"/>
        <v>77517.096760568966</v>
      </c>
      <c r="N33" s="369">
        <f t="shared" si="16"/>
        <v>79842.609663386029</v>
      </c>
      <c r="O33" s="369">
        <f t="shared" si="16"/>
        <v>82237.887953287616</v>
      </c>
      <c r="P33" s="369">
        <f t="shared" si="16"/>
        <v>84705.024591886249</v>
      </c>
      <c r="Q33" s="369">
        <f t="shared" si="16"/>
        <v>87246.175329642836</v>
      </c>
      <c r="R33" s="369">
        <f t="shared" si="16"/>
        <v>89863.560589532121</v>
      </c>
      <c r="S33" s="369">
        <f t="shared" si="16"/>
        <v>92559.467407218079</v>
      </c>
      <c r="T33" s="369">
        <f t="shared" si="16"/>
        <v>95336.251429434618</v>
      </c>
      <c r="U33" s="369">
        <f t="shared" si="16"/>
        <v>98196.338972317651</v>
      </c>
    </row>
    <row r="34" spans="1:22" s="375" customFormat="1" ht="24" customHeight="1">
      <c r="A34" s="373" t="s">
        <v>268</v>
      </c>
      <c r="B34" s="348">
        <f>B32-(B27-B28)-B33</f>
        <v>-30961.473306849748</v>
      </c>
      <c r="C34" s="348">
        <f t="shared" ref="C34:U34" si="17">C32-(C27-C28)-C33</f>
        <v>-32641.473306849748</v>
      </c>
      <c r="D34" s="348">
        <f t="shared" si="17"/>
        <v>-44550.657306849753</v>
      </c>
      <c r="E34" s="348">
        <f t="shared" si="17"/>
        <v>-56212.377306849754</v>
      </c>
      <c r="F34" s="348">
        <f t="shared" si="17"/>
        <v>-67927.566666849743</v>
      </c>
      <c r="G34" s="348">
        <f t="shared" si="17"/>
        <v>-69818.42146764975</v>
      </c>
      <c r="H34" s="348">
        <f t="shared" si="17"/>
        <v>-71766.001912473745</v>
      </c>
      <c r="I34" s="348">
        <f t="shared" si="17"/>
        <v>-73772.009770642471</v>
      </c>
      <c r="J34" s="348">
        <f t="shared" si="17"/>
        <v>-75838.197864556249</v>
      </c>
      <c r="K34" s="348">
        <f t="shared" si="17"/>
        <v>-77966.37160128745</v>
      </c>
      <c r="L34" s="348">
        <f t="shared" si="17"/>
        <v>-80158.390550120588</v>
      </c>
      <c r="M34" s="348">
        <f t="shared" si="17"/>
        <v>-82416.170067418716</v>
      </c>
      <c r="N34" s="348">
        <f t="shared" si="17"/>
        <v>-84741.682970235779</v>
      </c>
      <c r="O34" s="348">
        <f t="shared" si="17"/>
        <v>-87136.961260137366</v>
      </c>
      <c r="P34" s="348">
        <f t="shared" si="17"/>
        <v>-89604.097898735999</v>
      </c>
      <c r="Q34" s="348">
        <f t="shared" si="17"/>
        <v>-92145.248636492586</v>
      </c>
      <c r="R34" s="348">
        <f t="shared" si="17"/>
        <v>-94762.633896381871</v>
      </c>
      <c r="S34" s="348">
        <f t="shared" si="17"/>
        <v>-97458.540714067829</v>
      </c>
      <c r="T34" s="348">
        <f t="shared" si="17"/>
        <v>-100235.32473628437</v>
      </c>
      <c r="U34" s="348">
        <f t="shared" si="17"/>
        <v>-103095.4122791674</v>
      </c>
      <c r="V34" s="374">
        <f>SUM(B34:U34)</f>
        <v>-1513209.0135199011</v>
      </c>
    </row>
    <row r="35" spans="1:22" s="343" customFormat="1" ht="24" customHeight="1">
      <c r="A35" s="345"/>
      <c r="B35" s="345"/>
      <c r="C35" s="345"/>
      <c r="D35" s="345"/>
      <c r="E35" s="345"/>
      <c r="F35" s="345"/>
      <c r="G35" s="345"/>
      <c r="H35" s="345"/>
      <c r="I35" s="345"/>
      <c r="J35" s="345"/>
      <c r="K35" s="345"/>
      <c r="L35" s="346"/>
      <c r="M35" s="347"/>
      <c r="N35" s="378"/>
      <c r="U35" s="347" t="s">
        <v>241</v>
      </c>
      <c r="V35" s="348">
        <f>NPV($H$46,B34,C34,D34,E34,F34,G34,H34,I34,J34,K34,L34,M34,N34,O34,P34,Q34,R34,S34,T34,U34)</f>
        <v>-1076119.9486714723</v>
      </c>
    </row>
    <row r="38" spans="1:22" ht="14.5" thickBot="1"/>
    <row r="39" spans="1:22" s="363" customFormat="1" ht="24" customHeight="1">
      <c r="A39" s="390"/>
      <c r="B39" s="580" t="s">
        <v>275</v>
      </c>
      <c r="C39" s="581"/>
      <c r="D39" s="581"/>
      <c r="E39" s="581"/>
      <c r="F39" s="581"/>
      <c r="G39" s="581"/>
      <c r="H39" s="582"/>
    </row>
    <row r="40" spans="1:22" s="363" customFormat="1" ht="24" customHeight="1">
      <c r="B40" s="583" t="s">
        <v>276</v>
      </c>
      <c r="C40" s="584"/>
      <c r="D40" s="584"/>
      <c r="E40" s="584"/>
      <c r="F40" s="584"/>
      <c r="G40" s="584"/>
      <c r="H40" s="391" t="s">
        <v>277</v>
      </c>
    </row>
    <row r="41" spans="1:22" s="363" customFormat="1" ht="24" customHeight="1">
      <c r="B41" s="570" t="s">
        <v>278</v>
      </c>
      <c r="C41" s="571"/>
      <c r="D41" s="571"/>
      <c r="E41" s="571"/>
      <c r="F41" s="571"/>
      <c r="G41" s="571"/>
      <c r="H41" s="392">
        <v>0.03</v>
      </c>
      <c r="I41" s="393">
        <f>H41*100</f>
        <v>3</v>
      </c>
    </row>
    <row r="42" spans="1:22" s="363" customFormat="1" ht="24" customHeight="1">
      <c r="B42" s="570" t="s">
        <v>264</v>
      </c>
      <c r="C42" s="571"/>
      <c r="D42" s="571"/>
      <c r="E42" s="571"/>
      <c r="F42" s="571"/>
      <c r="G42" s="571"/>
      <c r="H42" s="394">
        <v>44352</v>
      </c>
      <c r="I42" s="395"/>
    </row>
    <row r="43" spans="1:22" s="363" customFormat="1" ht="24" customHeight="1">
      <c r="B43" s="570" t="s">
        <v>279</v>
      </c>
      <c r="C43" s="571"/>
      <c r="D43" s="571"/>
      <c r="E43" s="571"/>
      <c r="F43" s="571"/>
      <c r="G43" s="571"/>
      <c r="H43" s="394">
        <v>630150</v>
      </c>
      <c r="I43" s="395"/>
    </row>
    <row r="44" spans="1:22" s="363" customFormat="1" ht="24" customHeight="1">
      <c r="B44" s="570" t="s">
        <v>280</v>
      </c>
      <c r="C44" s="571"/>
      <c r="D44" s="571"/>
      <c r="E44" s="571"/>
      <c r="F44" s="571"/>
      <c r="G44" s="571"/>
      <c r="H44" s="392">
        <v>4.6300000000000001E-2</v>
      </c>
      <c r="I44" s="393">
        <f>H45*100</f>
        <v>90</v>
      </c>
    </row>
    <row r="45" spans="1:22" s="363" customFormat="1" ht="24" customHeight="1">
      <c r="B45" s="572" t="s">
        <v>281</v>
      </c>
      <c r="C45" s="573"/>
      <c r="D45" s="573"/>
      <c r="E45" s="573"/>
      <c r="F45" s="573"/>
      <c r="G45" s="574"/>
      <c r="H45" s="396">
        <v>0.9</v>
      </c>
      <c r="I45" s="370"/>
    </row>
    <row r="46" spans="1:22" s="363" customFormat="1" ht="24" customHeight="1">
      <c r="B46" s="572" t="s">
        <v>282</v>
      </c>
      <c r="C46" s="573"/>
      <c r="D46" s="573"/>
      <c r="E46" s="573"/>
      <c r="F46" s="573"/>
      <c r="G46" s="574"/>
      <c r="H46" s="392">
        <v>0.03</v>
      </c>
      <c r="I46" s="370"/>
    </row>
    <row r="47" spans="1:22" s="375" customFormat="1" ht="24" customHeight="1" thickBot="1">
      <c r="B47" s="575" t="s">
        <v>283</v>
      </c>
      <c r="C47" s="576"/>
      <c r="D47" s="576"/>
      <c r="E47" s="576"/>
      <c r="F47" s="576"/>
      <c r="G47" s="577"/>
      <c r="H47" s="397">
        <v>56000</v>
      </c>
    </row>
    <row r="48" spans="1:22" s="363" customFormat="1" ht="24" customHeight="1"/>
    <row r="49" spans="2:8" s="363" customFormat="1" ht="24" hidden="1" customHeight="1"/>
    <row r="50" spans="2:8" s="363" customFormat="1" ht="24" hidden="1" customHeight="1"/>
    <row r="51" spans="2:8" s="363" customFormat="1" ht="24" customHeight="1" thickBot="1"/>
    <row r="52" spans="2:8" s="363" customFormat="1" ht="24" customHeight="1" thickTop="1">
      <c r="B52" s="398" t="s">
        <v>284</v>
      </c>
      <c r="C52" s="399"/>
      <c r="D52" s="399"/>
      <c r="E52" s="399"/>
      <c r="F52" s="399"/>
      <c r="G52" s="399"/>
      <c r="H52" s="400"/>
    </row>
    <row r="53" spans="2:8" s="363" customFormat="1" ht="24" customHeight="1">
      <c r="B53" s="561" t="s">
        <v>285</v>
      </c>
      <c r="C53" s="562"/>
      <c r="D53" s="562"/>
      <c r="E53" s="562"/>
      <c r="F53" s="562"/>
      <c r="G53" s="562"/>
      <c r="H53" s="563"/>
    </row>
    <row r="54" spans="2:8" s="363" customFormat="1" ht="24" customHeight="1">
      <c r="B54" s="561"/>
      <c r="C54" s="562"/>
      <c r="D54" s="562"/>
      <c r="E54" s="562"/>
      <c r="F54" s="562"/>
      <c r="G54" s="562"/>
      <c r="H54" s="563"/>
    </row>
    <row r="55" spans="2:8" s="363" customFormat="1" ht="24" customHeight="1">
      <c r="B55" s="561"/>
      <c r="C55" s="562"/>
      <c r="D55" s="562"/>
      <c r="E55" s="562"/>
      <c r="F55" s="562"/>
      <c r="G55" s="562"/>
      <c r="H55" s="563"/>
    </row>
    <row r="56" spans="2:8" s="363" customFormat="1" ht="24" customHeight="1">
      <c r="B56" s="561"/>
      <c r="C56" s="562"/>
      <c r="D56" s="562"/>
      <c r="E56" s="562"/>
      <c r="F56" s="562"/>
      <c r="G56" s="562"/>
      <c r="H56" s="563"/>
    </row>
    <row r="57" spans="2:8" s="363" customFormat="1" ht="24" customHeight="1">
      <c r="B57" s="564"/>
      <c r="C57" s="565"/>
      <c r="D57" s="565"/>
      <c r="E57" s="565"/>
      <c r="F57" s="565"/>
      <c r="G57" s="565"/>
      <c r="H57" s="566"/>
    </row>
    <row r="58" spans="2:8" s="363" customFormat="1" ht="24" customHeight="1" thickBot="1">
      <c r="B58" s="567"/>
      <c r="C58" s="568"/>
      <c r="D58" s="568"/>
      <c r="E58" s="568"/>
      <c r="F58" s="568"/>
      <c r="G58" s="568"/>
      <c r="H58" s="569"/>
    </row>
    <row r="59" spans="2:8" ht="14.5" thickTop="1"/>
  </sheetData>
  <mergeCells count="13">
    <mergeCell ref="B41:G41"/>
    <mergeCell ref="A1:N1"/>
    <mergeCell ref="A2:N2"/>
    <mergeCell ref="A3:N3"/>
    <mergeCell ref="B39:H39"/>
    <mergeCell ref="B40:G40"/>
    <mergeCell ref="B53:H58"/>
    <mergeCell ref="B42:G42"/>
    <mergeCell ref="B43:G43"/>
    <mergeCell ref="B44:G44"/>
    <mergeCell ref="B45:G45"/>
    <mergeCell ref="B46:G46"/>
    <mergeCell ref="B47:G47"/>
  </mergeCells>
  <pageMargins left="0.7" right="0.7" top="0.75" bottom="0.75" header="0.3" footer="0.3"/>
  <pageSetup paperSize="17" scale="3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Tab 2 - PIC Data</vt:lpstr>
      <vt:lpstr>Tab 4 - HUD Cost Summary</vt:lpstr>
      <vt:lpstr>Tab 5 - Baseline AMP1</vt:lpstr>
      <vt:lpstr>Tab 5 - Baseline AMP 2</vt:lpstr>
      <vt:lpstr>Tab 7 - Cash Flow</vt:lpstr>
      <vt:lpstr>Tab 8 - Rate Escalation</vt:lpstr>
      <vt:lpstr>Tab 9 - Utility Allowances</vt:lpstr>
      <vt:lpstr>Add-on Subsidy Review</vt:lpstr>
      <vt:lpstr>Sheet1</vt:lpstr>
      <vt:lpstr>'Tab 4 - HUD Cost Summary'!Instructions</vt:lpstr>
      <vt:lpstr>'Tab 4 - HUD Cost Summary'!Print_Area</vt:lpstr>
      <vt:lpstr>'Tab 5 - Baseline AMP1'!Print_Area</vt:lpstr>
      <vt:lpstr>'Tab 7 - Cash Flow'!Print_Area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Engineer</dc:title>
  <dc:creator>Kenneth O'Connor</dc:creator>
  <cp:lastModifiedBy>McArdle, Nora C</cp:lastModifiedBy>
  <cp:lastPrinted>2011-04-08T00:37:24Z</cp:lastPrinted>
  <dcterms:created xsi:type="dcterms:W3CDTF">2002-11-26T14:55:22Z</dcterms:created>
  <dcterms:modified xsi:type="dcterms:W3CDTF">2022-02-09T14:42:30Z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