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schultz_eric_epa_gov/Documents/03 ICR materials/"/>
    </mc:Choice>
  </mc:AlternateContent>
  <xr:revisionPtr revIDLastSave="0" documentId="8_{481AF373-987F-4833-B875-05E446198A0F}" xr6:coauthVersionLast="47" xr6:coauthVersionMax="47" xr10:uidLastSave="{00000000-0000-0000-0000-000000000000}"/>
  <bookViews>
    <workbookView xWindow="28680" yWindow="-120" windowWidth="29040" windowHeight="15840" activeTab="2" xr2:uid="{C34AE246-E70B-45A1-AB90-DE71D05F720B}"/>
  </bookViews>
  <sheets>
    <sheet name="Reporting Activity" sheetId="6" r:id="rId1"/>
    <sheet name="Respondent Assumptions" sheetId="4" r:id="rId2"/>
    <sheet name="Respondent Burden - ICR" sheetId="1" r:id="rId3"/>
    <sheet name="Agency Assumptions" sheetId="5" r:id="rId4"/>
    <sheet name="Agency Burden" sheetId="2" r:id="rId5"/>
  </sheets>
  <definedNames>
    <definedName name="_xlnm._FilterDatabase" localSheetId="1" hidden="1">'Respondent Assumptions'!$B$4:$H$78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H48" i="1"/>
  <c r="AD10" i="1"/>
  <c r="G77" i="4" l="1"/>
  <c r="C60" i="1" l="1"/>
  <c r="G78" i="4"/>
  <c r="AB5" i="4"/>
  <c r="D26" i="5" l="1"/>
  <c r="E26" i="5"/>
  <c r="C26" i="5"/>
  <c r="F26" i="2"/>
  <c r="J12" i="2" l="1"/>
  <c r="K12" i="2"/>
  <c r="L12" i="2"/>
  <c r="J13" i="2"/>
  <c r="K13" i="2"/>
  <c r="L13" i="2"/>
  <c r="J14" i="2"/>
  <c r="K14" i="2"/>
  <c r="L14" i="2"/>
  <c r="J16" i="2"/>
  <c r="K16" i="2"/>
  <c r="L16" i="2"/>
  <c r="J17" i="2"/>
  <c r="K17" i="2"/>
  <c r="L17" i="2"/>
  <c r="G12" i="2"/>
  <c r="H12" i="2"/>
  <c r="I12" i="2"/>
  <c r="G13" i="2"/>
  <c r="H13" i="2"/>
  <c r="I13" i="2"/>
  <c r="G14" i="2"/>
  <c r="H14" i="2"/>
  <c r="I14" i="2"/>
  <c r="G16" i="2"/>
  <c r="H16" i="2"/>
  <c r="I16" i="2"/>
  <c r="G17" i="2"/>
  <c r="H17" i="2"/>
  <c r="I17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B84" i="1"/>
  <c r="B83" i="1"/>
  <c r="G42" i="4"/>
  <c r="G41" i="4"/>
  <c r="G73" i="4"/>
  <c r="G47" i="4"/>
  <c r="G36" i="4"/>
  <c r="F16" i="6"/>
  <c r="F17" i="6"/>
  <c r="F18" i="6"/>
  <c r="F19" i="6"/>
  <c r="F20" i="6"/>
  <c r="G9" i="4" l="1"/>
  <c r="D6" i="1" l="1"/>
  <c r="E6" i="1"/>
  <c r="F6" i="1"/>
  <c r="G6" i="1"/>
  <c r="H6" i="1"/>
  <c r="D7" i="1"/>
  <c r="G7" i="1" s="1"/>
  <c r="E7" i="1"/>
  <c r="F7" i="1"/>
  <c r="D8" i="1"/>
  <c r="E8" i="1"/>
  <c r="F8" i="1"/>
  <c r="G8" i="1" s="1"/>
  <c r="H8" i="1"/>
  <c r="D9" i="1"/>
  <c r="E9" i="1"/>
  <c r="F9" i="1"/>
  <c r="D10" i="1"/>
  <c r="E10" i="1"/>
  <c r="F10" i="1"/>
  <c r="D11" i="1"/>
  <c r="E11" i="1"/>
  <c r="F11" i="1"/>
  <c r="G11" i="1"/>
  <c r="H11" i="1"/>
  <c r="S11" i="1" s="1"/>
  <c r="J11" i="1"/>
  <c r="K11" i="1"/>
  <c r="Q11" i="1" s="1"/>
  <c r="L11" i="1"/>
  <c r="O11" i="1"/>
  <c r="P11" i="1"/>
  <c r="R11" i="1"/>
  <c r="D12" i="1"/>
  <c r="E12" i="1"/>
  <c r="F12" i="1"/>
  <c r="J12" i="1"/>
  <c r="K12" i="1"/>
  <c r="L12" i="1"/>
  <c r="V12" i="1"/>
  <c r="D13" i="1"/>
  <c r="E13" i="1"/>
  <c r="G13" i="1" s="1"/>
  <c r="F13" i="1"/>
  <c r="H13" i="1"/>
  <c r="D14" i="1"/>
  <c r="E14" i="1"/>
  <c r="F14" i="1"/>
  <c r="G14" i="1"/>
  <c r="H14" i="1"/>
  <c r="J14" i="1"/>
  <c r="K14" i="1"/>
  <c r="L14" i="1"/>
  <c r="D15" i="1"/>
  <c r="E15" i="1"/>
  <c r="F15" i="1"/>
  <c r="J15" i="1"/>
  <c r="K15" i="1"/>
  <c r="L15" i="1"/>
  <c r="O15" i="1" s="1"/>
  <c r="M15" i="1"/>
  <c r="N15" i="1"/>
  <c r="V15" i="1"/>
  <c r="D16" i="1"/>
  <c r="E16" i="1"/>
  <c r="F16" i="1"/>
  <c r="G16" i="1" s="1"/>
  <c r="Q16" i="1" s="1"/>
  <c r="J16" i="1"/>
  <c r="K16" i="1"/>
  <c r="L16" i="1"/>
  <c r="N16" i="1"/>
  <c r="O16" i="1"/>
  <c r="P16" i="1"/>
  <c r="R16" i="1"/>
  <c r="D17" i="1"/>
  <c r="E17" i="1"/>
  <c r="F17" i="1"/>
  <c r="J17" i="1"/>
  <c r="K17" i="1"/>
  <c r="L17" i="1"/>
  <c r="M17" i="1"/>
  <c r="D18" i="1"/>
  <c r="E18" i="1"/>
  <c r="F18" i="1"/>
  <c r="J18" i="1"/>
  <c r="K18" i="1"/>
  <c r="L18" i="1"/>
  <c r="M18" i="1"/>
  <c r="N18" i="1"/>
  <c r="O18" i="1"/>
  <c r="V18" i="1"/>
  <c r="D19" i="1"/>
  <c r="E19" i="1"/>
  <c r="F19" i="1"/>
  <c r="G19" i="1"/>
  <c r="P19" i="1" s="1"/>
  <c r="H19" i="1"/>
  <c r="S19" i="1" s="1"/>
  <c r="J19" i="1"/>
  <c r="K19" i="1"/>
  <c r="N19" i="1" s="1"/>
  <c r="L19" i="1"/>
  <c r="O19" i="1"/>
  <c r="Q19" i="1"/>
  <c r="R19" i="1"/>
  <c r="D20" i="1"/>
  <c r="E20" i="1"/>
  <c r="F20" i="1"/>
  <c r="J20" i="1"/>
  <c r="K20" i="1"/>
  <c r="L20" i="1"/>
  <c r="V20" i="1"/>
  <c r="D21" i="1"/>
  <c r="H21" i="1" s="1"/>
  <c r="E21" i="1"/>
  <c r="F21" i="1"/>
  <c r="D22" i="1"/>
  <c r="E22" i="1"/>
  <c r="F22" i="1"/>
  <c r="G22" i="1"/>
  <c r="H22" i="1"/>
  <c r="J22" i="1"/>
  <c r="K22" i="1"/>
  <c r="L22" i="1"/>
  <c r="R22" i="1" s="1"/>
  <c r="D23" i="1"/>
  <c r="E23" i="1"/>
  <c r="F23" i="1"/>
  <c r="J23" i="1"/>
  <c r="K23" i="1"/>
  <c r="L23" i="1"/>
  <c r="M23" i="1"/>
  <c r="N23" i="1"/>
  <c r="O23" i="1"/>
  <c r="V23" i="1"/>
  <c r="E24" i="1"/>
  <c r="F24" i="1"/>
  <c r="D25" i="1"/>
  <c r="E25" i="1"/>
  <c r="F25" i="1"/>
  <c r="D26" i="1"/>
  <c r="E26" i="1"/>
  <c r="G26" i="1" s="1"/>
  <c r="F26" i="1"/>
  <c r="D27" i="1"/>
  <c r="E27" i="1"/>
  <c r="F27" i="1"/>
  <c r="G27" i="1"/>
  <c r="P27" i="1" s="1"/>
  <c r="H27" i="1"/>
  <c r="J27" i="1"/>
  <c r="K27" i="1"/>
  <c r="N27" i="1" s="1"/>
  <c r="L27" i="1"/>
  <c r="O27" i="1"/>
  <c r="S27" i="1"/>
  <c r="D28" i="1"/>
  <c r="E28" i="1"/>
  <c r="F28" i="1"/>
  <c r="J28" i="1"/>
  <c r="K28" i="1"/>
  <c r="L28" i="1"/>
  <c r="V28" i="1"/>
  <c r="D29" i="1"/>
  <c r="E29" i="1"/>
  <c r="G29" i="1" s="1"/>
  <c r="F29" i="1"/>
  <c r="D30" i="1"/>
  <c r="E30" i="1"/>
  <c r="F30" i="1"/>
  <c r="G30" i="1"/>
  <c r="H30" i="1"/>
  <c r="J30" i="1"/>
  <c r="K30" i="1"/>
  <c r="L30" i="1"/>
  <c r="D31" i="1"/>
  <c r="E31" i="1"/>
  <c r="F31" i="1"/>
  <c r="J31" i="1"/>
  <c r="K31" i="1"/>
  <c r="L31" i="1"/>
  <c r="M31" i="1"/>
  <c r="N31" i="1"/>
  <c r="O31" i="1"/>
  <c r="V31" i="1"/>
  <c r="D32" i="1"/>
  <c r="E32" i="1"/>
  <c r="F32" i="1"/>
  <c r="G32" i="1" s="1"/>
  <c r="Q32" i="1" s="1"/>
  <c r="H32" i="1"/>
  <c r="J32" i="1"/>
  <c r="K32" i="1"/>
  <c r="L32" i="1"/>
  <c r="N32" i="1"/>
  <c r="O32" i="1"/>
  <c r="P32" i="1"/>
  <c r="R32" i="1"/>
  <c r="D33" i="1"/>
  <c r="E33" i="1"/>
  <c r="F33" i="1"/>
  <c r="J33" i="1"/>
  <c r="K33" i="1"/>
  <c r="L33" i="1"/>
  <c r="M33" i="1"/>
  <c r="D34" i="1"/>
  <c r="E34" i="1"/>
  <c r="F34" i="1"/>
  <c r="J34" i="1"/>
  <c r="K34" i="1"/>
  <c r="L34" i="1"/>
  <c r="M34" i="1"/>
  <c r="N34" i="1"/>
  <c r="O34" i="1"/>
  <c r="V34" i="1"/>
  <c r="D35" i="1"/>
  <c r="G35" i="1" s="1"/>
  <c r="E35" i="1"/>
  <c r="F35" i="1"/>
  <c r="D36" i="1"/>
  <c r="E36" i="1"/>
  <c r="F36" i="1"/>
  <c r="D37" i="1"/>
  <c r="E37" i="1"/>
  <c r="G37" i="1" s="1"/>
  <c r="F37" i="1"/>
  <c r="J37" i="1"/>
  <c r="K37" i="1"/>
  <c r="L37" i="1"/>
  <c r="R37" i="1" s="1"/>
  <c r="M37" i="1"/>
  <c r="N37" i="1"/>
  <c r="O37" i="1"/>
  <c r="V37" i="1"/>
  <c r="D38" i="1"/>
  <c r="E38" i="1"/>
  <c r="F38" i="1"/>
  <c r="G38" i="1"/>
  <c r="H38" i="1"/>
  <c r="J38" i="1"/>
  <c r="K38" i="1"/>
  <c r="L38" i="1"/>
  <c r="D39" i="1"/>
  <c r="E39" i="1"/>
  <c r="F39" i="1"/>
  <c r="E40" i="1"/>
  <c r="F40" i="1"/>
  <c r="D41" i="1"/>
  <c r="E41" i="1"/>
  <c r="F41" i="1"/>
  <c r="H41" i="1"/>
  <c r="D42" i="1"/>
  <c r="E42" i="1"/>
  <c r="F42" i="1"/>
  <c r="G42" i="1"/>
  <c r="D43" i="1"/>
  <c r="E43" i="1"/>
  <c r="F43" i="1"/>
  <c r="H43" i="1" s="1"/>
  <c r="G43" i="1"/>
  <c r="J43" i="1"/>
  <c r="K43" i="1"/>
  <c r="L43" i="1"/>
  <c r="O43" i="1"/>
  <c r="R43" i="1"/>
  <c r="D44" i="1"/>
  <c r="E44" i="1"/>
  <c r="F44" i="1"/>
  <c r="D45" i="1"/>
  <c r="E45" i="1"/>
  <c r="F45" i="1"/>
  <c r="D46" i="1"/>
  <c r="E46" i="1"/>
  <c r="F46" i="1"/>
  <c r="G46" i="1"/>
  <c r="H46" i="1"/>
  <c r="D47" i="1"/>
  <c r="E47" i="1"/>
  <c r="F47" i="1"/>
  <c r="D48" i="1"/>
  <c r="E48" i="1"/>
  <c r="F48" i="1"/>
  <c r="J48" i="1"/>
  <c r="M48" i="1" s="1"/>
  <c r="K48" i="1"/>
  <c r="L48" i="1"/>
  <c r="N48" i="1"/>
  <c r="O48" i="1"/>
  <c r="V48" i="1"/>
  <c r="D49" i="1"/>
  <c r="E49" i="1"/>
  <c r="F49" i="1"/>
  <c r="D50" i="1"/>
  <c r="E50" i="1"/>
  <c r="F50" i="1"/>
  <c r="G50" i="1"/>
  <c r="D51" i="1"/>
  <c r="E51" i="1"/>
  <c r="F51" i="1"/>
  <c r="D52" i="1"/>
  <c r="O52" i="1" s="1"/>
  <c r="E52" i="1"/>
  <c r="G52" i="1" s="1"/>
  <c r="F52" i="1"/>
  <c r="J52" i="1"/>
  <c r="M52" i="1" s="1"/>
  <c r="K52" i="1"/>
  <c r="L52" i="1"/>
  <c r="N52" i="1"/>
  <c r="D53" i="1"/>
  <c r="E53" i="1"/>
  <c r="F53" i="1"/>
  <c r="H53" i="1"/>
  <c r="D54" i="1"/>
  <c r="E54" i="1"/>
  <c r="F54" i="1"/>
  <c r="G54" i="1"/>
  <c r="P54" i="1" s="1"/>
  <c r="J54" i="1"/>
  <c r="M54" i="1" s="1"/>
  <c r="K54" i="1"/>
  <c r="Q54" i="1" s="1"/>
  <c r="L54" i="1"/>
  <c r="N54" i="1"/>
  <c r="V54" i="1"/>
  <c r="D55" i="1"/>
  <c r="G55" i="1" s="1"/>
  <c r="E55" i="1"/>
  <c r="F55" i="1"/>
  <c r="H55" i="1"/>
  <c r="D56" i="1"/>
  <c r="E56" i="1"/>
  <c r="F56" i="1"/>
  <c r="D57" i="1"/>
  <c r="E57" i="1"/>
  <c r="F57" i="1"/>
  <c r="H57" i="1"/>
  <c r="D58" i="1"/>
  <c r="E58" i="1"/>
  <c r="F58" i="1"/>
  <c r="H58" i="1" s="1"/>
  <c r="G58" i="1"/>
  <c r="D59" i="1"/>
  <c r="E59" i="1"/>
  <c r="F59" i="1"/>
  <c r="D60" i="1"/>
  <c r="O60" i="1" s="1"/>
  <c r="E60" i="1"/>
  <c r="F60" i="1"/>
  <c r="G60" i="1"/>
  <c r="J60" i="1"/>
  <c r="K60" i="1"/>
  <c r="L60" i="1"/>
  <c r="M60" i="1"/>
  <c r="N60" i="1"/>
  <c r="Q60" i="1"/>
  <c r="V60" i="1"/>
  <c r="D61" i="1"/>
  <c r="E61" i="1"/>
  <c r="F61" i="1"/>
  <c r="J61" i="1"/>
  <c r="V61" i="1" s="1"/>
  <c r="K61" i="1"/>
  <c r="L61" i="1"/>
  <c r="M61" i="1"/>
  <c r="D62" i="1"/>
  <c r="E62" i="1"/>
  <c r="G62" i="1" s="1"/>
  <c r="P62" i="1" s="1"/>
  <c r="F62" i="1"/>
  <c r="J62" i="1"/>
  <c r="M62" i="1" s="1"/>
  <c r="K62" i="1"/>
  <c r="L62" i="1"/>
  <c r="N62" i="1"/>
  <c r="O62" i="1"/>
  <c r="V62" i="1"/>
  <c r="D63" i="1"/>
  <c r="E63" i="1"/>
  <c r="F63" i="1"/>
  <c r="H63" i="1"/>
  <c r="S63" i="1" s="1"/>
  <c r="J63" i="1"/>
  <c r="K63" i="1"/>
  <c r="L63" i="1"/>
  <c r="N63" i="1"/>
  <c r="O63" i="1"/>
  <c r="V63" i="1"/>
  <c r="D64" i="1"/>
  <c r="E64" i="1"/>
  <c r="F64" i="1"/>
  <c r="H64" i="1"/>
  <c r="U64" i="1" s="1"/>
  <c r="J64" i="1"/>
  <c r="K64" i="1"/>
  <c r="L64" i="1"/>
  <c r="N64" i="1"/>
  <c r="D65" i="1"/>
  <c r="N65" i="1" s="1"/>
  <c r="E65" i="1"/>
  <c r="F65" i="1"/>
  <c r="G65" i="1"/>
  <c r="P65" i="1" s="1"/>
  <c r="H65" i="1"/>
  <c r="S65" i="1" s="1"/>
  <c r="J65" i="1"/>
  <c r="K65" i="1"/>
  <c r="L65" i="1"/>
  <c r="M65" i="1"/>
  <c r="V65" i="1"/>
  <c r="D66" i="1"/>
  <c r="N66" i="1" s="1"/>
  <c r="E66" i="1"/>
  <c r="F66" i="1"/>
  <c r="G66" i="1"/>
  <c r="R66" i="1" s="1"/>
  <c r="J66" i="1"/>
  <c r="P66" i="1" s="1"/>
  <c r="K66" i="1"/>
  <c r="L66" i="1"/>
  <c r="O66" i="1" s="1"/>
  <c r="D67" i="1"/>
  <c r="E67" i="1"/>
  <c r="F67" i="1"/>
  <c r="J67" i="1"/>
  <c r="K67" i="1"/>
  <c r="L67" i="1"/>
  <c r="O67" i="1"/>
  <c r="V67" i="1"/>
  <c r="D68" i="1"/>
  <c r="E68" i="1"/>
  <c r="F68" i="1"/>
  <c r="D69" i="1"/>
  <c r="E69" i="1"/>
  <c r="F69" i="1"/>
  <c r="G69" i="1"/>
  <c r="P69" i="1" s="1"/>
  <c r="H69" i="1"/>
  <c r="T69" i="1" s="1"/>
  <c r="X69" i="1" s="1"/>
  <c r="J69" i="1"/>
  <c r="K69" i="1"/>
  <c r="Q69" i="1" s="1"/>
  <c r="L69" i="1"/>
  <c r="R69" i="1" s="1"/>
  <c r="M69" i="1"/>
  <c r="V69" i="1"/>
  <c r="D70" i="1"/>
  <c r="E70" i="1"/>
  <c r="F70" i="1"/>
  <c r="G70" i="1"/>
  <c r="P70" i="1" s="1"/>
  <c r="J70" i="1"/>
  <c r="M70" i="1" s="1"/>
  <c r="K70" i="1"/>
  <c r="L70" i="1"/>
  <c r="O70" i="1" s="1"/>
  <c r="V70" i="1"/>
  <c r="D71" i="1"/>
  <c r="E71" i="1"/>
  <c r="F71" i="1"/>
  <c r="H71" i="1"/>
  <c r="J71" i="1"/>
  <c r="K71" i="1"/>
  <c r="N71" i="1" s="1"/>
  <c r="L71" i="1"/>
  <c r="V71" i="1"/>
  <c r="D72" i="1"/>
  <c r="E72" i="1"/>
  <c r="F72" i="1"/>
  <c r="G72" i="1"/>
  <c r="H72" i="1"/>
  <c r="T72" i="1" s="1"/>
  <c r="J72" i="1"/>
  <c r="M72" i="1" s="1"/>
  <c r="K72" i="1"/>
  <c r="L72" i="1"/>
  <c r="O72" i="1" s="1"/>
  <c r="N72" i="1"/>
  <c r="Q72" i="1"/>
  <c r="R72" i="1"/>
  <c r="D73" i="1"/>
  <c r="E73" i="1"/>
  <c r="F73" i="1"/>
  <c r="D74" i="1"/>
  <c r="G74" i="1" s="1"/>
  <c r="E74" i="1"/>
  <c r="F74" i="1"/>
  <c r="J74" i="1"/>
  <c r="V74" i="1" s="1"/>
  <c r="K74" i="1"/>
  <c r="L74" i="1"/>
  <c r="N74" i="1"/>
  <c r="O74" i="1"/>
  <c r="E75" i="1"/>
  <c r="F75" i="1"/>
  <c r="J75" i="1"/>
  <c r="K75" i="1"/>
  <c r="L75" i="1"/>
  <c r="D76" i="1"/>
  <c r="G76" i="1" s="1"/>
  <c r="P76" i="1" s="1"/>
  <c r="E76" i="1"/>
  <c r="F76" i="1"/>
  <c r="J76" i="1"/>
  <c r="K76" i="1"/>
  <c r="L76" i="1"/>
  <c r="R76" i="1" s="1"/>
  <c r="M76" i="1"/>
  <c r="N76" i="1"/>
  <c r="O76" i="1"/>
  <c r="V76" i="1"/>
  <c r="D77" i="1"/>
  <c r="E77" i="1"/>
  <c r="F77" i="1"/>
  <c r="G77" i="1"/>
  <c r="H77" i="1"/>
  <c r="H10" i="2"/>
  <c r="K10" i="2" s="1"/>
  <c r="I10" i="2"/>
  <c r="L10" i="2" s="1"/>
  <c r="G10" i="2"/>
  <c r="J10" i="2" s="1"/>
  <c r="V5" i="1"/>
  <c r="Q5" i="1"/>
  <c r="R5" i="1"/>
  <c r="P5" i="1"/>
  <c r="N5" i="1"/>
  <c r="O5" i="1"/>
  <c r="M5" i="1"/>
  <c r="C62" i="1"/>
  <c r="C36" i="1"/>
  <c r="C30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14" i="1"/>
  <c r="M43" i="4"/>
  <c r="N43" i="4"/>
  <c r="L43" i="4"/>
  <c r="M48" i="4"/>
  <c r="N48" i="4"/>
  <c r="L48" i="4"/>
  <c r="M54" i="4"/>
  <c r="N54" i="4"/>
  <c r="L54" i="4"/>
  <c r="M52" i="4"/>
  <c r="N52" i="4"/>
  <c r="L52" i="4"/>
  <c r="M36" i="4"/>
  <c r="K36" i="1" s="1"/>
  <c r="N36" i="4"/>
  <c r="L36" i="1" s="1"/>
  <c r="L36" i="4"/>
  <c r="J36" i="1" s="1"/>
  <c r="V36" i="1" s="1"/>
  <c r="M30" i="4"/>
  <c r="N30" i="4"/>
  <c r="L30" i="4"/>
  <c r="M29" i="4"/>
  <c r="K29" i="1" s="1"/>
  <c r="N29" i="1" s="1"/>
  <c r="N29" i="4"/>
  <c r="L29" i="1" s="1"/>
  <c r="O29" i="1" s="1"/>
  <c r="L29" i="4"/>
  <c r="J29" i="1" s="1"/>
  <c r="M27" i="4"/>
  <c r="N27" i="4"/>
  <c r="L27" i="4"/>
  <c r="M22" i="4"/>
  <c r="N22" i="4"/>
  <c r="L22" i="4"/>
  <c r="M14" i="4"/>
  <c r="N14" i="4"/>
  <c r="L14" i="4"/>
  <c r="L5" i="4"/>
  <c r="V6" i="4"/>
  <c r="G15" i="4"/>
  <c r="G18" i="4" s="1"/>
  <c r="F30" i="4"/>
  <c r="K30" i="4"/>
  <c r="K22" i="4"/>
  <c r="K14" i="4"/>
  <c r="K27" i="4"/>
  <c r="D64" i="4"/>
  <c r="K62" i="4"/>
  <c r="K29" i="4"/>
  <c r="K36" i="4"/>
  <c r="W65" i="1" l="1"/>
  <c r="W63" i="1"/>
  <c r="G21" i="1"/>
  <c r="U69" i="1"/>
  <c r="Y69" i="1" s="1"/>
  <c r="S72" i="1"/>
  <c r="U65" i="1"/>
  <c r="Y65" i="1" s="1"/>
  <c r="R74" i="1"/>
  <c r="Q74" i="1"/>
  <c r="H74" i="1"/>
  <c r="H35" i="1"/>
  <c r="V29" i="1"/>
  <c r="M29" i="1"/>
  <c r="Q76" i="1"/>
  <c r="X72" i="1"/>
  <c r="W72" i="1"/>
  <c r="Q70" i="1"/>
  <c r="N70" i="1"/>
  <c r="R54" i="1"/>
  <c r="O54" i="1"/>
  <c r="T63" i="1"/>
  <c r="X63" i="1" s="1"/>
  <c r="U63" i="1"/>
  <c r="Y63" i="1" s="1"/>
  <c r="O71" i="1"/>
  <c r="P64" i="1"/>
  <c r="V64" i="1"/>
  <c r="Y64" i="1" s="1"/>
  <c r="M64" i="1"/>
  <c r="S74" i="1"/>
  <c r="W74" i="1" s="1"/>
  <c r="T74" i="1"/>
  <c r="X74" i="1" s="1"/>
  <c r="U74" i="1"/>
  <c r="Y74" i="1" s="1"/>
  <c r="R60" i="1"/>
  <c r="P60" i="1"/>
  <c r="R52" i="1"/>
  <c r="Q52" i="1"/>
  <c r="P52" i="1"/>
  <c r="T65" i="1"/>
  <c r="X65" i="1" s="1"/>
  <c r="S69" i="1"/>
  <c r="W69" i="1" s="1"/>
  <c r="G56" i="1"/>
  <c r="H56" i="1"/>
  <c r="G53" i="1"/>
  <c r="H50" i="1"/>
  <c r="G49" i="1"/>
  <c r="H49" i="1"/>
  <c r="N38" i="1"/>
  <c r="Q38" i="1"/>
  <c r="G34" i="1"/>
  <c r="R27" i="1"/>
  <c r="N22" i="1"/>
  <c r="Q22" i="1"/>
  <c r="G47" i="1"/>
  <c r="H47" i="1"/>
  <c r="S64" i="1"/>
  <c r="T71" i="1"/>
  <c r="X71" i="1" s="1"/>
  <c r="Q65" i="1"/>
  <c r="H62" i="1"/>
  <c r="U71" i="1"/>
  <c r="Y71" i="1" s="1"/>
  <c r="H68" i="1"/>
  <c r="G63" i="1"/>
  <c r="M74" i="1"/>
  <c r="H70" i="1"/>
  <c r="G68" i="1"/>
  <c r="O65" i="1"/>
  <c r="O64" i="1"/>
  <c r="G64" i="1"/>
  <c r="R62" i="1"/>
  <c r="G57" i="1"/>
  <c r="P37" i="1"/>
  <c r="Q37" i="1"/>
  <c r="M32" i="1"/>
  <c r="V32" i="1"/>
  <c r="Q27" i="1"/>
  <c r="G18" i="1"/>
  <c r="P18" i="1" s="1"/>
  <c r="T43" i="1"/>
  <c r="U43" i="1"/>
  <c r="S43" i="1"/>
  <c r="R29" i="1"/>
  <c r="P29" i="1"/>
  <c r="Q29" i="1"/>
  <c r="G59" i="1"/>
  <c r="H59" i="1"/>
  <c r="N61" i="1"/>
  <c r="O61" i="1"/>
  <c r="H73" i="1"/>
  <c r="V72" i="1"/>
  <c r="G67" i="1"/>
  <c r="R67" i="1" s="1"/>
  <c r="H67" i="1"/>
  <c r="Q62" i="1"/>
  <c r="G48" i="1"/>
  <c r="Q43" i="1"/>
  <c r="U38" i="1"/>
  <c r="Y38" i="1" s="1"/>
  <c r="S38" i="1"/>
  <c r="T38" i="1"/>
  <c r="S32" i="1"/>
  <c r="T32" i="1"/>
  <c r="U32" i="1"/>
  <c r="U22" i="1"/>
  <c r="S22" i="1"/>
  <c r="T22" i="1"/>
  <c r="X22" i="1" s="1"/>
  <c r="M16" i="1"/>
  <c r="V16" i="1"/>
  <c r="R17" i="1"/>
  <c r="P74" i="1"/>
  <c r="T64" i="1"/>
  <c r="X64" i="1" s="1"/>
  <c r="U30" i="1"/>
  <c r="S30" i="1"/>
  <c r="T30" i="1"/>
  <c r="X30" i="1" s="1"/>
  <c r="U14" i="1"/>
  <c r="S14" i="1"/>
  <c r="T14" i="1"/>
  <c r="M71" i="1"/>
  <c r="O38" i="1"/>
  <c r="R38" i="1"/>
  <c r="P72" i="1"/>
  <c r="S71" i="1"/>
  <c r="W71" i="1" s="1"/>
  <c r="H76" i="1"/>
  <c r="V75" i="1"/>
  <c r="G73" i="1"/>
  <c r="U72" i="1"/>
  <c r="Y72" i="1" s="1"/>
  <c r="G71" i="1"/>
  <c r="Q71" i="1" s="1"/>
  <c r="N69" i="1"/>
  <c r="O69" i="1"/>
  <c r="N67" i="1"/>
  <c r="Q66" i="1"/>
  <c r="R65" i="1"/>
  <c r="H61" i="1"/>
  <c r="H54" i="1"/>
  <c r="V52" i="1"/>
  <c r="G45" i="1"/>
  <c r="H45" i="1"/>
  <c r="M43" i="1"/>
  <c r="V43" i="1"/>
  <c r="P43" i="1"/>
  <c r="O30" i="1"/>
  <c r="R30" i="1"/>
  <c r="P28" i="1"/>
  <c r="H16" i="1"/>
  <c r="O14" i="1"/>
  <c r="R14" i="1"/>
  <c r="Q12" i="1"/>
  <c r="H10" i="1"/>
  <c r="G10" i="1"/>
  <c r="R70" i="1"/>
  <c r="M67" i="1"/>
  <c r="M66" i="1"/>
  <c r="V66" i="1"/>
  <c r="M63" i="1"/>
  <c r="G61" i="1"/>
  <c r="H60" i="1"/>
  <c r="G51" i="1"/>
  <c r="H51" i="1"/>
  <c r="N30" i="1"/>
  <c r="Q30" i="1"/>
  <c r="N14" i="1"/>
  <c r="Q14" i="1"/>
  <c r="P12" i="1"/>
  <c r="H66" i="1"/>
  <c r="G39" i="1"/>
  <c r="H39" i="1"/>
  <c r="M38" i="1"/>
  <c r="V38" i="1"/>
  <c r="P38" i="1"/>
  <c r="H34" i="1"/>
  <c r="V33" i="1"/>
  <c r="G31" i="1"/>
  <c r="P31" i="1" s="1"/>
  <c r="H31" i="1"/>
  <c r="M30" i="1"/>
  <c r="V30" i="1"/>
  <c r="P30" i="1"/>
  <c r="H26" i="1"/>
  <c r="G23" i="1"/>
  <c r="P23" i="1" s="1"/>
  <c r="H23" i="1"/>
  <c r="M22" i="1"/>
  <c r="V22" i="1"/>
  <c r="P22" i="1"/>
  <c r="H18" i="1"/>
  <c r="V17" i="1"/>
  <c r="P17" i="1"/>
  <c r="G15" i="1"/>
  <c r="Q15" i="1" s="1"/>
  <c r="H15" i="1"/>
  <c r="M14" i="1"/>
  <c r="V14" i="1"/>
  <c r="P14" i="1"/>
  <c r="N11" i="1"/>
  <c r="G9" i="1"/>
  <c r="H9" i="1"/>
  <c r="G41" i="1"/>
  <c r="H37" i="1"/>
  <c r="O36" i="1"/>
  <c r="G36" i="1"/>
  <c r="Q36" i="1" s="1"/>
  <c r="H36" i="1"/>
  <c r="H29" i="1"/>
  <c r="O28" i="1"/>
  <c r="G28" i="1"/>
  <c r="Q28" i="1" s="1"/>
  <c r="H28" i="1"/>
  <c r="O20" i="1"/>
  <c r="E31" i="5" s="1"/>
  <c r="I15" i="2" s="1"/>
  <c r="L15" i="2" s="1"/>
  <c r="G20" i="1"/>
  <c r="P20" i="1" s="1"/>
  <c r="H20" i="1"/>
  <c r="O12" i="1"/>
  <c r="G12" i="1"/>
  <c r="H12" i="1"/>
  <c r="N36" i="1"/>
  <c r="N33" i="1"/>
  <c r="O33" i="1"/>
  <c r="G33" i="1"/>
  <c r="R33" i="1" s="1"/>
  <c r="H33" i="1"/>
  <c r="N28" i="1"/>
  <c r="G25" i="1"/>
  <c r="H25" i="1"/>
  <c r="R23" i="1"/>
  <c r="N20" i="1"/>
  <c r="D31" i="5" s="1"/>
  <c r="H15" i="2" s="1"/>
  <c r="K15" i="2" s="1"/>
  <c r="N17" i="1"/>
  <c r="O17" i="1"/>
  <c r="G17" i="1"/>
  <c r="Q17" i="1" s="1"/>
  <c r="H17" i="1"/>
  <c r="R15" i="1"/>
  <c r="N12" i="1"/>
  <c r="M11" i="1"/>
  <c r="V11" i="1"/>
  <c r="W11" i="1" s="1"/>
  <c r="G44" i="1"/>
  <c r="H44" i="1"/>
  <c r="N43" i="1"/>
  <c r="H42" i="1"/>
  <c r="M36" i="1"/>
  <c r="M28" i="1"/>
  <c r="M27" i="1"/>
  <c r="V27" i="1"/>
  <c r="W27" i="1" s="1"/>
  <c r="Q23" i="1"/>
  <c r="M20" i="1"/>
  <c r="C31" i="5" s="1"/>
  <c r="G15" i="2" s="1"/>
  <c r="J15" i="2" s="1"/>
  <c r="M19" i="1"/>
  <c r="V19" i="1"/>
  <c r="M12" i="1"/>
  <c r="T11" i="1"/>
  <c r="R36" i="1"/>
  <c r="R28" i="1"/>
  <c r="T27" i="1"/>
  <c r="X27" i="1" s="1"/>
  <c r="U27" i="1"/>
  <c r="Y27" i="1" s="1"/>
  <c r="O22" i="1"/>
  <c r="W19" i="1"/>
  <c r="T19" i="1"/>
  <c r="X19" i="1" s="1"/>
  <c r="U19" i="1"/>
  <c r="R12" i="1"/>
  <c r="U11" i="1"/>
  <c r="H7" i="1"/>
  <c r="G58" i="4"/>
  <c r="G50" i="4"/>
  <c r="L9" i="4"/>
  <c r="J9" i="1" s="1"/>
  <c r="M9" i="1" s="1"/>
  <c r="G75" i="4"/>
  <c r="G67" i="4"/>
  <c r="G66" i="4"/>
  <c r="G65" i="4"/>
  <c r="W32" i="1" l="1"/>
  <c r="Y19" i="1"/>
  <c r="W30" i="1"/>
  <c r="W22" i="1"/>
  <c r="Y30" i="1"/>
  <c r="X32" i="1"/>
  <c r="X38" i="1"/>
  <c r="W38" i="1"/>
  <c r="W64" i="1"/>
  <c r="Y14" i="1"/>
  <c r="X11" i="1"/>
  <c r="Q20" i="1"/>
  <c r="R20" i="1"/>
  <c r="V9" i="1"/>
  <c r="S33" i="1"/>
  <c r="W33" i="1" s="1"/>
  <c r="T33" i="1"/>
  <c r="X33" i="1" s="1"/>
  <c r="U33" i="1"/>
  <c r="Y33" i="1" s="1"/>
  <c r="S36" i="1"/>
  <c r="W36" i="1" s="1"/>
  <c r="U36" i="1"/>
  <c r="Y36" i="1" s="1"/>
  <c r="T36" i="1"/>
  <c r="X36" i="1" s="1"/>
  <c r="S31" i="1"/>
  <c r="W31" i="1" s="1"/>
  <c r="U31" i="1"/>
  <c r="Y31" i="1" s="1"/>
  <c r="T31" i="1"/>
  <c r="X31" i="1" s="1"/>
  <c r="Q64" i="1"/>
  <c r="R64" i="1"/>
  <c r="R71" i="1"/>
  <c r="S16" i="1"/>
  <c r="W16" i="1" s="1"/>
  <c r="T16" i="1"/>
  <c r="X16" i="1" s="1"/>
  <c r="U16" i="1"/>
  <c r="Y16" i="1" s="1"/>
  <c r="T67" i="1"/>
  <c r="X67" i="1" s="1"/>
  <c r="S67" i="1"/>
  <c r="W67" i="1" s="1"/>
  <c r="U67" i="1"/>
  <c r="Y67" i="1" s="1"/>
  <c r="R63" i="1"/>
  <c r="Q63" i="1"/>
  <c r="Q34" i="1"/>
  <c r="P34" i="1"/>
  <c r="S61" i="1"/>
  <c r="W61" i="1" s="1"/>
  <c r="T61" i="1"/>
  <c r="X61" i="1" s="1"/>
  <c r="U61" i="1"/>
  <c r="Y61" i="1" s="1"/>
  <c r="S37" i="1"/>
  <c r="W37" i="1" s="1"/>
  <c r="T37" i="1"/>
  <c r="X37" i="1" s="1"/>
  <c r="U37" i="1"/>
  <c r="Y37" i="1" s="1"/>
  <c r="P33" i="1"/>
  <c r="Q33" i="1"/>
  <c r="S60" i="1"/>
  <c r="W60" i="1" s="1"/>
  <c r="T60" i="1"/>
  <c r="X60" i="1" s="1"/>
  <c r="U60" i="1"/>
  <c r="Y60" i="1" s="1"/>
  <c r="S52" i="1"/>
  <c r="W52" i="1" s="1"/>
  <c r="T52" i="1"/>
  <c r="X52" i="1" s="1"/>
  <c r="U52" i="1"/>
  <c r="Y52" i="1" s="1"/>
  <c r="P71" i="1"/>
  <c r="Y22" i="1"/>
  <c r="S23" i="1"/>
  <c r="W23" i="1" s="1"/>
  <c r="T23" i="1"/>
  <c r="X23" i="1" s="1"/>
  <c r="U23" i="1"/>
  <c r="Y23" i="1" s="1"/>
  <c r="S28" i="1"/>
  <c r="W28" i="1" s="1"/>
  <c r="U28" i="1"/>
  <c r="Y28" i="1" s="1"/>
  <c r="T28" i="1"/>
  <c r="X28" i="1" s="1"/>
  <c r="Q31" i="1"/>
  <c r="S12" i="1"/>
  <c r="W12" i="1" s="1"/>
  <c r="U12" i="1"/>
  <c r="Y12" i="1" s="1"/>
  <c r="T12" i="1"/>
  <c r="X12" i="1" s="1"/>
  <c r="S18" i="1"/>
  <c r="W18" i="1" s="1"/>
  <c r="T18" i="1"/>
  <c r="X18" i="1" s="1"/>
  <c r="U18" i="1"/>
  <c r="Y18" i="1" s="1"/>
  <c r="S34" i="1"/>
  <c r="W34" i="1" s="1"/>
  <c r="T34" i="1"/>
  <c r="X34" i="1" s="1"/>
  <c r="U34" i="1"/>
  <c r="Y34" i="1" s="1"/>
  <c r="P61" i="1"/>
  <c r="Q61" i="1"/>
  <c r="T76" i="1"/>
  <c r="X76" i="1" s="1"/>
  <c r="U76" i="1"/>
  <c r="Y76" i="1" s="1"/>
  <c r="S76" i="1"/>
  <c r="W76" i="1" s="1"/>
  <c r="W43" i="1"/>
  <c r="U70" i="1"/>
  <c r="Y70" i="1" s="1"/>
  <c r="S70" i="1"/>
  <c r="W70" i="1" s="1"/>
  <c r="T70" i="1"/>
  <c r="X70" i="1" s="1"/>
  <c r="P36" i="1"/>
  <c r="R61" i="1"/>
  <c r="P67" i="1"/>
  <c r="S9" i="1"/>
  <c r="S48" i="1"/>
  <c r="W48" i="1" s="1"/>
  <c r="T48" i="1"/>
  <c r="X48" i="1" s="1"/>
  <c r="U48" i="1"/>
  <c r="Y48" i="1" s="1"/>
  <c r="S15" i="1"/>
  <c r="W15" i="1" s="1"/>
  <c r="T15" i="1"/>
  <c r="X15" i="1" s="1"/>
  <c r="U15" i="1"/>
  <c r="Y15" i="1" s="1"/>
  <c r="P15" i="1"/>
  <c r="S17" i="1"/>
  <c r="W17" i="1" s="1"/>
  <c r="T17" i="1"/>
  <c r="X17" i="1" s="1"/>
  <c r="U17" i="1"/>
  <c r="Y17" i="1" s="1"/>
  <c r="R18" i="1"/>
  <c r="Y11" i="1"/>
  <c r="T44" i="1"/>
  <c r="S20" i="1"/>
  <c r="W20" i="1" s="1"/>
  <c r="U20" i="1"/>
  <c r="Y20" i="1" s="1"/>
  <c r="T20" i="1"/>
  <c r="X20" i="1" s="1"/>
  <c r="S29" i="1"/>
  <c r="W29" i="1" s="1"/>
  <c r="T29" i="1"/>
  <c r="X29" i="1" s="1"/>
  <c r="U29" i="1"/>
  <c r="Y29" i="1" s="1"/>
  <c r="P63" i="1"/>
  <c r="S54" i="1"/>
  <c r="W54" i="1" s="1"/>
  <c r="U54" i="1"/>
  <c r="Y54" i="1" s="1"/>
  <c r="T54" i="1"/>
  <c r="X54" i="1" s="1"/>
  <c r="X14" i="1"/>
  <c r="Q67" i="1"/>
  <c r="Y32" i="1"/>
  <c r="Y43" i="1"/>
  <c r="Q48" i="1"/>
  <c r="R48" i="1"/>
  <c r="P48" i="1"/>
  <c r="P9" i="1"/>
  <c r="Q18" i="1"/>
  <c r="R31" i="1"/>
  <c r="R34" i="1"/>
  <c r="U66" i="1"/>
  <c r="Y66" i="1" s="1"/>
  <c r="S66" i="1"/>
  <c r="W66" i="1" s="1"/>
  <c r="T66" i="1"/>
  <c r="X66" i="1" s="1"/>
  <c r="W14" i="1"/>
  <c r="X43" i="1"/>
  <c r="U62" i="1"/>
  <c r="Y62" i="1" s="1"/>
  <c r="T62" i="1"/>
  <c r="X62" i="1" s="1"/>
  <c r="S62" i="1"/>
  <c r="W62" i="1" s="1"/>
  <c r="L44" i="4"/>
  <c r="J44" i="1" s="1"/>
  <c r="S44" i="1" s="1"/>
  <c r="M44" i="4"/>
  <c r="K44" i="1" s="1"/>
  <c r="N44" i="4"/>
  <c r="L44" i="1" s="1"/>
  <c r="O44" i="1" s="1"/>
  <c r="L6" i="4"/>
  <c r="J6" i="1" s="1"/>
  <c r="M6" i="4"/>
  <c r="K6" i="1" s="1"/>
  <c r="N6" i="4"/>
  <c r="L6" i="1" s="1"/>
  <c r="G8" i="4"/>
  <c r="G10" i="4"/>
  <c r="G7" i="4"/>
  <c r="G51" i="4"/>
  <c r="G46" i="4"/>
  <c r="G45" i="4"/>
  <c r="W9" i="1" l="1"/>
  <c r="N44" i="1"/>
  <c r="Q44" i="1"/>
  <c r="M44" i="1"/>
  <c r="P44" i="1"/>
  <c r="V44" i="1"/>
  <c r="X44" i="1" s="1"/>
  <c r="U44" i="1"/>
  <c r="R44" i="1"/>
  <c r="T6" i="1"/>
  <c r="N6" i="1"/>
  <c r="Q6" i="1"/>
  <c r="D22" i="5"/>
  <c r="H6" i="2" s="1"/>
  <c r="K6" i="2" s="1"/>
  <c r="M6" i="1"/>
  <c r="C22" i="5"/>
  <c r="G6" i="2" s="1"/>
  <c r="J6" i="2" s="1"/>
  <c r="S6" i="1"/>
  <c r="P6" i="1"/>
  <c r="V6" i="1"/>
  <c r="E22" i="5"/>
  <c r="I6" i="2" s="1"/>
  <c r="L6" i="2" s="1"/>
  <c r="U6" i="1"/>
  <c r="O6" i="1"/>
  <c r="R6" i="1"/>
  <c r="L10" i="4"/>
  <c r="J10" i="1" s="1"/>
  <c r="M10" i="4"/>
  <c r="K10" i="1" s="1"/>
  <c r="N10" i="4"/>
  <c r="L10" i="1" s="1"/>
  <c r="N7" i="4"/>
  <c r="L7" i="1" s="1"/>
  <c r="L7" i="4"/>
  <c r="J7" i="1" s="1"/>
  <c r="M7" i="4"/>
  <c r="K7" i="1" s="1"/>
  <c r="M8" i="4"/>
  <c r="K8" i="1" s="1"/>
  <c r="N8" i="4"/>
  <c r="L8" i="1" s="1"/>
  <c r="L8" i="4"/>
  <c r="J8" i="1" s="1"/>
  <c r="M45" i="4"/>
  <c r="K45" i="1" s="1"/>
  <c r="N45" i="4"/>
  <c r="L45" i="1" s="1"/>
  <c r="L45" i="4"/>
  <c r="J45" i="1" s="1"/>
  <c r="F23" i="2"/>
  <c r="W6" i="1" l="1"/>
  <c r="N14" i="2"/>
  <c r="N17" i="2"/>
  <c r="P16" i="2"/>
  <c r="N13" i="2"/>
  <c r="N16" i="2"/>
  <c r="N12" i="2"/>
  <c r="O16" i="2"/>
  <c r="N10" i="2"/>
  <c r="P10" i="2"/>
  <c r="O10" i="2"/>
  <c r="O15" i="2"/>
  <c r="P15" i="2"/>
  <c r="N15" i="2"/>
  <c r="N45" i="1"/>
  <c r="T45" i="1"/>
  <c r="Q45" i="1"/>
  <c r="V45" i="1"/>
  <c r="M45" i="1"/>
  <c r="P45" i="1"/>
  <c r="S45" i="1"/>
  <c r="W44" i="1"/>
  <c r="Y44" i="1"/>
  <c r="O45" i="1"/>
  <c r="R45" i="1"/>
  <c r="U45" i="1"/>
  <c r="V10" i="1"/>
  <c r="M10" i="1"/>
  <c r="P10" i="1"/>
  <c r="S10" i="1"/>
  <c r="N6" i="2"/>
  <c r="O6" i="2"/>
  <c r="N10" i="1"/>
  <c r="Q10" i="1"/>
  <c r="T10" i="1"/>
  <c r="R8" i="1"/>
  <c r="O8" i="1"/>
  <c r="U8" i="1"/>
  <c r="N8" i="1"/>
  <c r="Q8" i="1"/>
  <c r="T8" i="1"/>
  <c r="N7" i="1"/>
  <c r="Q7" i="1"/>
  <c r="T7" i="1"/>
  <c r="Y6" i="1"/>
  <c r="P6" i="2"/>
  <c r="R10" i="1"/>
  <c r="O10" i="1"/>
  <c r="U10" i="1"/>
  <c r="M8" i="1"/>
  <c r="V8" i="1"/>
  <c r="P8" i="1"/>
  <c r="S8" i="1"/>
  <c r="M7" i="1"/>
  <c r="V7" i="1"/>
  <c r="P7" i="1"/>
  <c r="S7" i="1"/>
  <c r="O7" i="1"/>
  <c r="R7" i="1"/>
  <c r="U7" i="1"/>
  <c r="X6" i="1"/>
  <c r="B6" i="2"/>
  <c r="B7" i="2"/>
  <c r="B8" i="2"/>
  <c r="B9" i="2"/>
  <c r="B10" i="2"/>
  <c r="B11" i="2"/>
  <c r="B12" i="2"/>
  <c r="B13" i="2"/>
  <c r="B14" i="2"/>
  <c r="B15" i="2"/>
  <c r="B22" i="5"/>
  <c r="B23" i="5"/>
  <c r="B24" i="5"/>
  <c r="B25" i="5"/>
  <c r="B26" i="5"/>
  <c r="B27" i="5"/>
  <c r="B28" i="5"/>
  <c r="B29" i="5"/>
  <c r="B30" i="5"/>
  <c r="B31" i="5"/>
  <c r="B32" i="5"/>
  <c r="B33" i="5"/>
  <c r="B21" i="5"/>
  <c r="G28" i="4"/>
  <c r="K28" i="4"/>
  <c r="W45" i="1" l="1"/>
  <c r="Y45" i="1"/>
  <c r="W10" i="1"/>
  <c r="X10" i="1"/>
  <c r="Y10" i="1"/>
  <c r="Y7" i="1"/>
  <c r="X8" i="1"/>
  <c r="W8" i="1"/>
  <c r="X45" i="1"/>
  <c r="Y8" i="1"/>
  <c r="W7" i="1"/>
  <c r="X7" i="1"/>
  <c r="L28" i="4"/>
  <c r="N28" i="4"/>
  <c r="M28" i="4"/>
  <c r="C15" i="1" l="1"/>
  <c r="C32" i="1"/>
  <c r="N32" i="4"/>
  <c r="M32" i="4"/>
  <c r="L32" i="4"/>
  <c r="K32" i="4"/>
  <c r="K40" i="4" l="1"/>
  <c r="C6" i="1"/>
  <c r="C7" i="1"/>
  <c r="C8" i="1"/>
  <c r="C9" i="1"/>
  <c r="C10" i="1"/>
  <c r="C11" i="1"/>
  <c r="C12" i="1"/>
  <c r="C13" i="1"/>
  <c r="C31" i="1"/>
  <c r="C33" i="1"/>
  <c r="C34" i="1"/>
  <c r="C35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1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F75" i="4"/>
  <c r="D75" i="1" s="1"/>
  <c r="N74" i="4"/>
  <c r="M74" i="4"/>
  <c r="L74" i="4"/>
  <c r="K74" i="4"/>
  <c r="F40" i="4"/>
  <c r="D40" i="1" s="1"/>
  <c r="G40" i="4"/>
  <c r="H40" i="1" l="1"/>
  <c r="G40" i="1"/>
  <c r="N75" i="1"/>
  <c r="G75" i="1"/>
  <c r="M75" i="1"/>
  <c r="H75" i="1"/>
  <c r="O75" i="1"/>
  <c r="N40" i="4"/>
  <c r="L40" i="1" s="1"/>
  <c r="M40" i="4"/>
  <c r="K40" i="1" s="1"/>
  <c r="L40" i="4"/>
  <c r="J40" i="1" s="1"/>
  <c r="M40" i="1" l="1"/>
  <c r="V40" i="1"/>
  <c r="S40" i="1"/>
  <c r="P40" i="1"/>
  <c r="N40" i="1"/>
  <c r="T40" i="1"/>
  <c r="X40" i="1" s="1"/>
  <c r="Q40" i="1"/>
  <c r="O40" i="1"/>
  <c r="U40" i="1"/>
  <c r="R40" i="1"/>
  <c r="U75" i="1"/>
  <c r="Y75" i="1" s="1"/>
  <c r="T75" i="1"/>
  <c r="X75" i="1" s="1"/>
  <c r="S75" i="1"/>
  <c r="W75" i="1" s="1"/>
  <c r="Q75" i="1"/>
  <c r="P75" i="1"/>
  <c r="R75" i="1"/>
  <c r="K64" i="4"/>
  <c r="G64" i="4"/>
  <c r="N64" i="4" s="1"/>
  <c r="D63" i="4"/>
  <c r="K56" i="4"/>
  <c r="K13" i="4"/>
  <c r="B16" i="2"/>
  <c r="B17" i="2"/>
  <c r="B5" i="2"/>
  <c r="W40" i="1" l="1"/>
  <c r="Y40" i="1"/>
  <c r="M64" i="4"/>
  <c r="L64" i="4"/>
  <c r="C5" i="1" l="1"/>
  <c r="L41" i="4"/>
  <c r="J41" i="1" s="1"/>
  <c r="M41" i="4"/>
  <c r="K41" i="1" s="1"/>
  <c r="N41" i="4"/>
  <c r="L41" i="1" s="1"/>
  <c r="L42" i="4"/>
  <c r="J42" i="1" s="1"/>
  <c r="M42" i="4"/>
  <c r="K42" i="1" s="1"/>
  <c r="N42" i="4"/>
  <c r="L42" i="1" s="1"/>
  <c r="N39" i="4"/>
  <c r="L39" i="1" s="1"/>
  <c r="M39" i="4"/>
  <c r="K39" i="1" s="1"/>
  <c r="L39" i="4"/>
  <c r="J39" i="1" s="1"/>
  <c r="K41" i="4"/>
  <c r="R42" i="1" l="1"/>
  <c r="O42" i="1"/>
  <c r="U42" i="1"/>
  <c r="N42" i="1"/>
  <c r="Q42" i="1"/>
  <c r="T42" i="1"/>
  <c r="M42" i="1"/>
  <c r="V42" i="1"/>
  <c r="P42" i="1"/>
  <c r="S42" i="1"/>
  <c r="U41" i="1"/>
  <c r="O41" i="1"/>
  <c r="R41" i="1"/>
  <c r="T41" i="1"/>
  <c r="N41" i="1"/>
  <c r="Q41" i="1"/>
  <c r="S41" i="1"/>
  <c r="V41" i="1"/>
  <c r="M41" i="1"/>
  <c r="P41" i="1"/>
  <c r="V39" i="1"/>
  <c r="M39" i="1"/>
  <c r="P39" i="1"/>
  <c r="S39" i="1"/>
  <c r="W39" i="1" s="1"/>
  <c r="O39" i="1"/>
  <c r="R39" i="1"/>
  <c r="U39" i="1"/>
  <c r="Y39" i="1" s="1"/>
  <c r="N39" i="1"/>
  <c r="Q39" i="1"/>
  <c r="T39" i="1"/>
  <c r="X39" i="1" s="1"/>
  <c r="K73" i="4"/>
  <c r="K6" i="4"/>
  <c r="K7" i="4"/>
  <c r="K8" i="4"/>
  <c r="K9" i="4"/>
  <c r="K10" i="4"/>
  <c r="K11" i="4"/>
  <c r="K12" i="4"/>
  <c r="K15" i="4"/>
  <c r="K16" i="4"/>
  <c r="K17" i="4"/>
  <c r="K18" i="4"/>
  <c r="K19" i="4"/>
  <c r="K20" i="4"/>
  <c r="K21" i="4"/>
  <c r="K23" i="4"/>
  <c r="K24" i="4"/>
  <c r="K25" i="4"/>
  <c r="K26" i="4"/>
  <c r="K31" i="4"/>
  <c r="K33" i="4"/>
  <c r="K34" i="4"/>
  <c r="K35" i="4"/>
  <c r="K37" i="4"/>
  <c r="K38" i="4"/>
  <c r="K39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7" i="4"/>
  <c r="K58" i="4"/>
  <c r="K59" i="4"/>
  <c r="K60" i="4"/>
  <c r="K61" i="4"/>
  <c r="K63" i="4"/>
  <c r="K65" i="4"/>
  <c r="K66" i="4"/>
  <c r="K67" i="4"/>
  <c r="K68" i="4"/>
  <c r="K69" i="4"/>
  <c r="K70" i="4"/>
  <c r="K71" i="4"/>
  <c r="K72" i="4"/>
  <c r="K75" i="4"/>
  <c r="K76" i="4"/>
  <c r="K77" i="4"/>
  <c r="K5" i="4"/>
  <c r="W41" i="1" l="1"/>
  <c r="Y41" i="1"/>
  <c r="X42" i="1"/>
  <c r="Y42" i="1"/>
  <c r="W42" i="1"/>
  <c r="X41" i="1"/>
  <c r="G26" i="4"/>
  <c r="G13" i="4"/>
  <c r="L13" i="4" l="1"/>
  <c r="J13" i="1" s="1"/>
  <c r="M13" i="4"/>
  <c r="K13" i="1" s="1"/>
  <c r="N13" i="4"/>
  <c r="L13" i="1" s="1"/>
  <c r="L26" i="4"/>
  <c r="J26" i="1" s="1"/>
  <c r="M26" i="4"/>
  <c r="K26" i="1" s="1"/>
  <c r="N26" i="4"/>
  <c r="L26" i="1" s="1"/>
  <c r="AH5" i="4"/>
  <c r="AI5" i="4" s="1"/>
  <c r="F23" i="4" s="1"/>
  <c r="G17" i="4"/>
  <c r="G76" i="4"/>
  <c r="AL5" i="4"/>
  <c r="D23" i="4" s="1"/>
  <c r="G23" i="4"/>
  <c r="L67" i="4"/>
  <c r="M67" i="4"/>
  <c r="N67" i="4"/>
  <c r="L66" i="4"/>
  <c r="M66" i="4"/>
  <c r="N65" i="4"/>
  <c r="M65" i="4"/>
  <c r="L65" i="4"/>
  <c r="N63" i="4"/>
  <c r="M63" i="4"/>
  <c r="L63" i="4"/>
  <c r="S17" i="4"/>
  <c r="N66" i="4" s="1"/>
  <c r="D66" i="4"/>
  <c r="F5" i="1"/>
  <c r="V5" i="4"/>
  <c r="N26" i="1" l="1"/>
  <c r="Q26" i="1"/>
  <c r="T26" i="1"/>
  <c r="M26" i="1"/>
  <c r="P26" i="1"/>
  <c r="V26" i="1"/>
  <c r="S26" i="1"/>
  <c r="O26" i="1"/>
  <c r="R26" i="1"/>
  <c r="U26" i="1"/>
  <c r="O13" i="1"/>
  <c r="R13" i="1"/>
  <c r="U13" i="1"/>
  <c r="N13" i="1"/>
  <c r="T13" i="1"/>
  <c r="X13" i="1" s="1"/>
  <c r="Q13" i="1"/>
  <c r="M13" i="1"/>
  <c r="V13" i="1"/>
  <c r="P13" i="1"/>
  <c r="S13" i="1"/>
  <c r="L73" i="4"/>
  <c r="J73" i="1" s="1"/>
  <c r="M73" i="4"/>
  <c r="K73" i="1" s="1"/>
  <c r="N73" i="4"/>
  <c r="L73" i="1" s="1"/>
  <c r="N23" i="4"/>
  <c r="M23" i="4"/>
  <c r="L23" i="4"/>
  <c r="G19" i="4"/>
  <c r="L60" i="4"/>
  <c r="L62" i="4" s="1"/>
  <c r="M60" i="4"/>
  <c r="L61" i="4"/>
  <c r="M61" i="4"/>
  <c r="N61" i="4"/>
  <c r="S16" i="4"/>
  <c r="N60" i="4" s="1"/>
  <c r="AD5" i="4"/>
  <c r="I77" i="1" s="1"/>
  <c r="L68" i="4"/>
  <c r="J68" i="1" s="1"/>
  <c r="M68" i="4"/>
  <c r="K68" i="1" s="1"/>
  <c r="N68" i="4"/>
  <c r="L68" i="1" s="1"/>
  <c r="L69" i="4"/>
  <c r="M69" i="4"/>
  <c r="N69" i="4"/>
  <c r="L70" i="4"/>
  <c r="M70" i="4"/>
  <c r="N70" i="4"/>
  <c r="L71" i="4"/>
  <c r="M71" i="4"/>
  <c r="N71" i="4"/>
  <c r="L72" i="4"/>
  <c r="M72" i="4"/>
  <c r="N72" i="4"/>
  <c r="L75" i="4"/>
  <c r="M75" i="4"/>
  <c r="N75" i="4"/>
  <c r="L76" i="4"/>
  <c r="M76" i="4"/>
  <c r="N76" i="4"/>
  <c r="L53" i="4"/>
  <c r="J53" i="1" s="1"/>
  <c r="M53" i="4"/>
  <c r="K53" i="1" s="1"/>
  <c r="N53" i="4"/>
  <c r="L53" i="1" s="1"/>
  <c r="L49" i="4"/>
  <c r="J49" i="1" s="1"/>
  <c r="M49" i="4"/>
  <c r="K49" i="1" s="1"/>
  <c r="N49" i="4"/>
  <c r="L49" i="1" s="1"/>
  <c r="L50" i="4"/>
  <c r="J50" i="1" s="1"/>
  <c r="M50" i="4"/>
  <c r="K50" i="1" s="1"/>
  <c r="N50" i="4"/>
  <c r="L50" i="1" s="1"/>
  <c r="L51" i="4"/>
  <c r="J51" i="1" s="1"/>
  <c r="M51" i="4"/>
  <c r="K51" i="1" s="1"/>
  <c r="N51" i="4"/>
  <c r="L51" i="1" s="1"/>
  <c r="L46" i="4"/>
  <c r="J46" i="1" s="1"/>
  <c r="M46" i="4"/>
  <c r="K46" i="1" s="1"/>
  <c r="N46" i="4"/>
  <c r="L46" i="1" s="1"/>
  <c r="L31" i="4"/>
  <c r="M31" i="4"/>
  <c r="N31" i="4"/>
  <c r="L33" i="4"/>
  <c r="M33" i="4"/>
  <c r="N33" i="4"/>
  <c r="L35" i="4"/>
  <c r="J35" i="1" s="1"/>
  <c r="M35" i="4"/>
  <c r="K35" i="1" s="1"/>
  <c r="N35" i="4"/>
  <c r="L35" i="1" s="1"/>
  <c r="L20" i="4"/>
  <c r="M20" i="4"/>
  <c r="N20" i="4"/>
  <c r="L21" i="4"/>
  <c r="J21" i="1" s="1"/>
  <c r="M21" i="4"/>
  <c r="K21" i="1" s="1"/>
  <c r="N21" i="4"/>
  <c r="L21" i="1" s="1"/>
  <c r="L15" i="4"/>
  <c r="M15" i="4"/>
  <c r="N15" i="4"/>
  <c r="L17" i="4"/>
  <c r="M17" i="4"/>
  <c r="N17" i="4"/>
  <c r="L11" i="4"/>
  <c r="M11" i="4"/>
  <c r="N11" i="4"/>
  <c r="L12" i="4"/>
  <c r="M12" i="4"/>
  <c r="N12" i="4"/>
  <c r="J5" i="1"/>
  <c r="M5" i="4"/>
  <c r="N5" i="4"/>
  <c r="Z6" i="4"/>
  <c r="Z7" i="4"/>
  <c r="Z5" i="4"/>
  <c r="G37" i="4"/>
  <c r="D60" i="4"/>
  <c r="Q5" i="4"/>
  <c r="S5" i="4" s="1"/>
  <c r="U5" i="4" s="1"/>
  <c r="N21" i="1" l="1"/>
  <c r="Q21" i="1"/>
  <c r="T21" i="1"/>
  <c r="M21" i="1"/>
  <c r="V21" i="1"/>
  <c r="P21" i="1"/>
  <c r="S21" i="1"/>
  <c r="O21" i="1"/>
  <c r="U21" i="1"/>
  <c r="R21" i="1"/>
  <c r="W26" i="1"/>
  <c r="Y13" i="1"/>
  <c r="W13" i="1"/>
  <c r="X26" i="1"/>
  <c r="Y26" i="1"/>
  <c r="O73" i="1"/>
  <c r="R73" i="1"/>
  <c r="U73" i="1"/>
  <c r="N73" i="1"/>
  <c r="Q73" i="1"/>
  <c r="T73" i="1"/>
  <c r="M73" i="1"/>
  <c r="V73" i="1"/>
  <c r="P73" i="1"/>
  <c r="S73" i="1"/>
  <c r="R35" i="1"/>
  <c r="O35" i="1"/>
  <c r="U35" i="1"/>
  <c r="Q35" i="1"/>
  <c r="N35" i="1"/>
  <c r="T35" i="1"/>
  <c r="X35" i="1" s="1"/>
  <c r="S35" i="1"/>
  <c r="W35" i="1" s="1"/>
  <c r="M35" i="1"/>
  <c r="P35" i="1"/>
  <c r="V35" i="1"/>
  <c r="N68" i="1"/>
  <c r="T68" i="1"/>
  <c r="Q68" i="1"/>
  <c r="M68" i="1"/>
  <c r="V68" i="1"/>
  <c r="P68" i="1"/>
  <c r="S68" i="1"/>
  <c r="O68" i="1"/>
  <c r="U68" i="1"/>
  <c r="R68" i="1"/>
  <c r="U53" i="1"/>
  <c r="O53" i="1"/>
  <c r="R53" i="1"/>
  <c r="V53" i="1"/>
  <c r="S53" i="1"/>
  <c r="W53" i="1" s="1"/>
  <c r="M53" i="1"/>
  <c r="P53" i="1"/>
  <c r="N53" i="1"/>
  <c r="T53" i="1"/>
  <c r="Q53" i="1"/>
  <c r="N49" i="1"/>
  <c r="Q49" i="1"/>
  <c r="T49" i="1"/>
  <c r="O51" i="1"/>
  <c r="R51" i="1"/>
  <c r="U51" i="1"/>
  <c r="Y51" i="1" s="1"/>
  <c r="V49" i="1"/>
  <c r="P49" i="1"/>
  <c r="M49" i="1"/>
  <c r="S49" i="1"/>
  <c r="N51" i="1"/>
  <c r="Q51" i="1"/>
  <c r="T51" i="1"/>
  <c r="R50" i="1"/>
  <c r="O50" i="1"/>
  <c r="U50" i="1"/>
  <c r="Q50" i="1"/>
  <c r="N50" i="1"/>
  <c r="T50" i="1"/>
  <c r="M51" i="1"/>
  <c r="V51" i="1"/>
  <c r="P51" i="1"/>
  <c r="S51" i="1"/>
  <c r="W51" i="1" s="1"/>
  <c r="V50" i="1"/>
  <c r="M50" i="1"/>
  <c r="P50" i="1"/>
  <c r="S50" i="1"/>
  <c r="O49" i="1"/>
  <c r="U49" i="1"/>
  <c r="R49" i="1"/>
  <c r="P46" i="1"/>
  <c r="S46" i="1"/>
  <c r="M46" i="1"/>
  <c r="V46" i="1"/>
  <c r="U46" i="1"/>
  <c r="O46" i="1"/>
  <c r="R46" i="1"/>
  <c r="T46" i="1"/>
  <c r="N46" i="1"/>
  <c r="Q46" i="1"/>
  <c r="M19" i="4"/>
  <c r="L19" i="4"/>
  <c r="N62" i="4"/>
  <c r="M62" i="4"/>
  <c r="L5" i="1"/>
  <c r="K5" i="1"/>
  <c r="D61" i="4"/>
  <c r="D67" i="4"/>
  <c r="D19" i="4"/>
  <c r="D10" i="4"/>
  <c r="D38" i="4"/>
  <c r="N37" i="4"/>
  <c r="M37" i="4"/>
  <c r="L37" i="4"/>
  <c r="G38" i="4"/>
  <c r="D59" i="4"/>
  <c r="W5" i="4"/>
  <c r="Q6" i="4"/>
  <c r="X46" i="1" l="1"/>
  <c r="Y46" i="1"/>
  <c r="W21" i="1"/>
  <c r="X51" i="1"/>
  <c r="Y35" i="1"/>
  <c r="W68" i="1"/>
  <c r="X21" i="1"/>
  <c r="Y21" i="1"/>
  <c r="X73" i="1"/>
  <c r="Y73" i="1"/>
  <c r="W73" i="1"/>
  <c r="X68" i="1"/>
  <c r="Y68" i="1"/>
  <c r="X53" i="1"/>
  <c r="Y53" i="1"/>
  <c r="Y50" i="1"/>
  <c r="W50" i="1"/>
  <c r="X49" i="1"/>
  <c r="X50" i="1"/>
  <c r="W49" i="1"/>
  <c r="Y49" i="1"/>
  <c r="W46" i="1"/>
  <c r="F19" i="4"/>
  <c r="L38" i="4"/>
  <c r="M38" i="4"/>
  <c r="N38" i="4"/>
  <c r="F10" i="4"/>
  <c r="Q7" i="4"/>
  <c r="D33" i="4" l="1"/>
  <c r="G34" i="4"/>
  <c r="G16" i="4"/>
  <c r="D15" i="4"/>
  <c r="D6" i="4"/>
  <c r="L34" i="4" l="1"/>
  <c r="N34" i="4"/>
  <c r="M34" i="4"/>
  <c r="M16" i="4"/>
  <c r="N16" i="4"/>
  <c r="L16" i="4"/>
  <c r="D5" i="1" l="1"/>
  <c r="H5" i="2"/>
  <c r="I5" i="2"/>
  <c r="G5" i="2"/>
  <c r="C5" i="2"/>
  <c r="D5" i="2"/>
  <c r="E5" i="2"/>
  <c r="F5" i="2"/>
  <c r="D71" i="4"/>
  <c r="D70" i="4"/>
  <c r="D69" i="4"/>
  <c r="G25" i="4"/>
  <c r="G24" i="4"/>
  <c r="F24" i="4"/>
  <c r="D24" i="1" s="1"/>
  <c r="R14" i="4"/>
  <c r="H24" i="1" l="1"/>
  <c r="G24" i="1"/>
  <c r="N19" i="4"/>
  <c r="L18" i="4"/>
  <c r="M18" i="4"/>
  <c r="S14" i="4"/>
  <c r="N18" i="4" s="1"/>
  <c r="S13" i="4"/>
  <c r="N9" i="4" s="1"/>
  <c r="L9" i="1" s="1"/>
  <c r="R13" i="4"/>
  <c r="M9" i="4" s="1"/>
  <c r="K9" i="1" s="1"/>
  <c r="M25" i="4"/>
  <c r="K25" i="1" s="1"/>
  <c r="N25" i="4"/>
  <c r="L25" i="1" s="1"/>
  <c r="L25" i="4"/>
  <c r="J25" i="1" s="1"/>
  <c r="L24" i="4"/>
  <c r="J24" i="1" s="1"/>
  <c r="M24" i="4"/>
  <c r="K24" i="1" s="1"/>
  <c r="N24" i="4"/>
  <c r="L24" i="1" s="1"/>
  <c r="V7" i="4"/>
  <c r="K5" i="2"/>
  <c r="L5" i="2"/>
  <c r="J5" i="2"/>
  <c r="O25" i="1" l="1"/>
  <c r="R25" i="1"/>
  <c r="U25" i="1"/>
  <c r="Q25" i="1"/>
  <c r="N25" i="1"/>
  <c r="T25" i="1"/>
  <c r="M25" i="1"/>
  <c r="V25" i="1"/>
  <c r="S25" i="1"/>
  <c r="P25" i="1"/>
  <c r="O24" i="1"/>
  <c r="U24" i="1"/>
  <c r="R24" i="1"/>
  <c r="N24" i="1"/>
  <c r="Q24" i="1"/>
  <c r="T24" i="1"/>
  <c r="X24" i="1" s="1"/>
  <c r="P24" i="1"/>
  <c r="M24" i="1"/>
  <c r="V24" i="1"/>
  <c r="S24" i="1"/>
  <c r="W24" i="1" s="1"/>
  <c r="N9" i="1"/>
  <c r="T9" i="1"/>
  <c r="X9" i="1" s="1"/>
  <c r="Q9" i="1"/>
  <c r="O9" i="1"/>
  <c r="R9" i="1"/>
  <c r="U9" i="1"/>
  <c r="Y9" i="1" s="1"/>
  <c r="W7" i="4"/>
  <c r="F38" i="4" s="1"/>
  <c r="E24" i="5"/>
  <c r="I8" i="2" s="1"/>
  <c r="L8" i="2" s="1"/>
  <c r="D24" i="5"/>
  <c r="H8" i="2" s="1"/>
  <c r="K8" i="2" s="1"/>
  <c r="C25" i="5"/>
  <c r="G9" i="2" s="1"/>
  <c r="J9" i="2" s="1"/>
  <c r="C24" i="5"/>
  <c r="G8" i="2" s="1"/>
  <c r="J8" i="2" s="1"/>
  <c r="Y24" i="1" l="1"/>
  <c r="X25" i="1"/>
  <c r="Y25" i="1"/>
  <c r="W25" i="1"/>
  <c r="N9" i="2"/>
  <c r="N8" i="2"/>
  <c r="O8" i="2"/>
  <c r="P8" i="2"/>
  <c r="L47" i="4"/>
  <c r="J47" i="1" s="1"/>
  <c r="M47" i="4"/>
  <c r="K47" i="1" s="1"/>
  <c r="N47" i="4"/>
  <c r="L47" i="1" s="1"/>
  <c r="E5" i="1"/>
  <c r="V47" i="1" l="1"/>
  <c r="M47" i="1"/>
  <c r="P47" i="1"/>
  <c r="S47" i="1"/>
  <c r="R47" i="1"/>
  <c r="O47" i="1"/>
  <c r="U47" i="1"/>
  <c r="Q47" i="1"/>
  <c r="N47" i="1"/>
  <c r="T47" i="1"/>
  <c r="G56" i="4"/>
  <c r="G5" i="1"/>
  <c r="H5" i="1"/>
  <c r="L55" i="4"/>
  <c r="J55" i="1" s="1"/>
  <c r="M55" i="4"/>
  <c r="K55" i="1" s="1"/>
  <c r="N55" i="4"/>
  <c r="L55" i="1" s="1"/>
  <c r="G59" i="4"/>
  <c r="G57" i="4"/>
  <c r="X47" i="1" l="1"/>
  <c r="Y47" i="1"/>
  <c r="W47" i="1"/>
  <c r="S5" i="1"/>
  <c r="W5" i="1" s="1"/>
  <c r="T5" i="1"/>
  <c r="U5" i="1"/>
  <c r="O55" i="1"/>
  <c r="R55" i="1"/>
  <c r="U55" i="1"/>
  <c r="V55" i="1"/>
  <c r="M55" i="1"/>
  <c r="P55" i="1"/>
  <c r="S55" i="1"/>
  <c r="W55" i="1" s="1"/>
  <c r="N55" i="1"/>
  <c r="Q55" i="1"/>
  <c r="T55" i="1"/>
  <c r="N56" i="4"/>
  <c r="L56" i="1" s="1"/>
  <c r="L56" i="4"/>
  <c r="J56" i="1" s="1"/>
  <c r="M56" i="4"/>
  <c r="K56" i="1" s="1"/>
  <c r="W6" i="4"/>
  <c r="M58" i="4"/>
  <c r="K58" i="1" s="1"/>
  <c r="S15" i="4"/>
  <c r="N58" i="4" s="1"/>
  <c r="L58" i="1" s="1"/>
  <c r="L58" i="4"/>
  <c r="J58" i="1" s="1"/>
  <c r="L59" i="4"/>
  <c r="J59" i="1" s="1"/>
  <c r="M59" i="4"/>
  <c r="K59" i="1" s="1"/>
  <c r="N59" i="4"/>
  <c r="L59" i="1" s="1"/>
  <c r="L57" i="4"/>
  <c r="J57" i="1" s="1"/>
  <c r="M57" i="4"/>
  <c r="K57" i="1" s="1"/>
  <c r="N57" i="4"/>
  <c r="L57" i="1" s="1"/>
  <c r="M77" i="4"/>
  <c r="K77" i="1" s="1"/>
  <c r="N77" i="4"/>
  <c r="L77" i="1" s="1"/>
  <c r="L77" i="4"/>
  <c r="J77" i="1" s="1"/>
  <c r="D25" i="5"/>
  <c r="H9" i="2" s="1"/>
  <c r="K9" i="2" s="1"/>
  <c r="O9" i="2" l="1"/>
  <c r="U57" i="1"/>
  <c r="R57" i="1"/>
  <c r="O57" i="1"/>
  <c r="N59" i="1"/>
  <c r="T59" i="1"/>
  <c r="Q59" i="1"/>
  <c r="Y55" i="1"/>
  <c r="N58" i="1"/>
  <c r="T58" i="1"/>
  <c r="Q58" i="1"/>
  <c r="N57" i="1"/>
  <c r="T57" i="1"/>
  <c r="Q57" i="1"/>
  <c r="N56" i="1"/>
  <c r="T56" i="1"/>
  <c r="X56" i="1" s="1"/>
  <c r="Q56" i="1"/>
  <c r="O59" i="1"/>
  <c r="R59" i="1"/>
  <c r="U59" i="1"/>
  <c r="O56" i="1"/>
  <c r="R56" i="1"/>
  <c r="U56" i="1"/>
  <c r="Y56" i="1" s="1"/>
  <c r="V59" i="1"/>
  <c r="P59" i="1"/>
  <c r="M59" i="1"/>
  <c r="S59" i="1"/>
  <c r="X55" i="1"/>
  <c r="U58" i="1"/>
  <c r="O58" i="1"/>
  <c r="R58" i="1"/>
  <c r="M57" i="1"/>
  <c r="V57" i="1"/>
  <c r="S57" i="1"/>
  <c r="P57" i="1"/>
  <c r="V56" i="1"/>
  <c r="M56" i="1"/>
  <c r="P56" i="1"/>
  <c r="S56" i="1"/>
  <c r="W56" i="1" s="1"/>
  <c r="P58" i="1"/>
  <c r="V58" i="1"/>
  <c r="M58" i="1"/>
  <c r="S58" i="1"/>
  <c r="O77" i="1"/>
  <c r="R77" i="1"/>
  <c r="U77" i="1"/>
  <c r="P77" i="1"/>
  <c r="S77" i="1"/>
  <c r="V77" i="1"/>
  <c r="M77" i="1"/>
  <c r="Q77" i="1"/>
  <c r="N77" i="1"/>
  <c r="T77" i="1"/>
  <c r="F67" i="4"/>
  <c r="F59" i="4"/>
  <c r="F61" i="4"/>
  <c r="E25" i="5"/>
  <c r="I9" i="2" s="1"/>
  <c r="L9" i="2" s="1"/>
  <c r="X77" i="1" l="1"/>
  <c r="Y77" i="1"/>
  <c r="W77" i="1"/>
  <c r="W78" i="1" s="1"/>
  <c r="P9" i="2"/>
  <c r="Y59" i="1"/>
  <c r="X59" i="1"/>
  <c r="X57" i="1"/>
  <c r="W58" i="1"/>
  <c r="W59" i="1"/>
  <c r="Y58" i="1"/>
  <c r="W57" i="1"/>
  <c r="X58" i="1"/>
  <c r="Y57" i="1"/>
  <c r="AD14" i="1"/>
  <c r="D27" i="5"/>
  <c r="H11" i="2" s="1"/>
  <c r="K11" i="2" s="1"/>
  <c r="E23" i="5"/>
  <c r="I7" i="2" s="1"/>
  <c r="L7" i="2" s="1"/>
  <c r="D23" i="5"/>
  <c r="H7" i="2" s="1"/>
  <c r="K7" i="2" s="1"/>
  <c r="AE14" i="1"/>
  <c r="E27" i="5"/>
  <c r="I11" i="2" s="1"/>
  <c r="L11" i="2" s="1"/>
  <c r="AC14" i="1"/>
  <c r="C23" i="5"/>
  <c r="G7" i="2" s="1"/>
  <c r="J7" i="2" s="1"/>
  <c r="J18" i="2" s="1"/>
  <c r="AE5" i="2" s="1"/>
  <c r="C27" i="5"/>
  <c r="G11" i="2" s="1"/>
  <c r="J11" i="2" s="1"/>
  <c r="D29" i="5"/>
  <c r="E29" i="5"/>
  <c r="D30" i="5"/>
  <c r="E30" i="5"/>
  <c r="D33" i="5"/>
  <c r="E33" i="5"/>
  <c r="E28" i="5"/>
  <c r="D28" i="5"/>
  <c r="O13" i="2" l="1"/>
  <c r="P17" i="2"/>
  <c r="Y13" i="2"/>
  <c r="P13" i="2"/>
  <c r="O12" i="2"/>
  <c r="P12" i="2"/>
  <c r="X17" i="2"/>
  <c r="O17" i="2"/>
  <c r="P14" i="2"/>
  <c r="O14" i="2"/>
  <c r="O7" i="2"/>
  <c r="N11" i="2"/>
  <c r="P11" i="2"/>
  <c r="Y11" i="2"/>
  <c r="P7" i="2"/>
  <c r="O11" i="2"/>
  <c r="N7" i="2"/>
  <c r="W7" i="2"/>
  <c r="V78" i="1"/>
  <c r="AF5" i="1" s="1"/>
  <c r="AF6" i="1" s="1"/>
  <c r="AF7" i="1" s="1"/>
  <c r="AF8" i="1" s="1"/>
  <c r="AF14" i="1"/>
  <c r="Y12" i="2"/>
  <c r="X14" i="2" l="1"/>
  <c r="X11" i="2"/>
  <c r="W11" i="2"/>
  <c r="W14" i="2"/>
  <c r="W12" i="2"/>
  <c r="X16" i="2"/>
  <c r="W10" i="2"/>
  <c r="W16" i="2"/>
  <c r="Y10" i="2"/>
  <c r="W17" i="2"/>
  <c r="X10" i="2"/>
  <c r="W13" i="2"/>
  <c r="Y16" i="2"/>
  <c r="X15" i="2"/>
  <c r="Y15" i="2"/>
  <c r="W15" i="2"/>
  <c r="X6" i="2"/>
  <c r="Y6" i="2"/>
  <c r="W6" i="2"/>
  <c r="W9" i="2"/>
  <c r="Y8" i="2"/>
  <c r="W8" i="2"/>
  <c r="X8" i="2"/>
  <c r="X9" i="2"/>
  <c r="Y9" i="2"/>
  <c r="Y17" i="2"/>
  <c r="Y14" i="2"/>
  <c r="Y7" i="2"/>
  <c r="X7" i="2"/>
  <c r="X12" i="2"/>
  <c r="X13" i="2"/>
  <c r="O78" i="1"/>
  <c r="AC7" i="1" s="1"/>
  <c r="N78" i="1"/>
  <c r="AC6" i="1" s="1"/>
  <c r="M78" i="1"/>
  <c r="AC5" i="1" s="1"/>
  <c r="V79" i="1"/>
  <c r="V80" i="1"/>
  <c r="AF9" i="1" s="1"/>
  <c r="L18" i="2"/>
  <c r="AE7" i="2" s="1"/>
  <c r="W5" i="2"/>
  <c r="Y5" i="2"/>
  <c r="X5" i="2"/>
  <c r="K18" i="2"/>
  <c r="AE6" i="2" s="1"/>
  <c r="F25" i="2"/>
  <c r="F24" i="2"/>
  <c r="AE8" i="2" l="1"/>
  <c r="V12" i="2"/>
  <c r="T16" i="2"/>
  <c r="V17" i="2"/>
  <c r="V13" i="2"/>
  <c r="U16" i="2"/>
  <c r="T17" i="2"/>
  <c r="T14" i="2"/>
  <c r="V16" i="2"/>
  <c r="T12" i="2"/>
  <c r="U14" i="2"/>
  <c r="U13" i="2"/>
  <c r="T13" i="2"/>
  <c r="V14" i="2"/>
  <c r="U12" i="2"/>
  <c r="U17" i="2"/>
  <c r="V10" i="2"/>
  <c r="U10" i="2"/>
  <c r="T10" i="2"/>
  <c r="T15" i="2"/>
  <c r="U15" i="2"/>
  <c r="V15" i="2"/>
  <c r="T6" i="2"/>
  <c r="V6" i="2"/>
  <c r="U6" i="2"/>
  <c r="T9" i="2"/>
  <c r="T8" i="2"/>
  <c r="U8" i="2"/>
  <c r="V8" i="2"/>
  <c r="U9" i="2"/>
  <c r="V9" i="2"/>
  <c r="U7" i="2"/>
  <c r="U11" i="2"/>
  <c r="T11" i="2"/>
  <c r="V7" i="2"/>
  <c r="T7" i="2"/>
  <c r="V11" i="2"/>
  <c r="Q12" i="2"/>
  <c r="S16" i="2"/>
  <c r="R12" i="2"/>
  <c r="Q13" i="2"/>
  <c r="R17" i="2"/>
  <c r="S12" i="2"/>
  <c r="R13" i="2"/>
  <c r="Q14" i="2"/>
  <c r="S13" i="2"/>
  <c r="R14" i="2"/>
  <c r="Q16" i="2"/>
  <c r="S14" i="2"/>
  <c r="R16" i="2"/>
  <c r="Q17" i="2"/>
  <c r="S17" i="2"/>
  <c r="S10" i="2"/>
  <c r="R10" i="2"/>
  <c r="Q10" i="2"/>
  <c r="Q15" i="2"/>
  <c r="S15" i="2"/>
  <c r="R15" i="2"/>
  <c r="Q6" i="2"/>
  <c r="S6" i="2"/>
  <c r="R6" i="2"/>
  <c r="S8" i="2"/>
  <c r="Q9" i="2"/>
  <c r="R8" i="2"/>
  <c r="Q8" i="2"/>
  <c r="R9" i="2"/>
  <c r="S9" i="2"/>
  <c r="R11" i="2"/>
  <c r="Q7" i="2"/>
  <c r="S11" i="2"/>
  <c r="Q11" i="2"/>
  <c r="S7" i="2"/>
  <c r="R7" i="2"/>
  <c r="AD13" i="1"/>
  <c r="AC8" i="1"/>
  <c r="P78" i="1"/>
  <c r="AD5" i="1" s="1"/>
  <c r="Q78" i="1"/>
  <c r="AD6" i="1" s="1"/>
  <c r="R78" i="1"/>
  <c r="M79" i="1"/>
  <c r="M80" i="1"/>
  <c r="AE13" i="1"/>
  <c r="AC13" i="1"/>
  <c r="S5" i="2"/>
  <c r="Q5" i="2"/>
  <c r="R5" i="2"/>
  <c r="Y18" i="2"/>
  <c r="W18" i="2"/>
  <c r="P5" i="2"/>
  <c r="N5" i="2"/>
  <c r="O5" i="2"/>
  <c r="V5" i="2"/>
  <c r="T5" i="2"/>
  <c r="U5" i="2"/>
  <c r="X18" i="2"/>
  <c r="AA15" i="2" l="1"/>
  <c r="AB7" i="2"/>
  <c r="Z8" i="2"/>
  <c r="Z11" i="2"/>
  <c r="Z9" i="2"/>
  <c r="AB16" i="2"/>
  <c r="Z14" i="2"/>
  <c r="Z17" i="2"/>
  <c r="AB10" i="2"/>
  <c r="AB9" i="2"/>
  <c r="Z6" i="2"/>
  <c r="AB12" i="2"/>
  <c r="Z16" i="2"/>
  <c r="AA12" i="2"/>
  <c r="AA6" i="2"/>
  <c r="AA17" i="2"/>
  <c r="AA7" i="2"/>
  <c r="AA14" i="2"/>
  <c r="AA10" i="2"/>
  <c r="AB13" i="2"/>
  <c r="Z10" i="2"/>
  <c r="Z12" i="2"/>
  <c r="AA9" i="2"/>
  <c r="Z13" i="2"/>
  <c r="AB14" i="2"/>
  <c r="Z15" i="2"/>
  <c r="AA16" i="2"/>
  <c r="AB15" i="2"/>
  <c r="AA8" i="2"/>
  <c r="AB11" i="2"/>
  <c r="AB8" i="2"/>
  <c r="Z7" i="2"/>
  <c r="AA11" i="2"/>
  <c r="AB6" i="2"/>
  <c r="AB17" i="2"/>
  <c r="AA13" i="2"/>
  <c r="P79" i="1"/>
  <c r="AC9" i="1"/>
  <c r="AD7" i="1"/>
  <c r="AD8" i="1" s="1"/>
  <c r="P80" i="1"/>
  <c r="AF13" i="1"/>
  <c r="AF15" i="1" s="1"/>
  <c r="R18" i="2"/>
  <c r="U18" i="2"/>
  <c r="AA5" i="2"/>
  <c r="O18" i="2"/>
  <c r="Q18" i="2"/>
  <c r="T18" i="2"/>
  <c r="AB5" i="2"/>
  <c r="P18" i="2"/>
  <c r="Z5" i="2"/>
  <c r="N18" i="2"/>
  <c r="S18" i="2"/>
  <c r="V18" i="2"/>
  <c r="AD9" i="1" l="1"/>
  <c r="U78" i="1"/>
  <c r="AE7" i="1" s="1"/>
  <c r="S78" i="1"/>
  <c r="AE5" i="1" s="1"/>
  <c r="T78" i="1"/>
  <c r="AE6" i="1" s="1"/>
  <c r="Z18" i="2"/>
  <c r="AF5" i="2" s="1"/>
  <c r="AB18" i="2"/>
  <c r="AF7" i="2" s="1"/>
  <c r="AA18" i="2"/>
  <c r="AF6" i="2" s="1"/>
  <c r="Y5" i="1"/>
  <c r="X5" i="1"/>
  <c r="AF8" i="2" l="1"/>
  <c r="AG5" i="1"/>
  <c r="X78" i="1"/>
  <c r="Y78" i="1"/>
  <c r="AG7" i="1" s="1"/>
  <c r="AE8" i="1"/>
  <c r="Z19" i="2"/>
  <c r="S79" i="1"/>
  <c r="S80" i="1"/>
  <c r="W79" i="1" l="1"/>
  <c r="AG6" i="1"/>
  <c r="AG8" i="1" s="1"/>
  <c r="AF10" i="2" s="1"/>
  <c r="W80" i="1"/>
  <c r="AE9" i="1"/>
  <c r="T19" i="2"/>
  <c r="W19" i="2"/>
  <c r="J20" i="2"/>
  <c r="Q19" i="2"/>
  <c r="AG9" i="1" l="1"/>
  <c r="Q20" i="2"/>
  <c r="J19" i="2"/>
  <c r="W20" i="2"/>
  <c r="T20" i="2"/>
  <c r="N19" i="2"/>
  <c r="Z20" i="2"/>
  <c r="N20" i="2"/>
</calcChain>
</file>

<file path=xl/sharedStrings.xml><?xml version="1.0" encoding="utf-8"?>
<sst xmlns="http://schemas.openxmlformats.org/spreadsheetml/2006/main" count="443" uniqueCount="240">
  <si>
    <t>Responent Burden Assumptions</t>
  </si>
  <si>
    <t>Respondents per Year</t>
  </si>
  <si>
    <t>Certification ID Respondent Burden Assumptions</t>
  </si>
  <si>
    <t>Audit Costs</t>
  </si>
  <si>
    <t>ACE Report Burden Assumptions</t>
  </si>
  <si>
    <t>Respondent Type</t>
  </si>
  <si>
    <t>Acitvity</t>
  </si>
  <si>
    <t>Technical Hours per Response</t>
  </si>
  <si>
    <t>Clerical Hours per Response</t>
  </si>
  <si>
    <t>Responses per Year</t>
  </si>
  <si>
    <t>Maximum Respondents per Acitvity</t>
  </si>
  <si>
    <t>Basis for Assumptions</t>
  </si>
  <si>
    <t>Respondent</t>
  </si>
  <si>
    <t>Number of Cylinders</t>
  </si>
  <si>
    <t>Cylinder Capacity (lbs)</t>
  </si>
  <si>
    <t>Total HFC Quantity (lbs)</t>
  </si>
  <si>
    <t>ISO Tank Capacity (lbs)</t>
  </si>
  <si>
    <t>Number of ISO Tanks</t>
  </si>
  <si>
    <t>Number of ID Generators/ Scanners</t>
  </si>
  <si>
    <r>
      <t>Responses/ Year/Respondent</t>
    </r>
    <r>
      <rPr>
        <b/>
        <sz val="9"/>
        <color rgb="FFFF0000"/>
        <rFont val="Times New Roman"/>
        <family val="1"/>
      </rPr>
      <t xml:space="preserve"> </t>
    </r>
  </si>
  <si>
    <t>Time per Response</t>
  </si>
  <si>
    <t>Unit of Response Time</t>
  </si>
  <si>
    <t>Time per Response (hours)</t>
  </si>
  <si>
    <t>Auditor Labor Rate ($)</t>
  </si>
  <si>
    <t>Auditor Time (hours)</t>
  </si>
  <si>
    <t>Total Cost to Respondent ($)</t>
  </si>
  <si>
    <t>Total Annual Shipments</t>
  </si>
  <si>
    <t>Total Respondents</t>
  </si>
  <si>
    <t>Responses/Respondent</t>
  </si>
  <si>
    <t>HFC Producer</t>
  </si>
  <si>
    <t>Submit one-time producer report</t>
  </si>
  <si>
    <t>Producer, importer</t>
  </si>
  <si>
    <t>Hours</t>
  </si>
  <si>
    <t>Importer</t>
  </si>
  <si>
    <t>Minutes</t>
  </si>
  <si>
    <t>Submit quarterly report</t>
  </si>
  <si>
    <t>Reclaimer, filler/packager, fire suppression recycler</t>
  </si>
  <si>
    <t>NA</t>
  </si>
  <si>
    <t>Seconds</t>
  </si>
  <si>
    <t>Submit annual inventory report (part of quarterly report)</t>
  </si>
  <si>
    <t>Supplier</t>
  </si>
  <si>
    <t>Maintain records</t>
  </si>
  <si>
    <t>Register with certification ID system</t>
  </si>
  <si>
    <t>Enter data into certification ID system</t>
  </si>
  <si>
    <t>See 'Certification ID Respondent Burden Assumptions' table</t>
  </si>
  <si>
    <t>Certification ID Respondent Percentage per Year</t>
  </si>
  <si>
    <t>Certification ID Registration</t>
  </si>
  <si>
    <t>Submit annual HFC-23 emissions report</t>
  </si>
  <si>
    <t>Burden estimate for reporting to eGGRT under subpart O from GHGRP ICR 2019 renewal; Respndents based on eGGRT subpart O reporting</t>
  </si>
  <si>
    <t>Submit HFC-23 proof of destruction</t>
  </si>
  <si>
    <t>Producer</t>
  </si>
  <si>
    <t>Provide certification to third party (conferrer)</t>
  </si>
  <si>
    <t>Based on second party transformation and destruction verification assumption</t>
  </si>
  <si>
    <t>HFC Importer</t>
  </si>
  <si>
    <t>Reclaimer</t>
  </si>
  <si>
    <t>Filler/Packager</t>
  </si>
  <si>
    <t>Fire Suppression Recycler</t>
  </si>
  <si>
    <t>Provided by EPA</t>
  </si>
  <si>
    <t>Certification ID Data Entry</t>
  </si>
  <si>
    <t>Petition to import HFCs for transformation/destruction</t>
  </si>
  <si>
    <t>Petition to import used HFCs for destruction</t>
  </si>
  <si>
    <t>Submit ACE report</t>
  </si>
  <si>
    <t>Submit proof of destruction of used imports</t>
  </si>
  <si>
    <t>Maintain records on used imports for destruction</t>
  </si>
  <si>
    <t>HFC Aggregator</t>
  </si>
  <si>
    <t>Vessel Owner</t>
  </si>
  <si>
    <t xml:space="preserve">Submit notification of transhipments </t>
  </si>
  <si>
    <t>HFC Exporter</t>
  </si>
  <si>
    <t>Submit request for additional consumption allowances</t>
  </si>
  <si>
    <t>HFC Suppliers</t>
  </si>
  <si>
    <t>2x HARDI wholesaler/distributor locations</t>
  </si>
  <si>
    <t>2x HARDI wholesaler/distributor locations; See 'Certification ID Respondent Burden Assumptions' table</t>
  </si>
  <si>
    <t>Submit conferral request</t>
  </si>
  <si>
    <t>Provide certification to third party (conferee)</t>
  </si>
  <si>
    <t>HFC Destoyer</t>
  </si>
  <si>
    <t>Submit one-time report</t>
  </si>
  <si>
    <t>Submit annual second party report</t>
  </si>
  <si>
    <t>Provide destruction verification to third party</t>
  </si>
  <si>
    <t>Provide proof of destruction to third party</t>
  </si>
  <si>
    <t>Number of petitions to import HFCs for destruction</t>
  </si>
  <si>
    <t>HFC Transformer</t>
  </si>
  <si>
    <t>Provide transformation verification to third party</t>
  </si>
  <si>
    <t>HFC Process Agent Use</t>
  </si>
  <si>
    <t>Submit annual report</t>
  </si>
  <si>
    <t>HFC Reclaimers</t>
  </si>
  <si>
    <t>HFC Fillers and Packagers</t>
  </si>
  <si>
    <t>HFC Fire Suppression Agent Recyclers</t>
  </si>
  <si>
    <t>HFC Transfers</t>
  </si>
  <si>
    <t>Submit inter-company transfer request</t>
  </si>
  <si>
    <t>Submit request to transfer from a person in a foreign country</t>
  </si>
  <si>
    <t>ICF estimate</t>
  </si>
  <si>
    <t>Submit request to transfer to a person in a foreign country</t>
  </si>
  <si>
    <t>Submit request to sell/transfer HFCs produced/imported with application-specific allowances</t>
  </si>
  <si>
    <t>Application-Specific Allowance Holders</t>
  </si>
  <si>
    <t>Submit biannual report</t>
  </si>
  <si>
    <t>Submit annual report (part of biannual report)</t>
  </si>
  <si>
    <t>Third Party Audits</t>
  </si>
  <si>
    <t>Submit annual audit report</t>
  </si>
  <si>
    <t>Importers + producers + reclaimers + application specific allowance holders</t>
  </si>
  <si>
    <t>Unique number of Respondents</t>
  </si>
  <si>
    <t>Responent Burden</t>
  </si>
  <si>
    <t> </t>
  </si>
  <si>
    <t>Activity</t>
  </si>
  <si>
    <t>Responses per Respondent per Year</t>
  </si>
  <si>
    <t>Total Hours per Respondent per Year</t>
  </si>
  <si>
    <t>Labor Cost per Respondent per Year</t>
  </si>
  <si>
    <t>O&amp;M Costs per Respondent per Year</t>
  </si>
  <si>
    <t>Respondents per Activity per Year</t>
  </si>
  <si>
    <t>Total Responses per Year</t>
  </si>
  <si>
    <t>Total Hours per Year</t>
  </si>
  <si>
    <t>Total Labor Cost per Year</t>
  </si>
  <si>
    <t>Total O&amp;M Costs per Year</t>
  </si>
  <si>
    <t>Total Cost per Year</t>
  </si>
  <si>
    <t>Year</t>
  </si>
  <si>
    <t>Total Responses</t>
  </si>
  <si>
    <t>Total Hours</t>
  </si>
  <si>
    <t>Total Labor Costs</t>
  </si>
  <si>
    <t>Total O&amp;M Costs</t>
  </si>
  <si>
    <t>Total Costs</t>
  </si>
  <si>
    <t>Y1</t>
  </si>
  <si>
    <t>Y2</t>
  </si>
  <si>
    <t>Y3</t>
  </si>
  <si>
    <t>Year 1</t>
  </si>
  <si>
    <t>Year 2</t>
  </si>
  <si>
    <t>Year 3</t>
  </si>
  <si>
    <t>Annual Average</t>
  </si>
  <si>
    <t>Total Hours/Year</t>
  </si>
  <si>
    <t>Average</t>
  </si>
  <si>
    <t>Reporting</t>
  </si>
  <si>
    <t>Recordkeeping</t>
  </si>
  <si>
    <t>HFC Destroyer</t>
  </si>
  <si>
    <t>Annual Total</t>
  </si>
  <si>
    <t>3 Year Total</t>
  </si>
  <si>
    <t>Respondent Burden</t>
  </si>
  <si>
    <t>Hourly Labor Rate - Technical Staff</t>
  </si>
  <si>
    <t>Hourly Labor Rate - Clerical Staff</t>
  </si>
  <si>
    <t>Agency Assumptions</t>
  </si>
  <si>
    <t>Managerial Hours per activity</t>
  </si>
  <si>
    <t>Technical Hours per activity</t>
  </si>
  <si>
    <t>Clerical Hours per activity</t>
  </si>
  <si>
    <t>Contractor Hours per activity</t>
  </si>
  <si>
    <t>Source</t>
  </si>
  <si>
    <t>Develop and Maintain a Certification ID Tracking System</t>
  </si>
  <si>
    <t>Based on input from EPA</t>
  </si>
  <si>
    <t>Notify Submitters of Baseline Allowances</t>
  </si>
  <si>
    <t>Based on ODS ICR and input from EPA</t>
  </si>
  <si>
    <t>Review Data for Reporting Completeness and Compliance</t>
  </si>
  <si>
    <t>Process Transfer Reports</t>
  </si>
  <si>
    <t>Based on ODS ICR</t>
  </si>
  <si>
    <t>Review Petitions to Import HFCs</t>
  </si>
  <si>
    <t>Review Third-Party Audits</t>
  </si>
  <si>
    <t>Provide Reporting Guidance</t>
  </si>
  <si>
    <t>Based on ODS ICR plus an increase since new program</t>
  </si>
  <si>
    <t>Conduct Stakeholder Outreach Efforts</t>
  </si>
  <si>
    <t>Maintain the Data Tracking System</t>
  </si>
  <si>
    <t>Review Import Data Submitted in ACE</t>
  </si>
  <si>
    <t>Conduct Compliance Monitoring Activities</t>
  </si>
  <si>
    <t>Ensure Non-Exceedance of AIM Act Limits</t>
  </si>
  <si>
    <t>Number of Activities</t>
  </si>
  <si>
    <t>Assumes development will be complete after year 2</t>
  </si>
  <si>
    <t>Equals the number of producers + importers</t>
  </si>
  <si>
    <t>Equals the number of one-time reports, producer, importer, exporter, transformation, destruction, process agent, RACA, and application-specific allowance holder reports received per year</t>
  </si>
  <si>
    <t>Equals the number of petitions to import for destruction received per year</t>
  </si>
  <si>
    <t>Equals the maximum number of importers</t>
  </si>
  <si>
    <t>Based on current import level and EPA estimated effort</t>
  </si>
  <si>
    <t>imports and exports</t>
  </si>
  <si>
    <t>Agency Burden</t>
  </si>
  <si>
    <t>Managerial Hours per Activity</t>
  </si>
  <si>
    <t>Technical Hours per Activity</t>
  </si>
  <si>
    <t>Clerical Hours per Activity</t>
  </si>
  <si>
    <t>Contractor Hours per Activity</t>
  </si>
  <si>
    <t xml:space="preserve">Number of Activities </t>
  </si>
  <si>
    <t xml:space="preserve">Total Hours </t>
  </si>
  <si>
    <t xml:space="preserve">Managerial Cost </t>
  </si>
  <si>
    <t xml:space="preserve">Technical Cost </t>
  </si>
  <si>
    <t xml:space="preserve">Clerical Cost </t>
  </si>
  <si>
    <t xml:space="preserve">Contractor Cost </t>
  </si>
  <si>
    <t xml:space="preserve">Total Cost </t>
  </si>
  <si>
    <t>TOTAL</t>
  </si>
  <si>
    <t>Hourly Rates</t>
  </si>
  <si>
    <t>Managerial Rate</t>
  </si>
  <si>
    <t>GS 15 Step 1</t>
  </si>
  <si>
    <t>Technical Rate</t>
  </si>
  <si>
    <t>GS 13 Step 1</t>
  </si>
  <si>
    <t>Clerical Rate</t>
  </si>
  <si>
    <t>GS 11 Step 1</t>
  </si>
  <si>
    <t>Extramural Rate</t>
  </si>
  <si>
    <t>Provide certification to third party (exporter)</t>
  </si>
  <si>
    <t>Petition to import HFCs for laboratory testing with eventual destruction</t>
  </si>
  <si>
    <t>Testing Laboratories</t>
  </si>
  <si>
    <t>Submit notification of delivery to destruction facility</t>
  </si>
  <si>
    <t>Submit Importer of Record annual report</t>
  </si>
  <si>
    <t>Y1 (2024)</t>
  </si>
  <si>
    <t>Y2 (2025)</t>
  </si>
  <si>
    <t>Y3 (2026)</t>
  </si>
  <si>
    <t>Review Importer of Record Reports</t>
  </si>
  <si>
    <t>Number of facilities based on HFC Q1 2022 report submissions</t>
  </si>
  <si>
    <t>Assumes up to one response per year to account for revisions or new production facilities.</t>
  </si>
  <si>
    <t>Quarterly Reports</t>
  </si>
  <si>
    <t>Imports</t>
  </si>
  <si>
    <t>Exports</t>
  </si>
  <si>
    <t>Reclamation</t>
  </si>
  <si>
    <t>Fire Suppression</t>
  </si>
  <si>
    <t>As Needed Reports</t>
  </si>
  <si>
    <t>Number of unique facilities/companies</t>
  </si>
  <si>
    <t>Number of Reports</t>
  </si>
  <si>
    <t>Months of Activity</t>
  </si>
  <si>
    <t>Transfers</t>
  </si>
  <si>
    <t>Conferrals</t>
  </si>
  <si>
    <t>RACA</t>
  </si>
  <si>
    <t>Petitions</t>
  </si>
  <si>
    <t>Transhipments</t>
  </si>
  <si>
    <t>Average Reports/Company/Year</t>
  </si>
  <si>
    <t>Source: HFC Submission Summary Report (6.16.22)</t>
  </si>
  <si>
    <t>Activity based on HFC 2022 report submissions from mid-March through mid-June</t>
  </si>
  <si>
    <t>Number of companies based on HFC Q1 2022 report submissions</t>
  </si>
  <si>
    <t>7500 unique shipments based on historical ACE data; Number of companies based on HFC Q1 2022 report submissions</t>
  </si>
  <si>
    <t>Based on 2022 HRACA submissions through June 2022</t>
  </si>
  <si>
    <t>Based on 2022 HSHIP submissions through June 2022</t>
  </si>
  <si>
    <t xml:space="preserve">Activity based on 2022 HRACA submissions through June 2022. </t>
  </si>
  <si>
    <t>Number of facilities based on HFC 2022 one-time report submissions</t>
  </si>
  <si>
    <t>One-Time Reports</t>
  </si>
  <si>
    <t>Destruction</t>
  </si>
  <si>
    <t>Transformation</t>
  </si>
  <si>
    <t>Process Agent</t>
  </si>
  <si>
    <t>Assumes up to one response per year to account for revisions or new destruction facilities.</t>
  </si>
  <si>
    <t>Assumes up to one response per year to account for revisions or new transformation facilities.</t>
  </si>
  <si>
    <t>Assumes up to one response per year to account for revisions or new process agent end-users</t>
  </si>
  <si>
    <t>Assumes up to one response per year to account for revisions or new reclaimers.</t>
  </si>
  <si>
    <t>Burden for annual activity report from Section 608 ICR, number of companies based on HFC Q1 2022 report submissions</t>
  </si>
  <si>
    <t>Burden for annual activity report from Section 608 ICR, number of respondents based on HFC Q1 2022 report submissions</t>
  </si>
  <si>
    <t>Number of respondents based on HFC Q1 2022 report submissions</t>
  </si>
  <si>
    <t xml:space="preserve">Activity based on 2022 HTRAN submissions through June 2022. </t>
  </si>
  <si>
    <t>Based on 2022 allowance recipients</t>
  </si>
  <si>
    <t>Based on 2022 allowance recipients plus 8 to account for new applicants</t>
  </si>
  <si>
    <t>Based on application-specific allowance holders minus companies with consumption allowances; based on HCONF submissions through June 2022</t>
  </si>
  <si>
    <t>aggregators + producers + importers + suppliers + reclaimers+ destroyers + transformers + fillers/packagers + application specific allowance holders (assumes other respondents overlap with these activities)</t>
  </si>
  <si>
    <t>Based on HCONF submissions through June 2022</t>
  </si>
  <si>
    <t xml:space="preserve">Activity based on 2022 DPETI submissions through June 2022. </t>
  </si>
  <si>
    <t>Equals the number of trade reports received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</si>
</sst>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&quot;$&quot;#,##0.00"/>
    <numFmt numFmtId="167" formatCode="&quot;$&quot;#,##0"/>
    <numFmt numFmtId="168" formatCode="_(* #,##0_);_(* \(#,##0\);_(* &quot;-&quot;??_);_(@_)"/>
    <numFmt numFmtId="169" formatCode="#,##0.0"/>
    <numFmt numFmtId="170" formatCode="0.000"/>
    <numFmt numFmtId="171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808080"/>
      <name val="Calibri"/>
      <family val="2"/>
    </font>
    <font>
      <sz val="9"/>
      <color rgb="FF808080"/>
      <name val="Calibri"/>
      <family val="2"/>
    </font>
    <font>
      <sz val="9"/>
      <color theme="1"/>
      <name val="Calibri"/>
      <family val="2"/>
      <scheme val="minor"/>
    </font>
    <font>
      <b/>
      <sz val="9"/>
      <color rgb="FFFF0000"/>
      <name val="Times New Roman"/>
      <family val="1"/>
    </font>
    <font>
      <sz val="11"/>
      <name val="Calibri"/>
      <family val="2"/>
      <scheme val="minor"/>
    </font>
    <font>
      <sz val="9"/>
      <color rgb="FF808080"/>
      <name val="Calibri"/>
      <family val="2"/>
    </font>
    <font>
      <sz val="9"/>
      <color rgb="FFFF0000"/>
      <name val="Calibri"/>
      <family val="2"/>
      <scheme val="minor"/>
    </font>
    <font>
      <sz val="9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DD7EE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4" fontId="6" fillId="0" borderId="1" xfId="1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1" xfId="0" applyFont="1" applyBorder="1"/>
    <xf numFmtId="166" fontId="6" fillId="0" borderId="1" xfId="2" applyNumberFormat="1" applyFont="1" applyFill="1" applyBorder="1" applyAlignment="1"/>
    <xf numFmtId="7" fontId="6" fillId="0" borderId="1" xfId="0" applyNumberFormat="1" applyFont="1" applyBorder="1"/>
    <xf numFmtId="166" fontId="6" fillId="0" borderId="1" xfId="1" applyNumberFormat="1" applyFont="1" applyFill="1" applyBorder="1" applyAlignment="1"/>
    <xf numFmtId="0" fontId="0" fillId="0" borderId="0" xfId="0" applyAlignment="1">
      <alignment wrapText="1"/>
    </xf>
    <xf numFmtId="167" fontId="6" fillId="0" borderId="1" xfId="1" applyNumberFormat="1" applyFont="1" applyBorder="1" applyAlignment="1">
      <alignment horizontal="right" vertical="center" wrapText="1"/>
    </xf>
    <xf numFmtId="167" fontId="6" fillId="0" borderId="1" xfId="1" applyNumberFormat="1" applyFont="1" applyFill="1" applyBorder="1" applyAlignment="1">
      <alignment horizontal="right" vertical="center" wrapText="1"/>
    </xf>
    <xf numFmtId="164" fontId="6" fillId="0" borderId="4" xfId="1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68" fontId="6" fillId="0" borderId="1" xfId="1" applyNumberFormat="1" applyFont="1" applyBorder="1" applyAlignment="1">
      <alignment horizontal="right" vertical="center" wrapText="1"/>
    </xf>
    <xf numFmtId="0" fontId="8" fillId="4" borderId="0" xfId="0" applyFont="1" applyFill="1"/>
    <xf numFmtId="0" fontId="8" fillId="5" borderId="0" xfId="0" applyFont="1" applyFill="1"/>
    <xf numFmtId="0" fontId="9" fillId="0" borderId="0" xfId="0" applyFont="1"/>
    <xf numFmtId="1" fontId="6" fillId="0" borderId="1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68" fontId="3" fillId="6" borderId="1" xfId="1" applyNumberFormat="1" applyFont="1" applyFill="1" applyBorder="1" applyAlignment="1">
      <alignment vertical="center"/>
    </xf>
    <xf numFmtId="167" fontId="5" fillId="6" borderId="1" xfId="2" applyNumberFormat="1" applyFont="1" applyFill="1" applyBorder="1" applyAlignment="1">
      <alignment horizontal="right" vertical="center" wrapText="1"/>
    </xf>
    <xf numFmtId="8" fontId="6" fillId="0" borderId="1" xfId="0" applyNumberFormat="1" applyFont="1" applyBorder="1"/>
    <xf numFmtId="166" fontId="6" fillId="0" borderId="1" xfId="0" applyNumberFormat="1" applyFont="1" applyBorder="1" applyAlignment="1">
      <alignment horizontal="right" vertical="center"/>
    </xf>
    <xf numFmtId="168" fontId="6" fillId="0" borderId="1" xfId="1" applyNumberFormat="1" applyFont="1" applyFill="1" applyBorder="1" applyAlignment="1">
      <alignment horizontal="right" vertical="center" wrapText="1"/>
    </xf>
    <xf numFmtId="3" fontId="3" fillId="3" borderId="4" xfId="1" applyNumberFormat="1" applyFont="1" applyFill="1" applyBorder="1" applyAlignment="1">
      <alignment horizontal="left" vertical="center"/>
    </xf>
    <xf numFmtId="1" fontId="6" fillId="7" borderId="4" xfId="1" applyNumberFormat="1" applyFont="1" applyFill="1" applyBorder="1" applyAlignment="1">
      <alignment horizontal="right" vertical="center" wrapText="1"/>
    </xf>
    <xf numFmtId="164" fontId="6" fillId="7" borderId="1" xfId="1" applyNumberFormat="1" applyFont="1" applyFill="1" applyBorder="1" applyAlignment="1">
      <alignment horizontal="right" vertical="center" wrapText="1"/>
    </xf>
    <xf numFmtId="164" fontId="6" fillId="7" borderId="1" xfId="1" applyNumberFormat="1" applyFont="1" applyFill="1" applyBorder="1" applyAlignment="1">
      <alignment horizontal="right"/>
    </xf>
    <xf numFmtId="1" fontId="6" fillId="7" borderId="1" xfId="1" applyNumberFormat="1" applyFont="1" applyFill="1" applyBorder="1" applyAlignment="1">
      <alignment horizontal="right" vertical="center" wrapText="1"/>
    </xf>
    <xf numFmtId="168" fontId="6" fillId="7" borderId="1" xfId="1" applyNumberFormat="1" applyFont="1" applyFill="1" applyBorder="1" applyAlignment="1">
      <alignment horizontal="right" vertical="center" wrapText="1"/>
    </xf>
    <xf numFmtId="1" fontId="2" fillId="7" borderId="1" xfId="0" applyNumberFormat="1" applyFont="1" applyFill="1" applyBorder="1" applyAlignment="1">
      <alignment vertical="center" wrapText="1"/>
    </xf>
    <xf numFmtId="1" fontId="6" fillId="0" borderId="1" xfId="1" applyNumberFormat="1" applyFont="1" applyBorder="1" applyAlignment="1">
      <alignment vertical="center" wrapText="1"/>
    </xf>
    <xf numFmtId="164" fontId="4" fillId="6" borderId="2" xfId="0" applyNumberFormat="1" applyFont="1" applyFill="1" applyBorder="1" applyAlignment="1">
      <alignment horizontal="left" vertical="center"/>
    </xf>
    <xf numFmtId="164" fontId="4" fillId="6" borderId="3" xfId="0" applyNumberFormat="1" applyFont="1" applyFill="1" applyBorder="1" applyAlignment="1">
      <alignment horizontal="left" vertical="center"/>
    </xf>
    <xf numFmtId="164" fontId="4" fillId="6" borderId="4" xfId="0" applyNumberFormat="1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left" vertical="center"/>
    </xf>
    <xf numFmtId="1" fontId="6" fillId="0" borderId="1" xfId="1" applyNumberFormat="1" applyFont="1" applyFill="1" applyBorder="1" applyAlignment="1">
      <alignment horizontal="right" vertical="center" wrapText="1"/>
    </xf>
    <xf numFmtId="2" fontId="6" fillId="0" borderId="1" xfId="1" applyNumberFormat="1" applyFont="1" applyFill="1" applyBorder="1" applyAlignment="1">
      <alignment horizontal="right" vertical="center" wrapText="1"/>
    </xf>
    <xf numFmtId="168" fontId="5" fillId="6" borderId="1" xfId="1" applyNumberFormat="1" applyFont="1" applyFill="1" applyBorder="1" applyAlignment="1">
      <alignment vertical="center" wrapText="1"/>
    </xf>
    <xf numFmtId="164" fontId="4" fillId="3" borderId="2" xfId="0" applyNumberFormat="1" applyFont="1" applyFill="1" applyBorder="1" applyAlignment="1">
      <alignment vertical="center"/>
    </xf>
    <xf numFmtId="164" fontId="4" fillId="3" borderId="3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vertical="center"/>
    </xf>
    <xf numFmtId="1" fontId="6" fillId="6" borderId="1" xfId="1" applyNumberFormat="1" applyFont="1" applyFill="1" applyBorder="1" applyAlignment="1">
      <alignment vertical="center" wrapText="1"/>
    </xf>
    <xf numFmtId="1" fontId="6" fillId="0" borderId="1" xfId="1" applyNumberFormat="1" applyFont="1" applyBorder="1" applyAlignment="1">
      <alignment horizontal="right" vertical="center" wrapText="1"/>
    </xf>
    <xf numFmtId="2" fontId="6" fillId="0" borderId="1" xfId="1" applyNumberFormat="1" applyFont="1" applyBorder="1" applyAlignment="1">
      <alignment horizontal="right" vertical="center" wrapText="1"/>
    </xf>
    <xf numFmtId="165" fontId="6" fillId="0" borderId="1" xfId="1" applyNumberFormat="1" applyFont="1" applyBorder="1" applyAlignment="1">
      <alignment horizontal="right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10" fillId="0" borderId="0" xfId="0" applyFont="1"/>
    <xf numFmtId="167" fontId="0" fillId="0" borderId="0" xfId="0" applyNumberFormat="1"/>
    <xf numFmtId="0" fontId="12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/>
    </xf>
    <xf numFmtId="43" fontId="13" fillId="0" borderId="0" xfId="1" applyFont="1" applyAlignment="1">
      <alignment wrapText="1"/>
    </xf>
    <xf numFmtId="3" fontId="6" fillId="7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167" fontId="3" fillId="3" borderId="2" xfId="2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3" fontId="12" fillId="0" borderId="1" xfId="0" applyNumberFormat="1" applyFont="1" applyBorder="1" applyAlignment="1">
      <alignment horizontal="left" vertical="center" wrapText="1"/>
    </xf>
    <xf numFmtId="0" fontId="15" fillId="9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170" fontId="6" fillId="7" borderId="4" xfId="1" applyNumberFormat="1" applyFont="1" applyFill="1" applyBorder="1" applyAlignment="1">
      <alignment horizontal="right" vertical="center" wrapText="1"/>
    </xf>
    <xf numFmtId="3" fontId="6" fillId="7" borderId="4" xfId="1" applyNumberFormat="1" applyFont="1" applyFill="1" applyBorder="1" applyAlignment="1">
      <alignment horizontal="right" vertical="center" wrapText="1"/>
    </xf>
    <xf numFmtId="9" fontId="6" fillId="0" borderId="1" xfId="5" applyFont="1" applyFill="1" applyBorder="1" applyAlignment="1">
      <alignment horizontal="right" vertical="center" wrapText="1"/>
    </xf>
    <xf numFmtId="1" fontId="5" fillId="0" borderId="1" xfId="1" applyNumberFormat="1" applyFont="1" applyFill="1" applyBorder="1" applyAlignment="1">
      <alignment horizontal="left" vertical="center" wrapText="1"/>
    </xf>
    <xf numFmtId="164" fontId="6" fillId="7" borderId="4" xfId="1" applyNumberFormat="1" applyFont="1" applyFill="1" applyBorder="1" applyAlignment="1">
      <alignment horizontal="right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left" vertical="center" wrapText="1"/>
    </xf>
    <xf numFmtId="44" fontId="6" fillId="7" borderId="1" xfId="2" applyFont="1" applyFill="1" applyBorder="1" applyAlignment="1">
      <alignment horizontal="right" vertical="center" wrapText="1"/>
    </xf>
    <xf numFmtId="1" fontId="6" fillId="0" borderId="12" xfId="1" applyNumberFormat="1" applyFont="1" applyFill="1" applyBorder="1" applyAlignment="1">
      <alignment horizontal="right" vertical="center" wrapText="1"/>
    </xf>
    <xf numFmtId="171" fontId="6" fillId="0" borderId="1" xfId="5" applyNumberFormat="1" applyFont="1" applyFill="1" applyBorder="1" applyAlignment="1">
      <alignment horizontal="right" vertical="center" wrapText="1"/>
    </xf>
    <xf numFmtId="0" fontId="11" fillId="8" borderId="1" xfId="0" applyFont="1" applyFill="1" applyBorder="1" applyAlignment="1">
      <alignment horizontal="center" vertical="center" wrapText="1"/>
    </xf>
    <xf numFmtId="170" fontId="6" fillId="0" borderId="1" xfId="1" applyNumberFormat="1" applyFont="1" applyFill="1" applyBorder="1" applyAlignment="1">
      <alignment horizontal="right" vertical="center" wrapText="1"/>
    </xf>
    <xf numFmtId="0" fontId="19" fillId="0" borderId="0" xfId="0" applyFont="1"/>
    <xf numFmtId="169" fontId="6" fillId="7" borderId="4" xfId="1" applyNumberFormat="1" applyFont="1" applyFill="1" applyBorder="1" applyAlignment="1">
      <alignment horizontal="right" vertical="center" wrapText="1"/>
    </xf>
    <xf numFmtId="1" fontId="6" fillId="0" borderId="1" xfId="1" applyNumberFormat="1" applyFont="1" applyBorder="1" applyAlignment="1">
      <alignment horizontal="left" vertical="center" wrapText="1"/>
    </xf>
    <xf numFmtId="169" fontId="6" fillId="0" borderId="1" xfId="1" applyNumberFormat="1" applyFont="1" applyBorder="1" applyAlignment="1">
      <alignment horizontal="right" vertical="center" wrapText="1"/>
    </xf>
    <xf numFmtId="1" fontId="6" fillId="0" borderId="5" xfId="1" applyNumberFormat="1" applyFont="1" applyFill="1" applyBorder="1" applyAlignment="1">
      <alignment vertical="center" wrapText="1"/>
    </xf>
    <xf numFmtId="164" fontId="6" fillId="7" borderId="0" xfId="0" applyNumberFormat="1" applyFont="1" applyFill="1"/>
    <xf numFmtId="165" fontId="3" fillId="2" borderId="1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1" fontId="6" fillId="0" borderId="6" xfId="1" applyNumberFormat="1" applyFont="1" applyFill="1" applyBorder="1" applyAlignment="1">
      <alignment horizontal="left" vertical="center" wrapText="1"/>
    </xf>
    <xf numFmtId="1" fontId="6" fillId="0" borderId="6" xfId="1" applyNumberFormat="1" applyFont="1" applyFill="1" applyBorder="1" applyAlignment="1">
      <alignment vertical="center" wrapText="1"/>
    </xf>
    <xf numFmtId="1" fontId="6" fillId="0" borderId="5" xfId="1" applyNumberFormat="1" applyFont="1" applyBorder="1" applyAlignment="1">
      <alignment vertical="center" wrapText="1"/>
    </xf>
    <xf numFmtId="1" fontId="6" fillId="0" borderId="6" xfId="1" applyNumberFormat="1" applyFont="1" applyBorder="1" applyAlignment="1">
      <alignment vertical="center" wrapText="1"/>
    </xf>
    <xf numFmtId="3" fontId="3" fillId="3" borderId="3" xfId="1" applyNumberFormat="1" applyFont="1" applyFill="1" applyBorder="1" applyAlignment="1">
      <alignment horizontal="left" vertical="center"/>
    </xf>
    <xf numFmtId="168" fontId="6" fillId="0" borderId="12" xfId="1" applyNumberFormat="1" applyFont="1" applyFill="1" applyBorder="1" applyAlignment="1">
      <alignment horizontal="right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1" fontId="6" fillId="0" borderId="5" xfId="1" applyNumberFormat="1" applyFont="1" applyFill="1" applyBorder="1" applyAlignment="1">
      <alignment horizontal="left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167" fontId="3" fillId="3" borderId="3" xfId="2" applyNumberFormat="1" applyFont="1" applyFill="1" applyBorder="1" applyAlignment="1">
      <alignment horizontal="center" vertical="center"/>
    </xf>
    <xf numFmtId="3" fontId="12" fillId="0" borderId="0" xfId="0" applyNumberFormat="1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 wrapText="1"/>
    </xf>
    <xf numFmtId="1" fontId="6" fillId="0" borderId="4" xfId="1" applyNumberFormat="1" applyFont="1" applyFill="1" applyBorder="1" applyAlignment="1">
      <alignment horizontal="left" vertical="center" wrapText="1"/>
    </xf>
    <xf numFmtId="1" fontId="6" fillId="0" borderId="12" xfId="1" applyNumberFormat="1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/>
    <xf numFmtId="0" fontId="9" fillId="0" borderId="1" xfId="0" applyFont="1" applyFill="1" applyBorder="1"/>
    <xf numFmtId="168" fontId="0" fillId="0" borderId="1" xfId="1" applyNumberFormat="1" applyFont="1" applyBorder="1"/>
    <xf numFmtId="0" fontId="0" fillId="0" borderId="1" xfId="0" applyFont="1" applyBorder="1"/>
    <xf numFmtId="0" fontId="0" fillId="0" borderId="1" xfId="0" applyFont="1" applyFill="1" applyBorder="1"/>
    <xf numFmtId="168" fontId="3" fillId="6" borderId="4" xfId="1" applyNumberFormat="1" applyFont="1" applyFill="1" applyBorder="1" applyAlignment="1">
      <alignment vertical="center"/>
    </xf>
    <xf numFmtId="3" fontId="6" fillId="7" borderId="5" xfId="1" applyNumberFormat="1" applyFont="1" applyFill="1" applyBorder="1" applyAlignment="1">
      <alignment horizontal="right" vertical="center" wrapText="1"/>
    </xf>
    <xf numFmtId="3" fontId="6" fillId="7" borderId="7" xfId="1" applyNumberFormat="1" applyFont="1" applyFill="1" applyBorder="1" applyAlignment="1">
      <alignment horizontal="right" vertical="center" wrapText="1"/>
    </xf>
    <xf numFmtId="169" fontId="6" fillId="7" borderId="7" xfId="1" applyNumberFormat="1" applyFont="1" applyFill="1" applyBorder="1" applyAlignment="1">
      <alignment horizontal="right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7" fontId="6" fillId="0" borderId="5" xfId="1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168" fontId="5" fillId="6" borderId="1" xfId="1" applyNumberFormat="1" applyFont="1" applyFill="1" applyBorder="1" applyAlignment="1">
      <alignment horizontal="right" vertical="center" wrapText="1"/>
    </xf>
    <xf numFmtId="1" fontId="6" fillId="2" borderId="2" xfId="1" applyNumberFormat="1" applyFont="1" applyFill="1" applyBorder="1" applyAlignment="1">
      <alignment horizontal="center" vertical="center" wrapText="1"/>
    </xf>
    <xf numFmtId="1" fontId="6" fillId="2" borderId="3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left" vertical="center" wrapText="1"/>
    </xf>
    <xf numFmtId="1" fontId="6" fillId="0" borderId="12" xfId="1" applyNumberFormat="1" applyFont="1" applyBorder="1" applyAlignment="1">
      <alignment horizontal="left" vertical="center" wrapText="1"/>
    </xf>
    <xf numFmtId="1" fontId="6" fillId="0" borderId="6" xfId="1" applyNumberFormat="1" applyFont="1" applyBorder="1" applyAlignment="1">
      <alignment horizontal="left" vertical="center" wrapText="1"/>
    </xf>
    <xf numFmtId="1" fontId="6" fillId="0" borderId="12" xfId="1" applyNumberFormat="1" applyFont="1" applyFill="1" applyBorder="1" applyAlignment="1">
      <alignment horizontal="left" vertical="center" wrapText="1"/>
    </xf>
    <xf numFmtId="1" fontId="6" fillId="0" borderId="6" xfId="1" applyNumberFormat="1" applyFont="1" applyFill="1" applyBorder="1" applyAlignment="1">
      <alignment horizontal="left" vertical="center" wrapText="1"/>
    </xf>
    <xf numFmtId="1" fontId="6" fillId="0" borderId="5" xfId="1" applyNumberFormat="1" applyFont="1" applyFill="1" applyBorder="1" applyAlignment="1">
      <alignment horizontal="left" vertical="center" wrapText="1"/>
    </xf>
    <xf numFmtId="1" fontId="6" fillId="0" borderId="5" xfId="1" applyNumberFormat="1" applyFont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1" fontId="5" fillId="6" borderId="1" xfId="1" applyNumberFormat="1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 wrapText="1"/>
    </xf>
    <xf numFmtId="168" fontId="11" fillId="8" borderId="1" xfId="0" applyNumberFormat="1" applyFont="1" applyFill="1" applyBorder="1" applyAlignment="1">
      <alignment horizontal="center" vertical="center" wrapText="1"/>
    </xf>
    <xf numFmtId="167" fontId="3" fillId="3" borderId="2" xfId="2" applyNumberFormat="1" applyFont="1" applyFill="1" applyBorder="1" applyAlignment="1">
      <alignment horizontal="center" vertical="center"/>
    </xf>
    <xf numFmtId="167" fontId="3" fillId="3" borderId="3" xfId="2" applyNumberFormat="1" applyFont="1" applyFill="1" applyBorder="1" applyAlignment="1">
      <alignment horizontal="center" vertical="center"/>
    </xf>
    <xf numFmtId="167" fontId="3" fillId="3" borderId="4" xfId="2" applyNumberFormat="1" applyFont="1" applyFill="1" applyBorder="1" applyAlignment="1">
      <alignment horizontal="center" vertical="center"/>
    </xf>
    <xf numFmtId="167" fontId="3" fillId="3" borderId="1" xfId="2" applyNumberFormat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horizontal="center" vertical="center" wrapText="1"/>
    </xf>
    <xf numFmtId="165" fontId="3" fillId="2" borderId="6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/>
    </xf>
    <xf numFmtId="3" fontId="3" fillId="3" borderId="4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/>
    </xf>
    <xf numFmtId="3" fontId="3" fillId="3" borderId="3" xfId="1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6" fillId="0" borderId="5" xfId="1" applyNumberFormat="1" applyFont="1" applyBorder="1" applyAlignment="1">
      <alignment vertical="center" wrapText="1"/>
    </xf>
    <xf numFmtId="1" fontId="6" fillId="0" borderId="12" xfId="1" applyNumberFormat="1" applyFont="1" applyBorder="1" applyAlignment="1">
      <alignment vertical="center" wrapText="1"/>
    </xf>
    <xf numFmtId="1" fontId="6" fillId="0" borderId="6" xfId="1" applyNumberFormat="1" applyFont="1" applyBorder="1" applyAlignment="1">
      <alignment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9" xfId="1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 wrapText="1"/>
    </xf>
    <xf numFmtId="165" fontId="3" fillId="2" borderId="10" xfId="1" applyNumberFormat="1" applyFont="1" applyFill="1" applyBorder="1" applyAlignment="1">
      <alignment horizontal="center" vertical="center" wrapText="1"/>
    </xf>
    <xf numFmtId="165" fontId="3" fillId="2" borderId="1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5" fontId="3" fillId="2" borderId="8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9" fontId="5" fillId="3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164" fontId="3" fillId="3" borderId="2" xfId="0" applyNumberFormat="1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left"/>
    </xf>
    <xf numFmtId="167" fontId="5" fillId="3" borderId="1" xfId="1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urrency" xfId="2" builtinId="4"/>
    <cellStyle name="Currency 2" xfId="4" xr:uid="{C8921A53-D3BF-4C37-9A1F-4B6E6105BD39}"/>
    <cellStyle name="Normal" xfId="0" builtinId="0"/>
    <cellStyle name="Normal 2" xfId="3" xr:uid="{4DFC4194-A011-40B5-8DE2-6CC8082FB70C}"/>
    <cellStyle name="Percent" xfId="5" builtinId="5"/>
  </cellStyles>
  <dxfs count="1">
    <dxf>
      <font>
        <color theme="1" tint="0.499984740745262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0BFB-92DD-498C-9CC7-AA64B42C8279}">
  <sheetPr>
    <tabColor theme="8"/>
  </sheetPr>
  <dimension ref="B2:F22"/>
  <sheetViews>
    <sheetView workbookViewId="0">
      <selection activeCell="E11" sqref="E11"/>
    </sheetView>
  </sheetViews>
  <sheetFormatPr defaultRowHeight="15" x14ac:dyDescent="0.25"/>
  <cols>
    <col min="2" max="2" width="18.28515625" bestFit="1" customWidth="1"/>
    <col min="3" max="3" width="36.5703125" bestFit="1" customWidth="1"/>
    <col min="4" max="4" width="18.140625" bestFit="1" customWidth="1"/>
    <col min="5" max="5" width="17.42578125" bestFit="1" customWidth="1"/>
    <col min="6" max="6" width="30.28515625" bestFit="1" customWidth="1"/>
  </cols>
  <sheetData>
    <row r="2" spans="2:6" x14ac:dyDescent="0.25">
      <c r="B2" s="112" t="s">
        <v>198</v>
      </c>
      <c r="C2" s="112" t="s">
        <v>204</v>
      </c>
    </row>
    <row r="3" spans="2:6" x14ac:dyDescent="0.25">
      <c r="B3" s="111" t="s">
        <v>50</v>
      </c>
      <c r="C3" s="111">
        <v>6</v>
      </c>
    </row>
    <row r="4" spans="2:6" x14ac:dyDescent="0.25">
      <c r="B4" s="111" t="s">
        <v>199</v>
      </c>
      <c r="C4" s="111">
        <v>61</v>
      </c>
    </row>
    <row r="5" spans="2:6" x14ac:dyDescent="0.25">
      <c r="B5" s="111" t="s">
        <v>200</v>
      </c>
      <c r="C5" s="111">
        <v>16</v>
      </c>
    </row>
    <row r="6" spans="2:6" x14ac:dyDescent="0.25">
      <c r="B6" s="111" t="s">
        <v>201</v>
      </c>
      <c r="C6" s="111">
        <v>20</v>
      </c>
    </row>
    <row r="7" spans="2:6" x14ac:dyDescent="0.25">
      <c r="B7" s="111" t="s">
        <v>202</v>
      </c>
      <c r="C7" s="111">
        <v>3</v>
      </c>
    </row>
    <row r="9" spans="2:6" x14ac:dyDescent="0.25">
      <c r="B9" s="112" t="s">
        <v>221</v>
      </c>
      <c r="C9" s="112" t="s">
        <v>204</v>
      </c>
    </row>
    <row r="10" spans="2:6" x14ac:dyDescent="0.25">
      <c r="B10" s="115" t="s">
        <v>222</v>
      </c>
      <c r="C10" s="115">
        <v>6</v>
      </c>
    </row>
    <row r="11" spans="2:6" x14ac:dyDescent="0.25">
      <c r="B11" s="115" t="s">
        <v>223</v>
      </c>
      <c r="C11" s="115">
        <v>2</v>
      </c>
    </row>
    <row r="12" spans="2:6" x14ac:dyDescent="0.25">
      <c r="B12" s="116" t="s">
        <v>224</v>
      </c>
      <c r="C12" s="115">
        <v>2</v>
      </c>
    </row>
    <row r="13" spans="2:6" x14ac:dyDescent="0.25">
      <c r="B13" s="116" t="s">
        <v>201</v>
      </c>
      <c r="C13" s="115"/>
    </row>
    <row r="15" spans="2:6" x14ac:dyDescent="0.25">
      <c r="B15" s="112" t="s">
        <v>203</v>
      </c>
      <c r="C15" s="112" t="s">
        <v>204</v>
      </c>
      <c r="D15" s="112" t="s">
        <v>205</v>
      </c>
      <c r="E15" s="112" t="s">
        <v>206</v>
      </c>
      <c r="F15" s="113" t="s">
        <v>212</v>
      </c>
    </row>
    <row r="16" spans="2:6" x14ac:dyDescent="0.25">
      <c r="B16" s="111" t="s">
        <v>207</v>
      </c>
      <c r="C16" s="111">
        <v>6</v>
      </c>
      <c r="D16" s="111">
        <v>13</v>
      </c>
      <c r="E16" s="111">
        <v>6</v>
      </c>
      <c r="F16" s="114">
        <f t="shared" ref="F16:F19" si="0">D16/C16*12/E16</f>
        <v>4.333333333333333</v>
      </c>
    </row>
    <row r="17" spans="2:6" x14ac:dyDescent="0.25">
      <c r="B17" s="111" t="s">
        <v>208</v>
      </c>
      <c r="C17" s="111">
        <v>23</v>
      </c>
      <c r="D17" s="111">
        <v>47</v>
      </c>
      <c r="E17" s="111">
        <v>6</v>
      </c>
      <c r="F17" s="114">
        <f t="shared" si="0"/>
        <v>4.0869565217391308</v>
      </c>
    </row>
    <row r="18" spans="2:6" x14ac:dyDescent="0.25">
      <c r="B18" s="111" t="s">
        <v>209</v>
      </c>
      <c r="C18" s="111">
        <v>5</v>
      </c>
      <c r="D18" s="111">
        <v>25</v>
      </c>
      <c r="E18" s="111">
        <v>6</v>
      </c>
      <c r="F18" s="114">
        <f t="shared" si="0"/>
        <v>10</v>
      </c>
    </row>
    <row r="19" spans="2:6" x14ac:dyDescent="0.25">
      <c r="B19" s="111" t="s">
        <v>210</v>
      </c>
      <c r="C19" s="111">
        <v>2</v>
      </c>
      <c r="D19" s="111">
        <v>16</v>
      </c>
      <c r="E19" s="111">
        <v>3</v>
      </c>
      <c r="F19" s="114">
        <f t="shared" si="0"/>
        <v>32</v>
      </c>
    </row>
    <row r="20" spans="2:6" x14ac:dyDescent="0.25">
      <c r="B20" s="111" t="s">
        <v>211</v>
      </c>
      <c r="C20" s="111">
        <v>1</v>
      </c>
      <c r="D20" s="111">
        <v>2</v>
      </c>
      <c r="E20" s="111">
        <v>6</v>
      </c>
      <c r="F20" s="114">
        <f>D20/C20*12/E20</f>
        <v>4</v>
      </c>
    </row>
    <row r="22" spans="2:6" x14ac:dyDescent="0.25">
      <c r="B22" t="s">
        <v>213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5FC9D-FC5B-4906-A09C-7FF1B5F9DF46}">
  <sheetPr codeName="Sheet1">
    <tabColor theme="8"/>
  </sheetPr>
  <dimension ref="A1:AL86"/>
  <sheetViews>
    <sheetView topLeftCell="A48" zoomScaleNormal="100" workbookViewId="0">
      <selection activeCell="V53" sqref="V53"/>
    </sheetView>
  </sheetViews>
  <sheetFormatPr defaultRowHeight="15" x14ac:dyDescent="0.25"/>
  <cols>
    <col min="1" max="1" width="4.140625" customWidth="1"/>
    <col min="2" max="2" width="20.42578125" customWidth="1"/>
    <col min="3" max="3" width="67.140625" bestFit="1" customWidth="1"/>
    <col min="4" max="5" width="9.140625" customWidth="1"/>
    <col min="6" max="6" width="10.42578125" customWidth="1"/>
    <col min="7" max="7" width="12.5703125" customWidth="1"/>
    <col min="8" max="8" width="105.85546875" customWidth="1"/>
    <col min="10" max="10" width="20.7109375" customWidth="1"/>
    <col min="11" max="11" width="68.140625" customWidth="1"/>
    <col min="12" max="14" width="9.28515625" customWidth="1"/>
    <col min="15" max="15" width="6.5703125" customWidth="1"/>
    <col min="16" max="16" width="38.5703125" customWidth="1"/>
    <col min="17" max="17" width="12.5703125" customWidth="1"/>
    <col min="18" max="18" width="13.42578125" customWidth="1"/>
    <col min="19" max="19" width="12.140625" customWidth="1"/>
    <col min="20" max="20" width="12.28515625" customWidth="1"/>
    <col min="21" max="21" width="10.42578125" customWidth="1"/>
    <col min="22" max="23" width="13.7109375" customWidth="1"/>
    <col min="26" max="26" width="11.7109375" customWidth="1"/>
    <col min="27" max="27" width="5.85546875" customWidth="1"/>
    <col min="28" max="28" width="12.28515625" customWidth="1"/>
    <col min="29" max="29" width="11.28515625" customWidth="1"/>
    <col min="30" max="30" width="14.28515625" customWidth="1"/>
    <col min="32" max="34" width="14.28515625" customWidth="1"/>
    <col min="35" max="35" width="18.42578125" customWidth="1"/>
    <col min="36" max="36" width="12.42578125" customWidth="1"/>
    <col min="37" max="37" width="12.85546875" customWidth="1"/>
    <col min="38" max="38" width="11" customWidth="1"/>
  </cols>
  <sheetData>
    <row r="1" spans="1:38" s="20" customFormat="1" ht="18.75" x14ac:dyDescent="0.3">
      <c r="A1" s="20" t="s">
        <v>0</v>
      </c>
    </row>
    <row r="2" spans="1:38" s="22" customFormat="1" x14ac:dyDescent="0.25"/>
    <row r="3" spans="1:38" x14ac:dyDescent="0.25">
      <c r="J3" s="22" t="s">
        <v>1</v>
      </c>
      <c r="P3" s="22" t="s">
        <v>2</v>
      </c>
      <c r="AB3" s="22" t="s">
        <v>3</v>
      </c>
      <c r="AF3" s="22" t="s">
        <v>4</v>
      </c>
      <c r="AG3" s="22"/>
      <c r="AH3" s="22"/>
      <c r="AI3" s="22"/>
    </row>
    <row r="4" spans="1:38" ht="36" x14ac:dyDescent="0.25">
      <c r="B4" s="66" t="s">
        <v>5</v>
      </c>
      <c r="C4" s="66" t="s">
        <v>6</v>
      </c>
      <c r="D4" s="66" t="s">
        <v>7</v>
      </c>
      <c r="E4" s="66" t="s">
        <v>8</v>
      </c>
      <c r="F4" s="73" t="s">
        <v>9</v>
      </c>
      <c r="G4" s="66" t="s">
        <v>10</v>
      </c>
      <c r="H4" s="66" t="s">
        <v>11</v>
      </c>
      <c r="J4" s="66" t="s">
        <v>5</v>
      </c>
      <c r="K4" s="66" t="s">
        <v>6</v>
      </c>
      <c r="L4" s="66" t="s">
        <v>192</v>
      </c>
      <c r="M4" s="66" t="s">
        <v>193</v>
      </c>
      <c r="N4" s="66" t="s">
        <v>194</v>
      </c>
      <c r="P4" s="66" t="s">
        <v>12</v>
      </c>
      <c r="Q4" s="66" t="s">
        <v>13</v>
      </c>
      <c r="R4" s="66" t="s">
        <v>14</v>
      </c>
      <c r="S4" s="66" t="s">
        <v>15</v>
      </c>
      <c r="T4" s="66" t="s">
        <v>16</v>
      </c>
      <c r="U4" s="66" t="s">
        <v>17</v>
      </c>
      <c r="V4" s="66" t="s">
        <v>18</v>
      </c>
      <c r="W4" s="66" t="s">
        <v>19</v>
      </c>
      <c r="X4" s="66" t="s">
        <v>20</v>
      </c>
      <c r="Y4" s="66" t="s">
        <v>21</v>
      </c>
      <c r="Z4" s="66" t="s">
        <v>22</v>
      </c>
      <c r="AB4" s="66" t="s">
        <v>23</v>
      </c>
      <c r="AC4" s="66" t="s">
        <v>24</v>
      </c>
      <c r="AD4" s="66" t="s">
        <v>25</v>
      </c>
      <c r="AF4" s="66" t="s">
        <v>12</v>
      </c>
      <c r="AG4" s="66" t="s">
        <v>26</v>
      </c>
      <c r="AH4" s="66" t="s">
        <v>27</v>
      </c>
      <c r="AI4" s="66" t="s">
        <v>28</v>
      </c>
      <c r="AJ4" s="66" t="s">
        <v>20</v>
      </c>
      <c r="AK4" s="66" t="s">
        <v>21</v>
      </c>
      <c r="AL4" s="66" t="s">
        <v>22</v>
      </c>
    </row>
    <row r="5" spans="1:38" x14ac:dyDescent="0.25">
      <c r="B5" s="129" t="s">
        <v>29</v>
      </c>
      <c r="C5" s="64" t="s">
        <v>30</v>
      </c>
      <c r="D5" s="43">
        <v>100</v>
      </c>
      <c r="E5" s="43">
        <v>0</v>
      </c>
      <c r="F5" s="43">
        <v>1</v>
      </c>
      <c r="G5" s="43">
        <v>1</v>
      </c>
      <c r="H5" s="89" t="s">
        <v>197</v>
      </c>
      <c r="J5" s="129" t="s">
        <v>29</v>
      </c>
      <c r="K5" s="64" t="str">
        <f t="shared" ref="K5:K36" si="0">C5</f>
        <v>Submit one-time producer report</v>
      </c>
      <c r="L5" s="43">
        <f>1/$G$5*$G$5</f>
        <v>1</v>
      </c>
      <c r="M5" s="43">
        <f t="shared" ref="M5:N5" si="1">1/$G$5*$G$5</f>
        <v>1</v>
      </c>
      <c r="N5" s="43">
        <f t="shared" si="1"/>
        <v>1</v>
      </c>
      <c r="P5" s="64" t="s">
        <v>31</v>
      </c>
      <c r="Q5" s="74">
        <f>5.94*10^6</f>
        <v>5940000</v>
      </c>
      <c r="R5" s="74">
        <v>30</v>
      </c>
      <c r="S5" s="74">
        <f>Q5*R5</f>
        <v>178200000</v>
      </c>
      <c r="T5" s="74">
        <v>60000</v>
      </c>
      <c r="U5" s="74">
        <f>S5/T5</f>
        <v>2970</v>
      </c>
      <c r="V5" s="74">
        <f>SUM(G5,G15)</f>
        <v>62</v>
      </c>
      <c r="W5" s="31">
        <f>U5/V5</f>
        <v>47.903225806451616</v>
      </c>
      <c r="X5" s="74">
        <v>2</v>
      </c>
      <c r="Y5" s="64" t="s">
        <v>32</v>
      </c>
      <c r="Z5" s="79">
        <f>IF(Y5="Hours",X5,IF(Y5="Minutes",X5/60,X5/3600))</f>
        <v>2</v>
      </c>
      <c r="AB5" s="28">
        <f>ROUND(37.14*2.1,2)</f>
        <v>77.989999999999995</v>
      </c>
      <c r="AC5" s="74">
        <v>80</v>
      </c>
      <c r="AD5" s="82">
        <f>AB5*AC5</f>
        <v>6239.2</v>
      </c>
      <c r="AF5" s="64" t="s">
        <v>33</v>
      </c>
      <c r="AG5" s="74">
        <v>7500</v>
      </c>
      <c r="AH5" s="74">
        <f>G15</f>
        <v>61</v>
      </c>
      <c r="AI5" s="31">
        <f>AG5/AH5</f>
        <v>122.95081967213115</v>
      </c>
      <c r="AJ5" s="74">
        <v>15</v>
      </c>
      <c r="AK5" s="64" t="s">
        <v>34</v>
      </c>
      <c r="AL5" s="79">
        <f>IF(AK5="Hours",AJ5,IF(AK5="Minutes",AJ5/60,AJ5/3600))</f>
        <v>0.25</v>
      </c>
    </row>
    <row r="6" spans="1:38" x14ac:dyDescent="0.25">
      <c r="B6" s="130"/>
      <c r="C6" s="64" t="s">
        <v>35</v>
      </c>
      <c r="D6" s="43">
        <f>6</f>
        <v>6</v>
      </c>
      <c r="E6" s="43">
        <v>0</v>
      </c>
      <c r="F6" s="43">
        <v>4</v>
      </c>
      <c r="G6" s="43">
        <v>6</v>
      </c>
      <c r="H6" s="89" t="s">
        <v>196</v>
      </c>
      <c r="J6" s="130"/>
      <c r="K6" s="64" t="str">
        <f t="shared" si="0"/>
        <v>Submit quarterly report</v>
      </c>
      <c r="L6" s="43">
        <f>$G6</f>
        <v>6</v>
      </c>
      <c r="M6" s="43">
        <f t="shared" ref="M6:N8" si="2">$G6</f>
        <v>6</v>
      </c>
      <c r="N6" s="43">
        <f t="shared" si="2"/>
        <v>6</v>
      </c>
      <c r="P6" s="64" t="s">
        <v>36</v>
      </c>
      <c r="Q6" s="74">
        <f>Q5</f>
        <v>5940000</v>
      </c>
      <c r="R6" s="74" t="s">
        <v>37</v>
      </c>
      <c r="S6" s="74" t="s">
        <v>37</v>
      </c>
      <c r="T6" s="74" t="s">
        <v>37</v>
      </c>
      <c r="U6" s="74" t="s">
        <v>37</v>
      </c>
      <c r="V6" s="74">
        <f>SUM(G54,G60)</f>
        <v>51</v>
      </c>
      <c r="W6" s="76">
        <f>Q6/V6</f>
        <v>116470.58823529411</v>
      </c>
      <c r="X6" s="74">
        <v>20</v>
      </c>
      <c r="Y6" s="64" t="s">
        <v>38</v>
      </c>
      <c r="Z6" s="75">
        <f t="shared" ref="Z6:Z7" si="3">IF(Y6="Hours",X6,IF(Y6="Minutes",X6/60,X6/3600))</f>
        <v>5.5555555555555558E-3</v>
      </c>
    </row>
    <row r="7" spans="1:38" x14ac:dyDescent="0.25">
      <c r="B7" s="130"/>
      <c r="C7" s="64" t="s">
        <v>39</v>
      </c>
      <c r="D7" s="43">
        <v>40</v>
      </c>
      <c r="E7" s="43">
        <v>0</v>
      </c>
      <c r="F7" s="43">
        <v>1</v>
      </c>
      <c r="G7" s="43">
        <f>G6</f>
        <v>6</v>
      </c>
      <c r="H7" s="89" t="s">
        <v>196</v>
      </c>
      <c r="J7" s="130"/>
      <c r="K7" s="64" t="str">
        <f t="shared" si="0"/>
        <v>Submit annual inventory report (part of quarterly report)</v>
      </c>
      <c r="L7" s="43">
        <f>$G7</f>
        <v>6</v>
      </c>
      <c r="M7" s="43">
        <f t="shared" si="2"/>
        <v>6</v>
      </c>
      <c r="N7" s="43">
        <f t="shared" si="2"/>
        <v>6</v>
      </c>
      <c r="P7" s="64" t="s">
        <v>40</v>
      </c>
      <c r="Q7" s="74">
        <f>1.5*Q6</f>
        <v>8910000</v>
      </c>
      <c r="R7" s="74" t="s">
        <v>37</v>
      </c>
      <c r="S7" s="74" t="s">
        <v>37</v>
      </c>
      <c r="T7" s="74" t="s">
        <v>37</v>
      </c>
      <c r="U7" s="74" t="s">
        <v>37</v>
      </c>
      <c r="V7" s="74">
        <f>G37</f>
        <v>10000</v>
      </c>
      <c r="W7" s="31">
        <f>Q7/V7</f>
        <v>891</v>
      </c>
      <c r="X7" s="74">
        <v>10</v>
      </c>
      <c r="Y7" s="64" t="s">
        <v>38</v>
      </c>
      <c r="Z7" s="75">
        <f t="shared" si="3"/>
        <v>2.7777777777777779E-3</v>
      </c>
    </row>
    <row r="8" spans="1:38" x14ac:dyDescent="0.25">
      <c r="B8" s="130"/>
      <c r="C8" s="64" t="s">
        <v>41</v>
      </c>
      <c r="D8" s="43">
        <v>0</v>
      </c>
      <c r="E8" s="43">
        <v>100</v>
      </c>
      <c r="F8" s="43">
        <v>1</v>
      </c>
      <c r="G8" s="43">
        <f>G6</f>
        <v>6</v>
      </c>
      <c r="H8" s="89" t="s">
        <v>196</v>
      </c>
      <c r="J8" s="130"/>
      <c r="K8" s="64" t="str">
        <f t="shared" si="0"/>
        <v>Maintain records</v>
      </c>
      <c r="L8" s="43">
        <f>$G8</f>
        <v>6</v>
      </c>
      <c r="M8" s="43">
        <f t="shared" si="2"/>
        <v>6</v>
      </c>
      <c r="N8" s="43">
        <f t="shared" si="2"/>
        <v>6</v>
      </c>
    </row>
    <row r="9" spans="1:38" x14ac:dyDescent="0.25">
      <c r="B9" s="130"/>
      <c r="C9" s="64" t="s">
        <v>42</v>
      </c>
      <c r="D9" s="51">
        <v>0.5</v>
      </c>
      <c r="E9" s="43">
        <v>0</v>
      </c>
      <c r="F9" s="43">
        <v>1</v>
      </c>
      <c r="G9" s="43">
        <f>G6</f>
        <v>6</v>
      </c>
      <c r="H9" s="89" t="s">
        <v>196</v>
      </c>
      <c r="J9" s="130"/>
      <c r="K9" s="64" t="str">
        <f t="shared" si="0"/>
        <v>Register with certification ID system</v>
      </c>
      <c r="L9" s="43">
        <f>$G9*Q13</f>
        <v>6</v>
      </c>
      <c r="M9" s="43">
        <f>$G9*R13</f>
        <v>1</v>
      </c>
      <c r="N9" s="43">
        <f>$G9*S13</f>
        <v>1</v>
      </c>
    </row>
    <row r="10" spans="1:38" x14ac:dyDescent="0.25">
      <c r="B10" s="130"/>
      <c r="C10" s="64" t="s">
        <v>43</v>
      </c>
      <c r="D10" s="43">
        <f>Z5</f>
        <v>2</v>
      </c>
      <c r="E10" s="43">
        <v>0</v>
      </c>
      <c r="F10" s="43">
        <f>W5</f>
        <v>47.903225806451616</v>
      </c>
      <c r="G10" s="43">
        <f>G6</f>
        <v>6</v>
      </c>
      <c r="H10" s="89" t="s">
        <v>44</v>
      </c>
      <c r="J10" s="130"/>
      <c r="K10" s="64" t="str">
        <f t="shared" si="0"/>
        <v>Enter data into certification ID system</v>
      </c>
      <c r="L10" s="43">
        <f>$G10*Q24</f>
        <v>1.5</v>
      </c>
      <c r="M10" s="43">
        <f>$G10*R24</f>
        <v>6</v>
      </c>
      <c r="N10" s="43">
        <f>$G10*S24</f>
        <v>6</v>
      </c>
      <c r="P10" s="22" t="s">
        <v>45</v>
      </c>
    </row>
    <row r="11" spans="1:38" ht="15.75" customHeight="1" x14ac:dyDescent="0.25">
      <c r="B11" s="130"/>
      <c r="C11" s="64" t="s">
        <v>47</v>
      </c>
      <c r="D11" s="43">
        <v>12</v>
      </c>
      <c r="E11" s="43">
        <v>0</v>
      </c>
      <c r="F11" s="43">
        <v>1</v>
      </c>
      <c r="G11" s="43">
        <v>4</v>
      </c>
      <c r="H11" s="64" t="s">
        <v>48</v>
      </c>
      <c r="J11" s="130"/>
      <c r="K11" s="64" t="str">
        <f t="shared" si="0"/>
        <v>Submit annual HFC-23 emissions report</v>
      </c>
      <c r="L11" s="43">
        <f t="shared" ref="L11:N17" si="4">$G11</f>
        <v>4</v>
      </c>
      <c r="M11" s="43">
        <f t="shared" si="4"/>
        <v>4</v>
      </c>
      <c r="N11" s="43">
        <f t="shared" si="4"/>
        <v>4</v>
      </c>
      <c r="Q11" s="126" t="s">
        <v>46</v>
      </c>
      <c r="R11" s="127"/>
      <c r="S11" s="128"/>
    </row>
    <row r="12" spans="1:38" x14ac:dyDescent="0.25">
      <c r="B12" s="130"/>
      <c r="C12" s="64" t="s">
        <v>49</v>
      </c>
      <c r="D12" s="44">
        <v>0.25</v>
      </c>
      <c r="E12" s="43">
        <v>0</v>
      </c>
      <c r="F12" s="43">
        <v>2</v>
      </c>
      <c r="G12" s="43">
        <v>4</v>
      </c>
      <c r="H12" s="64"/>
      <c r="J12" s="130"/>
      <c r="K12" s="64" t="str">
        <f t="shared" si="0"/>
        <v>Submit HFC-23 proof of destruction</v>
      </c>
      <c r="L12" s="43">
        <f t="shared" si="4"/>
        <v>4</v>
      </c>
      <c r="M12" s="43">
        <f t="shared" si="4"/>
        <v>4</v>
      </c>
      <c r="N12" s="43">
        <f t="shared" si="4"/>
        <v>4</v>
      </c>
      <c r="Q12" s="80" t="s">
        <v>192</v>
      </c>
      <c r="R12" s="80" t="s">
        <v>193</v>
      </c>
      <c r="S12" s="80" t="s">
        <v>194</v>
      </c>
    </row>
    <row r="13" spans="1:38" x14ac:dyDescent="0.25">
      <c r="B13" s="130"/>
      <c r="C13" s="64" t="s">
        <v>51</v>
      </c>
      <c r="D13" s="43">
        <v>2</v>
      </c>
      <c r="E13" s="43">
        <v>0</v>
      </c>
      <c r="F13" s="43">
        <v>1</v>
      </c>
      <c r="G13" s="43">
        <f>G39/2</f>
        <v>2</v>
      </c>
      <c r="H13" s="64" t="s">
        <v>52</v>
      </c>
      <c r="J13" s="130"/>
      <c r="K13" s="64" t="str">
        <f t="shared" si="0"/>
        <v>Provide certification to third party (conferrer)</v>
      </c>
      <c r="L13" s="50">
        <f t="shared" si="4"/>
        <v>2</v>
      </c>
      <c r="M13" s="50">
        <f t="shared" si="4"/>
        <v>2</v>
      </c>
      <c r="N13" s="50">
        <f t="shared" si="4"/>
        <v>2</v>
      </c>
      <c r="P13" s="78" t="s">
        <v>50</v>
      </c>
      <c r="Q13" s="77">
        <v>1</v>
      </c>
      <c r="R13" s="77">
        <f>1/$G$9</f>
        <v>0.16666666666666666</v>
      </c>
      <c r="S13" s="77">
        <f>1/$G$9</f>
        <v>0.16666666666666666</v>
      </c>
    </row>
    <row r="14" spans="1:38" x14ac:dyDescent="0.25">
      <c r="B14" s="131"/>
      <c r="C14" s="94" t="s">
        <v>187</v>
      </c>
      <c r="D14" s="43">
        <v>2</v>
      </c>
      <c r="E14" s="43">
        <v>0</v>
      </c>
      <c r="F14" s="43">
        <v>1</v>
      </c>
      <c r="G14" s="43">
        <v>2</v>
      </c>
      <c r="H14" s="103" t="s">
        <v>217</v>
      </c>
      <c r="J14" s="131"/>
      <c r="K14" s="94" t="str">
        <f t="shared" si="0"/>
        <v>Provide certification to third party (exporter)</v>
      </c>
      <c r="L14" s="50">
        <f>$G14</f>
        <v>2</v>
      </c>
      <c r="M14" s="50">
        <f t="shared" si="4"/>
        <v>2</v>
      </c>
      <c r="N14" s="50">
        <f t="shared" si="4"/>
        <v>2</v>
      </c>
      <c r="P14" s="78" t="s">
        <v>33</v>
      </c>
      <c r="Q14" s="77">
        <v>1</v>
      </c>
      <c r="R14" s="84">
        <f>1/$G$18</f>
        <v>1.6393442622950821E-2</v>
      </c>
      <c r="S14" s="84">
        <f>1/$G$18</f>
        <v>1.6393442622950821E-2</v>
      </c>
    </row>
    <row r="15" spans="1:38" x14ac:dyDescent="0.25">
      <c r="B15" s="132" t="s">
        <v>53</v>
      </c>
      <c r="C15" s="64" t="s">
        <v>35</v>
      </c>
      <c r="D15" s="43">
        <f>6</f>
        <v>6</v>
      </c>
      <c r="E15" s="43">
        <v>0</v>
      </c>
      <c r="F15" s="43">
        <v>4</v>
      </c>
      <c r="G15" s="43">
        <f>61</f>
        <v>61</v>
      </c>
      <c r="H15" s="89" t="s">
        <v>215</v>
      </c>
      <c r="J15" s="132" t="s">
        <v>53</v>
      </c>
      <c r="K15" s="64" t="str">
        <f t="shared" si="0"/>
        <v>Submit quarterly report</v>
      </c>
      <c r="L15" s="50">
        <f t="shared" ref="L15:N15" si="5">$G15</f>
        <v>61</v>
      </c>
      <c r="M15" s="50">
        <f t="shared" si="5"/>
        <v>61</v>
      </c>
      <c r="N15" s="50">
        <f t="shared" si="5"/>
        <v>61</v>
      </c>
      <c r="P15" s="78" t="s">
        <v>54</v>
      </c>
      <c r="Q15" s="77">
        <v>0</v>
      </c>
      <c r="R15" s="77">
        <v>1</v>
      </c>
      <c r="S15" s="77">
        <f>1/$G$58</f>
        <v>0.05</v>
      </c>
    </row>
    <row r="16" spans="1:38" x14ac:dyDescent="0.25">
      <c r="B16" s="132"/>
      <c r="C16" s="89" t="s">
        <v>39</v>
      </c>
      <c r="D16" s="43">
        <v>10</v>
      </c>
      <c r="E16" s="43">
        <v>0</v>
      </c>
      <c r="F16" s="43">
        <v>1</v>
      </c>
      <c r="G16" s="43">
        <f>G15</f>
        <v>61</v>
      </c>
      <c r="H16" s="89" t="s">
        <v>215</v>
      </c>
      <c r="J16" s="132"/>
      <c r="K16" s="64" t="str">
        <f t="shared" si="0"/>
        <v>Submit annual inventory report (part of quarterly report)</v>
      </c>
      <c r="L16" s="50">
        <f t="shared" si="4"/>
        <v>61</v>
      </c>
      <c r="M16" s="50">
        <f t="shared" si="4"/>
        <v>61</v>
      </c>
      <c r="N16" s="50">
        <f t="shared" si="4"/>
        <v>61</v>
      </c>
      <c r="P16" s="78" t="s">
        <v>55</v>
      </c>
      <c r="Q16" s="77">
        <v>0</v>
      </c>
      <c r="R16" s="77">
        <v>1</v>
      </c>
      <c r="S16" s="77">
        <f>1/$G$60</f>
        <v>0.02</v>
      </c>
    </row>
    <row r="17" spans="2:19" x14ac:dyDescent="0.25">
      <c r="B17" s="132"/>
      <c r="C17" s="64" t="s">
        <v>41</v>
      </c>
      <c r="D17" s="83">
        <v>0</v>
      </c>
      <c r="E17" s="43">
        <v>100</v>
      </c>
      <c r="F17" s="43">
        <v>1</v>
      </c>
      <c r="G17" s="43">
        <f>G15</f>
        <v>61</v>
      </c>
      <c r="H17" s="89" t="s">
        <v>215</v>
      </c>
      <c r="J17" s="132"/>
      <c r="K17" s="64" t="str">
        <f t="shared" si="0"/>
        <v>Maintain records</v>
      </c>
      <c r="L17" s="50">
        <f t="shared" si="4"/>
        <v>61</v>
      </c>
      <c r="M17" s="50">
        <f t="shared" si="4"/>
        <v>61</v>
      </c>
      <c r="N17" s="50">
        <f t="shared" si="4"/>
        <v>61</v>
      </c>
      <c r="P17" s="78" t="s">
        <v>56</v>
      </c>
      <c r="Q17" s="77">
        <v>0</v>
      </c>
      <c r="R17" s="77">
        <v>1</v>
      </c>
      <c r="S17" s="77">
        <f>1/$G$66</f>
        <v>0.33333333333333331</v>
      </c>
    </row>
    <row r="18" spans="2:19" ht="13.5" customHeight="1" x14ac:dyDescent="0.25">
      <c r="B18" s="132"/>
      <c r="C18" s="64" t="s">
        <v>42</v>
      </c>
      <c r="D18" s="44">
        <v>0.5</v>
      </c>
      <c r="E18" s="43">
        <v>0</v>
      </c>
      <c r="F18" s="43">
        <v>1</v>
      </c>
      <c r="G18" s="43">
        <f>G15</f>
        <v>61</v>
      </c>
      <c r="H18" s="89" t="s">
        <v>215</v>
      </c>
      <c r="J18" s="132"/>
      <c r="K18" s="64" t="str">
        <f t="shared" si="0"/>
        <v>Register with certification ID system</v>
      </c>
      <c r="L18" s="50">
        <f>$G18*Q14</f>
        <v>61</v>
      </c>
      <c r="M18" s="50">
        <f>$G18*R14</f>
        <v>1</v>
      </c>
      <c r="N18" s="50">
        <f>$G18*S14</f>
        <v>1</v>
      </c>
      <c r="P18" s="78" t="s">
        <v>40</v>
      </c>
      <c r="Q18" s="77">
        <v>0</v>
      </c>
      <c r="R18" s="77">
        <v>0</v>
      </c>
      <c r="S18" s="77">
        <v>1</v>
      </c>
    </row>
    <row r="19" spans="2:19" x14ac:dyDescent="0.25">
      <c r="B19" s="132"/>
      <c r="C19" s="64" t="s">
        <v>43</v>
      </c>
      <c r="D19" s="43">
        <f>Z5</f>
        <v>2</v>
      </c>
      <c r="E19" s="43">
        <v>0</v>
      </c>
      <c r="F19" s="43">
        <f>W5</f>
        <v>47.903225806451616</v>
      </c>
      <c r="G19" s="43">
        <f>G15</f>
        <v>61</v>
      </c>
      <c r="H19" s="89" t="s">
        <v>44</v>
      </c>
      <c r="J19" s="132"/>
      <c r="K19" s="64" t="str">
        <f t="shared" si="0"/>
        <v>Enter data into certification ID system</v>
      </c>
      <c r="L19" s="50">
        <f>$G19*Q24</f>
        <v>15.25</v>
      </c>
      <c r="M19" s="50">
        <f>$G19*R24</f>
        <v>61</v>
      </c>
      <c r="N19" s="50">
        <f>$G19*S24</f>
        <v>61</v>
      </c>
      <c r="P19" s="81"/>
      <c r="Q19" s="81"/>
      <c r="R19" s="81"/>
      <c r="S19" s="81"/>
    </row>
    <row r="20" spans="2:19" x14ac:dyDescent="0.25">
      <c r="B20" s="132"/>
      <c r="C20" s="64" t="s">
        <v>59</v>
      </c>
      <c r="D20" s="43">
        <v>2</v>
      </c>
      <c r="E20" s="43">
        <v>0</v>
      </c>
      <c r="F20" s="43">
        <v>32</v>
      </c>
      <c r="G20" s="43">
        <v>2</v>
      </c>
      <c r="H20" s="89" t="s">
        <v>214</v>
      </c>
      <c r="J20" s="132"/>
      <c r="K20" s="64" t="str">
        <f t="shared" si="0"/>
        <v>Petition to import HFCs for transformation/destruction</v>
      </c>
      <c r="L20" s="50">
        <f t="shared" ref="L20:N30" si="6">$G20</f>
        <v>2</v>
      </c>
      <c r="M20" s="50">
        <f t="shared" si="6"/>
        <v>2</v>
      </c>
      <c r="N20" s="50">
        <f t="shared" si="6"/>
        <v>2</v>
      </c>
    </row>
    <row r="21" spans="2:19" ht="14.45" customHeight="1" x14ac:dyDescent="0.25">
      <c r="B21" s="132"/>
      <c r="C21" s="64" t="s">
        <v>60</v>
      </c>
      <c r="D21" s="43">
        <v>6</v>
      </c>
      <c r="E21" s="43">
        <v>0</v>
      </c>
      <c r="F21" s="43">
        <v>6</v>
      </c>
      <c r="G21" s="43">
        <v>2</v>
      </c>
      <c r="H21" s="103" t="s">
        <v>238</v>
      </c>
      <c r="J21" s="132"/>
      <c r="K21" s="64" t="str">
        <f t="shared" si="0"/>
        <v>Petition to import used HFCs for destruction</v>
      </c>
      <c r="L21" s="50">
        <f t="shared" si="6"/>
        <v>2</v>
      </c>
      <c r="M21" s="50">
        <f t="shared" si="6"/>
        <v>2</v>
      </c>
      <c r="N21" s="50">
        <f t="shared" si="6"/>
        <v>2</v>
      </c>
      <c r="Q21" s="126" t="s">
        <v>58</v>
      </c>
      <c r="R21" s="127"/>
      <c r="S21" s="128"/>
    </row>
    <row r="22" spans="2:19" x14ac:dyDescent="0.25">
      <c r="B22" s="132"/>
      <c r="C22" s="94" t="s">
        <v>188</v>
      </c>
      <c r="D22" s="43">
        <v>6</v>
      </c>
      <c r="E22" s="43">
        <v>0</v>
      </c>
      <c r="F22" s="43">
        <v>48</v>
      </c>
      <c r="G22" s="43">
        <v>3</v>
      </c>
      <c r="H22" s="23" t="s">
        <v>143</v>
      </c>
      <c r="J22" s="132"/>
      <c r="K22" s="94" t="str">
        <f t="shared" si="0"/>
        <v>Petition to import HFCs for laboratory testing with eventual destruction</v>
      </c>
      <c r="L22" s="50">
        <f>$G22</f>
        <v>3</v>
      </c>
      <c r="M22" s="50">
        <f t="shared" si="6"/>
        <v>3</v>
      </c>
      <c r="N22" s="50">
        <f t="shared" si="6"/>
        <v>3</v>
      </c>
      <c r="Q22" s="80" t="s">
        <v>192</v>
      </c>
      <c r="R22" s="80" t="s">
        <v>193</v>
      </c>
      <c r="S22" s="80" t="s">
        <v>194</v>
      </c>
    </row>
    <row r="23" spans="2:19" x14ac:dyDescent="0.25">
      <c r="B23" s="132"/>
      <c r="C23" s="64" t="s">
        <v>61</v>
      </c>
      <c r="D23" s="44">
        <f>AL5</f>
        <v>0.25</v>
      </c>
      <c r="E23" s="43">
        <v>0</v>
      </c>
      <c r="F23" s="43">
        <f>AI5</f>
        <v>122.95081967213115</v>
      </c>
      <c r="G23" s="43">
        <f>G15</f>
        <v>61</v>
      </c>
      <c r="H23" s="37" t="s">
        <v>216</v>
      </c>
      <c r="J23" s="132"/>
      <c r="K23" s="64" t="str">
        <f t="shared" si="0"/>
        <v>Submit ACE report</v>
      </c>
      <c r="L23" s="50">
        <f t="shared" si="6"/>
        <v>61</v>
      </c>
      <c r="M23" s="50">
        <f t="shared" si="6"/>
        <v>61</v>
      </c>
      <c r="N23" s="50">
        <f t="shared" si="6"/>
        <v>61</v>
      </c>
      <c r="P23" s="78" t="s">
        <v>50</v>
      </c>
      <c r="Q23" s="77">
        <v>0.25</v>
      </c>
      <c r="R23" s="77">
        <v>1</v>
      </c>
      <c r="S23" s="77">
        <v>1</v>
      </c>
    </row>
    <row r="24" spans="2:19" x14ac:dyDescent="0.25">
      <c r="B24" s="132"/>
      <c r="C24" s="64" t="s">
        <v>62</v>
      </c>
      <c r="D24" s="44">
        <v>0.25</v>
      </c>
      <c r="E24" s="43">
        <v>0</v>
      </c>
      <c r="F24" s="43">
        <f>F21</f>
        <v>6</v>
      </c>
      <c r="G24" s="43">
        <f>G21</f>
        <v>2</v>
      </c>
      <c r="H24" s="23"/>
      <c r="J24" s="132"/>
      <c r="K24" s="64" t="str">
        <f t="shared" si="0"/>
        <v>Submit proof of destruction of used imports</v>
      </c>
      <c r="L24" s="50">
        <f t="shared" si="6"/>
        <v>2</v>
      </c>
      <c r="M24" s="50">
        <f t="shared" si="6"/>
        <v>2</v>
      </c>
      <c r="N24" s="50">
        <f t="shared" si="6"/>
        <v>2</v>
      </c>
      <c r="P24" s="78" t="s">
        <v>33</v>
      </c>
      <c r="Q24" s="77">
        <v>0.25</v>
      </c>
      <c r="R24" s="77">
        <v>1</v>
      </c>
      <c r="S24" s="77">
        <v>1</v>
      </c>
    </row>
    <row r="25" spans="2:19" ht="15" customHeight="1" x14ac:dyDescent="0.25">
      <c r="B25" s="132"/>
      <c r="C25" s="64" t="s">
        <v>63</v>
      </c>
      <c r="D25" s="43">
        <v>0</v>
      </c>
      <c r="E25" s="43">
        <v>20</v>
      </c>
      <c r="F25" s="43">
        <v>1</v>
      </c>
      <c r="G25" s="43">
        <f>G21</f>
        <v>2</v>
      </c>
      <c r="H25" s="23"/>
      <c r="J25" s="132"/>
      <c r="K25" s="64" t="str">
        <f t="shared" si="0"/>
        <v>Maintain records on used imports for destruction</v>
      </c>
      <c r="L25" s="50">
        <f t="shared" si="6"/>
        <v>2</v>
      </c>
      <c r="M25" s="50">
        <f t="shared" si="6"/>
        <v>2</v>
      </c>
      <c r="N25" s="50">
        <f t="shared" si="6"/>
        <v>2</v>
      </c>
      <c r="P25" s="78" t="s">
        <v>54</v>
      </c>
      <c r="Q25" s="77">
        <v>0</v>
      </c>
      <c r="R25" s="77">
        <v>0.25</v>
      </c>
      <c r="S25" s="77">
        <v>1</v>
      </c>
    </row>
    <row r="26" spans="2:19" x14ac:dyDescent="0.25">
      <c r="B26" s="132"/>
      <c r="C26" s="64" t="s">
        <v>51</v>
      </c>
      <c r="D26" s="43">
        <v>2</v>
      </c>
      <c r="E26" s="43">
        <v>0</v>
      </c>
      <c r="F26" s="43">
        <v>1</v>
      </c>
      <c r="G26" s="43">
        <f>G39/2</f>
        <v>2</v>
      </c>
      <c r="H26" s="64" t="s">
        <v>52</v>
      </c>
      <c r="J26" s="132"/>
      <c r="K26" s="64" t="str">
        <f t="shared" si="0"/>
        <v>Provide certification to third party (conferrer)</v>
      </c>
      <c r="L26" s="50">
        <f t="shared" si="6"/>
        <v>2</v>
      </c>
      <c r="M26" s="50">
        <f t="shared" si="6"/>
        <v>2</v>
      </c>
      <c r="N26" s="50">
        <f t="shared" si="6"/>
        <v>2</v>
      </c>
      <c r="P26" s="78" t="s">
        <v>55</v>
      </c>
      <c r="Q26" s="77">
        <v>0</v>
      </c>
      <c r="R26" s="77">
        <v>0.25</v>
      </c>
      <c r="S26" s="77">
        <v>1</v>
      </c>
    </row>
    <row r="27" spans="2:19" x14ac:dyDescent="0.25">
      <c r="B27" s="132"/>
      <c r="C27" s="94" t="s">
        <v>187</v>
      </c>
      <c r="D27" s="43">
        <v>2</v>
      </c>
      <c r="E27" s="43">
        <v>0</v>
      </c>
      <c r="F27" s="43">
        <v>1</v>
      </c>
      <c r="G27" s="43">
        <v>2</v>
      </c>
      <c r="H27" s="94" t="s">
        <v>217</v>
      </c>
      <c r="J27" s="132"/>
      <c r="K27" s="94" t="str">
        <f t="shared" si="0"/>
        <v>Provide certification to third party (exporter)</v>
      </c>
      <c r="L27" s="50">
        <f>$G27</f>
        <v>2</v>
      </c>
      <c r="M27" s="50">
        <f t="shared" si="6"/>
        <v>2</v>
      </c>
      <c r="N27" s="50">
        <f t="shared" si="6"/>
        <v>2</v>
      </c>
      <c r="P27" s="78" t="s">
        <v>56</v>
      </c>
      <c r="Q27" s="77">
        <v>0</v>
      </c>
      <c r="R27" s="77">
        <v>0.25</v>
      </c>
      <c r="S27" s="77">
        <v>1</v>
      </c>
    </row>
    <row r="28" spans="2:19" x14ac:dyDescent="0.25">
      <c r="B28" s="132"/>
      <c r="C28" s="94" t="s">
        <v>191</v>
      </c>
      <c r="D28" s="43">
        <v>2</v>
      </c>
      <c r="E28" s="43">
        <v>0</v>
      </c>
      <c r="F28" s="43">
        <v>1</v>
      </c>
      <c r="G28" s="43">
        <f>G15</f>
        <v>61</v>
      </c>
      <c r="H28" s="89" t="s">
        <v>215</v>
      </c>
      <c r="J28" s="132"/>
      <c r="K28" s="64" t="str">
        <f t="shared" si="0"/>
        <v>Submit Importer of Record annual report</v>
      </c>
      <c r="L28" s="50">
        <f t="shared" si="6"/>
        <v>61</v>
      </c>
      <c r="M28" s="50">
        <f t="shared" si="6"/>
        <v>61</v>
      </c>
      <c r="N28" s="50">
        <f t="shared" si="6"/>
        <v>61</v>
      </c>
      <c r="P28" s="78" t="s">
        <v>40</v>
      </c>
      <c r="Q28" s="77">
        <v>0</v>
      </c>
      <c r="R28" s="77">
        <v>0</v>
      </c>
      <c r="S28" s="77">
        <v>0.25</v>
      </c>
    </row>
    <row r="29" spans="2:19" x14ac:dyDescent="0.25">
      <c r="B29" s="133"/>
      <c r="C29" s="94" t="s">
        <v>66</v>
      </c>
      <c r="D29" s="43">
        <v>1</v>
      </c>
      <c r="E29" s="43">
        <v>0</v>
      </c>
      <c r="F29" s="43">
        <v>4</v>
      </c>
      <c r="G29" s="43">
        <v>2</v>
      </c>
      <c r="H29" s="103" t="s">
        <v>218</v>
      </c>
      <c r="J29" s="133"/>
      <c r="K29" s="94" t="str">
        <f t="shared" si="0"/>
        <v xml:space="preserve">Submit notification of transhipments </v>
      </c>
      <c r="L29" s="50">
        <f>$G29</f>
        <v>2</v>
      </c>
      <c r="M29" s="50">
        <f t="shared" si="6"/>
        <v>2</v>
      </c>
      <c r="N29" s="50">
        <f t="shared" si="6"/>
        <v>2</v>
      </c>
      <c r="P29" s="81"/>
    </row>
    <row r="30" spans="2:19" x14ac:dyDescent="0.25">
      <c r="B30" s="95" t="s">
        <v>189</v>
      </c>
      <c r="C30" s="94" t="s">
        <v>190</v>
      </c>
      <c r="D30" s="43">
        <v>2</v>
      </c>
      <c r="E30" s="43">
        <v>0</v>
      </c>
      <c r="F30" s="43">
        <f>F22</f>
        <v>48</v>
      </c>
      <c r="G30" s="43">
        <v>3</v>
      </c>
      <c r="H30" s="23" t="s">
        <v>143</v>
      </c>
      <c r="J30" s="96" t="s">
        <v>189</v>
      </c>
      <c r="K30" s="94" t="str">
        <f t="shared" si="0"/>
        <v>Submit notification of delivery to destruction facility</v>
      </c>
      <c r="L30" s="50">
        <f>$G30</f>
        <v>3</v>
      </c>
      <c r="M30" s="50">
        <f t="shared" si="6"/>
        <v>3</v>
      </c>
      <c r="N30" s="50">
        <f t="shared" si="6"/>
        <v>3</v>
      </c>
      <c r="P30" s="81"/>
    </row>
    <row r="31" spans="2:19" x14ac:dyDescent="0.25">
      <c r="B31" s="23" t="s">
        <v>64</v>
      </c>
      <c r="C31" s="64" t="s">
        <v>41</v>
      </c>
      <c r="D31" s="43">
        <v>0</v>
      </c>
      <c r="E31" s="43">
        <v>20</v>
      </c>
      <c r="F31" s="43">
        <v>1</v>
      </c>
      <c r="G31" s="43">
        <v>5</v>
      </c>
      <c r="H31" s="64" t="s">
        <v>57</v>
      </c>
      <c r="J31" s="23" t="s">
        <v>64</v>
      </c>
      <c r="K31" s="64" t="str">
        <f t="shared" si="0"/>
        <v>Maintain records</v>
      </c>
      <c r="L31" s="50">
        <f t="shared" ref="L31:N36" si="7">$G31</f>
        <v>5</v>
      </c>
      <c r="M31" s="50">
        <f t="shared" si="7"/>
        <v>5</v>
      </c>
      <c r="N31" s="50">
        <f t="shared" si="7"/>
        <v>5</v>
      </c>
    </row>
    <row r="32" spans="2:19" x14ac:dyDescent="0.25">
      <c r="B32" s="91" t="s">
        <v>65</v>
      </c>
      <c r="C32" s="64" t="s">
        <v>41</v>
      </c>
      <c r="D32" s="43">
        <v>0</v>
      </c>
      <c r="E32" s="43">
        <v>20</v>
      </c>
      <c r="F32" s="43">
        <v>1</v>
      </c>
      <c r="G32" s="43">
        <v>100</v>
      </c>
      <c r="H32" s="64" t="s">
        <v>57</v>
      </c>
      <c r="J32" s="91" t="s">
        <v>65</v>
      </c>
      <c r="K32" s="64" t="str">
        <f t="shared" si="0"/>
        <v>Maintain records</v>
      </c>
      <c r="L32" s="50">
        <f t="shared" si="7"/>
        <v>100</v>
      </c>
      <c r="M32" s="50">
        <f t="shared" si="7"/>
        <v>100</v>
      </c>
      <c r="N32" s="50">
        <f t="shared" si="7"/>
        <v>100</v>
      </c>
    </row>
    <row r="33" spans="2:23" x14ac:dyDescent="0.25">
      <c r="B33" s="134" t="s">
        <v>67</v>
      </c>
      <c r="C33" s="64" t="s">
        <v>35</v>
      </c>
      <c r="D33" s="43">
        <f>6</f>
        <v>6</v>
      </c>
      <c r="E33" s="43">
        <v>0</v>
      </c>
      <c r="F33" s="43">
        <v>4</v>
      </c>
      <c r="G33" s="43">
        <v>16</v>
      </c>
      <c r="H33" s="89" t="s">
        <v>215</v>
      </c>
      <c r="J33" s="134" t="s">
        <v>67</v>
      </c>
      <c r="K33" s="64" t="str">
        <f t="shared" si="0"/>
        <v>Submit quarterly report</v>
      </c>
      <c r="L33" s="50">
        <f t="shared" si="7"/>
        <v>16</v>
      </c>
      <c r="M33" s="50">
        <f t="shared" si="7"/>
        <v>16</v>
      </c>
      <c r="N33" s="50">
        <f t="shared" si="7"/>
        <v>16</v>
      </c>
    </row>
    <row r="34" spans="2:23" x14ac:dyDescent="0.25">
      <c r="B34" s="132"/>
      <c r="C34" s="89" t="s">
        <v>39</v>
      </c>
      <c r="D34" s="43">
        <v>10</v>
      </c>
      <c r="E34" s="43">
        <v>0</v>
      </c>
      <c r="F34" s="43">
        <v>1</v>
      </c>
      <c r="G34" s="43">
        <f>G33</f>
        <v>16</v>
      </c>
      <c r="H34" s="89" t="s">
        <v>215</v>
      </c>
      <c r="J34" s="132"/>
      <c r="K34" s="64" t="str">
        <f t="shared" si="0"/>
        <v>Submit annual inventory report (part of quarterly report)</v>
      </c>
      <c r="L34" s="50">
        <f t="shared" si="7"/>
        <v>16</v>
      </c>
      <c r="M34" s="50">
        <f t="shared" si="7"/>
        <v>16</v>
      </c>
      <c r="N34" s="50">
        <f t="shared" si="7"/>
        <v>16</v>
      </c>
    </row>
    <row r="35" spans="2:23" x14ac:dyDescent="0.25">
      <c r="B35" s="132"/>
      <c r="C35" s="64" t="s">
        <v>68</v>
      </c>
      <c r="D35" s="43">
        <v>8</v>
      </c>
      <c r="E35" s="43">
        <v>0</v>
      </c>
      <c r="F35" s="43">
        <v>10</v>
      </c>
      <c r="G35" s="43">
        <v>5</v>
      </c>
      <c r="H35" s="103" t="s">
        <v>219</v>
      </c>
      <c r="J35" s="132"/>
      <c r="K35" s="64" t="str">
        <f t="shared" si="0"/>
        <v>Submit request for additional consumption allowances</v>
      </c>
      <c r="L35" s="50">
        <f t="shared" si="7"/>
        <v>5</v>
      </c>
      <c r="M35" s="50">
        <f t="shared" si="7"/>
        <v>5</v>
      </c>
      <c r="N35" s="50">
        <f t="shared" si="7"/>
        <v>5</v>
      </c>
    </row>
    <row r="36" spans="2:23" x14ac:dyDescent="0.25">
      <c r="B36" s="133"/>
      <c r="C36" s="94" t="s">
        <v>66</v>
      </c>
      <c r="D36" s="43">
        <v>1</v>
      </c>
      <c r="E36" s="43">
        <v>0</v>
      </c>
      <c r="F36" s="43">
        <v>4</v>
      </c>
      <c r="G36" s="43">
        <f>G29</f>
        <v>2</v>
      </c>
      <c r="H36" s="103" t="s">
        <v>218</v>
      </c>
      <c r="J36" s="133"/>
      <c r="K36" s="94" t="str">
        <f t="shared" si="0"/>
        <v xml:space="preserve">Submit notification of transhipments </v>
      </c>
      <c r="L36" s="50">
        <f>$G36</f>
        <v>2</v>
      </c>
      <c r="M36" s="50">
        <f t="shared" si="7"/>
        <v>2</v>
      </c>
      <c r="N36" s="50">
        <f t="shared" si="7"/>
        <v>2</v>
      </c>
    </row>
    <row r="37" spans="2:23" s="87" customFormat="1" x14ac:dyDescent="0.25">
      <c r="B37" s="129" t="s">
        <v>69</v>
      </c>
      <c r="C37" s="64" t="s">
        <v>42</v>
      </c>
      <c r="D37" s="44">
        <v>0.5</v>
      </c>
      <c r="E37" s="43">
        <v>0</v>
      </c>
      <c r="F37" s="43">
        <v>1</v>
      </c>
      <c r="G37" s="29">
        <f>(5000*2)</f>
        <v>10000</v>
      </c>
      <c r="H37" s="37" t="s">
        <v>70</v>
      </c>
      <c r="I37"/>
      <c r="J37" s="129" t="s">
        <v>69</v>
      </c>
      <c r="K37" s="64" t="str">
        <f t="shared" ref="K37:K73" si="8">C37</f>
        <v>Register with certification ID system</v>
      </c>
      <c r="L37" s="50">
        <f>$G37*Q18</f>
        <v>0</v>
      </c>
      <c r="M37" s="50">
        <f>$G37*R18</f>
        <v>0</v>
      </c>
      <c r="N37" s="50">
        <f>$G37*S18</f>
        <v>10000</v>
      </c>
      <c r="P37"/>
      <c r="Q37"/>
      <c r="R37"/>
      <c r="S37"/>
      <c r="T37"/>
      <c r="U37"/>
      <c r="V37"/>
      <c r="W37"/>
    </row>
    <row r="38" spans="2:23" x14ac:dyDescent="0.25">
      <c r="B38" s="130"/>
      <c r="C38" s="64" t="s">
        <v>43</v>
      </c>
      <c r="D38" s="86">
        <f>Z7</f>
        <v>2.7777777777777779E-3</v>
      </c>
      <c r="E38" s="43">
        <v>0</v>
      </c>
      <c r="F38" s="43">
        <f>W7</f>
        <v>891</v>
      </c>
      <c r="G38" s="29">
        <f>G37</f>
        <v>10000</v>
      </c>
      <c r="H38" s="37" t="s">
        <v>71</v>
      </c>
      <c r="I38" s="87"/>
      <c r="J38" s="130"/>
      <c r="K38" s="64" t="str">
        <f t="shared" si="8"/>
        <v>Enter data into certification ID system</v>
      </c>
      <c r="L38" s="50">
        <f>$G38*Q28</f>
        <v>0</v>
      </c>
      <c r="M38" s="50">
        <f>$G38*R28</f>
        <v>0</v>
      </c>
      <c r="N38" s="50">
        <f>$G38*S28</f>
        <v>2500</v>
      </c>
    </row>
    <row r="39" spans="2:23" x14ac:dyDescent="0.25">
      <c r="B39" s="130"/>
      <c r="C39" s="64" t="s">
        <v>72</v>
      </c>
      <c r="D39" s="43">
        <v>6</v>
      </c>
      <c r="E39" s="43">
        <v>0</v>
      </c>
      <c r="F39" s="43">
        <v>2</v>
      </c>
      <c r="G39" s="29">
        <v>4</v>
      </c>
      <c r="H39" s="37" t="s">
        <v>237</v>
      </c>
      <c r="J39" s="130"/>
      <c r="K39" s="64" t="str">
        <f t="shared" si="8"/>
        <v>Submit conferral request</v>
      </c>
      <c r="L39" s="50">
        <f t="shared" ref="L39:N43" si="9">$G39</f>
        <v>4</v>
      </c>
      <c r="M39" s="50">
        <f t="shared" si="9"/>
        <v>4</v>
      </c>
      <c r="N39" s="50">
        <f t="shared" si="9"/>
        <v>4</v>
      </c>
    </row>
    <row r="40" spans="2:23" x14ac:dyDescent="0.25">
      <c r="B40" s="130"/>
      <c r="C40" s="64" t="s">
        <v>73</v>
      </c>
      <c r="D40" s="43">
        <v>2</v>
      </c>
      <c r="E40" s="43">
        <v>0</v>
      </c>
      <c r="F40" s="43">
        <f>F39</f>
        <v>2</v>
      </c>
      <c r="G40" s="29">
        <f>G39</f>
        <v>4</v>
      </c>
      <c r="H40" s="37" t="s">
        <v>237</v>
      </c>
      <c r="J40" s="130"/>
      <c r="K40" s="64" t="str">
        <f t="shared" si="8"/>
        <v>Provide certification to third party (conferee)</v>
      </c>
      <c r="L40" s="50">
        <f t="shared" si="9"/>
        <v>4</v>
      </c>
      <c r="M40" s="50">
        <f t="shared" si="9"/>
        <v>4</v>
      </c>
      <c r="N40" s="50">
        <f t="shared" si="9"/>
        <v>4</v>
      </c>
    </row>
    <row r="41" spans="2:23" x14ac:dyDescent="0.25">
      <c r="B41" s="130"/>
      <c r="C41" s="64" t="s">
        <v>51</v>
      </c>
      <c r="D41" s="43">
        <v>2</v>
      </c>
      <c r="E41" s="43">
        <v>0</v>
      </c>
      <c r="F41" s="43">
        <v>4</v>
      </c>
      <c r="G41" s="29">
        <f>G39</f>
        <v>4</v>
      </c>
      <c r="H41" s="37" t="s">
        <v>237</v>
      </c>
      <c r="J41" s="130"/>
      <c r="K41" s="64" t="str">
        <f t="shared" si="8"/>
        <v>Provide certification to third party (conferrer)</v>
      </c>
      <c r="L41" s="50">
        <f t="shared" si="9"/>
        <v>4</v>
      </c>
      <c r="M41" s="50">
        <f t="shared" si="9"/>
        <v>4</v>
      </c>
      <c r="N41" s="50">
        <f t="shared" si="9"/>
        <v>4</v>
      </c>
    </row>
    <row r="42" spans="2:23" x14ac:dyDescent="0.25">
      <c r="B42" s="131"/>
      <c r="C42" s="64" t="s">
        <v>41</v>
      </c>
      <c r="D42" s="43">
        <v>0</v>
      </c>
      <c r="E42" s="43">
        <v>20</v>
      </c>
      <c r="F42" s="43">
        <v>1</v>
      </c>
      <c r="G42" s="29">
        <f>G39</f>
        <v>4</v>
      </c>
      <c r="H42" s="37" t="s">
        <v>237</v>
      </c>
      <c r="J42" s="131"/>
      <c r="K42" s="64" t="str">
        <f t="shared" si="8"/>
        <v>Maintain records</v>
      </c>
      <c r="L42" s="50">
        <f t="shared" si="9"/>
        <v>4</v>
      </c>
      <c r="M42" s="50">
        <f t="shared" si="9"/>
        <v>4</v>
      </c>
      <c r="N42" s="50">
        <f t="shared" si="9"/>
        <v>4</v>
      </c>
    </row>
    <row r="43" spans="2:23" x14ac:dyDescent="0.25">
      <c r="B43" s="138" t="s">
        <v>74</v>
      </c>
      <c r="C43" s="64" t="s">
        <v>75</v>
      </c>
      <c r="D43" s="43">
        <v>100</v>
      </c>
      <c r="E43" s="43">
        <v>0</v>
      </c>
      <c r="F43" s="43">
        <v>1</v>
      </c>
      <c r="G43" s="100">
        <v>1</v>
      </c>
      <c r="H43" s="89" t="s">
        <v>225</v>
      </c>
      <c r="J43" s="138" t="s">
        <v>74</v>
      </c>
      <c r="K43" s="64" t="str">
        <f t="shared" si="8"/>
        <v>Submit one-time report</v>
      </c>
      <c r="L43" s="50">
        <f>$G43</f>
        <v>1</v>
      </c>
      <c r="M43" s="50">
        <f t="shared" si="9"/>
        <v>1</v>
      </c>
      <c r="N43" s="50">
        <f t="shared" si="9"/>
        <v>1</v>
      </c>
    </row>
    <row r="44" spans="2:23" x14ac:dyDescent="0.25">
      <c r="B44" s="138"/>
      <c r="C44" s="64" t="s">
        <v>76</v>
      </c>
      <c r="D44" s="43">
        <v>4</v>
      </c>
      <c r="E44" s="43">
        <v>0</v>
      </c>
      <c r="F44" s="43">
        <v>1</v>
      </c>
      <c r="G44" s="43">
        <v>6</v>
      </c>
      <c r="H44" s="89" t="s">
        <v>220</v>
      </c>
      <c r="J44" s="138"/>
      <c r="K44" s="64" t="str">
        <f t="shared" si="8"/>
        <v>Submit annual second party report</v>
      </c>
      <c r="L44" s="50">
        <f>$G44</f>
        <v>6</v>
      </c>
      <c r="M44" s="50">
        <f t="shared" ref="M44:N45" si="10">$G44</f>
        <v>6</v>
      </c>
      <c r="N44" s="50">
        <f t="shared" si="10"/>
        <v>6</v>
      </c>
    </row>
    <row r="45" spans="2:23" x14ac:dyDescent="0.25">
      <c r="B45" s="138"/>
      <c r="C45" s="64" t="s">
        <v>41</v>
      </c>
      <c r="D45" s="83">
        <v>0</v>
      </c>
      <c r="E45" s="43">
        <v>20</v>
      </c>
      <c r="F45" s="43">
        <v>1</v>
      </c>
      <c r="G45" s="43">
        <f>G44</f>
        <v>6</v>
      </c>
      <c r="H45" s="89" t="s">
        <v>220</v>
      </c>
      <c r="J45" s="138"/>
      <c r="K45" s="64" t="str">
        <f t="shared" si="8"/>
        <v>Maintain records</v>
      </c>
      <c r="L45" s="50">
        <f>$G45</f>
        <v>6</v>
      </c>
      <c r="M45" s="50">
        <f t="shared" si="10"/>
        <v>6</v>
      </c>
      <c r="N45" s="50">
        <f t="shared" si="10"/>
        <v>6</v>
      </c>
    </row>
    <row r="46" spans="2:23" x14ac:dyDescent="0.25">
      <c r="B46" s="138"/>
      <c r="C46" s="64" t="s">
        <v>77</v>
      </c>
      <c r="D46" s="43">
        <v>2</v>
      </c>
      <c r="E46" s="43">
        <v>0</v>
      </c>
      <c r="F46" s="43">
        <v>1</v>
      </c>
      <c r="G46" s="43">
        <f>G44</f>
        <v>6</v>
      </c>
      <c r="H46" s="89" t="s">
        <v>220</v>
      </c>
      <c r="J46" s="138"/>
      <c r="K46" s="64" t="str">
        <f t="shared" si="8"/>
        <v>Provide destruction verification to third party</v>
      </c>
      <c r="L46" s="50">
        <f t="shared" ref="L46:N48" si="11">$G46</f>
        <v>6</v>
      </c>
      <c r="M46" s="50">
        <f t="shared" si="11"/>
        <v>6</v>
      </c>
      <c r="N46" s="50">
        <f t="shared" si="11"/>
        <v>6</v>
      </c>
    </row>
    <row r="47" spans="2:23" x14ac:dyDescent="0.25">
      <c r="B47" s="138"/>
      <c r="C47" s="64" t="s">
        <v>78</v>
      </c>
      <c r="D47" s="43">
        <v>2</v>
      </c>
      <c r="E47" s="43">
        <v>0</v>
      </c>
      <c r="F47" s="43">
        <v>1</v>
      </c>
      <c r="G47" s="43">
        <f>G21*F21</f>
        <v>12</v>
      </c>
      <c r="H47" s="23" t="s">
        <v>79</v>
      </c>
      <c r="J47" s="138"/>
      <c r="K47" s="64" t="str">
        <f t="shared" si="8"/>
        <v>Provide proof of destruction to third party</v>
      </c>
      <c r="L47" s="50">
        <f t="shared" si="11"/>
        <v>12</v>
      </c>
      <c r="M47" s="50">
        <f t="shared" si="11"/>
        <v>12</v>
      </c>
      <c r="N47" s="50">
        <f t="shared" si="11"/>
        <v>12</v>
      </c>
    </row>
    <row r="48" spans="2:23" x14ac:dyDescent="0.25">
      <c r="B48" s="138" t="s">
        <v>80</v>
      </c>
      <c r="C48" s="64" t="s">
        <v>75</v>
      </c>
      <c r="D48" s="43">
        <v>100</v>
      </c>
      <c r="E48" s="43">
        <v>0</v>
      </c>
      <c r="F48" s="43">
        <v>1</v>
      </c>
      <c r="G48" s="43">
        <v>1</v>
      </c>
      <c r="H48" s="89" t="s">
        <v>226</v>
      </c>
      <c r="J48" s="138" t="s">
        <v>80</v>
      </c>
      <c r="K48" s="64" t="str">
        <f t="shared" si="8"/>
        <v>Submit one-time report</v>
      </c>
      <c r="L48" s="50">
        <f>$G48</f>
        <v>1</v>
      </c>
      <c r="M48" s="50">
        <f t="shared" si="11"/>
        <v>1</v>
      </c>
      <c r="N48" s="50">
        <f t="shared" si="11"/>
        <v>1</v>
      </c>
    </row>
    <row r="49" spans="2:14" x14ac:dyDescent="0.25">
      <c r="B49" s="138"/>
      <c r="C49" s="64" t="s">
        <v>76</v>
      </c>
      <c r="D49" s="43">
        <v>4</v>
      </c>
      <c r="E49" s="43">
        <v>0</v>
      </c>
      <c r="F49" s="43">
        <v>1</v>
      </c>
      <c r="G49" s="43">
        <v>2</v>
      </c>
      <c r="H49" s="89" t="s">
        <v>220</v>
      </c>
      <c r="J49" s="138"/>
      <c r="K49" s="64" t="str">
        <f t="shared" si="8"/>
        <v>Submit annual second party report</v>
      </c>
      <c r="L49" s="50">
        <f t="shared" ref="L49:N52" si="12">$G49</f>
        <v>2</v>
      </c>
      <c r="M49" s="50">
        <f t="shared" si="12"/>
        <v>2</v>
      </c>
      <c r="N49" s="50">
        <f t="shared" si="12"/>
        <v>2</v>
      </c>
    </row>
    <row r="50" spans="2:14" x14ac:dyDescent="0.25">
      <c r="B50" s="138"/>
      <c r="C50" s="64" t="s">
        <v>41</v>
      </c>
      <c r="D50" s="83">
        <v>0</v>
      </c>
      <c r="E50" s="43">
        <v>20</v>
      </c>
      <c r="F50" s="43">
        <v>1</v>
      </c>
      <c r="G50" s="43">
        <f>G49</f>
        <v>2</v>
      </c>
      <c r="H50" s="89" t="s">
        <v>220</v>
      </c>
      <c r="J50" s="138"/>
      <c r="K50" s="64" t="str">
        <f t="shared" si="8"/>
        <v>Maintain records</v>
      </c>
      <c r="L50" s="50">
        <f t="shared" si="12"/>
        <v>2</v>
      </c>
      <c r="M50" s="50">
        <f t="shared" si="12"/>
        <v>2</v>
      </c>
      <c r="N50" s="50">
        <f t="shared" si="12"/>
        <v>2</v>
      </c>
    </row>
    <row r="51" spans="2:14" x14ac:dyDescent="0.25">
      <c r="B51" s="138"/>
      <c r="C51" s="64" t="s">
        <v>81</v>
      </c>
      <c r="D51" s="43">
        <v>2</v>
      </c>
      <c r="E51" s="43">
        <v>0</v>
      </c>
      <c r="F51" s="43">
        <v>1</v>
      </c>
      <c r="G51" s="43">
        <f>G49</f>
        <v>2</v>
      </c>
      <c r="H51" s="89" t="s">
        <v>220</v>
      </c>
      <c r="J51" s="138"/>
      <c r="K51" s="64" t="str">
        <f t="shared" si="8"/>
        <v>Provide transformation verification to third party</v>
      </c>
      <c r="L51" s="50">
        <f t="shared" si="12"/>
        <v>2</v>
      </c>
      <c r="M51" s="50">
        <f t="shared" si="12"/>
        <v>2</v>
      </c>
      <c r="N51" s="50">
        <f t="shared" si="12"/>
        <v>2</v>
      </c>
    </row>
    <row r="52" spans="2:14" x14ac:dyDescent="0.25">
      <c r="B52" s="138" t="s">
        <v>82</v>
      </c>
      <c r="C52" s="64" t="s">
        <v>75</v>
      </c>
      <c r="D52" s="43">
        <v>100</v>
      </c>
      <c r="E52" s="43">
        <v>0</v>
      </c>
      <c r="F52" s="43">
        <v>1</v>
      </c>
      <c r="G52" s="43">
        <v>1</v>
      </c>
      <c r="H52" s="89" t="s">
        <v>227</v>
      </c>
      <c r="J52" s="138" t="s">
        <v>82</v>
      </c>
      <c r="K52" s="64" t="str">
        <f t="shared" si="8"/>
        <v>Submit one-time report</v>
      </c>
      <c r="L52" s="50">
        <f>$G52</f>
        <v>1</v>
      </c>
      <c r="M52" s="50">
        <f t="shared" si="12"/>
        <v>1</v>
      </c>
      <c r="N52" s="50">
        <f t="shared" si="12"/>
        <v>1</v>
      </c>
    </row>
    <row r="53" spans="2:14" x14ac:dyDescent="0.25">
      <c r="B53" s="138"/>
      <c r="C53" s="64" t="s">
        <v>83</v>
      </c>
      <c r="D53" s="43">
        <v>6</v>
      </c>
      <c r="E53" s="43">
        <v>0</v>
      </c>
      <c r="F53" s="43">
        <v>1</v>
      </c>
      <c r="G53" s="43">
        <v>2</v>
      </c>
      <c r="H53" s="89" t="s">
        <v>220</v>
      </c>
      <c r="J53" s="138"/>
      <c r="K53" s="64" t="str">
        <f t="shared" si="8"/>
        <v>Submit annual report</v>
      </c>
      <c r="L53" s="50">
        <f t="shared" ref="L53:N54" si="13">$G53</f>
        <v>2</v>
      </c>
      <c r="M53" s="50">
        <f t="shared" si="13"/>
        <v>2</v>
      </c>
      <c r="N53" s="50">
        <f t="shared" si="13"/>
        <v>2</v>
      </c>
    </row>
    <row r="54" spans="2:14" x14ac:dyDescent="0.25">
      <c r="B54" s="129" t="s">
        <v>84</v>
      </c>
      <c r="C54" s="64" t="s">
        <v>75</v>
      </c>
      <c r="D54" s="43">
        <v>40</v>
      </c>
      <c r="E54" s="43">
        <v>0</v>
      </c>
      <c r="F54" s="43">
        <v>1</v>
      </c>
      <c r="G54" s="43">
        <v>1</v>
      </c>
      <c r="H54" s="89" t="s">
        <v>228</v>
      </c>
      <c r="J54" s="129" t="s">
        <v>84</v>
      </c>
      <c r="K54" s="64" t="str">
        <f t="shared" si="8"/>
        <v>Submit one-time report</v>
      </c>
      <c r="L54" s="50">
        <f>$G54</f>
        <v>1</v>
      </c>
      <c r="M54" s="50">
        <f t="shared" si="13"/>
        <v>1</v>
      </c>
      <c r="N54" s="50">
        <f t="shared" si="13"/>
        <v>1</v>
      </c>
    </row>
    <row r="55" spans="2:14" x14ac:dyDescent="0.25">
      <c r="B55" s="130"/>
      <c r="C55" s="64" t="s">
        <v>35</v>
      </c>
      <c r="D55" s="5">
        <v>9.4</v>
      </c>
      <c r="E55" s="43">
        <v>0</v>
      </c>
      <c r="F55" s="43">
        <v>4</v>
      </c>
      <c r="G55" s="43">
        <v>20</v>
      </c>
      <c r="H55" s="64" t="s">
        <v>229</v>
      </c>
      <c r="J55" s="130"/>
      <c r="K55" s="64" t="str">
        <f t="shared" si="8"/>
        <v>Submit quarterly report</v>
      </c>
      <c r="L55" s="50">
        <f t="shared" ref="L55:N57" si="14">$G55</f>
        <v>20</v>
      </c>
      <c r="M55" s="50">
        <f t="shared" si="14"/>
        <v>20</v>
      </c>
      <c r="N55" s="50">
        <f t="shared" si="14"/>
        <v>20</v>
      </c>
    </row>
    <row r="56" spans="2:14" x14ac:dyDescent="0.25">
      <c r="B56" s="130"/>
      <c r="C56" s="64" t="s">
        <v>39</v>
      </c>
      <c r="D56" s="43">
        <v>10</v>
      </c>
      <c r="E56" s="43">
        <v>0</v>
      </c>
      <c r="F56" s="43">
        <v>1</v>
      </c>
      <c r="G56" s="43">
        <f>G55</f>
        <v>20</v>
      </c>
      <c r="H56" s="89" t="s">
        <v>215</v>
      </c>
      <c r="J56" s="130"/>
      <c r="K56" s="64" t="str">
        <f t="shared" si="8"/>
        <v>Submit annual inventory report (part of quarterly report)</v>
      </c>
      <c r="L56" s="50">
        <f t="shared" si="14"/>
        <v>20</v>
      </c>
      <c r="M56" s="50">
        <f t="shared" si="14"/>
        <v>20</v>
      </c>
      <c r="N56" s="50">
        <f t="shared" si="14"/>
        <v>20</v>
      </c>
    </row>
    <row r="57" spans="2:14" x14ac:dyDescent="0.25">
      <c r="B57" s="130"/>
      <c r="C57" s="64" t="s">
        <v>41</v>
      </c>
      <c r="D57" s="83">
        <v>0</v>
      </c>
      <c r="E57" s="43">
        <v>40</v>
      </c>
      <c r="F57" s="43">
        <v>1</v>
      </c>
      <c r="G57" s="43">
        <f>G55</f>
        <v>20</v>
      </c>
      <c r="H57" s="89" t="s">
        <v>215</v>
      </c>
      <c r="J57" s="130"/>
      <c r="K57" s="64" t="str">
        <f t="shared" si="8"/>
        <v>Maintain records</v>
      </c>
      <c r="L57" s="50">
        <f t="shared" si="14"/>
        <v>20</v>
      </c>
      <c r="M57" s="50">
        <f t="shared" si="14"/>
        <v>20</v>
      </c>
      <c r="N57" s="50">
        <f t="shared" si="14"/>
        <v>20</v>
      </c>
    </row>
    <row r="58" spans="2:14" x14ac:dyDescent="0.25">
      <c r="B58" s="130"/>
      <c r="C58" s="64" t="s">
        <v>42</v>
      </c>
      <c r="D58" s="44">
        <v>0.5</v>
      </c>
      <c r="E58" s="43">
        <v>0</v>
      </c>
      <c r="F58" s="43">
        <v>1</v>
      </c>
      <c r="G58" s="43">
        <f>G55</f>
        <v>20</v>
      </c>
      <c r="H58" s="89" t="s">
        <v>215</v>
      </c>
      <c r="J58" s="130"/>
      <c r="K58" s="64" t="str">
        <f t="shared" si="8"/>
        <v>Register with certification ID system</v>
      </c>
      <c r="L58" s="50">
        <f>$G58*Q15</f>
        <v>0</v>
      </c>
      <c r="M58" s="50">
        <f>$G58*R15</f>
        <v>20</v>
      </c>
      <c r="N58" s="50">
        <f>$G58*S15</f>
        <v>1</v>
      </c>
    </row>
    <row r="59" spans="2:14" x14ac:dyDescent="0.25">
      <c r="B59" s="130"/>
      <c r="C59" s="64" t="s">
        <v>43</v>
      </c>
      <c r="D59" s="86">
        <f>Z6</f>
        <v>5.5555555555555558E-3</v>
      </c>
      <c r="E59" s="43">
        <v>0</v>
      </c>
      <c r="F59" s="74">
        <f>W6</f>
        <v>116470.58823529411</v>
      </c>
      <c r="G59" s="43">
        <f>G55</f>
        <v>20</v>
      </c>
      <c r="H59" s="64" t="s">
        <v>44</v>
      </c>
      <c r="J59" s="130"/>
      <c r="K59" s="64" t="str">
        <f t="shared" si="8"/>
        <v>Enter data into certification ID system</v>
      </c>
      <c r="L59" s="50">
        <f>$G59*Q25</f>
        <v>0</v>
      </c>
      <c r="M59" s="50">
        <f>$G59*R25</f>
        <v>5</v>
      </c>
      <c r="N59" s="50">
        <f>$G59*S25</f>
        <v>20</v>
      </c>
    </row>
    <row r="60" spans="2:14" x14ac:dyDescent="0.25">
      <c r="B60" s="129" t="s">
        <v>85</v>
      </c>
      <c r="C60" s="64" t="s">
        <v>42</v>
      </c>
      <c r="D60" s="44">
        <f>D58</f>
        <v>0.5</v>
      </c>
      <c r="E60" s="43">
        <v>0</v>
      </c>
      <c r="F60" s="43">
        <v>1</v>
      </c>
      <c r="G60" s="43">
        <v>50</v>
      </c>
      <c r="H60" s="64" t="s">
        <v>57</v>
      </c>
      <c r="J60" s="135" t="s">
        <v>85</v>
      </c>
      <c r="K60" s="64" t="str">
        <f t="shared" si="8"/>
        <v>Register with certification ID system</v>
      </c>
      <c r="L60" s="50">
        <f>$G60*Q16</f>
        <v>0</v>
      </c>
      <c r="M60" s="50">
        <f>$G60*R16</f>
        <v>50</v>
      </c>
      <c r="N60" s="50">
        <f>$G60*S16</f>
        <v>1</v>
      </c>
    </row>
    <row r="61" spans="2:14" x14ac:dyDescent="0.25">
      <c r="B61" s="130"/>
      <c r="C61" s="64" t="s">
        <v>43</v>
      </c>
      <c r="D61" s="86">
        <f>Z6</f>
        <v>5.5555555555555558E-3</v>
      </c>
      <c r="E61" s="43">
        <v>0</v>
      </c>
      <c r="F61" s="74">
        <f>W6</f>
        <v>116470.58823529411</v>
      </c>
      <c r="G61" s="43">
        <v>50</v>
      </c>
      <c r="H61" s="64" t="s">
        <v>44</v>
      </c>
      <c r="J61" s="136"/>
      <c r="K61" s="64" t="str">
        <f t="shared" si="8"/>
        <v>Enter data into certification ID system</v>
      </c>
      <c r="L61" s="50">
        <f>$G61*Q26</f>
        <v>0</v>
      </c>
      <c r="M61" s="50">
        <f>$G61*R26</f>
        <v>12.5</v>
      </c>
      <c r="N61" s="50">
        <f>$G61*S26</f>
        <v>50</v>
      </c>
    </row>
    <row r="62" spans="2:14" x14ac:dyDescent="0.25">
      <c r="B62" s="131"/>
      <c r="C62" s="94" t="s">
        <v>41</v>
      </c>
      <c r="D62" s="43">
        <v>0</v>
      </c>
      <c r="E62" s="43">
        <v>20</v>
      </c>
      <c r="F62" s="74">
        <v>1</v>
      </c>
      <c r="G62" s="43">
        <v>50</v>
      </c>
      <c r="H62" s="94"/>
      <c r="J62" s="137"/>
      <c r="K62" s="94" t="str">
        <f t="shared" si="8"/>
        <v>Maintain records</v>
      </c>
      <c r="L62" s="50">
        <f>L60</f>
        <v>0</v>
      </c>
      <c r="M62" s="50">
        <f>$M60</f>
        <v>50</v>
      </c>
      <c r="N62" s="50">
        <f t="shared" ref="N62" si="15">$M60</f>
        <v>50</v>
      </c>
    </row>
    <row r="63" spans="2:14" x14ac:dyDescent="0.25">
      <c r="B63" s="129" t="s">
        <v>86</v>
      </c>
      <c r="C63" s="64" t="s">
        <v>35</v>
      </c>
      <c r="D63" s="5">
        <f>D55</f>
        <v>9.4</v>
      </c>
      <c r="E63" s="43">
        <v>0</v>
      </c>
      <c r="F63" s="43">
        <v>4</v>
      </c>
      <c r="G63" s="43">
        <v>3</v>
      </c>
      <c r="H63" s="64" t="s">
        <v>230</v>
      </c>
      <c r="J63" s="129" t="s">
        <v>86</v>
      </c>
      <c r="K63" s="64" t="str">
        <f t="shared" si="8"/>
        <v>Submit quarterly report</v>
      </c>
      <c r="L63" s="50">
        <f t="shared" ref="L63:N65" si="16">$G63</f>
        <v>3</v>
      </c>
      <c r="M63" s="50">
        <f t="shared" si="16"/>
        <v>3</v>
      </c>
      <c r="N63" s="50">
        <f t="shared" si="16"/>
        <v>3</v>
      </c>
    </row>
    <row r="64" spans="2:14" x14ac:dyDescent="0.25">
      <c r="B64" s="130"/>
      <c r="C64" s="64" t="s">
        <v>39</v>
      </c>
      <c r="D64" s="5">
        <f>D56</f>
        <v>10</v>
      </c>
      <c r="E64" s="43">
        <v>0</v>
      </c>
      <c r="F64" s="43">
        <v>1</v>
      </c>
      <c r="G64" s="43">
        <f>G63</f>
        <v>3</v>
      </c>
      <c r="H64" s="64" t="s">
        <v>231</v>
      </c>
      <c r="J64" s="130"/>
      <c r="K64" s="64" t="str">
        <f t="shared" si="8"/>
        <v>Submit annual inventory report (part of quarterly report)</v>
      </c>
      <c r="L64" s="50">
        <f t="shared" si="16"/>
        <v>3</v>
      </c>
      <c r="M64" s="50">
        <f t="shared" si="16"/>
        <v>3</v>
      </c>
      <c r="N64" s="50">
        <f t="shared" si="16"/>
        <v>3</v>
      </c>
    </row>
    <row r="65" spans="2:14" x14ac:dyDescent="0.25">
      <c r="B65" s="130"/>
      <c r="C65" s="64" t="s">
        <v>41</v>
      </c>
      <c r="D65" s="83">
        <v>0</v>
      </c>
      <c r="E65" s="43">
        <v>40</v>
      </c>
      <c r="F65" s="43">
        <v>1</v>
      </c>
      <c r="G65" s="43">
        <f>G63</f>
        <v>3</v>
      </c>
      <c r="H65" s="103" t="s">
        <v>231</v>
      </c>
      <c r="J65" s="130"/>
      <c r="K65" s="64" t="str">
        <f t="shared" si="8"/>
        <v>Maintain records</v>
      </c>
      <c r="L65" s="50">
        <f t="shared" si="16"/>
        <v>3</v>
      </c>
      <c r="M65" s="50">
        <f t="shared" si="16"/>
        <v>3</v>
      </c>
      <c r="N65" s="50">
        <f t="shared" si="16"/>
        <v>3</v>
      </c>
    </row>
    <row r="66" spans="2:14" x14ac:dyDescent="0.25">
      <c r="B66" s="130"/>
      <c r="C66" s="64" t="s">
        <v>42</v>
      </c>
      <c r="D66" s="44">
        <f>D58</f>
        <v>0.5</v>
      </c>
      <c r="E66" s="43">
        <v>0</v>
      </c>
      <c r="F66" s="43">
        <v>1</v>
      </c>
      <c r="G66" s="43">
        <f>G63</f>
        <v>3</v>
      </c>
      <c r="H66" s="103" t="s">
        <v>231</v>
      </c>
      <c r="J66" s="130"/>
      <c r="K66" s="64" t="str">
        <f t="shared" si="8"/>
        <v>Register with certification ID system</v>
      </c>
      <c r="L66" s="50">
        <f>$G66*Q17</f>
        <v>0</v>
      </c>
      <c r="M66" s="50">
        <f>$G66*R17</f>
        <v>3</v>
      </c>
      <c r="N66" s="50">
        <f>$G66*S17</f>
        <v>1</v>
      </c>
    </row>
    <row r="67" spans="2:14" x14ac:dyDescent="0.25">
      <c r="B67" s="131"/>
      <c r="C67" s="64" t="s">
        <v>43</v>
      </c>
      <c r="D67" s="86">
        <f>Z6</f>
        <v>5.5555555555555558E-3</v>
      </c>
      <c r="E67" s="43">
        <v>0</v>
      </c>
      <c r="F67" s="74">
        <f>W6</f>
        <v>116470.58823529411</v>
      </c>
      <c r="G67" s="43">
        <f>G63</f>
        <v>3</v>
      </c>
      <c r="H67" s="64" t="s">
        <v>44</v>
      </c>
      <c r="J67" s="131"/>
      <c r="K67" s="64" t="str">
        <f t="shared" si="8"/>
        <v>Enter data into certification ID system</v>
      </c>
      <c r="L67" s="50">
        <f>$G67*Q27</f>
        <v>0</v>
      </c>
      <c r="M67" s="50">
        <f>$G67*R27</f>
        <v>0.75</v>
      </c>
      <c r="N67" s="50">
        <f>$G67*S27</f>
        <v>3</v>
      </c>
    </row>
    <row r="68" spans="2:14" x14ac:dyDescent="0.25">
      <c r="B68" s="129" t="s">
        <v>87</v>
      </c>
      <c r="C68" s="64" t="s">
        <v>88</v>
      </c>
      <c r="D68" s="43">
        <v>6</v>
      </c>
      <c r="E68" s="43">
        <v>0</v>
      </c>
      <c r="F68" s="43">
        <v>2</v>
      </c>
      <c r="G68" s="43">
        <v>12</v>
      </c>
      <c r="H68" s="103" t="s">
        <v>232</v>
      </c>
      <c r="J68" s="129" t="s">
        <v>87</v>
      </c>
      <c r="K68" s="64" t="str">
        <f t="shared" si="8"/>
        <v>Submit inter-company transfer request</v>
      </c>
      <c r="L68" s="50">
        <f t="shared" ref="L68:N77" si="17">$G68</f>
        <v>12</v>
      </c>
      <c r="M68" s="50">
        <f t="shared" si="17"/>
        <v>12</v>
      </c>
      <c r="N68" s="50">
        <f t="shared" si="17"/>
        <v>12</v>
      </c>
    </row>
    <row r="69" spans="2:14" x14ac:dyDescent="0.25">
      <c r="B69" s="130"/>
      <c r="C69" s="64" t="s">
        <v>89</v>
      </c>
      <c r="D69" s="43">
        <f>D68</f>
        <v>6</v>
      </c>
      <c r="E69" s="43">
        <v>0</v>
      </c>
      <c r="F69" s="43">
        <v>1</v>
      </c>
      <c r="G69" s="43">
        <v>1</v>
      </c>
      <c r="H69" s="23" t="s">
        <v>90</v>
      </c>
      <c r="J69" s="130"/>
      <c r="K69" s="64" t="str">
        <f t="shared" si="8"/>
        <v>Submit request to transfer from a person in a foreign country</v>
      </c>
      <c r="L69" s="50">
        <f t="shared" si="17"/>
        <v>1</v>
      </c>
      <c r="M69" s="50">
        <f t="shared" si="17"/>
        <v>1</v>
      </c>
      <c r="N69" s="50">
        <f t="shared" si="17"/>
        <v>1</v>
      </c>
    </row>
    <row r="70" spans="2:14" x14ac:dyDescent="0.25">
      <c r="B70" s="130"/>
      <c r="C70" s="64" t="s">
        <v>91</v>
      </c>
      <c r="D70" s="43">
        <f>D68</f>
        <v>6</v>
      </c>
      <c r="E70" s="43">
        <v>0</v>
      </c>
      <c r="F70" s="43">
        <v>1</v>
      </c>
      <c r="G70" s="43">
        <v>1</v>
      </c>
      <c r="H70" s="23" t="s">
        <v>90</v>
      </c>
      <c r="J70" s="130"/>
      <c r="K70" s="64" t="str">
        <f t="shared" si="8"/>
        <v>Submit request to transfer to a person in a foreign country</v>
      </c>
      <c r="L70" s="50">
        <f t="shared" si="17"/>
        <v>1</v>
      </c>
      <c r="M70" s="50">
        <f t="shared" si="17"/>
        <v>1</v>
      </c>
      <c r="N70" s="50">
        <f t="shared" si="17"/>
        <v>1</v>
      </c>
    </row>
    <row r="71" spans="2:14" x14ac:dyDescent="0.25">
      <c r="B71" s="131"/>
      <c r="C71" s="64" t="s">
        <v>92</v>
      </c>
      <c r="D71" s="43">
        <f>D68</f>
        <v>6</v>
      </c>
      <c r="E71" s="43">
        <v>0</v>
      </c>
      <c r="F71" s="43">
        <v>1</v>
      </c>
      <c r="G71" s="43">
        <v>5</v>
      </c>
      <c r="H71" s="23" t="s">
        <v>90</v>
      </c>
      <c r="J71" s="131"/>
      <c r="K71" s="64" t="str">
        <f t="shared" si="8"/>
        <v>Submit request to sell/transfer HFCs produced/imported with application-specific allowances</v>
      </c>
      <c r="L71" s="50">
        <f t="shared" si="17"/>
        <v>5</v>
      </c>
      <c r="M71" s="50">
        <f t="shared" si="17"/>
        <v>5</v>
      </c>
      <c r="N71" s="50">
        <f t="shared" si="17"/>
        <v>5</v>
      </c>
    </row>
    <row r="72" spans="2:14" ht="14.45" customHeight="1" x14ac:dyDescent="0.25">
      <c r="B72" s="134" t="s">
        <v>93</v>
      </c>
      <c r="C72" s="64" t="s">
        <v>94</v>
      </c>
      <c r="D72" s="43">
        <v>6</v>
      </c>
      <c r="E72" s="43">
        <v>0</v>
      </c>
      <c r="F72" s="43">
        <v>2</v>
      </c>
      <c r="G72" s="43">
        <v>42</v>
      </c>
      <c r="H72" s="23" t="s">
        <v>233</v>
      </c>
      <c r="J72" s="134" t="s">
        <v>93</v>
      </c>
      <c r="K72" s="64" t="str">
        <f t="shared" si="8"/>
        <v>Submit biannual report</v>
      </c>
      <c r="L72" s="50">
        <f t="shared" si="17"/>
        <v>42</v>
      </c>
      <c r="M72" s="50">
        <f t="shared" si="17"/>
        <v>42</v>
      </c>
      <c r="N72" s="50">
        <f t="shared" si="17"/>
        <v>42</v>
      </c>
    </row>
    <row r="73" spans="2:14" ht="14.45" customHeight="1" x14ac:dyDescent="0.25">
      <c r="B73" s="132"/>
      <c r="C73" s="64" t="s">
        <v>95</v>
      </c>
      <c r="D73" s="43">
        <v>6</v>
      </c>
      <c r="E73" s="43">
        <v>0</v>
      </c>
      <c r="F73" s="43">
        <v>1</v>
      </c>
      <c r="G73" s="43">
        <f>G72+8</f>
        <v>50</v>
      </c>
      <c r="H73" s="23" t="s">
        <v>234</v>
      </c>
      <c r="J73" s="132"/>
      <c r="K73" s="64" t="str">
        <f t="shared" si="8"/>
        <v>Submit annual report (part of biannual report)</v>
      </c>
      <c r="L73" s="50">
        <f t="shared" ref="L73:N73" si="18">$G73</f>
        <v>50</v>
      </c>
      <c r="M73" s="50">
        <f t="shared" si="18"/>
        <v>50</v>
      </c>
      <c r="N73" s="50">
        <f t="shared" si="18"/>
        <v>50</v>
      </c>
    </row>
    <row r="74" spans="2:14" x14ac:dyDescent="0.25">
      <c r="B74" s="132"/>
      <c r="C74" s="64" t="s">
        <v>72</v>
      </c>
      <c r="D74" s="43">
        <v>6</v>
      </c>
      <c r="E74" s="43">
        <v>0</v>
      </c>
      <c r="F74" s="43">
        <v>2</v>
      </c>
      <c r="G74" s="29">
        <v>40</v>
      </c>
      <c r="H74" s="37" t="s">
        <v>235</v>
      </c>
      <c r="J74" s="132"/>
      <c r="K74" s="64" t="str">
        <f t="shared" ref="K74" si="19">C74</f>
        <v>Submit conferral request</v>
      </c>
      <c r="L74" s="50">
        <f t="shared" si="17"/>
        <v>40</v>
      </c>
      <c r="M74" s="50">
        <f t="shared" si="17"/>
        <v>40</v>
      </c>
      <c r="N74" s="50">
        <f t="shared" si="17"/>
        <v>40</v>
      </c>
    </row>
    <row r="75" spans="2:14" x14ac:dyDescent="0.25">
      <c r="B75" s="132"/>
      <c r="C75" s="64" t="s">
        <v>73</v>
      </c>
      <c r="D75" s="43">
        <v>2</v>
      </c>
      <c r="E75" s="43">
        <v>0</v>
      </c>
      <c r="F75" s="43">
        <f>F74</f>
        <v>2</v>
      </c>
      <c r="G75" s="43">
        <f>G74</f>
        <v>40</v>
      </c>
      <c r="H75" s="23"/>
      <c r="J75" s="132"/>
      <c r="K75" s="64" t="str">
        <f>C75</f>
        <v>Provide certification to third party (conferee)</v>
      </c>
      <c r="L75" s="50">
        <f t="shared" si="17"/>
        <v>40</v>
      </c>
      <c r="M75" s="50">
        <f t="shared" si="17"/>
        <v>40</v>
      </c>
      <c r="N75" s="50">
        <f t="shared" si="17"/>
        <v>40</v>
      </c>
    </row>
    <row r="76" spans="2:14" x14ac:dyDescent="0.25">
      <c r="B76" s="132"/>
      <c r="C76" s="64" t="s">
        <v>41</v>
      </c>
      <c r="D76" s="83">
        <v>0</v>
      </c>
      <c r="E76" s="43">
        <v>80</v>
      </c>
      <c r="F76" s="43">
        <v>1</v>
      </c>
      <c r="G76" s="43">
        <f>G72</f>
        <v>42</v>
      </c>
      <c r="H76" s="23" t="s">
        <v>233</v>
      </c>
      <c r="J76" s="132"/>
      <c r="K76" s="64" t="str">
        <f>C76</f>
        <v>Maintain records</v>
      </c>
      <c r="L76" s="50">
        <f t="shared" si="17"/>
        <v>42</v>
      </c>
      <c r="M76" s="50">
        <f t="shared" si="17"/>
        <v>42</v>
      </c>
      <c r="N76" s="50">
        <f t="shared" si="17"/>
        <v>42</v>
      </c>
    </row>
    <row r="77" spans="2:14" x14ac:dyDescent="0.25">
      <c r="B77" s="89" t="s">
        <v>96</v>
      </c>
      <c r="C77" s="89" t="s">
        <v>97</v>
      </c>
      <c r="D77" s="50">
        <v>40</v>
      </c>
      <c r="E77" s="43">
        <v>0</v>
      </c>
      <c r="F77" s="29">
        <v>1</v>
      </c>
      <c r="G77" s="43">
        <f>G6+G15+G55+G72</f>
        <v>129</v>
      </c>
      <c r="H77" s="37" t="s">
        <v>98</v>
      </c>
      <c r="J77" s="89" t="s">
        <v>96</v>
      </c>
      <c r="K77" s="64" t="str">
        <f>C77</f>
        <v>Submit annual audit report</v>
      </c>
      <c r="L77" s="50">
        <f t="shared" si="17"/>
        <v>129</v>
      </c>
      <c r="M77" s="50">
        <f t="shared" si="17"/>
        <v>129</v>
      </c>
      <c r="N77" s="50">
        <f t="shared" si="17"/>
        <v>129</v>
      </c>
    </row>
    <row r="78" spans="2:14" ht="24" x14ac:dyDescent="0.25">
      <c r="B78" s="139" t="s">
        <v>99</v>
      </c>
      <c r="C78" s="139"/>
      <c r="D78" s="139"/>
      <c r="E78" s="139"/>
      <c r="F78" s="139"/>
      <c r="G78" s="45">
        <f>G6+G15+G55+G31+G44+G49+G61+G63+G76+G37</f>
        <v>10195</v>
      </c>
      <c r="H78" s="49" t="s">
        <v>236</v>
      </c>
    </row>
    <row r="86" ht="15" customHeight="1" x14ac:dyDescent="0.25"/>
  </sheetData>
  <autoFilter ref="B4:H78" xr:uid="{3285FC9D-FC5B-4906-A09C-7FF1B5F9DF46}"/>
  <mergeCells count="27">
    <mergeCell ref="B78:F78"/>
    <mergeCell ref="B43:B47"/>
    <mergeCell ref="B48:B51"/>
    <mergeCell ref="B52:B53"/>
    <mergeCell ref="B68:B71"/>
    <mergeCell ref="B72:B76"/>
    <mergeCell ref="B54:B59"/>
    <mergeCell ref="J33:J36"/>
    <mergeCell ref="J72:J76"/>
    <mergeCell ref="J68:J71"/>
    <mergeCell ref="J63:J67"/>
    <mergeCell ref="B60:B62"/>
    <mergeCell ref="J60:J62"/>
    <mergeCell ref="B63:B67"/>
    <mergeCell ref="B37:B42"/>
    <mergeCell ref="B33:B36"/>
    <mergeCell ref="J37:J42"/>
    <mergeCell ref="J54:J59"/>
    <mergeCell ref="J43:J47"/>
    <mergeCell ref="J48:J51"/>
    <mergeCell ref="J52:J53"/>
    <mergeCell ref="Q11:S11"/>
    <mergeCell ref="Q21:S21"/>
    <mergeCell ref="B5:B14"/>
    <mergeCell ref="J5:J14"/>
    <mergeCell ref="J15:J29"/>
    <mergeCell ref="B15:B29"/>
  </mergeCells>
  <conditionalFormatting sqref="Q13:S18 Q23:S28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5DF7-DF29-41B6-B480-6F886A83F319}">
  <sheetPr codeName="Sheet2">
    <tabColor theme="8"/>
  </sheetPr>
  <dimension ref="A1:AG85"/>
  <sheetViews>
    <sheetView tabSelected="1" zoomScale="110" zoomScaleNormal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Z30" sqref="Z30"/>
    </sheetView>
  </sheetViews>
  <sheetFormatPr defaultRowHeight="15" x14ac:dyDescent="0.25"/>
  <cols>
    <col min="1" max="1" width="3.7109375" customWidth="1"/>
    <col min="2" max="2" width="29.42578125" bestFit="1" customWidth="1"/>
    <col min="3" max="3" width="70.140625" bestFit="1" customWidth="1"/>
    <col min="4" max="4" width="12" customWidth="1"/>
    <col min="5" max="5" width="10.28515625" customWidth="1"/>
    <col min="6" max="6" width="8.85546875" customWidth="1"/>
    <col min="7" max="7" width="11" customWidth="1"/>
    <col min="8" max="8" width="12.5703125" customWidth="1"/>
    <col min="9" max="9" width="9.85546875" customWidth="1"/>
    <col min="10" max="12" width="7.140625" customWidth="1"/>
    <col min="13" max="13" width="8.28515625" customWidth="1"/>
    <col min="14" max="14" width="10" bestFit="1" customWidth="1"/>
    <col min="15" max="15" width="11" bestFit="1" customWidth="1"/>
    <col min="16" max="18" width="7.5703125" bestFit="1" customWidth="1"/>
    <col min="19" max="20" width="10" bestFit="1" customWidth="1"/>
    <col min="21" max="21" width="11" bestFit="1" customWidth="1"/>
    <col min="22" max="22" width="10.28515625" customWidth="1"/>
    <col min="23" max="23" width="9.85546875" customWidth="1"/>
    <col min="24" max="24" width="10.28515625" customWidth="1"/>
    <col min="25" max="25" width="9.85546875" customWidth="1"/>
    <col min="26" max="26" width="5.28515625" style="72" customWidth="1"/>
    <col min="27" max="27" width="7.140625" style="72" customWidth="1"/>
    <col min="28" max="28" width="16" customWidth="1"/>
    <col min="29" max="29" width="9.7109375" customWidth="1"/>
    <col min="30" max="30" width="11.42578125" bestFit="1" customWidth="1"/>
    <col min="31" max="31" width="12.140625" customWidth="1"/>
    <col min="32" max="32" width="10.7109375" customWidth="1"/>
    <col min="33" max="33" width="10.5703125" customWidth="1"/>
  </cols>
  <sheetData>
    <row r="1" spans="1:33" s="20" customFormat="1" ht="18.75" x14ac:dyDescent="0.3">
      <c r="A1" s="20" t="s">
        <v>100</v>
      </c>
      <c r="Z1" s="70" t="s">
        <v>101</v>
      </c>
      <c r="AA1" s="70"/>
    </row>
    <row r="2" spans="1:33" x14ac:dyDescent="0.25">
      <c r="Z2" s="71"/>
      <c r="AA2" s="71"/>
    </row>
    <row r="3" spans="1:33" s="14" customFormat="1" ht="33" customHeight="1" x14ac:dyDescent="0.25">
      <c r="B3" s="146" t="s">
        <v>5</v>
      </c>
      <c r="C3" s="146" t="s">
        <v>102</v>
      </c>
      <c r="D3" s="156" t="s">
        <v>103</v>
      </c>
      <c r="E3" s="146" t="s">
        <v>7</v>
      </c>
      <c r="F3" s="146" t="s">
        <v>8</v>
      </c>
      <c r="G3" s="146" t="s">
        <v>104</v>
      </c>
      <c r="H3" s="146" t="s">
        <v>105</v>
      </c>
      <c r="I3" s="146" t="s">
        <v>106</v>
      </c>
      <c r="J3" s="148" t="s">
        <v>107</v>
      </c>
      <c r="K3" s="149"/>
      <c r="L3" s="149"/>
      <c r="M3" s="148" t="s">
        <v>108</v>
      </c>
      <c r="N3" s="149"/>
      <c r="O3" s="150"/>
      <c r="P3" s="148" t="s">
        <v>109</v>
      </c>
      <c r="Q3" s="149"/>
      <c r="R3" s="150"/>
      <c r="S3" s="148" t="s">
        <v>110</v>
      </c>
      <c r="T3" s="149"/>
      <c r="U3" s="150"/>
      <c r="V3" s="146" t="s">
        <v>111</v>
      </c>
      <c r="W3" s="148" t="s">
        <v>112</v>
      </c>
      <c r="X3" s="149"/>
      <c r="Y3" s="150"/>
      <c r="Z3" s="71"/>
      <c r="AA3" s="71"/>
      <c r="AB3" s="140" t="s">
        <v>113</v>
      </c>
      <c r="AC3" s="140" t="s">
        <v>114</v>
      </c>
      <c r="AD3" s="140" t="s">
        <v>115</v>
      </c>
      <c r="AE3" s="141" t="s">
        <v>116</v>
      </c>
      <c r="AF3" s="140" t="s">
        <v>117</v>
      </c>
      <c r="AG3" s="140" t="s">
        <v>118</v>
      </c>
    </row>
    <row r="4" spans="1:33" s="14" customFormat="1" x14ac:dyDescent="0.25">
      <c r="B4" s="147"/>
      <c r="C4" s="147"/>
      <c r="D4" s="157"/>
      <c r="E4" s="147"/>
      <c r="F4" s="147"/>
      <c r="G4" s="147"/>
      <c r="H4" s="147"/>
      <c r="I4" s="147"/>
      <c r="J4" s="66" t="s">
        <v>119</v>
      </c>
      <c r="K4" s="93" t="s">
        <v>120</v>
      </c>
      <c r="L4" s="93" t="s">
        <v>121</v>
      </c>
      <c r="M4" s="66" t="s">
        <v>119</v>
      </c>
      <c r="N4" s="66" t="s">
        <v>120</v>
      </c>
      <c r="O4" s="66" t="s">
        <v>121</v>
      </c>
      <c r="P4" s="66" t="s">
        <v>119</v>
      </c>
      <c r="Q4" s="66" t="s">
        <v>120</v>
      </c>
      <c r="R4" s="66" t="s">
        <v>121</v>
      </c>
      <c r="S4" s="66" t="s">
        <v>119</v>
      </c>
      <c r="T4" s="66" t="s">
        <v>120</v>
      </c>
      <c r="U4" s="66" t="s">
        <v>121</v>
      </c>
      <c r="V4" s="147"/>
      <c r="W4" s="66" t="s">
        <v>119</v>
      </c>
      <c r="X4" s="66" t="s">
        <v>120</v>
      </c>
      <c r="Y4" s="66" t="s">
        <v>121</v>
      </c>
      <c r="Z4" s="71"/>
      <c r="AA4" s="71"/>
      <c r="AB4" s="140"/>
      <c r="AC4" s="140"/>
      <c r="AD4" s="140"/>
      <c r="AE4" s="140"/>
      <c r="AF4" s="140"/>
      <c r="AG4" s="140"/>
    </row>
    <row r="5" spans="1:33" s="14" customFormat="1" x14ac:dyDescent="0.25">
      <c r="A5" s="53">
        <v>1</v>
      </c>
      <c r="B5" s="158" t="s">
        <v>29</v>
      </c>
      <c r="C5" s="64" t="str">
        <f>'Respondent Assumptions'!C5</f>
        <v>Submit one-time producer report</v>
      </c>
      <c r="D5" s="76">
        <f>'Respondent Assumptions'!F5</f>
        <v>1</v>
      </c>
      <c r="E5" s="88">
        <f>'Respondent Assumptions'!D5</f>
        <v>100</v>
      </c>
      <c r="F5" s="76">
        <f>'Respondent Assumptions'!E5</f>
        <v>0</v>
      </c>
      <c r="G5" s="17">
        <f t="shared" ref="G5:G36" si="0">D5*(E5+F5)</f>
        <v>100</v>
      </c>
      <c r="H5" s="16">
        <f t="shared" ref="H5:H36" si="1">(D5*E5*$B$83)+(D5*F5*$B$84)</f>
        <v>12713</v>
      </c>
      <c r="I5" s="15">
        <v>0</v>
      </c>
      <c r="J5" s="62">
        <f>'Respondent Assumptions'!L5</f>
        <v>1</v>
      </c>
      <c r="K5" s="62">
        <f>'Respondent Assumptions'!M5</f>
        <v>1</v>
      </c>
      <c r="L5" s="62">
        <f>'Respondent Assumptions'!N5</f>
        <v>1</v>
      </c>
      <c r="M5" s="29">
        <f t="shared" ref="M5:M36" si="2">$D5*J5</f>
        <v>1</v>
      </c>
      <c r="N5" s="29">
        <f t="shared" ref="N5:N36" si="3">$D5*K5</f>
        <v>1</v>
      </c>
      <c r="O5" s="29">
        <f t="shared" ref="O5:O36" si="4">$D5*L5</f>
        <v>1</v>
      </c>
      <c r="P5" s="63">
        <f t="shared" ref="P5:P36" si="5">J5*$G5</f>
        <v>100</v>
      </c>
      <c r="Q5" s="63">
        <f t="shared" ref="Q5:Q36" si="6">K5*$G5</f>
        <v>100</v>
      </c>
      <c r="R5" s="63">
        <f t="shared" ref="R5:R36" si="7">L5*$G5</f>
        <v>100</v>
      </c>
      <c r="S5" s="15">
        <f t="shared" ref="S5:S36" si="8">$H5*J5</f>
        <v>12713</v>
      </c>
      <c r="T5" s="15">
        <f t="shared" ref="T5:T36" si="9">$H5*K5</f>
        <v>12713</v>
      </c>
      <c r="U5" s="15">
        <f t="shared" ref="U5:U36" si="10">$H5*L5</f>
        <v>12713</v>
      </c>
      <c r="V5" s="15">
        <f t="shared" ref="V5:V36" si="11">I5*J5</f>
        <v>0</v>
      </c>
      <c r="W5" s="15">
        <f t="shared" ref="W5" si="12">S5+$V5</f>
        <v>12713</v>
      </c>
      <c r="X5" s="15">
        <f t="shared" ref="X5" si="13">T5+$V5</f>
        <v>12713</v>
      </c>
      <c r="Y5" s="15">
        <f t="shared" ref="Y5" si="14">U5+$V5</f>
        <v>12713</v>
      </c>
      <c r="Z5" s="71">
        <v>1</v>
      </c>
      <c r="AA5" s="71"/>
      <c r="AB5" s="57" t="s">
        <v>122</v>
      </c>
      <c r="AC5" s="58">
        <f>M78</f>
        <v>10194.379032258064</v>
      </c>
      <c r="AD5" s="58">
        <f>P78</f>
        <v>30339.058064516128</v>
      </c>
      <c r="AE5" s="60">
        <f>S78</f>
        <v>3497620.4517419348</v>
      </c>
      <c r="AF5" s="59">
        <f>V78</f>
        <v>817606.79999999993</v>
      </c>
      <c r="AG5" s="59">
        <f>W78</f>
        <v>4315227.2517419346</v>
      </c>
    </row>
    <row r="6" spans="1:33" s="14" customFormat="1" x14ac:dyDescent="0.25">
      <c r="A6" s="53">
        <v>1</v>
      </c>
      <c r="B6" s="159"/>
      <c r="C6" s="64" t="str">
        <f>'Respondent Assumptions'!C6</f>
        <v>Submit quarterly report</v>
      </c>
      <c r="D6" s="76">
        <f>'Respondent Assumptions'!F6</f>
        <v>4</v>
      </c>
      <c r="E6" s="88">
        <f>'Respondent Assumptions'!D6</f>
        <v>6</v>
      </c>
      <c r="F6" s="76">
        <f>'Respondent Assumptions'!E6</f>
        <v>0</v>
      </c>
      <c r="G6" s="17">
        <f t="shared" si="0"/>
        <v>24</v>
      </c>
      <c r="H6" s="16">
        <f t="shared" si="1"/>
        <v>3051.12</v>
      </c>
      <c r="I6" s="15">
        <v>0</v>
      </c>
      <c r="J6" s="62">
        <f>'Respondent Assumptions'!L6</f>
        <v>6</v>
      </c>
      <c r="K6" s="62">
        <f>'Respondent Assumptions'!M6</f>
        <v>6</v>
      </c>
      <c r="L6" s="62">
        <f>'Respondent Assumptions'!N6</f>
        <v>6</v>
      </c>
      <c r="M6" s="29">
        <f t="shared" si="2"/>
        <v>24</v>
      </c>
      <c r="N6" s="29">
        <f t="shared" si="3"/>
        <v>24</v>
      </c>
      <c r="O6" s="29">
        <f t="shared" si="4"/>
        <v>24</v>
      </c>
      <c r="P6" s="63">
        <f t="shared" si="5"/>
        <v>144</v>
      </c>
      <c r="Q6" s="63">
        <f t="shared" si="6"/>
        <v>144</v>
      </c>
      <c r="R6" s="63">
        <f t="shared" si="7"/>
        <v>144</v>
      </c>
      <c r="S6" s="15">
        <f t="shared" si="8"/>
        <v>18306.72</v>
      </c>
      <c r="T6" s="15">
        <f t="shared" si="9"/>
        <v>18306.72</v>
      </c>
      <c r="U6" s="15">
        <f t="shared" si="10"/>
        <v>18306.72</v>
      </c>
      <c r="V6" s="15">
        <f t="shared" si="11"/>
        <v>0</v>
      </c>
      <c r="W6" s="15">
        <f t="shared" ref="W6:W37" si="15">S6+$V6</f>
        <v>18306.72</v>
      </c>
      <c r="X6" s="15">
        <f t="shared" ref="X6:X37" si="16">T6+$V6</f>
        <v>18306.72</v>
      </c>
      <c r="Y6" s="15">
        <f t="shared" ref="Y6:Y37" si="17">U6+$V6</f>
        <v>18306.72</v>
      </c>
      <c r="Z6" s="71">
        <v>1</v>
      </c>
      <c r="AA6" s="71"/>
      <c r="AB6" s="57" t="s">
        <v>123</v>
      </c>
      <c r="AC6" s="58">
        <f>N78</f>
        <v>2138247.7514231498</v>
      </c>
      <c r="AD6" s="58">
        <f>Q78</f>
        <v>47966.155787476288</v>
      </c>
      <c r="AE6" s="60">
        <f>T78</f>
        <v>5711653.3852618597</v>
      </c>
      <c r="AF6" s="59">
        <f>AF5</f>
        <v>817606.79999999993</v>
      </c>
      <c r="AG6" s="59">
        <f>X78</f>
        <v>6529260.1852618596</v>
      </c>
    </row>
    <row r="7" spans="1:33" s="14" customFormat="1" x14ac:dyDescent="0.25">
      <c r="A7" s="53"/>
      <c r="B7" s="159"/>
      <c r="C7" s="64" t="str">
        <f>'Respondent Assumptions'!C7</f>
        <v>Submit annual inventory report (part of quarterly report)</v>
      </c>
      <c r="D7" s="76">
        <f>'Respondent Assumptions'!F7</f>
        <v>1</v>
      </c>
      <c r="E7" s="88">
        <f>'Respondent Assumptions'!D7</f>
        <v>40</v>
      </c>
      <c r="F7" s="76">
        <f>'Respondent Assumptions'!E7</f>
        <v>0</v>
      </c>
      <c r="G7" s="17">
        <f t="shared" si="0"/>
        <v>40</v>
      </c>
      <c r="H7" s="16">
        <f t="shared" si="1"/>
        <v>5085.2</v>
      </c>
      <c r="I7" s="15">
        <v>0</v>
      </c>
      <c r="J7" s="62">
        <f>'Respondent Assumptions'!L7</f>
        <v>6</v>
      </c>
      <c r="K7" s="62">
        <f>'Respondent Assumptions'!M7</f>
        <v>6</v>
      </c>
      <c r="L7" s="62">
        <f>'Respondent Assumptions'!N7</f>
        <v>6</v>
      </c>
      <c r="M7" s="29">
        <f t="shared" si="2"/>
        <v>6</v>
      </c>
      <c r="N7" s="29">
        <f t="shared" si="3"/>
        <v>6</v>
      </c>
      <c r="O7" s="29">
        <f t="shared" si="4"/>
        <v>6</v>
      </c>
      <c r="P7" s="63">
        <f t="shared" si="5"/>
        <v>240</v>
      </c>
      <c r="Q7" s="63">
        <f t="shared" si="6"/>
        <v>240</v>
      </c>
      <c r="R7" s="63">
        <f t="shared" si="7"/>
        <v>240</v>
      </c>
      <c r="S7" s="15">
        <f t="shared" si="8"/>
        <v>30511.199999999997</v>
      </c>
      <c r="T7" s="15">
        <f t="shared" si="9"/>
        <v>30511.199999999997</v>
      </c>
      <c r="U7" s="15">
        <f t="shared" si="10"/>
        <v>30511.199999999997</v>
      </c>
      <c r="V7" s="15">
        <f t="shared" si="11"/>
        <v>0</v>
      </c>
      <c r="W7" s="15">
        <f t="shared" si="15"/>
        <v>30511.199999999997</v>
      </c>
      <c r="X7" s="15">
        <f t="shared" si="16"/>
        <v>30511.199999999997</v>
      </c>
      <c r="Y7" s="15">
        <f t="shared" si="17"/>
        <v>30511.199999999997</v>
      </c>
      <c r="Z7" s="71">
        <v>1</v>
      </c>
      <c r="AA7" s="71"/>
      <c r="AB7" s="57" t="s">
        <v>124</v>
      </c>
      <c r="AC7" s="58">
        <f>O78</f>
        <v>10752442.457305502</v>
      </c>
      <c r="AD7" s="58">
        <f>R78</f>
        <v>94545.126375711581</v>
      </c>
      <c r="AE7" s="60">
        <f>U78</f>
        <v>11633237.916144215</v>
      </c>
      <c r="AF7" s="59">
        <f>AF6</f>
        <v>817606.79999999993</v>
      </c>
      <c r="AG7" s="59">
        <f>Y78</f>
        <v>12450844.716144213</v>
      </c>
    </row>
    <row r="8" spans="1:33" s="14" customFormat="1" x14ac:dyDescent="0.25">
      <c r="A8" s="54"/>
      <c r="B8" s="159"/>
      <c r="C8" s="64" t="str">
        <f>'Respondent Assumptions'!C8</f>
        <v>Maintain records</v>
      </c>
      <c r="D8" s="76">
        <f>'Respondent Assumptions'!F8</f>
        <v>1</v>
      </c>
      <c r="E8" s="88">
        <f>'Respondent Assumptions'!D8</f>
        <v>0</v>
      </c>
      <c r="F8" s="76">
        <f>'Respondent Assumptions'!E8</f>
        <v>100</v>
      </c>
      <c r="G8" s="17">
        <f t="shared" si="0"/>
        <v>100</v>
      </c>
      <c r="H8" s="16">
        <f t="shared" si="1"/>
        <v>10023</v>
      </c>
      <c r="I8" s="15">
        <v>50</v>
      </c>
      <c r="J8" s="62">
        <f>'Respondent Assumptions'!L8</f>
        <v>6</v>
      </c>
      <c r="K8" s="62">
        <f>'Respondent Assumptions'!M8</f>
        <v>6</v>
      </c>
      <c r="L8" s="62">
        <f>'Respondent Assumptions'!N8</f>
        <v>6</v>
      </c>
      <c r="M8" s="29">
        <f t="shared" si="2"/>
        <v>6</v>
      </c>
      <c r="N8" s="29">
        <f t="shared" si="3"/>
        <v>6</v>
      </c>
      <c r="O8" s="29">
        <f t="shared" si="4"/>
        <v>6</v>
      </c>
      <c r="P8" s="63">
        <f t="shared" si="5"/>
        <v>600</v>
      </c>
      <c r="Q8" s="63">
        <f t="shared" si="6"/>
        <v>600</v>
      </c>
      <c r="R8" s="63">
        <f t="shared" si="7"/>
        <v>600</v>
      </c>
      <c r="S8" s="15">
        <f t="shared" si="8"/>
        <v>60138</v>
      </c>
      <c r="T8" s="15">
        <f t="shared" si="9"/>
        <v>60138</v>
      </c>
      <c r="U8" s="15">
        <f t="shared" si="10"/>
        <v>60138</v>
      </c>
      <c r="V8" s="15">
        <f t="shared" si="11"/>
        <v>300</v>
      </c>
      <c r="W8" s="15">
        <f t="shared" si="15"/>
        <v>60438</v>
      </c>
      <c r="X8" s="15">
        <f t="shared" si="16"/>
        <v>60438</v>
      </c>
      <c r="Y8" s="15">
        <f t="shared" si="17"/>
        <v>60438</v>
      </c>
      <c r="Z8" s="71">
        <v>2</v>
      </c>
      <c r="AA8" s="71"/>
      <c r="AB8" s="57" t="s">
        <v>125</v>
      </c>
      <c r="AC8" s="58">
        <f>AVERAGE(AC5:AC7)</f>
        <v>4300294.8625869704</v>
      </c>
      <c r="AD8" s="58">
        <f>AVERAGE(AD5:AD7)</f>
        <v>57616.780075901333</v>
      </c>
      <c r="AE8" s="60">
        <f>AVERAGE(AE5:AE7)</f>
        <v>6947503.917716003</v>
      </c>
      <c r="AF8" s="59">
        <f>AVERAGE(AF5:AF7)</f>
        <v>817606.79999999993</v>
      </c>
      <c r="AG8" s="59">
        <f>AVERAGE(AG5:AG7)</f>
        <v>7765110.7177160038</v>
      </c>
    </row>
    <row r="9" spans="1:33" s="14" customFormat="1" x14ac:dyDescent="0.25">
      <c r="A9" s="54"/>
      <c r="B9" s="159"/>
      <c r="C9" s="64" t="str">
        <f>'Respondent Assumptions'!C9</f>
        <v>Register with certification ID system</v>
      </c>
      <c r="D9" s="76">
        <f>'Respondent Assumptions'!F9</f>
        <v>1</v>
      </c>
      <c r="E9" s="88">
        <f>'Respondent Assumptions'!D9</f>
        <v>0.5</v>
      </c>
      <c r="F9" s="76">
        <f>'Respondent Assumptions'!E9</f>
        <v>0</v>
      </c>
      <c r="G9" s="17">
        <f t="shared" si="0"/>
        <v>0.5</v>
      </c>
      <c r="H9" s="16">
        <f t="shared" si="1"/>
        <v>63.564999999999998</v>
      </c>
      <c r="I9" s="15">
        <v>0</v>
      </c>
      <c r="J9" s="62">
        <f>'Respondent Assumptions'!L9</f>
        <v>6</v>
      </c>
      <c r="K9" s="62">
        <f>'Respondent Assumptions'!M9</f>
        <v>1</v>
      </c>
      <c r="L9" s="62">
        <f>'Respondent Assumptions'!N9</f>
        <v>1</v>
      </c>
      <c r="M9" s="29">
        <f t="shared" si="2"/>
        <v>6</v>
      </c>
      <c r="N9" s="29">
        <f t="shared" si="3"/>
        <v>1</v>
      </c>
      <c r="O9" s="29">
        <f t="shared" si="4"/>
        <v>1</v>
      </c>
      <c r="P9" s="63">
        <f t="shared" si="5"/>
        <v>3</v>
      </c>
      <c r="Q9" s="63">
        <f t="shared" si="6"/>
        <v>0.5</v>
      </c>
      <c r="R9" s="63">
        <f t="shared" si="7"/>
        <v>0.5</v>
      </c>
      <c r="S9" s="15">
        <f t="shared" si="8"/>
        <v>381.39</v>
      </c>
      <c r="T9" s="15">
        <f t="shared" si="9"/>
        <v>63.564999999999998</v>
      </c>
      <c r="U9" s="15">
        <f t="shared" si="10"/>
        <v>63.564999999999998</v>
      </c>
      <c r="V9" s="15">
        <f t="shared" si="11"/>
        <v>0</v>
      </c>
      <c r="W9" s="15">
        <f t="shared" si="15"/>
        <v>381.39</v>
      </c>
      <c r="X9" s="15">
        <f t="shared" si="16"/>
        <v>63.564999999999998</v>
      </c>
      <c r="Y9" s="15">
        <f t="shared" si="17"/>
        <v>63.564999999999998</v>
      </c>
      <c r="Z9" s="71">
        <v>1</v>
      </c>
      <c r="AA9" s="71"/>
      <c r="AC9" s="61">
        <f>AC8-M80</f>
        <v>0</v>
      </c>
      <c r="AD9" s="61">
        <f>AD8-P80</f>
        <v>0</v>
      </c>
      <c r="AE9" s="61">
        <f>AE8-S80</f>
        <v>0</v>
      </c>
      <c r="AF9" s="61">
        <f>AF8-V80</f>
        <v>0</v>
      </c>
      <c r="AG9" s="61">
        <f>AG8-W80</f>
        <v>0</v>
      </c>
    </row>
    <row r="10" spans="1:33" s="14" customFormat="1" x14ac:dyDescent="0.25">
      <c r="A10" s="54"/>
      <c r="B10" s="159"/>
      <c r="C10" s="64" t="str">
        <f>'Respondent Assumptions'!C10</f>
        <v>Enter data into certification ID system</v>
      </c>
      <c r="D10" s="76">
        <f>'Respondent Assumptions'!F10</f>
        <v>47.903225806451616</v>
      </c>
      <c r="E10" s="88">
        <f>'Respondent Assumptions'!D10</f>
        <v>2</v>
      </c>
      <c r="F10" s="76">
        <f>'Respondent Assumptions'!E10</f>
        <v>0</v>
      </c>
      <c r="G10" s="17">
        <f t="shared" si="0"/>
        <v>95.806451612903231</v>
      </c>
      <c r="H10" s="16">
        <f t="shared" si="1"/>
        <v>12179.874193548387</v>
      </c>
      <c r="I10" s="15">
        <v>0</v>
      </c>
      <c r="J10" s="62">
        <f>'Respondent Assumptions'!L10</f>
        <v>1.5</v>
      </c>
      <c r="K10" s="62">
        <f>'Respondent Assumptions'!M10</f>
        <v>6</v>
      </c>
      <c r="L10" s="62">
        <f>'Respondent Assumptions'!N10</f>
        <v>6</v>
      </c>
      <c r="M10" s="29">
        <f t="shared" si="2"/>
        <v>71.854838709677423</v>
      </c>
      <c r="N10" s="29">
        <f t="shared" si="3"/>
        <v>287.41935483870969</v>
      </c>
      <c r="O10" s="29">
        <f t="shared" si="4"/>
        <v>287.41935483870969</v>
      </c>
      <c r="P10" s="63">
        <f t="shared" si="5"/>
        <v>143.70967741935485</v>
      </c>
      <c r="Q10" s="63">
        <f t="shared" si="6"/>
        <v>574.83870967741939</v>
      </c>
      <c r="R10" s="63">
        <f t="shared" si="7"/>
        <v>574.83870967741939</v>
      </c>
      <c r="S10" s="15">
        <f t="shared" si="8"/>
        <v>18269.811290322581</v>
      </c>
      <c r="T10" s="15">
        <f t="shared" si="9"/>
        <v>73079.245161290324</v>
      </c>
      <c r="U10" s="15">
        <f t="shared" si="10"/>
        <v>73079.245161290324</v>
      </c>
      <c r="V10" s="15">
        <f t="shared" si="11"/>
        <v>0</v>
      </c>
      <c r="W10" s="15">
        <f t="shared" si="15"/>
        <v>18269.811290322581</v>
      </c>
      <c r="X10" s="15">
        <f t="shared" si="16"/>
        <v>73079.245161290324</v>
      </c>
      <c r="Y10" s="15">
        <f t="shared" si="17"/>
        <v>73079.245161290324</v>
      </c>
      <c r="Z10" s="71">
        <v>1</v>
      </c>
      <c r="AA10" s="71"/>
      <c r="AD10" s="14">
        <f>AD8/AC8</f>
        <v>1.3398332420684344E-2</v>
      </c>
    </row>
    <row r="11" spans="1:33" s="14" customFormat="1" x14ac:dyDescent="0.25">
      <c r="A11" s="54">
        <v>1</v>
      </c>
      <c r="B11" s="159"/>
      <c r="C11" s="64" t="str">
        <f>'Respondent Assumptions'!C11</f>
        <v>Submit annual HFC-23 emissions report</v>
      </c>
      <c r="D11" s="76">
        <f>'Respondent Assumptions'!F11</f>
        <v>1</v>
      </c>
      <c r="E11" s="88">
        <f>'Respondent Assumptions'!D11</f>
        <v>12</v>
      </c>
      <c r="F11" s="76">
        <f>'Respondent Assumptions'!E11</f>
        <v>0</v>
      </c>
      <c r="G11" s="17">
        <f t="shared" si="0"/>
        <v>12</v>
      </c>
      <c r="H11" s="16">
        <f t="shared" si="1"/>
        <v>1525.56</v>
      </c>
      <c r="I11" s="15">
        <v>50</v>
      </c>
      <c r="J11" s="62">
        <f>'Respondent Assumptions'!L11</f>
        <v>4</v>
      </c>
      <c r="K11" s="62">
        <f>'Respondent Assumptions'!M11</f>
        <v>4</v>
      </c>
      <c r="L11" s="62">
        <f>'Respondent Assumptions'!N11</f>
        <v>4</v>
      </c>
      <c r="M11" s="29">
        <f t="shared" si="2"/>
        <v>4</v>
      </c>
      <c r="N11" s="29">
        <f t="shared" si="3"/>
        <v>4</v>
      </c>
      <c r="O11" s="29">
        <f t="shared" si="4"/>
        <v>4</v>
      </c>
      <c r="P11" s="63">
        <f t="shared" si="5"/>
        <v>48</v>
      </c>
      <c r="Q11" s="63">
        <f t="shared" si="6"/>
        <v>48</v>
      </c>
      <c r="R11" s="63">
        <f t="shared" si="7"/>
        <v>48</v>
      </c>
      <c r="S11" s="15">
        <f t="shared" si="8"/>
        <v>6102.24</v>
      </c>
      <c r="T11" s="15">
        <f t="shared" si="9"/>
        <v>6102.24</v>
      </c>
      <c r="U11" s="15">
        <f t="shared" si="10"/>
        <v>6102.24</v>
      </c>
      <c r="V11" s="15">
        <f t="shared" si="11"/>
        <v>200</v>
      </c>
      <c r="W11" s="15">
        <f t="shared" si="15"/>
        <v>6302.24</v>
      </c>
      <c r="X11" s="15">
        <f t="shared" si="16"/>
        <v>6302.24</v>
      </c>
      <c r="Y11" s="15">
        <f t="shared" si="17"/>
        <v>6302.24</v>
      </c>
      <c r="Z11" s="71">
        <v>1</v>
      </c>
      <c r="AA11" s="71"/>
    </row>
    <row r="12" spans="1:33" s="14" customFormat="1" x14ac:dyDescent="0.25">
      <c r="A12" s="54">
        <v>1</v>
      </c>
      <c r="B12" s="159"/>
      <c r="C12" s="64" t="str">
        <f>'Respondent Assumptions'!C12</f>
        <v>Submit HFC-23 proof of destruction</v>
      </c>
      <c r="D12" s="76">
        <f>'Respondent Assumptions'!F12</f>
        <v>2</v>
      </c>
      <c r="E12" s="88">
        <f>'Respondent Assumptions'!D12</f>
        <v>0.25</v>
      </c>
      <c r="F12" s="76">
        <f>'Respondent Assumptions'!E12</f>
        <v>0</v>
      </c>
      <c r="G12" s="17">
        <f t="shared" si="0"/>
        <v>0.5</v>
      </c>
      <c r="H12" s="16">
        <f t="shared" si="1"/>
        <v>63.564999999999998</v>
      </c>
      <c r="I12" s="15">
        <v>0</v>
      </c>
      <c r="J12" s="62">
        <f>'Respondent Assumptions'!L12</f>
        <v>4</v>
      </c>
      <c r="K12" s="62">
        <f>'Respondent Assumptions'!M12</f>
        <v>4</v>
      </c>
      <c r="L12" s="62">
        <f>'Respondent Assumptions'!N12</f>
        <v>4</v>
      </c>
      <c r="M12" s="29">
        <f t="shared" si="2"/>
        <v>8</v>
      </c>
      <c r="N12" s="29">
        <f t="shared" si="3"/>
        <v>8</v>
      </c>
      <c r="O12" s="29">
        <f t="shared" si="4"/>
        <v>8</v>
      </c>
      <c r="P12" s="63">
        <f t="shared" si="5"/>
        <v>2</v>
      </c>
      <c r="Q12" s="63">
        <f t="shared" si="6"/>
        <v>2</v>
      </c>
      <c r="R12" s="63">
        <f t="shared" si="7"/>
        <v>2</v>
      </c>
      <c r="S12" s="15">
        <f t="shared" si="8"/>
        <v>254.26</v>
      </c>
      <c r="T12" s="15">
        <f t="shared" si="9"/>
        <v>254.26</v>
      </c>
      <c r="U12" s="15">
        <f t="shared" si="10"/>
        <v>254.26</v>
      </c>
      <c r="V12" s="15">
        <f t="shared" si="11"/>
        <v>0</v>
      </c>
      <c r="W12" s="15">
        <f t="shared" si="15"/>
        <v>254.26</v>
      </c>
      <c r="X12" s="15">
        <f t="shared" si="16"/>
        <v>254.26</v>
      </c>
      <c r="Y12" s="15">
        <f t="shared" si="17"/>
        <v>254.26</v>
      </c>
      <c r="Z12" s="71">
        <v>1</v>
      </c>
      <c r="AA12" s="71"/>
      <c r="AB12" s="85" t="s">
        <v>126</v>
      </c>
      <c r="AC12" s="85" t="s">
        <v>122</v>
      </c>
      <c r="AD12" s="85" t="s">
        <v>123</v>
      </c>
      <c r="AE12" s="85" t="s">
        <v>124</v>
      </c>
      <c r="AF12" s="85" t="s">
        <v>127</v>
      </c>
    </row>
    <row r="13" spans="1:33" s="14" customFormat="1" x14ac:dyDescent="0.25">
      <c r="B13" s="159"/>
      <c r="C13" s="64" t="str">
        <f>'Respondent Assumptions'!C13</f>
        <v>Provide certification to third party (conferrer)</v>
      </c>
      <c r="D13" s="76">
        <f>'Respondent Assumptions'!F13</f>
        <v>1</v>
      </c>
      <c r="E13" s="88">
        <f>'Respondent Assumptions'!D13</f>
        <v>2</v>
      </c>
      <c r="F13" s="76">
        <f>'Respondent Assumptions'!E13</f>
        <v>0</v>
      </c>
      <c r="G13" s="17">
        <f t="shared" si="0"/>
        <v>2</v>
      </c>
      <c r="H13" s="16">
        <f t="shared" si="1"/>
        <v>254.26</v>
      </c>
      <c r="I13" s="15">
        <v>0</v>
      </c>
      <c r="J13" s="62">
        <f>'Respondent Assumptions'!L13</f>
        <v>2</v>
      </c>
      <c r="K13" s="62">
        <f>'Respondent Assumptions'!M13</f>
        <v>2</v>
      </c>
      <c r="L13" s="62">
        <f>'Respondent Assumptions'!N13</f>
        <v>2</v>
      </c>
      <c r="M13" s="29">
        <f t="shared" si="2"/>
        <v>2</v>
      </c>
      <c r="N13" s="29">
        <f t="shared" si="3"/>
        <v>2</v>
      </c>
      <c r="O13" s="29">
        <f t="shared" si="4"/>
        <v>2</v>
      </c>
      <c r="P13" s="63">
        <f t="shared" si="5"/>
        <v>4</v>
      </c>
      <c r="Q13" s="63">
        <f t="shared" si="6"/>
        <v>4</v>
      </c>
      <c r="R13" s="63">
        <f t="shared" si="7"/>
        <v>4</v>
      </c>
      <c r="S13" s="15">
        <f t="shared" si="8"/>
        <v>508.52</v>
      </c>
      <c r="T13" s="15">
        <f t="shared" si="9"/>
        <v>508.52</v>
      </c>
      <c r="U13" s="15">
        <f t="shared" si="10"/>
        <v>508.52</v>
      </c>
      <c r="V13" s="15">
        <f t="shared" si="11"/>
        <v>0</v>
      </c>
      <c r="W13" s="15">
        <f t="shared" si="15"/>
        <v>508.52</v>
      </c>
      <c r="X13" s="15">
        <f t="shared" si="16"/>
        <v>508.52</v>
      </c>
      <c r="Y13" s="15">
        <f t="shared" si="17"/>
        <v>508.52</v>
      </c>
      <c r="Z13" s="71">
        <v>3</v>
      </c>
      <c r="AA13" s="71"/>
      <c r="AB13" s="69" t="s">
        <v>128</v>
      </c>
      <c r="AC13" s="58">
        <f>SUMIF($Z$5:$Z$77,"1",P$5:P$77)</f>
        <v>16715.058064516128</v>
      </c>
      <c r="AD13" s="58">
        <f>SUMIF($Z$5:$Z$77,"1",Q$5:Q$77)</f>
        <v>33342.15578747628</v>
      </c>
      <c r="AE13" s="58">
        <f>SUMIF($Z$5:$Z$77,"1",R$5:R$77)</f>
        <v>79921.126375711581</v>
      </c>
      <c r="AF13" s="58">
        <f>AVERAGE(AC13:AE13)</f>
        <v>43326.113409234662</v>
      </c>
    </row>
    <row r="14" spans="1:33" s="14" customFormat="1" x14ac:dyDescent="0.25">
      <c r="B14" s="160"/>
      <c r="C14" s="101" t="str">
        <f>'Respondent Assumptions'!C14</f>
        <v>Provide certification to third party (exporter)</v>
      </c>
      <c r="D14" s="76">
        <f>'Respondent Assumptions'!F14</f>
        <v>1</v>
      </c>
      <c r="E14" s="88">
        <f>'Respondent Assumptions'!D14</f>
        <v>2</v>
      </c>
      <c r="F14" s="76">
        <f>'Respondent Assumptions'!E14</f>
        <v>0</v>
      </c>
      <c r="G14" s="17">
        <f t="shared" si="0"/>
        <v>2</v>
      </c>
      <c r="H14" s="16">
        <f t="shared" si="1"/>
        <v>254.26</v>
      </c>
      <c r="I14" s="15">
        <v>0</v>
      </c>
      <c r="J14" s="62">
        <f>'Respondent Assumptions'!L14</f>
        <v>2</v>
      </c>
      <c r="K14" s="62">
        <f>'Respondent Assumptions'!M14</f>
        <v>2</v>
      </c>
      <c r="L14" s="62">
        <f>'Respondent Assumptions'!N14</f>
        <v>2</v>
      </c>
      <c r="M14" s="29">
        <f t="shared" si="2"/>
        <v>2</v>
      </c>
      <c r="N14" s="29">
        <f t="shared" si="3"/>
        <v>2</v>
      </c>
      <c r="O14" s="29">
        <f t="shared" si="4"/>
        <v>2</v>
      </c>
      <c r="P14" s="63">
        <f t="shared" si="5"/>
        <v>4</v>
      </c>
      <c r="Q14" s="63">
        <f t="shared" si="6"/>
        <v>4</v>
      </c>
      <c r="R14" s="63">
        <f t="shared" si="7"/>
        <v>4</v>
      </c>
      <c r="S14" s="15">
        <f t="shared" si="8"/>
        <v>508.52</v>
      </c>
      <c r="T14" s="15">
        <f t="shared" si="9"/>
        <v>508.52</v>
      </c>
      <c r="U14" s="15">
        <f t="shared" si="10"/>
        <v>508.52</v>
      </c>
      <c r="V14" s="15">
        <f t="shared" si="11"/>
        <v>0</v>
      </c>
      <c r="W14" s="15">
        <f t="shared" si="15"/>
        <v>508.52</v>
      </c>
      <c r="X14" s="15">
        <f t="shared" si="16"/>
        <v>508.52</v>
      </c>
      <c r="Y14" s="15">
        <f t="shared" si="17"/>
        <v>508.52</v>
      </c>
      <c r="Z14" s="71">
        <v>3</v>
      </c>
      <c r="AA14" s="71"/>
      <c r="AB14" s="69" t="s">
        <v>129</v>
      </c>
      <c r="AC14" s="58">
        <f>SUMIF($Z$5:$Z$77,"2",P$5:P$77)</f>
        <v>13360</v>
      </c>
      <c r="AD14" s="58">
        <f>SUMIF($Z$5:$Z$77,"2",Q$5:Q$77)</f>
        <v>14360</v>
      </c>
      <c r="AE14" s="58">
        <f>SUMIF($Z$5:$Z$77,"2",R$5:R$77)</f>
        <v>14360</v>
      </c>
      <c r="AF14" s="58">
        <f t="shared" ref="AF14" si="18">AVERAGE(AC14:AE14)</f>
        <v>14026.666666666666</v>
      </c>
    </row>
    <row r="15" spans="1:33" s="14" customFormat="1" x14ac:dyDescent="0.25">
      <c r="A15" s="54">
        <v>1</v>
      </c>
      <c r="B15" s="158" t="s">
        <v>53</v>
      </c>
      <c r="C15" s="64" t="str">
        <f>'Respondent Assumptions'!C15</f>
        <v>Submit quarterly report</v>
      </c>
      <c r="D15" s="76">
        <f>'Respondent Assumptions'!F15</f>
        <v>4</v>
      </c>
      <c r="E15" s="88">
        <f>'Respondent Assumptions'!D15</f>
        <v>6</v>
      </c>
      <c r="F15" s="76">
        <f>'Respondent Assumptions'!E15</f>
        <v>0</v>
      </c>
      <c r="G15" s="17">
        <f t="shared" si="0"/>
        <v>24</v>
      </c>
      <c r="H15" s="16">
        <f t="shared" si="1"/>
        <v>3051.12</v>
      </c>
      <c r="I15" s="15">
        <v>0</v>
      </c>
      <c r="J15" s="62">
        <f>'Respondent Assumptions'!L15</f>
        <v>61</v>
      </c>
      <c r="K15" s="62">
        <f>'Respondent Assumptions'!M15</f>
        <v>61</v>
      </c>
      <c r="L15" s="62">
        <f>'Respondent Assumptions'!N15</f>
        <v>61</v>
      </c>
      <c r="M15" s="29">
        <f t="shared" si="2"/>
        <v>244</v>
      </c>
      <c r="N15" s="29">
        <f t="shared" si="3"/>
        <v>244</v>
      </c>
      <c r="O15" s="29">
        <f t="shared" si="4"/>
        <v>244</v>
      </c>
      <c r="P15" s="63">
        <f t="shared" si="5"/>
        <v>1464</v>
      </c>
      <c r="Q15" s="63">
        <f t="shared" si="6"/>
        <v>1464</v>
      </c>
      <c r="R15" s="63">
        <f t="shared" si="7"/>
        <v>1464</v>
      </c>
      <c r="S15" s="15">
        <f t="shared" si="8"/>
        <v>186118.32</v>
      </c>
      <c r="T15" s="15">
        <f t="shared" si="9"/>
        <v>186118.32</v>
      </c>
      <c r="U15" s="15">
        <f t="shared" si="10"/>
        <v>186118.32</v>
      </c>
      <c r="V15" s="15">
        <f t="shared" si="11"/>
        <v>0</v>
      </c>
      <c r="W15" s="15">
        <f t="shared" si="15"/>
        <v>186118.32</v>
      </c>
      <c r="X15" s="15">
        <f t="shared" si="16"/>
        <v>186118.32</v>
      </c>
      <c r="Y15" s="15">
        <f t="shared" si="17"/>
        <v>186118.32</v>
      </c>
      <c r="Z15" s="71">
        <v>1</v>
      </c>
      <c r="AA15" s="71"/>
      <c r="AB15" s="105"/>
      <c r="AC15" s="106"/>
      <c r="AD15" s="106"/>
      <c r="AE15" s="106"/>
      <c r="AF15" s="58">
        <f>SUM(AF13:AF14)</f>
        <v>57352.780075901326</v>
      </c>
    </row>
    <row r="16" spans="1:33" s="14" customFormat="1" x14ac:dyDescent="0.25">
      <c r="A16" s="54"/>
      <c r="B16" s="159"/>
      <c r="C16" s="89" t="str">
        <f>'Respondent Assumptions'!C16</f>
        <v>Submit annual inventory report (part of quarterly report)</v>
      </c>
      <c r="D16" s="76">
        <f>'Respondent Assumptions'!F16</f>
        <v>1</v>
      </c>
      <c r="E16" s="88">
        <f>'Respondent Assumptions'!D16</f>
        <v>10</v>
      </c>
      <c r="F16" s="76">
        <f>'Respondent Assumptions'!E16</f>
        <v>0</v>
      </c>
      <c r="G16" s="17">
        <f t="shared" si="0"/>
        <v>10</v>
      </c>
      <c r="H16" s="16">
        <f t="shared" si="1"/>
        <v>1271.3</v>
      </c>
      <c r="I16" s="15">
        <v>0</v>
      </c>
      <c r="J16" s="62">
        <f>'Respondent Assumptions'!L16</f>
        <v>61</v>
      </c>
      <c r="K16" s="62">
        <f>'Respondent Assumptions'!M16</f>
        <v>61</v>
      </c>
      <c r="L16" s="62">
        <f>'Respondent Assumptions'!N16</f>
        <v>61</v>
      </c>
      <c r="M16" s="29">
        <f t="shared" si="2"/>
        <v>61</v>
      </c>
      <c r="N16" s="29">
        <f t="shared" si="3"/>
        <v>61</v>
      </c>
      <c r="O16" s="29">
        <f t="shared" si="4"/>
        <v>61</v>
      </c>
      <c r="P16" s="63">
        <f t="shared" si="5"/>
        <v>610</v>
      </c>
      <c r="Q16" s="63">
        <f t="shared" si="6"/>
        <v>610</v>
      </c>
      <c r="R16" s="63">
        <f t="shared" si="7"/>
        <v>610</v>
      </c>
      <c r="S16" s="15">
        <f t="shared" si="8"/>
        <v>77549.3</v>
      </c>
      <c r="T16" s="15">
        <f t="shared" si="9"/>
        <v>77549.3</v>
      </c>
      <c r="U16" s="15">
        <f t="shared" si="10"/>
        <v>77549.3</v>
      </c>
      <c r="V16" s="15">
        <f t="shared" si="11"/>
        <v>0</v>
      </c>
      <c r="W16" s="15">
        <f t="shared" si="15"/>
        <v>77549.3</v>
      </c>
      <c r="X16" s="15">
        <f t="shared" si="16"/>
        <v>77549.3</v>
      </c>
      <c r="Y16" s="15">
        <f t="shared" si="17"/>
        <v>77549.3</v>
      </c>
      <c r="Z16" s="71">
        <v>1</v>
      </c>
      <c r="AA16" s="71"/>
      <c r="AB16" s="68"/>
      <c r="AC16" s="68"/>
      <c r="AD16" s="68"/>
      <c r="AE16" s="68"/>
    </row>
    <row r="17" spans="1:33" s="14" customFormat="1" x14ac:dyDescent="0.25">
      <c r="A17" s="54"/>
      <c r="B17" s="159"/>
      <c r="C17" s="89" t="str">
        <f>'Respondent Assumptions'!C17</f>
        <v>Maintain records</v>
      </c>
      <c r="D17" s="76">
        <f>'Respondent Assumptions'!F17</f>
        <v>1</v>
      </c>
      <c r="E17" s="88">
        <f>'Respondent Assumptions'!D17</f>
        <v>0</v>
      </c>
      <c r="F17" s="76">
        <f>'Respondent Assumptions'!E17</f>
        <v>100</v>
      </c>
      <c r="G17" s="17">
        <f t="shared" si="0"/>
        <v>100</v>
      </c>
      <c r="H17" s="16">
        <f t="shared" si="1"/>
        <v>10023</v>
      </c>
      <c r="I17" s="15">
        <v>50</v>
      </c>
      <c r="J17" s="62">
        <f>'Respondent Assumptions'!L17</f>
        <v>61</v>
      </c>
      <c r="K17" s="62">
        <f>'Respondent Assumptions'!M17</f>
        <v>61</v>
      </c>
      <c r="L17" s="62">
        <f>'Respondent Assumptions'!N17</f>
        <v>61</v>
      </c>
      <c r="M17" s="29">
        <f t="shared" si="2"/>
        <v>61</v>
      </c>
      <c r="N17" s="29">
        <f t="shared" si="3"/>
        <v>61</v>
      </c>
      <c r="O17" s="29">
        <f t="shared" si="4"/>
        <v>61</v>
      </c>
      <c r="P17" s="63">
        <f t="shared" si="5"/>
        <v>6100</v>
      </c>
      <c r="Q17" s="63">
        <f t="shared" si="6"/>
        <v>6100</v>
      </c>
      <c r="R17" s="63">
        <f t="shared" si="7"/>
        <v>6100</v>
      </c>
      <c r="S17" s="15">
        <f t="shared" si="8"/>
        <v>611403</v>
      </c>
      <c r="T17" s="15">
        <f t="shared" si="9"/>
        <v>611403</v>
      </c>
      <c r="U17" s="15">
        <f t="shared" si="10"/>
        <v>611403</v>
      </c>
      <c r="V17" s="15">
        <f t="shared" si="11"/>
        <v>3050</v>
      </c>
      <c r="W17" s="15">
        <f t="shared" si="15"/>
        <v>614453</v>
      </c>
      <c r="X17" s="15">
        <f t="shared" si="16"/>
        <v>614453</v>
      </c>
      <c r="Y17" s="15">
        <f t="shared" si="17"/>
        <v>614453</v>
      </c>
      <c r="Z17" s="71">
        <v>2</v>
      </c>
      <c r="AA17" s="71"/>
      <c r="AB17" s="24"/>
      <c r="AC17" s="24"/>
      <c r="AD17" s="24"/>
      <c r="AE17" s="24"/>
      <c r="AF17" s="24"/>
      <c r="AG17" s="24"/>
    </row>
    <row r="18" spans="1:33" s="24" customFormat="1" x14ac:dyDescent="0.25">
      <c r="A18" s="54"/>
      <c r="B18" s="159"/>
      <c r="C18" s="89" t="str">
        <f>'Respondent Assumptions'!C18</f>
        <v>Register with certification ID system</v>
      </c>
      <c r="D18" s="76">
        <f>'Respondent Assumptions'!F18</f>
        <v>1</v>
      </c>
      <c r="E18" s="88">
        <f>'Respondent Assumptions'!D18</f>
        <v>0.5</v>
      </c>
      <c r="F18" s="76">
        <f>'Respondent Assumptions'!E18</f>
        <v>0</v>
      </c>
      <c r="G18" s="17">
        <f t="shared" si="0"/>
        <v>0.5</v>
      </c>
      <c r="H18" s="16">
        <f t="shared" si="1"/>
        <v>63.564999999999998</v>
      </c>
      <c r="I18" s="15">
        <v>0</v>
      </c>
      <c r="J18" s="62">
        <f>'Respondent Assumptions'!L18</f>
        <v>61</v>
      </c>
      <c r="K18" s="62">
        <f>'Respondent Assumptions'!M18</f>
        <v>1</v>
      </c>
      <c r="L18" s="62">
        <f>'Respondent Assumptions'!N18</f>
        <v>1</v>
      </c>
      <c r="M18" s="29">
        <f t="shared" si="2"/>
        <v>61</v>
      </c>
      <c r="N18" s="29">
        <f t="shared" si="3"/>
        <v>1</v>
      </c>
      <c r="O18" s="29">
        <f t="shared" si="4"/>
        <v>1</v>
      </c>
      <c r="P18" s="63">
        <f t="shared" si="5"/>
        <v>30.5</v>
      </c>
      <c r="Q18" s="63">
        <f t="shared" si="6"/>
        <v>0.5</v>
      </c>
      <c r="R18" s="63">
        <f t="shared" si="7"/>
        <v>0.5</v>
      </c>
      <c r="S18" s="15">
        <f t="shared" si="8"/>
        <v>3877.4649999999997</v>
      </c>
      <c r="T18" s="15">
        <f t="shared" si="9"/>
        <v>63.564999999999998</v>
      </c>
      <c r="U18" s="15">
        <f t="shared" si="10"/>
        <v>63.564999999999998</v>
      </c>
      <c r="V18" s="15">
        <f t="shared" si="11"/>
        <v>0</v>
      </c>
      <c r="W18" s="15">
        <f t="shared" si="15"/>
        <v>3877.4649999999997</v>
      </c>
      <c r="X18" s="15">
        <f t="shared" si="16"/>
        <v>63.564999999999998</v>
      </c>
      <c r="Y18" s="15">
        <f t="shared" si="17"/>
        <v>63.564999999999998</v>
      </c>
      <c r="Z18" s="71">
        <v>1</v>
      </c>
      <c r="AA18" s="71"/>
    </row>
    <row r="19" spans="1:33" s="24" customFormat="1" x14ac:dyDescent="0.25">
      <c r="A19" s="54"/>
      <c r="B19" s="159"/>
      <c r="C19" s="89" t="str">
        <f>'Respondent Assumptions'!C19</f>
        <v>Enter data into certification ID system</v>
      </c>
      <c r="D19" s="76">
        <f>'Respondent Assumptions'!F19</f>
        <v>47.903225806451616</v>
      </c>
      <c r="E19" s="88">
        <f>'Respondent Assumptions'!D19</f>
        <v>2</v>
      </c>
      <c r="F19" s="76">
        <f>'Respondent Assumptions'!E19</f>
        <v>0</v>
      </c>
      <c r="G19" s="17">
        <f t="shared" si="0"/>
        <v>95.806451612903231</v>
      </c>
      <c r="H19" s="16">
        <f t="shared" si="1"/>
        <v>12179.874193548387</v>
      </c>
      <c r="I19" s="15">
        <v>0</v>
      </c>
      <c r="J19" s="62">
        <f>'Respondent Assumptions'!L19</f>
        <v>15.25</v>
      </c>
      <c r="K19" s="62">
        <f>'Respondent Assumptions'!M19</f>
        <v>61</v>
      </c>
      <c r="L19" s="62">
        <f>'Respondent Assumptions'!N19</f>
        <v>61</v>
      </c>
      <c r="M19" s="29">
        <f t="shared" si="2"/>
        <v>730.52419354838719</v>
      </c>
      <c r="N19" s="29">
        <f t="shared" si="3"/>
        <v>2922.0967741935488</v>
      </c>
      <c r="O19" s="29">
        <f t="shared" si="4"/>
        <v>2922.0967741935488</v>
      </c>
      <c r="P19" s="63">
        <f t="shared" si="5"/>
        <v>1461.0483870967744</v>
      </c>
      <c r="Q19" s="63">
        <f t="shared" si="6"/>
        <v>5844.1935483870975</v>
      </c>
      <c r="R19" s="63">
        <f t="shared" si="7"/>
        <v>5844.1935483870975</v>
      </c>
      <c r="S19" s="15">
        <f t="shared" si="8"/>
        <v>185743.0814516129</v>
      </c>
      <c r="T19" s="15">
        <f t="shared" si="9"/>
        <v>742972.32580645161</v>
      </c>
      <c r="U19" s="15">
        <f t="shared" si="10"/>
        <v>742972.32580645161</v>
      </c>
      <c r="V19" s="15">
        <f t="shared" si="11"/>
        <v>0</v>
      </c>
      <c r="W19" s="15">
        <f t="shared" si="15"/>
        <v>185743.0814516129</v>
      </c>
      <c r="X19" s="15">
        <f t="shared" si="16"/>
        <v>742972.32580645161</v>
      </c>
      <c r="Y19" s="15">
        <f t="shared" si="17"/>
        <v>742972.32580645161</v>
      </c>
      <c r="Z19" s="71">
        <v>1</v>
      </c>
      <c r="AA19" s="71"/>
    </row>
    <row r="20" spans="1:33" s="24" customFormat="1" x14ac:dyDescent="0.25">
      <c r="A20" s="54"/>
      <c r="B20" s="159"/>
      <c r="C20" s="89" t="str">
        <f>'Respondent Assumptions'!C20</f>
        <v>Petition to import HFCs for transformation/destruction</v>
      </c>
      <c r="D20" s="76">
        <f>'Respondent Assumptions'!F20</f>
        <v>32</v>
      </c>
      <c r="E20" s="88">
        <f>'Respondent Assumptions'!D20</f>
        <v>2</v>
      </c>
      <c r="F20" s="76">
        <f>'Respondent Assumptions'!E20</f>
        <v>0</v>
      </c>
      <c r="G20" s="17">
        <f t="shared" si="0"/>
        <v>64</v>
      </c>
      <c r="H20" s="16">
        <f t="shared" si="1"/>
        <v>8136.32</v>
      </c>
      <c r="I20" s="15">
        <v>0</v>
      </c>
      <c r="J20" s="62">
        <f>'Respondent Assumptions'!L20</f>
        <v>2</v>
      </c>
      <c r="K20" s="62">
        <f>'Respondent Assumptions'!M20</f>
        <v>2</v>
      </c>
      <c r="L20" s="62">
        <f>'Respondent Assumptions'!N20</f>
        <v>2</v>
      </c>
      <c r="M20" s="29">
        <f t="shared" si="2"/>
        <v>64</v>
      </c>
      <c r="N20" s="29">
        <f t="shared" si="3"/>
        <v>64</v>
      </c>
      <c r="O20" s="29">
        <f t="shared" si="4"/>
        <v>64</v>
      </c>
      <c r="P20" s="63">
        <f t="shared" si="5"/>
        <v>128</v>
      </c>
      <c r="Q20" s="63">
        <f t="shared" si="6"/>
        <v>128</v>
      </c>
      <c r="R20" s="63">
        <f t="shared" si="7"/>
        <v>128</v>
      </c>
      <c r="S20" s="15">
        <f t="shared" si="8"/>
        <v>16272.64</v>
      </c>
      <c r="T20" s="15">
        <f t="shared" si="9"/>
        <v>16272.64</v>
      </c>
      <c r="U20" s="15">
        <f t="shared" si="10"/>
        <v>16272.64</v>
      </c>
      <c r="V20" s="15">
        <f t="shared" si="11"/>
        <v>0</v>
      </c>
      <c r="W20" s="15">
        <f t="shared" si="15"/>
        <v>16272.64</v>
      </c>
      <c r="X20" s="15">
        <f t="shared" si="16"/>
        <v>16272.64</v>
      </c>
      <c r="Y20" s="15">
        <f t="shared" si="17"/>
        <v>16272.64</v>
      </c>
      <c r="Z20" s="71">
        <v>1</v>
      </c>
      <c r="AA20" s="71"/>
    </row>
    <row r="21" spans="1:33" s="24" customFormat="1" x14ac:dyDescent="0.25">
      <c r="A21" s="54"/>
      <c r="B21" s="159"/>
      <c r="C21" s="89" t="str">
        <f>'Respondent Assumptions'!C21</f>
        <v>Petition to import used HFCs for destruction</v>
      </c>
      <c r="D21" s="76">
        <f>'Respondent Assumptions'!F21</f>
        <v>6</v>
      </c>
      <c r="E21" s="88">
        <f>'Respondent Assumptions'!D21</f>
        <v>6</v>
      </c>
      <c r="F21" s="76">
        <f>'Respondent Assumptions'!E21</f>
        <v>0</v>
      </c>
      <c r="G21" s="17">
        <f t="shared" si="0"/>
        <v>36</v>
      </c>
      <c r="H21" s="16">
        <f t="shared" si="1"/>
        <v>4576.68</v>
      </c>
      <c r="I21" s="15">
        <v>0</v>
      </c>
      <c r="J21" s="62">
        <f>'Respondent Assumptions'!L21</f>
        <v>2</v>
      </c>
      <c r="K21" s="62">
        <f>'Respondent Assumptions'!M21</f>
        <v>2</v>
      </c>
      <c r="L21" s="62">
        <f>'Respondent Assumptions'!N21</f>
        <v>2</v>
      </c>
      <c r="M21" s="29">
        <f t="shared" si="2"/>
        <v>12</v>
      </c>
      <c r="N21" s="29">
        <f t="shared" si="3"/>
        <v>12</v>
      </c>
      <c r="O21" s="29">
        <f t="shared" si="4"/>
        <v>12</v>
      </c>
      <c r="P21" s="63">
        <f t="shared" si="5"/>
        <v>72</v>
      </c>
      <c r="Q21" s="63">
        <f t="shared" si="6"/>
        <v>72</v>
      </c>
      <c r="R21" s="63">
        <f t="shared" si="7"/>
        <v>72</v>
      </c>
      <c r="S21" s="15">
        <f t="shared" si="8"/>
        <v>9153.36</v>
      </c>
      <c r="T21" s="15">
        <f t="shared" si="9"/>
        <v>9153.36</v>
      </c>
      <c r="U21" s="15">
        <f t="shared" si="10"/>
        <v>9153.36</v>
      </c>
      <c r="V21" s="15">
        <f t="shared" si="11"/>
        <v>0</v>
      </c>
      <c r="W21" s="15">
        <f t="shared" si="15"/>
        <v>9153.36</v>
      </c>
      <c r="X21" s="15">
        <f t="shared" si="16"/>
        <v>9153.36</v>
      </c>
      <c r="Y21" s="15">
        <f t="shared" si="17"/>
        <v>9153.36</v>
      </c>
      <c r="Z21" s="71">
        <v>1</v>
      </c>
      <c r="AA21" s="71"/>
    </row>
    <row r="22" spans="1:33" s="24" customFormat="1" ht="14.45" customHeight="1" x14ac:dyDescent="0.25">
      <c r="A22" s="54"/>
      <c r="B22" s="159"/>
      <c r="C22" s="89" t="str">
        <f>'Respondent Assumptions'!C22</f>
        <v>Petition to import HFCs for laboratory testing with eventual destruction</v>
      </c>
      <c r="D22" s="76">
        <f>'Respondent Assumptions'!F22</f>
        <v>48</v>
      </c>
      <c r="E22" s="88">
        <f>'Respondent Assumptions'!D22</f>
        <v>6</v>
      </c>
      <c r="F22" s="76">
        <f>'Respondent Assumptions'!E22</f>
        <v>0</v>
      </c>
      <c r="G22" s="17">
        <f t="shared" si="0"/>
        <v>288</v>
      </c>
      <c r="H22" s="16">
        <f t="shared" si="1"/>
        <v>36613.440000000002</v>
      </c>
      <c r="I22" s="15">
        <v>0</v>
      </c>
      <c r="J22" s="62">
        <f>'Respondent Assumptions'!L22</f>
        <v>3</v>
      </c>
      <c r="K22" s="62">
        <f>'Respondent Assumptions'!M22</f>
        <v>3</v>
      </c>
      <c r="L22" s="62">
        <f>'Respondent Assumptions'!N22</f>
        <v>3</v>
      </c>
      <c r="M22" s="29">
        <f t="shared" si="2"/>
        <v>144</v>
      </c>
      <c r="N22" s="29">
        <f t="shared" si="3"/>
        <v>144</v>
      </c>
      <c r="O22" s="29">
        <f t="shared" si="4"/>
        <v>144</v>
      </c>
      <c r="P22" s="63">
        <f t="shared" si="5"/>
        <v>864</v>
      </c>
      <c r="Q22" s="63">
        <f t="shared" si="6"/>
        <v>864</v>
      </c>
      <c r="R22" s="63">
        <f t="shared" si="7"/>
        <v>864</v>
      </c>
      <c r="S22" s="15">
        <f t="shared" si="8"/>
        <v>109840.32000000001</v>
      </c>
      <c r="T22" s="15">
        <f t="shared" si="9"/>
        <v>109840.32000000001</v>
      </c>
      <c r="U22" s="15">
        <f t="shared" si="10"/>
        <v>109840.32000000001</v>
      </c>
      <c r="V22" s="15">
        <f t="shared" si="11"/>
        <v>0</v>
      </c>
      <c r="W22" s="15">
        <f t="shared" si="15"/>
        <v>109840.32000000001</v>
      </c>
      <c r="X22" s="15">
        <f t="shared" si="16"/>
        <v>109840.32000000001</v>
      </c>
      <c r="Y22" s="15">
        <f t="shared" si="17"/>
        <v>109840.32000000001</v>
      </c>
      <c r="Z22" s="71">
        <v>1</v>
      </c>
      <c r="AA22" s="71"/>
    </row>
    <row r="23" spans="1:33" s="24" customFormat="1" x14ac:dyDescent="0.25">
      <c r="A23" s="54">
        <v>1</v>
      </c>
      <c r="B23" s="159"/>
      <c r="C23" s="89" t="str">
        <f>'Respondent Assumptions'!C23</f>
        <v>Submit ACE report</v>
      </c>
      <c r="D23" s="76">
        <f>'Respondent Assumptions'!F23</f>
        <v>122.95081967213115</v>
      </c>
      <c r="E23" s="88">
        <f>'Respondent Assumptions'!D23</f>
        <v>0.25</v>
      </c>
      <c r="F23" s="76">
        <f>'Respondent Assumptions'!E23</f>
        <v>0</v>
      </c>
      <c r="G23" s="17">
        <f t="shared" si="0"/>
        <v>30.737704918032787</v>
      </c>
      <c r="H23" s="16">
        <f t="shared" si="1"/>
        <v>3907.6844262295081</v>
      </c>
      <c r="I23" s="15">
        <v>0</v>
      </c>
      <c r="J23" s="62">
        <f>'Respondent Assumptions'!L23</f>
        <v>61</v>
      </c>
      <c r="K23" s="62">
        <f>'Respondent Assumptions'!M23</f>
        <v>61</v>
      </c>
      <c r="L23" s="62">
        <f>'Respondent Assumptions'!N23</f>
        <v>61</v>
      </c>
      <c r="M23" s="29">
        <f t="shared" si="2"/>
        <v>7500</v>
      </c>
      <c r="N23" s="29">
        <f t="shared" si="3"/>
        <v>7500</v>
      </c>
      <c r="O23" s="29">
        <f t="shared" si="4"/>
        <v>7500</v>
      </c>
      <c r="P23" s="63">
        <f t="shared" si="5"/>
        <v>1875</v>
      </c>
      <c r="Q23" s="63">
        <f t="shared" si="6"/>
        <v>1875</v>
      </c>
      <c r="R23" s="63">
        <f t="shared" si="7"/>
        <v>1875</v>
      </c>
      <c r="S23" s="15">
        <f t="shared" si="8"/>
        <v>238368.75</v>
      </c>
      <c r="T23" s="15">
        <f t="shared" si="9"/>
        <v>238368.75</v>
      </c>
      <c r="U23" s="15">
        <f t="shared" si="10"/>
        <v>238368.75</v>
      </c>
      <c r="V23" s="15">
        <f t="shared" si="11"/>
        <v>0</v>
      </c>
      <c r="W23" s="15">
        <f t="shared" si="15"/>
        <v>238368.75</v>
      </c>
      <c r="X23" s="15">
        <f t="shared" si="16"/>
        <v>238368.75</v>
      </c>
      <c r="Y23" s="15">
        <f t="shared" si="17"/>
        <v>238368.75</v>
      </c>
      <c r="Z23" s="71">
        <v>1</v>
      </c>
      <c r="AA23" s="71"/>
    </row>
    <row r="24" spans="1:33" s="24" customFormat="1" x14ac:dyDescent="0.25">
      <c r="A24" s="54"/>
      <c r="B24" s="159"/>
      <c r="C24" s="89" t="str">
        <f>'Respondent Assumptions'!C24</f>
        <v>Submit proof of destruction of used imports</v>
      </c>
      <c r="D24" s="76">
        <f>'Respondent Assumptions'!F24</f>
        <v>6</v>
      </c>
      <c r="E24" s="88">
        <f>'Respondent Assumptions'!D24</f>
        <v>0.25</v>
      </c>
      <c r="F24" s="76">
        <f>'Respondent Assumptions'!E24</f>
        <v>0</v>
      </c>
      <c r="G24" s="17">
        <f t="shared" si="0"/>
        <v>1.5</v>
      </c>
      <c r="H24" s="16">
        <f t="shared" si="1"/>
        <v>190.69499999999999</v>
      </c>
      <c r="I24" s="15">
        <v>0</v>
      </c>
      <c r="J24" s="62">
        <f>'Respondent Assumptions'!L24</f>
        <v>2</v>
      </c>
      <c r="K24" s="62">
        <f>'Respondent Assumptions'!M24</f>
        <v>2</v>
      </c>
      <c r="L24" s="62">
        <f>'Respondent Assumptions'!N24</f>
        <v>2</v>
      </c>
      <c r="M24" s="29">
        <f t="shared" si="2"/>
        <v>12</v>
      </c>
      <c r="N24" s="29">
        <f t="shared" si="3"/>
        <v>12</v>
      </c>
      <c r="O24" s="29">
        <f t="shared" si="4"/>
        <v>12</v>
      </c>
      <c r="P24" s="63">
        <f t="shared" si="5"/>
        <v>3</v>
      </c>
      <c r="Q24" s="63">
        <f t="shared" si="6"/>
        <v>3</v>
      </c>
      <c r="R24" s="63">
        <f t="shared" si="7"/>
        <v>3</v>
      </c>
      <c r="S24" s="15">
        <f t="shared" si="8"/>
        <v>381.39</v>
      </c>
      <c r="T24" s="15">
        <f t="shared" si="9"/>
        <v>381.39</v>
      </c>
      <c r="U24" s="15">
        <f t="shared" si="10"/>
        <v>381.39</v>
      </c>
      <c r="V24" s="15">
        <f t="shared" si="11"/>
        <v>0</v>
      </c>
      <c r="W24" s="15">
        <f t="shared" si="15"/>
        <v>381.39</v>
      </c>
      <c r="X24" s="15">
        <f t="shared" si="16"/>
        <v>381.39</v>
      </c>
      <c r="Y24" s="15">
        <f t="shared" si="17"/>
        <v>381.39</v>
      </c>
      <c r="Z24" s="109">
        <v>1</v>
      </c>
      <c r="AA24" s="71"/>
    </row>
    <row r="25" spans="1:33" s="24" customFormat="1" x14ac:dyDescent="0.25">
      <c r="A25" s="54"/>
      <c r="B25" s="159"/>
      <c r="C25" s="89" t="str">
        <f>'Respondent Assumptions'!C25</f>
        <v>Maintain records on used imports for destruction</v>
      </c>
      <c r="D25" s="76">
        <f>'Respondent Assumptions'!F25</f>
        <v>1</v>
      </c>
      <c r="E25" s="88">
        <f>'Respondent Assumptions'!D25</f>
        <v>0</v>
      </c>
      <c r="F25" s="76">
        <f>'Respondent Assumptions'!E25</f>
        <v>20</v>
      </c>
      <c r="G25" s="17">
        <f t="shared" si="0"/>
        <v>20</v>
      </c>
      <c r="H25" s="16">
        <f t="shared" si="1"/>
        <v>2004.6000000000001</v>
      </c>
      <c r="I25" s="15">
        <v>50</v>
      </c>
      <c r="J25" s="62">
        <f>'Respondent Assumptions'!L25</f>
        <v>2</v>
      </c>
      <c r="K25" s="62">
        <f>'Respondent Assumptions'!M25</f>
        <v>2</v>
      </c>
      <c r="L25" s="62">
        <f>'Respondent Assumptions'!N25</f>
        <v>2</v>
      </c>
      <c r="M25" s="29">
        <f t="shared" si="2"/>
        <v>2</v>
      </c>
      <c r="N25" s="29">
        <f t="shared" si="3"/>
        <v>2</v>
      </c>
      <c r="O25" s="29">
        <f t="shared" si="4"/>
        <v>2</v>
      </c>
      <c r="P25" s="63">
        <f t="shared" si="5"/>
        <v>40</v>
      </c>
      <c r="Q25" s="63">
        <f t="shared" si="6"/>
        <v>40</v>
      </c>
      <c r="R25" s="63">
        <f t="shared" si="7"/>
        <v>40</v>
      </c>
      <c r="S25" s="15">
        <f t="shared" si="8"/>
        <v>4009.2000000000003</v>
      </c>
      <c r="T25" s="15">
        <f t="shared" si="9"/>
        <v>4009.2000000000003</v>
      </c>
      <c r="U25" s="15">
        <f t="shared" si="10"/>
        <v>4009.2000000000003</v>
      </c>
      <c r="V25" s="15">
        <f t="shared" si="11"/>
        <v>100</v>
      </c>
      <c r="W25" s="15">
        <f t="shared" si="15"/>
        <v>4109.2000000000007</v>
      </c>
      <c r="X25" s="15">
        <f t="shared" si="16"/>
        <v>4109.2000000000007</v>
      </c>
      <c r="Y25" s="15">
        <f t="shared" si="17"/>
        <v>4109.2000000000007</v>
      </c>
      <c r="Z25" s="71">
        <v>2</v>
      </c>
      <c r="AA25" s="71"/>
    </row>
    <row r="26" spans="1:33" s="24" customFormat="1" x14ac:dyDescent="0.25">
      <c r="A26" s="54"/>
      <c r="B26" s="159"/>
      <c r="C26" s="94" t="str">
        <f>'Respondent Assumptions'!C26</f>
        <v>Provide certification to third party (conferrer)</v>
      </c>
      <c r="D26" s="76">
        <f>'Respondent Assumptions'!F26</f>
        <v>1</v>
      </c>
      <c r="E26" s="88">
        <f>'Respondent Assumptions'!D26</f>
        <v>2</v>
      </c>
      <c r="F26" s="76">
        <f>'Respondent Assumptions'!E26</f>
        <v>0</v>
      </c>
      <c r="G26" s="17">
        <f t="shared" si="0"/>
        <v>2</v>
      </c>
      <c r="H26" s="16">
        <f t="shared" si="1"/>
        <v>254.26</v>
      </c>
      <c r="I26" s="15">
        <v>0</v>
      </c>
      <c r="J26" s="62">
        <f>'Respondent Assumptions'!L26</f>
        <v>2</v>
      </c>
      <c r="K26" s="62">
        <f>'Respondent Assumptions'!M26</f>
        <v>2</v>
      </c>
      <c r="L26" s="62">
        <f>'Respondent Assumptions'!N26</f>
        <v>2</v>
      </c>
      <c r="M26" s="29">
        <f t="shared" si="2"/>
        <v>2</v>
      </c>
      <c r="N26" s="29">
        <f t="shared" si="3"/>
        <v>2</v>
      </c>
      <c r="O26" s="29">
        <f t="shared" si="4"/>
        <v>2</v>
      </c>
      <c r="P26" s="63">
        <f t="shared" si="5"/>
        <v>4</v>
      </c>
      <c r="Q26" s="63">
        <f t="shared" si="6"/>
        <v>4</v>
      </c>
      <c r="R26" s="63">
        <f t="shared" si="7"/>
        <v>4</v>
      </c>
      <c r="S26" s="15">
        <f t="shared" si="8"/>
        <v>508.52</v>
      </c>
      <c r="T26" s="15">
        <f t="shared" si="9"/>
        <v>508.52</v>
      </c>
      <c r="U26" s="15">
        <f t="shared" si="10"/>
        <v>508.52</v>
      </c>
      <c r="V26" s="15">
        <f t="shared" si="11"/>
        <v>0</v>
      </c>
      <c r="W26" s="15">
        <f t="shared" si="15"/>
        <v>508.52</v>
      </c>
      <c r="X26" s="15">
        <f t="shared" si="16"/>
        <v>508.52</v>
      </c>
      <c r="Y26" s="15">
        <f t="shared" si="17"/>
        <v>508.52</v>
      </c>
      <c r="Z26" s="71">
        <v>3</v>
      </c>
      <c r="AA26" s="71"/>
    </row>
    <row r="27" spans="1:33" s="24" customFormat="1" x14ac:dyDescent="0.25">
      <c r="A27" s="54"/>
      <c r="B27" s="159"/>
      <c r="C27" s="101" t="str">
        <f>'Respondent Assumptions'!C27</f>
        <v>Provide certification to third party (exporter)</v>
      </c>
      <c r="D27" s="76">
        <f>'Respondent Assumptions'!F27</f>
        <v>1</v>
      </c>
      <c r="E27" s="88">
        <f>'Respondent Assumptions'!D27</f>
        <v>2</v>
      </c>
      <c r="F27" s="76">
        <f>'Respondent Assumptions'!E27</f>
        <v>0</v>
      </c>
      <c r="G27" s="17">
        <f t="shared" si="0"/>
        <v>2</v>
      </c>
      <c r="H27" s="16">
        <f t="shared" si="1"/>
        <v>254.26</v>
      </c>
      <c r="I27" s="15">
        <v>0</v>
      </c>
      <c r="J27" s="62">
        <f>'Respondent Assumptions'!L27</f>
        <v>2</v>
      </c>
      <c r="K27" s="62">
        <f>'Respondent Assumptions'!M27</f>
        <v>2</v>
      </c>
      <c r="L27" s="62">
        <f>'Respondent Assumptions'!N27</f>
        <v>2</v>
      </c>
      <c r="M27" s="29">
        <f t="shared" si="2"/>
        <v>2</v>
      </c>
      <c r="N27" s="29">
        <f t="shared" si="3"/>
        <v>2</v>
      </c>
      <c r="O27" s="29">
        <f t="shared" si="4"/>
        <v>2</v>
      </c>
      <c r="P27" s="63">
        <f t="shared" si="5"/>
        <v>4</v>
      </c>
      <c r="Q27" s="63">
        <f t="shared" si="6"/>
        <v>4</v>
      </c>
      <c r="R27" s="63">
        <f t="shared" si="7"/>
        <v>4</v>
      </c>
      <c r="S27" s="15">
        <f t="shared" si="8"/>
        <v>508.52</v>
      </c>
      <c r="T27" s="15">
        <f t="shared" si="9"/>
        <v>508.52</v>
      </c>
      <c r="U27" s="15">
        <f t="shared" si="10"/>
        <v>508.52</v>
      </c>
      <c r="V27" s="15">
        <f t="shared" si="11"/>
        <v>0</v>
      </c>
      <c r="W27" s="15">
        <f t="shared" si="15"/>
        <v>508.52</v>
      </c>
      <c r="X27" s="15">
        <f t="shared" si="16"/>
        <v>508.52</v>
      </c>
      <c r="Y27" s="15">
        <f t="shared" si="17"/>
        <v>508.52</v>
      </c>
      <c r="Z27" s="71">
        <v>3</v>
      </c>
      <c r="AA27" s="71"/>
    </row>
    <row r="28" spans="1:33" s="24" customFormat="1" x14ac:dyDescent="0.25">
      <c r="A28" s="123">
        <v>1</v>
      </c>
      <c r="B28" s="159"/>
      <c r="C28" s="101" t="str">
        <f>'Respondent Assumptions'!C28</f>
        <v>Submit Importer of Record annual report</v>
      </c>
      <c r="D28" s="76">
        <f>'Respondent Assumptions'!F28</f>
        <v>1</v>
      </c>
      <c r="E28" s="88">
        <f>'Respondent Assumptions'!D28</f>
        <v>2</v>
      </c>
      <c r="F28" s="76">
        <f>'Respondent Assumptions'!E28</f>
        <v>0</v>
      </c>
      <c r="G28" s="17">
        <f t="shared" si="0"/>
        <v>2</v>
      </c>
      <c r="H28" s="16">
        <f t="shared" si="1"/>
        <v>254.26</v>
      </c>
      <c r="I28" s="15">
        <v>0</v>
      </c>
      <c r="J28" s="62">
        <f>'Respondent Assumptions'!L28</f>
        <v>61</v>
      </c>
      <c r="K28" s="62">
        <f>'Respondent Assumptions'!M28</f>
        <v>61</v>
      </c>
      <c r="L28" s="62">
        <f>'Respondent Assumptions'!N28</f>
        <v>61</v>
      </c>
      <c r="M28" s="29">
        <f t="shared" si="2"/>
        <v>61</v>
      </c>
      <c r="N28" s="29">
        <f t="shared" si="3"/>
        <v>61</v>
      </c>
      <c r="O28" s="29">
        <f t="shared" si="4"/>
        <v>61</v>
      </c>
      <c r="P28" s="63">
        <f t="shared" si="5"/>
        <v>122</v>
      </c>
      <c r="Q28" s="63">
        <f t="shared" si="6"/>
        <v>122</v>
      </c>
      <c r="R28" s="63">
        <f t="shared" si="7"/>
        <v>122</v>
      </c>
      <c r="S28" s="15">
        <f t="shared" si="8"/>
        <v>15509.859999999999</v>
      </c>
      <c r="T28" s="15">
        <f t="shared" si="9"/>
        <v>15509.859999999999</v>
      </c>
      <c r="U28" s="15">
        <f t="shared" si="10"/>
        <v>15509.859999999999</v>
      </c>
      <c r="V28" s="15">
        <f t="shared" si="11"/>
        <v>0</v>
      </c>
      <c r="W28" s="15">
        <f t="shared" si="15"/>
        <v>15509.859999999999</v>
      </c>
      <c r="X28" s="15">
        <f t="shared" si="16"/>
        <v>15509.859999999999</v>
      </c>
      <c r="Y28" s="15">
        <f t="shared" si="17"/>
        <v>15509.859999999999</v>
      </c>
      <c r="Z28" s="71">
        <v>1</v>
      </c>
      <c r="AA28" s="71"/>
    </row>
    <row r="29" spans="1:33" s="24" customFormat="1" x14ac:dyDescent="0.25">
      <c r="A29" s="54"/>
      <c r="B29" s="160"/>
      <c r="C29" s="101" t="str">
        <f>'Respondent Assumptions'!C29</f>
        <v xml:space="preserve">Submit notification of transhipments </v>
      </c>
      <c r="D29" s="76">
        <f>'Respondent Assumptions'!F29</f>
        <v>4</v>
      </c>
      <c r="E29" s="88">
        <f>'Respondent Assumptions'!D29</f>
        <v>1</v>
      </c>
      <c r="F29" s="76">
        <f>'Respondent Assumptions'!E29</f>
        <v>0</v>
      </c>
      <c r="G29" s="17">
        <f t="shared" si="0"/>
        <v>4</v>
      </c>
      <c r="H29" s="16">
        <f t="shared" si="1"/>
        <v>508.52</v>
      </c>
      <c r="I29" s="15">
        <v>0</v>
      </c>
      <c r="J29" s="62">
        <f>'Respondent Assumptions'!L29</f>
        <v>2</v>
      </c>
      <c r="K29" s="62">
        <f>'Respondent Assumptions'!M29</f>
        <v>2</v>
      </c>
      <c r="L29" s="62">
        <f>'Respondent Assumptions'!N29</f>
        <v>2</v>
      </c>
      <c r="M29" s="29">
        <f t="shared" si="2"/>
        <v>8</v>
      </c>
      <c r="N29" s="29">
        <f t="shared" si="3"/>
        <v>8</v>
      </c>
      <c r="O29" s="29">
        <f t="shared" si="4"/>
        <v>8</v>
      </c>
      <c r="P29" s="63">
        <f t="shared" si="5"/>
        <v>8</v>
      </c>
      <c r="Q29" s="63">
        <f t="shared" si="6"/>
        <v>8</v>
      </c>
      <c r="R29" s="63">
        <f t="shared" si="7"/>
        <v>8</v>
      </c>
      <c r="S29" s="15">
        <f t="shared" si="8"/>
        <v>1017.04</v>
      </c>
      <c r="T29" s="15">
        <f t="shared" si="9"/>
        <v>1017.04</v>
      </c>
      <c r="U29" s="15">
        <f t="shared" si="10"/>
        <v>1017.04</v>
      </c>
      <c r="V29" s="15">
        <f t="shared" si="11"/>
        <v>0</v>
      </c>
      <c r="W29" s="15">
        <f t="shared" si="15"/>
        <v>1017.04</v>
      </c>
      <c r="X29" s="15">
        <f t="shared" si="16"/>
        <v>1017.04</v>
      </c>
      <c r="Y29" s="15">
        <f t="shared" si="17"/>
        <v>1017.04</v>
      </c>
      <c r="Z29" s="71">
        <v>1</v>
      </c>
      <c r="AA29" s="71"/>
    </row>
    <row r="30" spans="1:33" s="24" customFormat="1" x14ac:dyDescent="0.25">
      <c r="A30" s="54"/>
      <c r="B30" s="98" t="s">
        <v>189</v>
      </c>
      <c r="C30" s="101" t="str">
        <f>'Respondent Assumptions'!C30</f>
        <v>Submit notification of delivery to destruction facility</v>
      </c>
      <c r="D30" s="76">
        <f>'Respondent Assumptions'!F30</f>
        <v>48</v>
      </c>
      <c r="E30" s="88">
        <f>'Respondent Assumptions'!D30</f>
        <v>2</v>
      </c>
      <c r="F30" s="76">
        <f>'Respondent Assumptions'!E30</f>
        <v>0</v>
      </c>
      <c r="G30" s="17">
        <f t="shared" si="0"/>
        <v>96</v>
      </c>
      <c r="H30" s="16">
        <f t="shared" si="1"/>
        <v>12204.48</v>
      </c>
      <c r="I30" s="15">
        <v>0</v>
      </c>
      <c r="J30" s="62">
        <f>'Respondent Assumptions'!L30</f>
        <v>3</v>
      </c>
      <c r="K30" s="62">
        <f>'Respondent Assumptions'!M30</f>
        <v>3</v>
      </c>
      <c r="L30" s="62">
        <f>'Respondent Assumptions'!N30</f>
        <v>3</v>
      </c>
      <c r="M30" s="29">
        <f t="shared" si="2"/>
        <v>144</v>
      </c>
      <c r="N30" s="29">
        <f t="shared" si="3"/>
        <v>144</v>
      </c>
      <c r="O30" s="29">
        <f t="shared" si="4"/>
        <v>144</v>
      </c>
      <c r="P30" s="63">
        <f t="shared" si="5"/>
        <v>288</v>
      </c>
      <c r="Q30" s="63">
        <f t="shared" si="6"/>
        <v>288</v>
      </c>
      <c r="R30" s="63">
        <f t="shared" si="7"/>
        <v>288</v>
      </c>
      <c r="S30" s="15">
        <f t="shared" si="8"/>
        <v>36613.440000000002</v>
      </c>
      <c r="T30" s="15">
        <f t="shared" si="9"/>
        <v>36613.440000000002</v>
      </c>
      <c r="U30" s="15">
        <f t="shared" si="10"/>
        <v>36613.440000000002</v>
      </c>
      <c r="V30" s="15">
        <f t="shared" si="11"/>
        <v>0</v>
      </c>
      <c r="W30" s="15">
        <f t="shared" si="15"/>
        <v>36613.440000000002</v>
      </c>
      <c r="X30" s="15">
        <f t="shared" si="16"/>
        <v>36613.440000000002</v>
      </c>
      <c r="Y30" s="15">
        <f t="shared" si="17"/>
        <v>36613.440000000002</v>
      </c>
      <c r="Z30" s="124">
        <v>1</v>
      </c>
      <c r="AA30" s="71"/>
    </row>
    <row r="31" spans="1:33" s="24" customFormat="1" x14ac:dyDescent="0.25">
      <c r="A31" s="54"/>
      <c r="B31" s="37" t="s">
        <v>64</v>
      </c>
      <c r="C31" s="64" t="str">
        <f>'Respondent Assumptions'!C31</f>
        <v>Maintain records</v>
      </c>
      <c r="D31" s="76">
        <f>'Respondent Assumptions'!F31</f>
        <v>1</v>
      </c>
      <c r="E31" s="88">
        <f>'Respondent Assumptions'!D31</f>
        <v>0</v>
      </c>
      <c r="F31" s="76">
        <f>'Respondent Assumptions'!E31</f>
        <v>20</v>
      </c>
      <c r="G31" s="17">
        <f t="shared" si="0"/>
        <v>20</v>
      </c>
      <c r="H31" s="16">
        <f t="shared" si="1"/>
        <v>2004.6000000000001</v>
      </c>
      <c r="I31" s="15">
        <v>50</v>
      </c>
      <c r="J31" s="62">
        <f>'Respondent Assumptions'!L31</f>
        <v>5</v>
      </c>
      <c r="K31" s="62">
        <f>'Respondent Assumptions'!M31</f>
        <v>5</v>
      </c>
      <c r="L31" s="62">
        <f>'Respondent Assumptions'!N31</f>
        <v>5</v>
      </c>
      <c r="M31" s="29">
        <f t="shared" si="2"/>
        <v>5</v>
      </c>
      <c r="N31" s="29">
        <f t="shared" si="3"/>
        <v>5</v>
      </c>
      <c r="O31" s="29">
        <f t="shared" si="4"/>
        <v>5</v>
      </c>
      <c r="P31" s="63">
        <f t="shared" si="5"/>
        <v>100</v>
      </c>
      <c r="Q31" s="63">
        <f t="shared" si="6"/>
        <v>100</v>
      </c>
      <c r="R31" s="63">
        <f t="shared" si="7"/>
        <v>100</v>
      </c>
      <c r="S31" s="15">
        <f t="shared" si="8"/>
        <v>10023</v>
      </c>
      <c r="T31" s="15">
        <f t="shared" si="9"/>
        <v>10023</v>
      </c>
      <c r="U31" s="15">
        <f t="shared" si="10"/>
        <v>10023</v>
      </c>
      <c r="V31" s="15">
        <f t="shared" si="11"/>
        <v>250</v>
      </c>
      <c r="W31" s="15">
        <f t="shared" si="15"/>
        <v>10273</v>
      </c>
      <c r="X31" s="15">
        <f t="shared" si="16"/>
        <v>10273</v>
      </c>
      <c r="Y31" s="15">
        <f t="shared" si="17"/>
        <v>10273</v>
      </c>
      <c r="Z31" s="71">
        <v>2</v>
      </c>
      <c r="AA31" s="71"/>
    </row>
    <row r="32" spans="1:33" s="24" customFormat="1" x14ac:dyDescent="0.25">
      <c r="A32" s="54"/>
      <c r="B32" s="97" t="s">
        <v>65</v>
      </c>
      <c r="C32" s="64" t="str">
        <f>'Respondent Assumptions'!C32</f>
        <v>Maintain records</v>
      </c>
      <c r="D32" s="76">
        <f>'Respondent Assumptions'!F32</f>
        <v>1</v>
      </c>
      <c r="E32" s="88">
        <f>'Respondent Assumptions'!D32</f>
        <v>0</v>
      </c>
      <c r="F32" s="76">
        <f>'Respondent Assumptions'!E32</f>
        <v>20</v>
      </c>
      <c r="G32" s="17">
        <f t="shared" si="0"/>
        <v>20</v>
      </c>
      <c r="H32" s="16">
        <f t="shared" si="1"/>
        <v>2004.6000000000001</v>
      </c>
      <c r="I32" s="15">
        <v>50</v>
      </c>
      <c r="J32" s="62">
        <f>'Respondent Assumptions'!L32</f>
        <v>100</v>
      </c>
      <c r="K32" s="62">
        <f>'Respondent Assumptions'!M32</f>
        <v>100</v>
      </c>
      <c r="L32" s="62">
        <f>'Respondent Assumptions'!N32</f>
        <v>100</v>
      </c>
      <c r="M32" s="29">
        <f t="shared" si="2"/>
        <v>100</v>
      </c>
      <c r="N32" s="29">
        <f t="shared" si="3"/>
        <v>100</v>
      </c>
      <c r="O32" s="29">
        <f t="shared" si="4"/>
        <v>100</v>
      </c>
      <c r="P32" s="63">
        <f t="shared" si="5"/>
        <v>2000</v>
      </c>
      <c r="Q32" s="63">
        <f t="shared" si="6"/>
        <v>2000</v>
      </c>
      <c r="R32" s="63">
        <f t="shared" si="7"/>
        <v>2000</v>
      </c>
      <c r="S32" s="15">
        <f t="shared" si="8"/>
        <v>200460</v>
      </c>
      <c r="T32" s="15">
        <f t="shared" si="9"/>
        <v>200460</v>
      </c>
      <c r="U32" s="15">
        <f t="shared" si="10"/>
        <v>200460</v>
      </c>
      <c r="V32" s="15">
        <f t="shared" si="11"/>
        <v>5000</v>
      </c>
      <c r="W32" s="15">
        <f t="shared" si="15"/>
        <v>205460</v>
      </c>
      <c r="X32" s="15">
        <f t="shared" si="16"/>
        <v>205460</v>
      </c>
      <c r="Y32" s="15">
        <f t="shared" si="17"/>
        <v>205460</v>
      </c>
      <c r="Z32" s="71">
        <v>2</v>
      </c>
      <c r="AA32" s="71"/>
    </row>
    <row r="33" spans="1:27" s="24" customFormat="1" x14ac:dyDescent="0.25">
      <c r="A33" s="54">
        <v>1</v>
      </c>
      <c r="B33" s="158" t="s">
        <v>67</v>
      </c>
      <c r="C33" s="64" t="str">
        <f>'Respondent Assumptions'!C33</f>
        <v>Submit quarterly report</v>
      </c>
      <c r="D33" s="76">
        <f>'Respondent Assumptions'!F33</f>
        <v>4</v>
      </c>
      <c r="E33" s="88">
        <f>'Respondent Assumptions'!D33</f>
        <v>6</v>
      </c>
      <c r="F33" s="76">
        <f>'Respondent Assumptions'!E33</f>
        <v>0</v>
      </c>
      <c r="G33" s="17">
        <f t="shared" si="0"/>
        <v>24</v>
      </c>
      <c r="H33" s="16">
        <f t="shared" si="1"/>
        <v>3051.12</v>
      </c>
      <c r="I33" s="15">
        <v>0</v>
      </c>
      <c r="J33" s="62">
        <f>'Respondent Assumptions'!L33</f>
        <v>16</v>
      </c>
      <c r="K33" s="62">
        <f>'Respondent Assumptions'!M33</f>
        <v>16</v>
      </c>
      <c r="L33" s="62">
        <f>'Respondent Assumptions'!N33</f>
        <v>16</v>
      </c>
      <c r="M33" s="29">
        <f t="shared" si="2"/>
        <v>64</v>
      </c>
      <c r="N33" s="29">
        <f t="shared" si="3"/>
        <v>64</v>
      </c>
      <c r="O33" s="29">
        <f t="shared" si="4"/>
        <v>64</v>
      </c>
      <c r="P33" s="63">
        <f t="shared" si="5"/>
        <v>384</v>
      </c>
      <c r="Q33" s="63">
        <f t="shared" si="6"/>
        <v>384</v>
      </c>
      <c r="R33" s="63">
        <f t="shared" si="7"/>
        <v>384</v>
      </c>
      <c r="S33" s="15">
        <f t="shared" si="8"/>
        <v>48817.919999999998</v>
      </c>
      <c r="T33" s="15">
        <f t="shared" si="9"/>
        <v>48817.919999999998</v>
      </c>
      <c r="U33" s="15">
        <f t="shared" si="10"/>
        <v>48817.919999999998</v>
      </c>
      <c r="V33" s="15">
        <f t="shared" si="11"/>
        <v>0</v>
      </c>
      <c r="W33" s="15">
        <f t="shared" si="15"/>
        <v>48817.919999999998</v>
      </c>
      <c r="X33" s="15">
        <f t="shared" si="16"/>
        <v>48817.919999999998</v>
      </c>
      <c r="Y33" s="15">
        <f t="shared" si="17"/>
        <v>48817.919999999998</v>
      </c>
      <c r="Z33" s="71">
        <v>1</v>
      </c>
      <c r="AA33" s="71"/>
    </row>
    <row r="34" spans="1:27" s="24" customFormat="1" x14ac:dyDescent="0.25">
      <c r="A34" s="54"/>
      <c r="B34" s="159"/>
      <c r="C34" s="64" t="str">
        <f>'Respondent Assumptions'!C34</f>
        <v>Submit annual inventory report (part of quarterly report)</v>
      </c>
      <c r="D34" s="76">
        <f>'Respondent Assumptions'!F34</f>
        <v>1</v>
      </c>
      <c r="E34" s="88">
        <f>'Respondent Assumptions'!D34</f>
        <v>10</v>
      </c>
      <c r="F34" s="76">
        <f>'Respondent Assumptions'!E34</f>
        <v>0</v>
      </c>
      <c r="G34" s="17">
        <f t="shared" si="0"/>
        <v>10</v>
      </c>
      <c r="H34" s="16">
        <f t="shared" si="1"/>
        <v>1271.3</v>
      </c>
      <c r="I34" s="15">
        <v>0</v>
      </c>
      <c r="J34" s="62">
        <f>'Respondent Assumptions'!L34</f>
        <v>16</v>
      </c>
      <c r="K34" s="62">
        <f>'Respondent Assumptions'!M34</f>
        <v>16</v>
      </c>
      <c r="L34" s="62">
        <f>'Respondent Assumptions'!N34</f>
        <v>16</v>
      </c>
      <c r="M34" s="29">
        <f t="shared" si="2"/>
        <v>16</v>
      </c>
      <c r="N34" s="29">
        <f t="shared" si="3"/>
        <v>16</v>
      </c>
      <c r="O34" s="29">
        <f t="shared" si="4"/>
        <v>16</v>
      </c>
      <c r="P34" s="63">
        <f t="shared" si="5"/>
        <v>160</v>
      </c>
      <c r="Q34" s="63">
        <f t="shared" si="6"/>
        <v>160</v>
      </c>
      <c r="R34" s="63">
        <f t="shared" si="7"/>
        <v>160</v>
      </c>
      <c r="S34" s="15">
        <f t="shared" si="8"/>
        <v>20340.8</v>
      </c>
      <c r="T34" s="15">
        <f t="shared" si="9"/>
        <v>20340.8</v>
      </c>
      <c r="U34" s="15">
        <f t="shared" si="10"/>
        <v>20340.8</v>
      </c>
      <c r="V34" s="15">
        <f t="shared" si="11"/>
        <v>0</v>
      </c>
      <c r="W34" s="15">
        <f t="shared" si="15"/>
        <v>20340.8</v>
      </c>
      <c r="X34" s="15">
        <f t="shared" si="16"/>
        <v>20340.8</v>
      </c>
      <c r="Y34" s="15">
        <f t="shared" si="17"/>
        <v>20340.8</v>
      </c>
      <c r="Z34" s="71">
        <v>1</v>
      </c>
      <c r="AA34" s="71"/>
    </row>
    <row r="35" spans="1:27" s="24" customFormat="1" x14ac:dyDescent="0.25">
      <c r="A35" s="54">
        <v>1</v>
      </c>
      <c r="B35" s="159"/>
      <c r="C35" s="64" t="str">
        <f>'Respondent Assumptions'!C35</f>
        <v>Submit request for additional consumption allowances</v>
      </c>
      <c r="D35" s="76">
        <f>'Respondent Assumptions'!F35</f>
        <v>10</v>
      </c>
      <c r="E35" s="88">
        <f>'Respondent Assumptions'!D35</f>
        <v>8</v>
      </c>
      <c r="F35" s="76">
        <f>'Respondent Assumptions'!E35</f>
        <v>0</v>
      </c>
      <c r="G35" s="17">
        <f t="shared" si="0"/>
        <v>80</v>
      </c>
      <c r="H35" s="16">
        <f t="shared" si="1"/>
        <v>10170.4</v>
      </c>
      <c r="I35" s="15">
        <v>0</v>
      </c>
      <c r="J35" s="62">
        <f>'Respondent Assumptions'!L35</f>
        <v>5</v>
      </c>
      <c r="K35" s="62">
        <f>'Respondent Assumptions'!M35</f>
        <v>5</v>
      </c>
      <c r="L35" s="62">
        <f>'Respondent Assumptions'!N35</f>
        <v>5</v>
      </c>
      <c r="M35" s="29">
        <f t="shared" si="2"/>
        <v>50</v>
      </c>
      <c r="N35" s="29">
        <f t="shared" si="3"/>
        <v>50</v>
      </c>
      <c r="O35" s="29">
        <f t="shared" si="4"/>
        <v>50</v>
      </c>
      <c r="P35" s="63">
        <f t="shared" si="5"/>
        <v>400</v>
      </c>
      <c r="Q35" s="63">
        <f t="shared" si="6"/>
        <v>400</v>
      </c>
      <c r="R35" s="63">
        <f t="shared" si="7"/>
        <v>400</v>
      </c>
      <c r="S35" s="15">
        <f t="shared" si="8"/>
        <v>50852</v>
      </c>
      <c r="T35" s="15">
        <f t="shared" si="9"/>
        <v>50852</v>
      </c>
      <c r="U35" s="15">
        <f t="shared" si="10"/>
        <v>50852</v>
      </c>
      <c r="V35" s="15">
        <f t="shared" si="11"/>
        <v>0</v>
      </c>
      <c r="W35" s="15">
        <f t="shared" si="15"/>
        <v>50852</v>
      </c>
      <c r="X35" s="15">
        <f t="shared" si="16"/>
        <v>50852</v>
      </c>
      <c r="Y35" s="15">
        <f t="shared" si="17"/>
        <v>50852</v>
      </c>
      <c r="Z35" s="71">
        <v>1</v>
      </c>
      <c r="AA35" s="71"/>
    </row>
    <row r="36" spans="1:27" s="24" customFormat="1" x14ac:dyDescent="0.25">
      <c r="A36" s="54"/>
      <c r="B36" s="160"/>
      <c r="C36" s="101" t="str">
        <f>'Respondent Assumptions'!C36</f>
        <v xml:space="preserve">Submit notification of transhipments </v>
      </c>
      <c r="D36" s="76">
        <f>'Respondent Assumptions'!F36</f>
        <v>4</v>
      </c>
      <c r="E36" s="88">
        <f>'Respondent Assumptions'!D36</f>
        <v>1</v>
      </c>
      <c r="F36" s="76">
        <f>'Respondent Assumptions'!E36</f>
        <v>0</v>
      </c>
      <c r="G36" s="17">
        <f t="shared" si="0"/>
        <v>4</v>
      </c>
      <c r="H36" s="16">
        <f t="shared" si="1"/>
        <v>508.52</v>
      </c>
      <c r="I36" s="15">
        <v>0</v>
      </c>
      <c r="J36" s="62">
        <f>'Respondent Assumptions'!L36</f>
        <v>2</v>
      </c>
      <c r="K36" s="62">
        <f>'Respondent Assumptions'!M36</f>
        <v>2</v>
      </c>
      <c r="L36" s="62">
        <f>'Respondent Assumptions'!N36</f>
        <v>2</v>
      </c>
      <c r="M36" s="29">
        <f t="shared" si="2"/>
        <v>8</v>
      </c>
      <c r="N36" s="29">
        <f t="shared" si="3"/>
        <v>8</v>
      </c>
      <c r="O36" s="29">
        <f t="shared" si="4"/>
        <v>8</v>
      </c>
      <c r="P36" s="63">
        <f t="shared" si="5"/>
        <v>8</v>
      </c>
      <c r="Q36" s="63">
        <f t="shared" si="6"/>
        <v>8</v>
      </c>
      <c r="R36" s="63">
        <f t="shared" si="7"/>
        <v>8</v>
      </c>
      <c r="S36" s="15">
        <f t="shared" si="8"/>
        <v>1017.04</v>
      </c>
      <c r="T36" s="15">
        <f t="shared" si="9"/>
        <v>1017.04</v>
      </c>
      <c r="U36" s="15">
        <f t="shared" si="10"/>
        <v>1017.04</v>
      </c>
      <c r="V36" s="15">
        <f t="shared" si="11"/>
        <v>0</v>
      </c>
      <c r="W36" s="15">
        <f t="shared" si="15"/>
        <v>1017.04</v>
      </c>
      <c r="X36" s="15">
        <f t="shared" si="16"/>
        <v>1017.04</v>
      </c>
      <c r="Y36" s="15">
        <f t="shared" si="17"/>
        <v>1017.04</v>
      </c>
      <c r="Z36" s="71">
        <v>1</v>
      </c>
      <c r="AA36" s="71"/>
    </row>
    <row r="37" spans="1:27" s="24" customFormat="1" x14ac:dyDescent="0.25">
      <c r="A37" s="54"/>
      <c r="B37" s="158" t="s">
        <v>69</v>
      </c>
      <c r="C37" s="64" t="str">
        <f>'Respondent Assumptions'!C37</f>
        <v>Register with certification ID system</v>
      </c>
      <c r="D37" s="76">
        <f>'Respondent Assumptions'!F37</f>
        <v>1</v>
      </c>
      <c r="E37" s="88">
        <f>'Respondent Assumptions'!D37</f>
        <v>0.5</v>
      </c>
      <c r="F37" s="76">
        <f>'Respondent Assumptions'!E37</f>
        <v>0</v>
      </c>
      <c r="G37" s="17">
        <f t="shared" ref="G37:G68" si="19">D37*(E37+F37)</f>
        <v>0.5</v>
      </c>
      <c r="H37" s="16">
        <f t="shared" ref="H37:H68" si="20">(D37*E37*$B$83)+(D37*F37*$B$84)</f>
        <v>63.564999999999998</v>
      </c>
      <c r="I37" s="15">
        <v>0</v>
      </c>
      <c r="J37" s="62">
        <f>'Respondent Assumptions'!L37</f>
        <v>0</v>
      </c>
      <c r="K37" s="62">
        <f>'Respondent Assumptions'!M37</f>
        <v>0</v>
      </c>
      <c r="L37" s="62">
        <f>'Respondent Assumptions'!N37</f>
        <v>10000</v>
      </c>
      <c r="M37" s="29">
        <f t="shared" ref="M37:M68" si="21">$D37*J37</f>
        <v>0</v>
      </c>
      <c r="N37" s="29">
        <f t="shared" ref="N37:N68" si="22">$D37*K37</f>
        <v>0</v>
      </c>
      <c r="O37" s="29">
        <f t="shared" ref="O37:O68" si="23">$D37*L37</f>
        <v>10000</v>
      </c>
      <c r="P37" s="63">
        <f t="shared" ref="P37:P68" si="24">J37*$G37</f>
        <v>0</v>
      </c>
      <c r="Q37" s="63">
        <f t="shared" ref="Q37:Q68" si="25">K37*$G37</f>
        <v>0</v>
      </c>
      <c r="R37" s="63">
        <f t="shared" ref="R37:R68" si="26">L37*$G37</f>
        <v>5000</v>
      </c>
      <c r="S37" s="15">
        <f t="shared" ref="S37:S68" si="27">$H37*J37</f>
        <v>0</v>
      </c>
      <c r="T37" s="15">
        <f t="shared" ref="T37:T68" si="28">$H37*K37</f>
        <v>0</v>
      </c>
      <c r="U37" s="15">
        <f t="shared" ref="U37:U68" si="29">$H37*L37</f>
        <v>635650</v>
      </c>
      <c r="V37" s="15">
        <f t="shared" ref="V37:V68" si="30">I37*J37</f>
        <v>0</v>
      </c>
      <c r="W37" s="15">
        <f t="shared" si="15"/>
        <v>0</v>
      </c>
      <c r="X37" s="15">
        <f t="shared" si="16"/>
        <v>0</v>
      </c>
      <c r="Y37" s="15">
        <f t="shared" si="17"/>
        <v>635650</v>
      </c>
      <c r="Z37" s="71">
        <v>1</v>
      </c>
      <c r="AA37" s="71"/>
    </row>
    <row r="38" spans="1:27" s="24" customFormat="1" x14ac:dyDescent="0.25">
      <c r="A38" s="54"/>
      <c r="B38" s="159"/>
      <c r="C38" s="64" t="str">
        <f>'Respondent Assumptions'!C38</f>
        <v>Enter data into certification ID system</v>
      </c>
      <c r="D38" s="76">
        <f>'Respondent Assumptions'!F38</f>
        <v>891</v>
      </c>
      <c r="E38" s="88">
        <f>'Respondent Assumptions'!D38</f>
        <v>2.7777777777777779E-3</v>
      </c>
      <c r="F38" s="76">
        <f>'Respondent Assumptions'!E38</f>
        <v>0</v>
      </c>
      <c r="G38" s="17">
        <f t="shared" si="19"/>
        <v>2.4750000000000001</v>
      </c>
      <c r="H38" s="16">
        <f t="shared" si="20"/>
        <v>314.64675</v>
      </c>
      <c r="I38" s="15">
        <v>0</v>
      </c>
      <c r="J38" s="62">
        <f>'Respondent Assumptions'!L38</f>
        <v>0</v>
      </c>
      <c r="K38" s="62">
        <f>'Respondent Assumptions'!M38</f>
        <v>0</v>
      </c>
      <c r="L38" s="62">
        <f>'Respondent Assumptions'!N38</f>
        <v>2500</v>
      </c>
      <c r="M38" s="29">
        <f t="shared" si="21"/>
        <v>0</v>
      </c>
      <c r="N38" s="29">
        <f t="shared" si="22"/>
        <v>0</v>
      </c>
      <c r="O38" s="29">
        <f t="shared" si="23"/>
        <v>2227500</v>
      </c>
      <c r="P38" s="63">
        <f t="shared" si="24"/>
        <v>0</v>
      </c>
      <c r="Q38" s="63">
        <f t="shared" si="25"/>
        <v>0</v>
      </c>
      <c r="R38" s="63">
        <f t="shared" si="26"/>
        <v>6187.5</v>
      </c>
      <c r="S38" s="15">
        <f t="shared" si="27"/>
        <v>0</v>
      </c>
      <c r="T38" s="15">
        <f t="shared" si="28"/>
        <v>0</v>
      </c>
      <c r="U38" s="15">
        <f t="shared" si="29"/>
        <v>786616.875</v>
      </c>
      <c r="V38" s="15">
        <f t="shared" si="30"/>
        <v>0</v>
      </c>
      <c r="W38" s="15">
        <f t="shared" ref="W38:W69" si="31">S38+$V38</f>
        <v>0</v>
      </c>
      <c r="X38" s="15">
        <f t="shared" ref="X38:X69" si="32">T38+$V38</f>
        <v>0</v>
      </c>
      <c r="Y38" s="15">
        <f t="shared" ref="Y38:Y69" si="33">U38+$V38</f>
        <v>786616.875</v>
      </c>
      <c r="Z38" s="71">
        <v>1</v>
      </c>
      <c r="AA38" s="71"/>
    </row>
    <row r="39" spans="1:27" s="24" customFormat="1" x14ac:dyDescent="0.25">
      <c r="A39" s="54">
        <v>1</v>
      </c>
      <c r="B39" s="159"/>
      <c r="C39" s="64" t="str">
        <f>'Respondent Assumptions'!C39</f>
        <v>Submit conferral request</v>
      </c>
      <c r="D39" s="76">
        <f>'Respondent Assumptions'!F39</f>
        <v>2</v>
      </c>
      <c r="E39" s="88">
        <f>'Respondent Assumptions'!D39</f>
        <v>6</v>
      </c>
      <c r="F39" s="76">
        <f>'Respondent Assumptions'!E39</f>
        <v>0</v>
      </c>
      <c r="G39" s="17">
        <f t="shared" si="19"/>
        <v>12</v>
      </c>
      <c r="H39" s="16">
        <f t="shared" si="20"/>
        <v>1525.56</v>
      </c>
      <c r="I39" s="15">
        <v>0</v>
      </c>
      <c r="J39" s="62">
        <f>'Respondent Assumptions'!L39</f>
        <v>4</v>
      </c>
      <c r="K39" s="62">
        <f>'Respondent Assumptions'!M39</f>
        <v>4</v>
      </c>
      <c r="L39" s="62">
        <f>'Respondent Assumptions'!N39</f>
        <v>4</v>
      </c>
      <c r="M39" s="29">
        <f t="shared" si="21"/>
        <v>8</v>
      </c>
      <c r="N39" s="29">
        <f t="shared" si="22"/>
        <v>8</v>
      </c>
      <c r="O39" s="29">
        <f t="shared" si="23"/>
        <v>8</v>
      </c>
      <c r="P39" s="63">
        <f t="shared" si="24"/>
        <v>48</v>
      </c>
      <c r="Q39" s="63">
        <f t="shared" si="25"/>
        <v>48</v>
      </c>
      <c r="R39" s="63">
        <f t="shared" si="26"/>
        <v>48</v>
      </c>
      <c r="S39" s="15">
        <f t="shared" si="27"/>
        <v>6102.24</v>
      </c>
      <c r="T39" s="15">
        <f t="shared" si="28"/>
        <v>6102.24</v>
      </c>
      <c r="U39" s="15">
        <f t="shared" si="29"/>
        <v>6102.24</v>
      </c>
      <c r="V39" s="15">
        <f t="shared" si="30"/>
        <v>0</v>
      </c>
      <c r="W39" s="15">
        <f t="shared" si="31"/>
        <v>6102.24</v>
      </c>
      <c r="X39" s="15">
        <f t="shared" si="32"/>
        <v>6102.24</v>
      </c>
      <c r="Y39" s="15">
        <f t="shared" si="33"/>
        <v>6102.24</v>
      </c>
      <c r="Z39" s="71">
        <v>1</v>
      </c>
      <c r="AA39" s="71"/>
    </row>
    <row r="40" spans="1:27" s="24" customFormat="1" x14ac:dyDescent="0.25">
      <c r="A40" s="54"/>
      <c r="B40" s="159"/>
      <c r="C40" s="64" t="str">
        <f>'Respondent Assumptions'!C40</f>
        <v>Provide certification to third party (conferee)</v>
      </c>
      <c r="D40" s="76">
        <f>'Respondent Assumptions'!F40</f>
        <v>2</v>
      </c>
      <c r="E40" s="88">
        <f>'Respondent Assumptions'!D40</f>
        <v>2</v>
      </c>
      <c r="F40" s="76">
        <f>'Respondent Assumptions'!E40</f>
        <v>0</v>
      </c>
      <c r="G40" s="17">
        <f t="shared" si="19"/>
        <v>4</v>
      </c>
      <c r="H40" s="16">
        <f t="shared" si="20"/>
        <v>508.52</v>
      </c>
      <c r="I40" s="15">
        <v>0</v>
      </c>
      <c r="J40" s="62">
        <f>'Respondent Assumptions'!L40</f>
        <v>4</v>
      </c>
      <c r="K40" s="62">
        <f>'Respondent Assumptions'!M40</f>
        <v>4</v>
      </c>
      <c r="L40" s="62">
        <f>'Respondent Assumptions'!N40</f>
        <v>4</v>
      </c>
      <c r="M40" s="29">
        <f t="shared" si="21"/>
        <v>8</v>
      </c>
      <c r="N40" s="29">
        <f t="shared" si="22"/>
        <v>8</v>
      </c>
      <c r="O40" s="29">
        <f t="shared" si="23"/>
        <v>8</v>
      </c>
      <c r="P40" s="63">
        <f t="shared" si="24"/>
        <v>16</v>
      </c>
      <c r="Q40" s="63">
        <f t="shared" si="25"/>
        <v>16</v>
      </c>
      <c r="R40" s="63">
        <f t="shared" si="26"/>
        <v>16</v>
      </c>
      <c r="S40" s="15">
        <f t="shared" si="27"/>
        <v>2034.08</v>
      </c>
      <c r="T40" s="15">
        <f t="shared" si="28"/>
        <v>2034.08</v>
      </c>
      <c r="U40" s="15">
        <f t="shared" si="29"/>
        <v>2034.08</v>
      </c>
      <c r="V40" s="15">
        <f t="shared" si="30"/>
        <v>0</v>
      </c>
      <c r="W40" s="15">
        <f t="shared" si="31"/>
        <v>2034.08</v>
      </c>
      <c r="X40" s="15">
        <f t="shared" si="32"/>
        <v>2034.08</v>
      </c>
      <c r="Y40" s="15">
        <f t="shared" si="33"/>
        <v>2034.08</v>
      </c>
      <c r="Z40" s="71">
        <v>3</v>
      </c>
      <c r="AA40" s="71"/>
    </row>
    <row r="41" spans="1:27" s="24" customFormat="1" x14ac:dyDescent="0.25">
      <c r="A41" s="54"/>
      <c r="B41" s="159"/>
      <c r="C41" s="64" t="str">
        <f>'Respondent Assumptions'!C41</f>
        <v>Provide certification to third party (conferrer)</v>
      </c>
      <c r="D41" s="76">
        <f>'Respondent Assumptions'!F41</f>
        <v>4</v>
      </c>
      <c r="E41" s="88">
        <f>'Respondent Assumptions'!D41</f>
        <v>2</v>
      </c>
      <c r="F41" s="76">
        <f>'Respondent Assumptions'!E41</f>
        <v>0</v>
      </c>
      <c r="G41" s="17">
        <f t="shared" si="19"/>
        <v>8</v>
      </c>
      <c r="H41" s="16">
        <f t="shared" si="20"/>
        <v>1017.04</v>
      </c>
      <c r="I41" s="15">
        <v>0</v>
      </c>
      <c r="J41" s="62">
        <f>'Respondent Assumptions'!L41</f>
        <v>4</v>
      </c>
      <c r="K41" s="62">
        <f>'Respondent Assumptions'!M41</f>
        <v>4</v>
      </c>
      <c r="L41" s="62">
        <f>'Respondent Assumptions'!N41</f>
        <v>4</v>
      </c>
      <c r="M41" s="29">
        <f t="shared" si="21"/>
        <v>16</v>
      </c>
      <c r="N41" s="29">
        <f t="shared" si="22"/>
        <v>16</v>
      </c>
      <c r="O41" s="29">
        <f t="shared" si="23"/>
        <v>16</v>
      </c>
      <c r="P41" s="63">
        <f t="shared" si="24"/>
        <v>32</v>
      </c>
      <c r="Q41" s="63">
        <f t="shared" si="25"/>
        <v>32</v>
      </c>
      <c r="R41" s="63">
        <f t="shared" si="26"/>
        <v>32</v>
      </c>
      <c r="S41" s="15">
        <f t="shared" si="27"/>
        <v>4068.16</v>
      </c>
      <c r="T41" s="15">
        <f t="shared" si="28"/>
        <v>4068.16</v>
      </c>
      <c r="U41" s="15">
        <f t="shared" si="29"/>
        <v>4068.16</v>
      </c>
      <c r="V41" s="15">
        <f t="shared" si="30"/>
        <v>0</v>
      </c>
      <c r="W41" s="15">
        <f t="shared" si="31"/>
        <v>4068.16</v>
      </c>
      <c r="X41" s="15">
        <f t="shared" si="32"/>
        <v>4068.16</v>
      </c>
      <c r="Y41" s="15">
        <f t="shared" si="33"/>
        <v>4068.16</v>
      </c>
      <c r="Z41" s="71">
        <v>3</v>
      </c>
      <c r="AA41" s="71"/>
    </row>
    <row r="42" spans="1:27" s="24" customFormat="1" x14ac:dyDescent="0.25">
      <c r="A42" s="54"/>
      <c r="B42" s="160"/>
      <c r="C42" s="64" t="str">
        <f>'Respondent Assumptions'!C42</f>
        <v>Maintain records</v>
      </c>
      <c r="D42" s="76">
        <f>'Respondent Assumptions'!F42</f>
        <v>1</v>
      </c>
      <c r="E42" s="88">
        <f>'Respondent Assumptions'!D42</f>
        <v>0</v>
      </c>
      <c r="F42" s="76">
        <f>'Respondent Assumptions'!E42</f>
        <v>20</v>
      </c>
      <c r="G42" s="17">
        <f t="shared" si="19"/>
        <v>20</v>
      </c>
      <c r="H42" s="16">
        <f t="shared" si="20"/>
        <v>2004.6000000000001</v>
      </c>
      <c r="I42" s="15">
        <v>50</v>
      </c>
      <c r="J42" s="62">
        <f>'Respondent Assumptions'!L42</f>
        <v>4</v>
      </c>
      <c r="K42" s="62">
        <f>'Respondent Assumptions'!M42</f>
        <v>4</v>
      </c>
      <c r="L42" s="62">
        <f>'Respondent Assumptions'!N42</f>
        <v>4</v>
      </c>
      <c r="M42" s="29">
        <f t="shared" si="21"/>
        <v>4</v>
      </c>
      <c r="N42" s="29">
        <f t="shared" si="22"/>
        <v>4</v>
      </c>
      <c r="O42" s="29">
        <f t="shared" si="23"/>
        <v>4</v>
      </c>
      <c r="P42" s="63">
        <f t="shared" si="24"/>
        <v>80</v>
      </c>
      <c r="Q42" s="63">
        <f t="shared" si="25"/>
        <v>80</v>
      </c>
      <c r="R42" s="63">
        <f t="shared" si="26"/>
        <v>80</v>
      </c>
      <c r="S42" s="15">
        <f t="shared" si="27"/>
        <v>8018.4000000000005</v>
      </c>
      <c r="T42" s="15">
        <f t="shared" si="28"/>
        <v>8018.4000000000005</v>
      </c>
      <c r="U42" s="15">
        <f t="shared" si="29"/>
        <v>8018.4000000000005</v>
      </c>
      <c r="V42" s="15">
        <f t="shared" si="30"/>
        <v>200</v>
      </c>
      <c r="W42" s="15">
        <f t="shared" si="31"/>
        <v>8218.4000000000015</v>
      </c>
      <c r="X42" s="15">
        <f t="shared" si="32"/>
        <v>8218.4000000000015</v>
      </c>
      <c r="Y42" s="15">
        <f t="shared" si="33"/>
        <v>8218.4000000000015</v>
      </c>
      <c r="Z42" s="71">
        <v>2</v>
      </c>
      <c r="AA42" s="71"/>
    </row>
    <row r="43" spans="1:27" s="24" customFormat="1" x14ac:dyDescent="0.25">
      <c r="A43" s="54">
        <v>1</v>
      </c>
      <c r="B43" s="158" t="s">
        <v>130</v>
      </c>
      <c r="C43" s="64" t="str">
        <f>'Respondent Assumptions'!C43</f>
        <v>Submit one-time report</v>
      </c>
      <c r="D43" s="76">
        <f>'Respondent Assumptions'!F43</f>
        <v>1</v>
      </c>
      <c r="E43" s="88">
        <f>'Respondent Assumptions'!D43</f>
        <v>100</v>
      </c>
      <c r="F43" s="76">
        <f>'Respondent Assumptions'!E43</f>
        <v>0</v>
      </c>
      <c r="G43" s="17">
        <f t="shared" si="19"/>
        <v>100</v>
      </c>
      <c r="H43" s="16">
        <f t="shared" si="20"/>
        <v>12713</v>
      </c>
      <c r="I43" s="15">
        <v>0</v>
      </c>
      <c r="J43" s="62">
        <f>'Respondent Assumptions'!L43</f>
        <v>1</v>
      </c>
      <c r="K43" s="62">
        <f>'Respondent Assumptions'!M43</f>
        <v>1</v>
      </c>
      <c r="L43" s="62">
        <f>'Respondent Assumptions'!N43</f>
        <v>1</v>
      </c>
      <c r="M43" s="29">
        <f t="shared" si="21"/>
        <v>1</v>
      </c>
      <c r="N43" s="29">
        <f t="shared" si="22"/>
        <v>1</v>
      </c>
      <c r="O43" s="29">
        <f t="shared" si="23"/>
        <v>1</v>
      </c>
      <c r="P43" s="63">
        <f t="shared" si="24"/>
        <v>100</v>
      </c>
      <c r="Q43" s="63">
        <f t="shared" si="25"/>
        <v>100</v>
      </c>
      <c r="R43" s="63">
        <f t="shared" si="26"/>
        <v>100</v>
      </c>
      <c r="S43" s="15">
        <f t="shared" si="27"/>
        <v>12713</v>
      </c>
      <c r="T43" s="15">
        <f t="shared" si="28"/>
        <v>12713</v>
      </c>
      <c r="U43" s="15">
        <f t="shared" si="29"/>
        <v>12713</v>
      </c>
      <c r="V43" s="15">
        <f t="shared" si="30"/>
        <v>0</v>
      </c>
      <c r="W43" s="15">
        <f t="shared" si="31"/>
        <v>12713</v>
      </c>
      <c r="X43" s="15">
        <f t="shared" si="32"/>
        <v>12713</v>
      </c>
      <c r="Y43" s="15">
        <f t="shared" si="33"/>
        <v>12713</v>
      </c>
      <c r="Z43" s="71">
        <v>1</v>
      </c>
      <c r="AA43" s="71"/>
    </row>
    <row r="44" spans="1:27" s="24" customFormat="1" x14ac:dyDescent="0.25">
      <c r="A44" s="54">
        <v>1</v>
      </c>
      <c r="B44" s="159"/>
      <c r="C44" s="64" t="str">
        <f>'Respondent Assumptions'!C44</f>
        <v>Submit annual second party report</v>
      </c>
      <c r="D44" s="76">
        <f>'Respondent Assumptions'!F44</f>
        <v>1</v>
      </c>
      <c r="E44" s="88">
        <f>'Respondent Assumptions'!D44</f>
        <v>4</v>
      </c>
      <c r="F44" s="76">
        <f>'Respondent Assumptions'!E44</f>
        <v>0</v>
      </c>
      <c r="G44" s="17">
        <f t="shared" si="19"/>
        <v>4</v>
      </c>
      <c r="H44" s="16">
        <f t="shared" si="20"/>
        <v>508.52</v>
      </c>
      <c r="I44" s="15">
        <v>0</v>
      </c>
      <c r="J44" s="62">
        <f>'Respondent Assumptions'!L44</f>
        <v>6</v>
      </c>
      <c r="K44" s="62">
        <f>'Respondent Assumptions'!M44</f>
        <v>6</v>
      </c>
      <c r="L44" s="62">
        <f>'Respondent Assumptions'!N44</f>
        <v>6</v>
      </c>
      <c r="M44" s="29">
        <f t="shared" si="21"/>
        <v>6</v>
      </c>
      <c r="N44" s="29">
        <f t="shared" si="22"/>
        <v>6</v>
      </c>
      <c r="O44" s="29">
        <f t="shared" si="23"/>
        <v>6</v>
      </c>
      <c r="P44" s="63">
        <f t="shared" si="24"/>
        <v>24</v>
      </c>
      <c r="Q44" s="63">
        <f t="shared" si="25"/>
        <v>24</v>
      </c>
      <c r="R44" s="63">
        <f t="shared" si="26"/>
        <v>24</v>
      </c>
      <c r="S44" s="15">
        <f t="shared" si="27"/>
        <v>3051.12</v>
      </c>
      <c r="T44" s="15">
        <f t="shared" si="28"/>
        <v>3051.12</v>
      </c>
      <c r="U44" s="15">
        <f t="shared" si="29"/>
        <v>3051.12</v>
      </c>
      <c r="V44" s="15">
        <f t="shared" si="30"/>
        <v>0</v>
      </c>
      <c r="W44" s="15">
        <f t="shared" si="31"/>
        <v>3051.12</v>
      </c>
      <c r="X44" s="15">
        <f t="shared" si="32"/>
        <v>3051.12</v>
      </c>
      <c r="Y44" s="15">
        <f t="shared" si="33"/>
        <v>3051.12</v>
      </c>
      <c r="Z44" s="71">
        <v>1</v>
      </c>
      <c r="AA44" s="71"/>
    </row>
    <row r="45" spans="1:27" s="24" customFormat="1" x14ac:dyDescent="0.25">
      <c r="A45" s="54"/>
      <c r="B45" s="159"/>
      <c r="C45" s="64" t="str">
        <f>'Respondent Assumptions'!C45</f>
        <v>Maintain records</v>
      </c>
      <c r="D45" s="76">
        <f>'Respondent Assumptions'!F45</f>
        <v>1</v>
      </c>
      <c r="E45" s="88">
        <f>'Respondent Assumptions'!D45</f>
        <v>0</v>
      </c>
      <c r="F45" s="76">
        <f>'Respondent Assumptions'!E45</f>
        <v>20</v>
      </c>
      <c r="G45" s="17">
        <f t="shared" si="19"/>
        <v>20</v>
      </c>
      <c r="H45" s="16">
        <f t="shared" si="20"/>
        <v>2004.6000000000001</v>
      </c>
      <c r="I45" s="15">
        <v>50</v>
      </c>
      <c r="J45" s="62">
        <f>'Respondent Assumptions'!L45</f>
        <v>6</v>
      </c>
      <c r="K45" s="62">
        <f>'Respondent Assumptions'!M45</f>
        <v>6</v>
      </c>
      <c r="L45" s="62">
        <f>'Respondent Assumptions'!N45</f>
        <v>6</v>
      </c>
      <c r="M45" s="29">
        <f t="shared" si="21"/>
        <v>6</v>
      </c>
      <c r="N45" s="29">
        <f t="shared" si="22"/>
        <v>6</v>
      </c>
      <c r="O45" s="29">
        <f t="shared" si="23"/>
        <v>6</v>
      </c>
      <c r="P45" s="63">
        <f t="shared" si="24"/>
        <v>120</v>
      </c>
      <c r="Q45" s="63">
        <f t="shared" si="25"/>
        <v>120</v>
      </c>
      <c r="R45" s="63">
        <f t="shared" si="26"/>
        <v>120</v>
      </c>
      <c r="S45" s="15">
        <f t="shared" si="27"/>
        <v>12027.6</v>
      </c>
      <c r="T45" s="15">
        <f t="shared" si="28"/>
        <v>12027.6</v>
      </c>
      <c r="U45" s="15">
        <f t="shared" si="29"/>
        <v>12027.6</v>
      </c>
      <c r="V45" s="15">
        <f t="shared" si="30"/>
        <v>300</v>
      </c>
      <c r="W45" s="15">
        <f t="shared" si="31"/>
        <v>12327.6</v>
      </c>
      <c r="X45" s="15">
        <f t="shared" si="32"/>
        <v>12327.6</v>
      </c>
      <c r="Y45" s="15">
        <f t="shared" si="33"/>
        <v>12327.6</v>
      </c>
      <c r="Z45" s="71">
        <v>2</v>
      </c>
      <c r="AA45" s="71"/>
    </row>
    <row r="46" spans="1:27" s="24" customFormat="1" x14ac:dyDescent="0.25">
      <c r="A46" s="54"/>
      <c r="B46" s="159"/>
      <c r="C46" s="64" t="str">
        <f>'Respondent Assumptions'!C46</f>
        <v>Provide destruction verification to third party</v>
      </c>
      <c r="D46" s="76">
        <f>'Respondent Assumptions'!F46</f>
        <v>1</v>
      </c>
      <c r="E46" s="88">
        <f>'Respondent Assumptions'!D46</f>
        <v>2</v>
      </c>
      <c r="F46" s="76">
        <f>'Respondent Assumptions'!E46</f>
        <v>0</v>
      </c>
      <c r="G46" s="17">
        <f t="shared" si="19"/>
        <v>2</v>
      </c>
      <c r="H46" s="16">
        <f t="shared" si="20"/>
        <v>254.26</v>
      </c>
      <c r="I46" s="15">
        <v>0</v>
      </c>
      <c r="J46" s="62">
        <f>'Respondent Assumptions'!L46</f>
        <v>6</v>
      </c>
      <c r="K46" s="62">
        <f>'Respondent Assumptions'!M46</f>
        <v>6</v>
      </c>
      <c r="L46" s="62">
        <f>'Respondent Assumptions'!N46</f>
        <v>6</v>
      </c>
      <c r="M46" s="29">
        <f t="shared" si="21"/>
        <v>6</v>
      </c>
      <c r="N46" s="29">
        <f t="shared" si="22"/>
        <v>6</v>
      </c>
      <c r="O46" s="29">
        <f t="shared" si="23"/>
        <v>6</v>
      </c>
      <c r="P46" s="63">
        <f t="shared" si="24"/>
        <v>12</v>
      </c>
      <c r="Q46" s="63">
        <f t="shared" si="25"/>
        <v>12</v>
      </c>
      <c r="R46" s="63">
        <f t="shared" si="26"/>
        <v>12</v>
      </c>
      <c r="S46" s="15">
        <f t="shared" si="27"/>
        <v>1525.56</v>
      </c>
      <c r="T46" s="15">
        <f t="shared" si="28"/>
        <v>1525.56</v>
      </c>
      <c r="U46" s="15">
        <f t="shared" si="29"/>
        <v>1525.56</v>
      </c>
      <c r="V46" s="15">
        <f t="shared" si="30"/>
        <v>0</v>
      </c>
      <c r="W46" s="15">
        <f t="shared" si="31"/>
        <v>1525.56</v>
      </c>
      <c r="X46" s="15">
        <f t="shared" si="32"/>
        <v>1525.56</v>
      </c>
      <c r="Y46" s="15">
        <f t="shared" si="33"/>
        <v>1525.56</v>
      </c>
      <c r="Z46" s="71">
        <v>3</v>
      </c>
      <c r="AA46" s="71"/>
    </row>
    <row r="47" spans="1:27" s="24" customFormat="1" x14ac:dyDescent="0.25">
      <c r="A47" s="54"/>
      <c r="B47" s="160"/>
      <c r="C47" s="64" t="str">
        <f>'Respondent Assumptions'!C47</f>
        <v>Provide proof of destruction to third party</v>
      </c>
      <c r="D47" s="76">
        <f>'Respondent Assumptions'!F47</f>
        <v>1</v>
      </c>
      <c r="E47" s="88">
        <f>'Respondent Assumptions'!D47</f>
        <v>2</v>
      </c>
      <c r="F47" s="76">
        <f>'Respondent Assumptions'!E47</f>
        <v>0</v>
      </c>
      <c r="G47" s="17">
        <f t="shared" si="19"/>
        <v>2</v>
      </c>
      <c r="H47" s="16">
        <f t="shared" si="20"/>
        <v>254.26</v>
      </c>
      <c r="I47" s="15">
        <v>0</v>
      </c>
      <c r="J47" s="62">
        <f>'Respondent Assumptions'!L47</f>
        <v>12</v>
      </c>
      <c r="K47" s="62">
        <f>'Respondent Assumptions'!M47</f>
        <v>12</v>
      </c>
      <c r="L47" s="62">
        <f>'Respondent Assumptions'!N47</f>
        <v>12</v>
      </c>
      <c r="M47" s="29">
        <f t="shared" si="21"/>
        <v>12</v>
      </c>
      <c r="N47" s="29">
        <f t="shared" si="22"/>
        <v>12</v>
      </c>
      <c r="O47" s="29">
        <f t="shared" si="23"/>
        <v>12</v>
      </c>
      <c r="P47" s="63">
        <f t="shared" si="24"/>
        <v>24</v>
      </c>
      <c r="Q47" s="63">
        <f t="shared" si="25"/>
        <v>24</v>
      </c>
      <c r="R47" s="63">
        <f t="shared" si="26"/>
        <v>24</v>
      </c>
      <c r="S47" s="15">
        <f t="shared" si="27"/>
        <v>3051.12</v>
      </c>
      <c r="T47" s="15">
        <f t="shared" si="28"/>
        <v>3051.12</v>
      </c>
      <c r="U47" s="15">
        <f t="shared" si="29"/>
        <v>3051.12</v>
      </c>
      <c r="V47" s="15">
        <f t="shared" si="30"/>
        <v>0</v>
      </c>
      <c r="W47" s="15">
        <f t="shared" si="31"/>
        <v>3051.12</v>
      </c>
      <c r="X47" s="15">
        <f t="shared" si="32"/>
        <v>3051.12</v>
      </c>
      <c r="Y47" s="15">
        <f t="shared" si="33"/>
        <v>3051.12</v>
      </c>
      <c r="Z47" s="71">
        <v>3</v>
      </c>
      <c r="AA47" s="71"/>
    </row>
    <row r="48" spans="1:27" s="24" customFormat="1" x14ac:dyDescent="0.25">
      <c r="A48" s="54">
        <v>1</v>
      </c>
      <c r="B48" s="158" t="s">
        <v>80</v>
      </c>
      <c r="C48" s="64" t="str">
        <f>'Respondent Assumptions'!C48</f>
        <v>Submit one-time report</v>
      </c>
      <c r="D48" s="76">
        <f>'Respondent Assumptions'!F48</f>
        <v>1</v>
      </c>
      <c r="E48" s="88">
        <f>'Respondent Assumptions'!D48</f>
        <v>100</v>
      </c>
      <c r="F48" s="76">
        <f>'Respondent Assumptions'!E48</f>
        <v>0</v>
      </c>
      <c r="G48" s="17">
        <f t="shared" si="19"/>
        <v>100</v>
      </c>
      <c r="H48" s="16">
        <f>(D48*E48*$B$83)+(D48*F48*$B$84)</f>
        <v>12713</v>
      </c>
      <c r="I48" s="15">
        <v>0</v>
      </c>
      <c r="J48" s="62">
        <f>'Respondent Assumptions'!L48</f>
        <v>1</v>
      </c>
      <c r="K48" s="62">
        <f>'Respondent Assumptions'!M48</f>
        <v>1</v>
      </c>
      <c r="L48" s="62">
        <f>'Respondent Assumptions'!N48</f>
        <v>1</v>
      </c>
      <c r="M48" s="29">
        <f t="shared" si="21"/>
        <v>1</v>
      </c>
      <c r="N48" s="29">
        <f t="shared" si="22"/>
        <v>1</v>
      </c>
      <c r="O48" s="29">
        <f t="shared" si="23"/>
        <v>1</v>
      </c>
      <c r="P48" s="63">
        <f t="shared" si="24"/>
        <v>100</v>
      </c>
      <c r="Q48" s="63">
        <f t="shared" si="25"/>
        <v>100</v>
      </c>
      <c r="R48" s="63">
        <f t="shared" si="26"/>
        <v>100</v>
      </c>
      <c r="S48" s="15">
        <f t="shared" si="27"/>
        <v>12713</v>
      </c>
      <c r="T48" s="15">
        <f t="shared" si="28"/>
        <v>12713</v>
      </c>
      <c r="U48" s="15">
        <f t="shared" si="29"/>
        <v>12713</v>
      </c>
      <c r="V48" s="15">
        <f t="shared" si="30"/>
        <v>0</v>
      </c>
      <c r="W48" s="15">
        <f t="shared" si="31"/>
        <v>12713</v>
      </c>
      <c r="X48" s="15">
        <f t="shared" si="32"/>
        <v>12713</v>
      </c>
      <c r="Y48" s="15">
        <f t="shared" si="33"/>
        <v>12713</v>
      </c>
      <c r="Z48" s="71">
        <v>1</v>
      </c>
      <c r="AA48" s="71"/>
    </row>
    <row r="49" spans="1:33" s="24" customFormat="1" x14ac:dyDescent="0.25">
      <c r="A49" s="54">
        <v>1</v>
      </c>
      <c r="B49" s="159"/>
      <c r="C49" s="64" t="str">
        <f>'Respondent Assumptions'!C49</f>
        <v>Submit annual second party report</v>
      </c>
      <c r="D49" s="76">
        <f>'Respondent Assumptions'!F49</f>
        <v>1</v>
      </c>
      <c r="E49" s="88">
        <f>'Respondent Assumptions'!D49</f>
        <v>4</v>
      </c>
      <c r="F49" s="76">
        <f>'Respondent Assumptions'!E49</f>
        <v>0</v>
      </c>
      <c r="G49" s="17">
        <f t="shared" si="19"/>
        <v>4</v>
      </c>
      <c r="H49" s="16">
        <f t="shared" si="20"/>
        <v>508.52</v>
      </c>
      <c r="I49" s="15">
        <v>0</v>
      </c>
      <c r="J49" s="62">
        <f>'Respondent Assumptions'!L49</f>
        <v>2</v>
      </c>
      <c r="K49" s="62">
        <f>'Respondent Assumptions'!M49</f>
        <v>2</v>
      </c>
      <c r="L49" s="62">
        <f>'Respondent Assumptions'!N49</f>
        <v>2</v>
      </c>
      <c r="M49" s="29">
        <f t="shared" si="21"/>
        <v>2</v>
      </c>
      <c r="N49" s="29">
        <f t="shared" si="22"/>
        <v>2</v>
      </c>
      <c r="O49" s="29">
        <f t="shared" si="23"/>
        <v>2</v>
      </c>
      <c r="P49" s="63">
        <f t="shared" si="24"/>
        <v>8</v>
      </c>
      <c r="Q49" s="63">
        <f t="shared" si="25"/>
        <v>8</v>
      </c>
      <c r="R49" s="63">
        <f t="shared" si="26"/>
        <v>8</v>
      </c>
      <c r="S49" s="15">
        <f t="shared" si="27"/>
        <v>1017.04</v>
      </c>
      <c r="T49" s="15">
        <f t="shared" si="28"/>
        <v>1017.04</v>
      </c>
      <c r="U49" s="15">
        <f t="shared" si="29"/>
        <v>1017.04</v>
      </c>
      <c r="V49" s="15">
        <f t="shared" si="30"/>
        <v>0</v>
      </c>
      <c r="W49" s="15">
        <f t="shared" si="31"/>
        <v>1017.04</v>
      </c>
      <c r="X49" s="15">
        <f t="shared" si="32"/>
        <v>1017.04</v>
      </c>
      <c r="Y49" s="15">
        <f t="shared" si="33"/>
        <v>1017.04</v>
      </c>
      <c r="Z49" s="71">
        <v>1</v>
      </c>
      <c r="AA49" s="71"/>
    </row>
    <row r="50" spans="1:33" s="24" customFormat="1" x14ac:dyDescent="0.25">
      <c r="A50" s="54"/>
      <c r="B50" s="159"/>
      <c r="C50" s="64" t="str">
        <f>'Respondent Assumptions'!C50</f>
        <v>Maintain records</v>
      </c>
      <c r="D50" s="76">
        <f>'Respondent Assumptions'!F50</f>
        <v>1</v>
      </c>
      <c r="E50" s="88">
        <f>'Respondent Assumptions'!D50</f>
        <v>0</v>
      </c>
      <c r="F50" s="76">
        <f>'Respondent Assumptions'!E50</f>
        <v>20</v>
      </c>
      <c r="G50" s="17">
        <f t="shared" si="19"/>
        <v>20</v>
      </c>
      <c r="H50" s="16">
        <f t="shared" si="20"/>
        <v>2004.6000000000001</v>
      </c>
      <c r="I50" s="15">
        <v>50</v>
      </c>
      <c r="J50" s="62">
        <f>'Respondent Assumptions'!L50</f>
        <v>2</v>
      </c>
      <c r="K50" s="62">
        <f>'Respondent Assumptions'!M50</f>
        <v>2</v>
      </c>
      <c r="L50" s="62">
        <f>'Respondent Assumptions'!N50</f>
        <v>2</v>
      </c>
      <c r="M50" s="29">
        <f t="shared" si="21"/>
        <v>2</v>
      </c>
      <c r="N50" s="29">
        <f t="shared" si="22"/>
        <v>2</v>
      </c>
      <c r="O50" s="29">
        <f t="shared" si="23"/>
        <v>2</v>
      </c>
      <c r="P50" s="63">
        <f t="shared" si="24"/>
        <v>40</v>
      </c>
      <c r="Q50" s="63">
        <f t="shared" si="25"/>
        <v>40</v>
      </c>
      <c r="R50" s="63">
        <f t="shared" si="26"/>
        <v>40</v>
      </c>
      <c r="S50" s="15">
        <f t="shared" si="27"/>
        <v>4009.2000000000003</v>
      </c>
      <c r="T50" s="15">
        <f t="shared" si="28"/>
        <v>4009.2000000000003</v>
      </c>
      <c r="U50" s="15">
        <f t="shared" si="29"/>
        <v>4009.2000000000003</v>
      </c>
      <c r="V50" s="15">
        <f t="shared" si="30"/>
        <v>100</v>
      </c>
      <c r="W50" s="15">
        <f t="shared" si="31"/>
        <v>4109.2000000000007</v>
      </c>
      <c r="X50" s="15">
        <f t="shared" si="32"/>
        <v>4109.2000000000007</v>
      </c>
      <c r="Y50" s="15">
        <f t="shared" si="33"/>
        <v>4109.2000000000007</v>
      </c>
      <c r="Z50" s="71">
        <v>2</v>
      </c>
      <c r="AA50" s="71"/>
    </row>
    <row r="51" spans="1:33" s="24" customFormat="1" x14ac:dyDescent="0.25">
      <c r="A51" s="54"/>
      <c r="B51" s="160"/>
      <c r="C51" s="64" t="str">
        <f>'Respondent Assumptions'!C51</f>
        <v>Provide transformation verification to third party</v>
      </c>
      <c r="D51" s="76">
        <f>'Respondent Assumptions'!F51</f>
        <v>1</v>
      </c>
      <c r="E51" s="88">
        <f>'Respondent Assumptions'!D51</f>
        <v>2</v>
      </c>
      <c r="F51" s="76">
        <f>'Respondent Assumptions'!E51</f>
        <v>0</v>
      </c>
      <c r="G51" s="17">
        <f t="shared" si="19"/>
        <v>2</v>
      </c>
      <c r="H51" s="16">
        <f t="shared" si="20"/>
        <v>254.26</v>
      </c>
      <c r="I51" s="15">
        <v>0</v>
      </c>
      <c r="J51" s="62">
        <f>'Respondent Assumptions'!L51</f>
        <v>2</v>
      </c>
      <c r="K51" s="62">
        <f>'Respondent Assumptions'!M51</f>
        <v>2</v>
      </c>
      <c r="L51" s="62">
        <f>'Respondent Assumptions'!N51</f>
        <v>2</v>
      </c>
      <c r="M51" s="29">
        <f t="shared" si="21"/>
        <v>2</v>
      </c>
      <c r="N51" s="29">
        <f t="shared" si="22"/>
        <v>2</v>
      </c>
      <c r="O51" s="29">
        <f t="shared" si="23"/>
        <v>2</v>
      </c>
      <c r="P51" s="63">
        <f t="shared" si="24"/>
        <v>4</v>
      </c>
      <c r="Q51" s="63">
        <f t="shared" si="25"/>
        <v>4</v>
      </c>
      <c r="R51" s="63">
        <f t="shared" si="26"/>
        <v>4</v>
      </c>
      <c r="S51" s="15">
        <f t="shared" si="27"/>
        <v>508.52</v>
      </c>
      <c r="T51" s="15">
        <f t="shared" si="28"/>
        <v>508.52</v>
      </c>
      <c r="U51" s="15">
        <f t="shared" si="29"/>
        <v>508.52</v>
      </c>
      <c r="V51" s="15">
        <f t="shared" si="30"/>
        <v>0</v>
      </c>
      <c r="W51" s="15">
        <f t="shared" si="31"/>
        <v>508.52</v>
      </c>
      <c r="X51" s="15">
        <f t="shared" si="32"/>
        <v>508.52</v>
      </c>
      <c r="Y51" s="15">
        <f t="shared" si="33"/>
        <v>508.52</v>
      </c>
      <c r="Z51" s="71">
        <v>3</v>
      </c>
      <c r="AA51" s="71"/>
      <c r="AB51" s="14"/>
      <c r="AC51" s="14"/>
      <c r="AD51" s="14"/>
      <c r="AE51" s="14"/>
      <c r="AF51" s="14"/>
      <c r="AG51" s="14"/>
    </row>
    <row r="52" spans="1:33" s="14" customFormat="1" x14ac:dyDescent="0.25">
      <c r="A52" s="53">
        <v>1</v>
      </c>
      <c r="B52" s="158" t="s">
        <v>82</v>
      </c>
      <c r="C52" s="64" t="str">
        <f>'Respondent Assumptions'!C52</f>
        <v>Submit one-time report</v>
      </c>
      <c r="D52" s="76">
        <f>'Respondent Assumptions'!F52</f>
        <v>1</v>
      </c>
      <c r="E52" s="88">
        <f>'Respondent Assumptions'!D52</f>
        <v>100</v>
      </c>
      <c r="F52" s="76">
        <f>'Respondent Assumptions'!E52</f>
        <v>0</v>
      </c>
      <c r="G52" s="17">
        <f t="shared" si="19"/>
        <v>100</v>
      </c>
      <c r="H52" s="16">
        <f>(D52*E52*$B$83)+(D52*F52*$B$84)</f>
        <v>12713</v>
      </c>
      <c r="I52" s="15">
        <v>0</v>
      </c>
      <c r="J52" s="62">
        <f>'Respondent Assumptions'!L52</f>
        <v>1</v>
      </c>
      <c r="K52" s="62">
        <f>'Respondent Assumptions'!M52</f>
        <v>1</v>
      </c>
      <c r="L52" s="62">
        <f>'Respondent Assumptions'!N52</f>
        <v>1</v>
      </c>
      <c r="M52" s="29">
        <f t="shared" si="21"/>
        <v>1</v>
      </c>
      <c r="N52" s="29">
        <f t="shared" si="22"/>
        <v>1</v>
      </c>
      <c r="O52" s="29">
        <f t="shared" si="23"/>
        <v>1</v>
      </c>
      <c r="P52" s="63">
        <f t="shared" si="24"/>
        <v>100</v>
      </c>
      <c r="Q52" s="63">
        <f t="shared" si="25"/>
        <v>100</v>
      </c>
      <c r="R52" s="63">
        <f t="shared" si="26"/>
        <v>100</v>
      </c>
      <c r="S52" s="15">
        <f t="shared" si="27"/>
        <v>12713</v>
      </c>
      <c r="T52" s="15">
        <f t="shared" si="28"/>
        <v>12713</v>
      </c>
      <c r="U52" s="15">
        <f t="shared" si="29"/>
        <v>12713</v>
      </c>
      <c r="V52" s="15">
        <f t="shared" si="30"/>
        <v>0</v>
      </c>
      <c r="W52" s="15">
        <f t="shared" si="31"/>
        <v>12713</v>
      </c>
      <c r="X52" s="15">
        <f t="shared" si="32"/>
        <v>12713</v>
      </c>
      <c r="Y52" s="15">
        <f t="shared" si="33"/>
        <v>12713</v>
      </c>
      <c r="Z52" s="71">
        <v>1</v>
      </c>
      <c r="AA52" s="71"/>
    </row>
    <row r="53" spans="1:33" s="14" customFormat="1" x14ac:dyDescent="0.25">
      <c r="A53" s="53">
        <v>1</v>
      </c>
      <c r="B53" s="160"/>
      <c r="C53" s="64" t="str">
        <f>'Respondent Assumptions'!C53</f>
        <v>Submit annual report</v>
      </c>
      <c r="D53" s="76">
        <f>'Respondent Assumptions'!F53</f>
        <v>1</v>
      </c>
      <c r="E53" s="88">
        <f>'Respondent Assumptions'!D53</f>
        <v>6</v>
      </c>
      <c r="F53" s="76">
        <f>'Respondent Assumptions'!E53</f>
        <v>0</v>
      </c>
      <c r="G53" s="17">
        <f t="shared" si="19"/>
        <v>6</v>
      </c>
      <c r="H53" s="16">
        <f t="shared" si="20"/>
        <v>762.78</v>
      </c>
      <c r="I53" s="15">
        <v>0</v>
      </c>
      <c r="J53" s="62">
        <f>'Respondent Assumptions'!L53</f>
        <v>2</v>
      </c>
      <c r="K53" s="62">
        <f>'Respondent Assumptions'!M53</f>
        <v>2</v>
      </c>
      <c r="L53" s="62">
        <f>'Respondent Assumptions'!N53</f>
        <v>2</v>
      </c>
      <c r="M53" s="29">
        <f t="shared" si="21"/>
        <v>2</v>
      </c>
      <c r="N53" s="29">
        <f t="shared" si="22"/>
        <v>2</v>
      </c>
      <c r="O53" s="29">
        <f t="shared" si="23"/>
        <v>2</v>
      </c>
      <c r="P53" s="63">
        <f t="shared" si="24"/>
        <v>12</v>
      </c>
      <c r="Q53" s="63">
        <f t="shared" si="25"/>
        <v>12</v>
      </c>
      <c r="R53" s="63">
        <f t="shared" si="26"/>
        <v>12</v>
      </c>
      <c r="S53" s="15">
        <f t="shared" si="27"/>
        <v>1525.56</v>
      </c>
      <c r="T53" s="15">
        <f t="shared" si="28"/>
        <v>1525.56</v>
      </c>
      <c r="U53" s="15">
        <f t="shared" si="29"/>
        <v>1525.56</v>
      </c>
      <c r="V53" s="15">
        <f t="shared" si="30"/>
        <v>0</v>
      </c>
      <c r="W53" s="15">
        <f t="shared" si="31"/>
        <v>1525.56</v>
      </c>
      <c r="X53" s="15">
        <f t="shared" si="32"/>
        <v>1525.56</v>
      </c>
      <c r="Y53" s="15">
        <f t="shared" si="33"/>
        <v>1525.56</v>
      </c>
      <c r="Z53" s="71">
        <v>1</v>
      </c>
      <c r="AA53" s="71"/>
      <c r="AB53" s="24"/>
      <c r="AC53" s="24"/>
      <c r="AD53" s="24"/>
      <c r="AE53" s="24"/>
      <c r="AF53" s="24"/>
      <c r="AG53" s="24"/>
    </row>
    <row r="54" spans="1:33" s="24" customFormat="1" x14ac:dyDescent="0.25">
      <c r="A54" s="54">
        <v>1</v>
      </c>
      <c r="B54" s="158" t="s">
        <v>84</v>
      </c>
      <c r="C54" s="64" t="str">
        <f>'Respondent Assumptions'!C54</f>
        <v>Submit one-time report</v>
      </c>
      <c r="D54" s="76">
        <f>'Respondent Assumptions'!F54</f>
        <v>1</v>
      </c>
      <c r="E54" s="88">
        <f>'Respondent Assumptions'!D54</f>
        <v>40</v>
      </c>
      <c r="F54" s="76">
        <f>'Respondent Assumptions'!E54</f>
        <v>0</v>
      </c>
      <c r="G54" s="17">
        <f t="shared" si="19"/>
        <v>40</v>
      </c>
      <c r="H54" s="16">
        <f t="shared" si="20"/>
        <v>5085.2</v>
      </c>
      <c r="I54" s="15">
        <v>0</v>
      </c>
      <c r="J54" s="62">
        <f>'Respondent Assumptions'!L54</f>
        <v>1</v>
      </c>
      <c r="K54" s="62">
        <f>'Respondent Assumptions'!M54</f>
        <v>1</v>
      </c>
      <c r="L54" s="62">
        <f>'Respondent Assumptions'!N54</f>
        <v>1</v>
      </c>
      <c r="M54" s="29">
        <f t="shared" si="21"/>
        <v>1</v>
      </c>
      <c r="N54" s="29">
        <f t="shared" si="22"/>
        <v>1</v>
      </c>
      <c r="O54" s="29">
        <f t="shared" si="23"/>
        <v>1</v>
      </c>
      <c r="P54" s="63">
        <f t="shared" si="24"/>
        <v>40</v>
      </c>
      <c r="Q54" s="63">
        <f t="shared" si="25"/>
        <v>40</v>
      </c>
      <c r="R54" s="63">
        <f t="shared" si="26"/>
        <v>40</v>
      </c>
      <c r="S54" s="15">
        <f t="shared" si="27"/>
        <v>5085.2</v>
      </c>
      <c r="T54" s="15">
        <f t="shared" si="28"/>
        <v>5085.2</v>
      </c>
      <c r="U54" s="15">
        <f t="shared" si="29"/>
        <v>5085.2</v>
      </c>
      <c r="V54" s="15">
        <f t="shared" si="30"/>
        <v>0</v>
      </c>
      <c r="W54" s="15">
        <f t="shared" si="31"/>
        <v>5085.2</v>
      </c>
      <c r="X54" s="15">
        <f t="shared" si="32"/>
        <v>5085.2</v>
      </c>
      <c r="Y54" s="15">
        <f t="shared" si="33"/>
        <v>5085.2</v>
      </c>
      <c r="Z54" s="71">
        <v>1</v>
      </c>
      <c r="AA54" s="71"/>
    </row>
    <row r="55" spans="1:33" s="24" customFormat="1" x14ac:dyDescent="0.25">
      <c r="A55" s="54">
        <v>1</v>
      </c>
      <c r="B55" s="159"/>
      <c r="C55" s="64" t="str">
        <f>'Respondent Assumptions'!C55</f>
        <v>Submit quarterly report</v>
      </c>
      <c r="D55" s="76">
        <f>'Respondent Assumptions'!F55</f>
        <v>4</v>
      </c>
      <c r="E55" s="88">
        <f>'Respondent Assumptions'!D55</f>
        <v>9.4</v>
      </c>
      <c r="F55" s="76">
        <f>'Respondent Assumptions'!E55</f>
        <v>0</v>
      </c>
      <c r="G55" s="17">
        <f t="shared" si="19"/>
        <v>37.6</v>
      </c>
      <c r="H55" s="16">
        <f t="shared" si="20"/>
        <v>4780.0879999999997</v>
      </c>
      <c r="I55" s="15">
        <v>0</v>
      </c>
      <c r="J55" s="62">
        <f>'Respondent Assumptions'!L55</f>
        <v>20</v>
      </c>
      <c r="K55" s="62">
        <f>'Respondent Assumptions'!M55</f>
        <v>20</v>
      </c>
      <c r="L55" s="62">
        <f>'Respondent Assumptions'!N55</f>
        <v>20</v>
      </c>
      <c r="M55" s="29">
        <f t="shared" si="21"/>
        <v>80</v>
      </c>
      <c r="N55" s="29">
        <f t="shared" si="22"/>
        <v>80</v>
      </c>
      <c r="O55" s="29">
        <f t="shared" si="23"/>
        <v>80</v>
      </c>
      <c r="P55" s="63">
        <f t="shared" si="24"/>
        <v>752</v>
      </c>
      <c r="Q55" s="63">
        <f t="shared" si="25"/>
        <v>752</v>
      </c>
      <c r="R55" s="63">
        <f t="shared" si="26"/>
        <v>752</v>
      </c>
      <c r="S55" s="15">
        <f t="shared" si="27"/>
        <v>95601.76</v>
      </c>
      <c r="T55" s="15">
        <f t="shared" si="28"/>
        <v>95601.76</v>
      </c>
      <c r="U55" s="15">
        <f t="shared" si="29"/>
        <v>95601.76</v>
      </c>
      <c r="V55" s="15">
        <f t="shared" si="30"/>
        <v>0</v>
      </c>
      <c r="W55" s="15">
        <f t="shared" si="31"/>
        <v>95601.76</v>
      </c>
      <c r="X55" s="15">
        <f t="shared" si="32"/>
        <v>95601.76</v>
      </c>
      <c r="Y55" s="15">
        <f t="shared" si="33"/>
        <v>95601.76</v>
      </c>
      <c r="Z55" s="71">
        <v>1</v>
      </c>
      <c r="AA55" s="71"/>
    </row>
    <row r="56" spans="1:33" s="24" customFormat="1" x14ac:dyDescent="0.25">
      <c r="A56" s="54"/>
      <c r="B56" s="159"/>
      <c r="C56" s="64" t="str">
        <f>'Respondent Assumptions'!C56</f>
        <v>Submit annual inventory report (part of quarterly report)</v>
      </c>
      <c r="D56" s="76">
        <f>'Respondent Assumptions'!F56</f>
        <v>1</v>
      </c>
      <c r="E56" s="88">
        <f>'Respondent Assumptions'!D56</f>
        <v>10</v>
      </c>
      <c r="F56" s="76">
        <f>'Respondent Assumptions'!E56</f>
        <v>0</v>
      </c>
      <c r="G56" s="17">
        <f t="shared" si="19"/>
        <v>10</v>
      </c>
      <c r="H56" s="16">
        <f t="shared" si="20"/>
        <v>1271.3</v>
      </c>
      <c r="I56" s="15">
        <v>0</v>
      </c>
      <c r="J56" s="62">
        <f>'Respondent Assumptions'!L56</f>
        <v>20</v>
      </c>
      <c r="K56" s="62">
        <f>'Respondent Assumptions'!M56</f>
        <v>20</v>
      </c>
      <c r="L56" s="62">
        <f>'Respondent Assumptions'!N56</f>
        <v>20</v>
      </c>
      <c r="M56" s="29">
        <f t="shared" si="21"/>
        <v>20</v>
      </c>
      <c r="N56" s="29">
        <f t="shared" si="22"/>
        <v>20</v>
      </c>
      <c r="O56" s="29">
        <f t="shared" si="23"/>
        <v>20</v>
      </c>
      <c r="P56" s="63">
        <f t="shared" si="24"/>
        <v>200</v>
      </c>
      <c r="Q56" s="63">
        <f t="shared" si="25"/>
        <v>200</v>
      </c>
      <c r="R56" s="63">
        <f t="shared" si="26"/>
        <v>200</v>
      </c>
      <c r="S56" s="15">
        <f t="shared" si="27"/>
        <v>25426</v>
      </c>
      <c r="T56" s="15">
        <f t="shared" si="28"/>
        <v>25426</v>
      </c>
      <c r="U56" s="15">
        <f t="shared" si="29"/>
        <v>25426</v>
      </c>
      <c r="V56" s="15">
        <f t="shared" si="30"/>
        <v>0</v>
      </c>
      <c r="W56" s="15">
        <f t="shared" si="31"/>
        <v>25426</v>
      </c>
      <c r="X56" s="15">
        <f t="shared" si="32"/>
        <v>25426</v>
      </c>
      <c r="Y56" s="15">
        <f t="shared" si="33"/>
        <v>25426</v>
      </c>
      <c r="Z56" s="71">
        <v>1</v>
      </c>
      <c r="AA56" s="71"/>
    </row>
    <row r="57" spans="1:33" s="24" customFormat="1" x14ac:dyDescent="0.25">
      <c r="A57" s="54"/>
      <c r="B57" s="159"/>
      <c r="C57" s="64" t="str">
        <f>'Respondent Assumptions'!C57</f>
        <v>Maintain records</v>
      </c>
      <c r="D57" s="76">
        <f>'Respondent Assumptions'!F57</f>
        <v>1</v>
      </c>
      <c r="E57" s="88">
        <f>'Respondent Assumptions'!D57</f>
        <v>0</v>
      </c>
      <c r="F57" s="76">
        <f>'Respondent Assumptions'!E57</f>
        <v>40</v>
      </c>
      <c r="G57" s="17">
        <f t="shared" si="19"/>
        <v>40</v>
      </c>
      <c r="H57" s="16">
        <f t="shared" si="20"/>
        <v>4009.2000000000003</v>
      </c>
      <c r="I57" s="15">
        <v>50</v>
      </c>
      <c r="J57" s="62">
        <f>'Respondent Assumptions'!L57</f>
        <v>20</v>
      </c>
      <c r="K57" s="62">
        <f>'Respondent Assumptions'!M57</f>
        <v>20</v>
      </c>
      <c r="L57" s="62">
        <f>'Respondent Assumptions'!N57</f>
        <v>20</v>
      </c>
      <c r="M57" s="29">
        <f t="shared" si="21"/>
        <v>20</v>
      </c>
      <c r="N57" s="29">
        <f t="shared" si="22"/>
        <v>20</v>
      </c>
      <c r="O57" s="29">
        <f t="shared" si="23"/>
        <v>20</v>
      </c>
      <c r="P57" s="63">
        <f t="shared" si="24"/>
        <v>800</v>
      </c>
      <c r="Q57" s="63">
        <f t="shared" si="25"/>
        <v>800</v>
      </c>
      <c r="R57" s="63">
        <f t="shared" si="26"/>
        <v>800</v>
      </c>
      <c r="S57" s="15">
        <f t="shared" si="27"/>
        <v>80184</v>
      </c>
      <c r="T57" s="15">
        <f t="shared" si="28"/>
        <v>80184</v>
      </c>
      <c r="U57" s="15">
        <f t="shared" si="29"/>
        <v>80184</v>
      </c>
      <c r="V57" s="15">
        <f t="shared" si="30"/>
        <v>1000</v>
      </c>
      <c r="W57" s="15">
        <f t="shared" si="31"/>
        <v>81184</v>
      </c>
      <c r="X57" s="15">
        <f t="shared" si="32"/>
        <v>81184</v>
      </c>
      <c r="Y57" s="15">
        <f t="shared" si="33"/>
        <v>81184</v>
      </c>
      <c r="Z57" s="71">
        <v>2</v>
      </c>
      <c r="AA57" s="71"/>
    </row>
    <row r="58" spans="1:33" s="24" customFormat="1" x14ac:dyDescent="0.25">
      <c r="A58" s="54"/>
      <c r="B58" s="159"/>
      <c r="C58" s="64" t="str">
        <f>'Respondent Assumptions'!C58</f>
        <v>Register with certification ID system</v>
      </c>
      <c r="D58" s="76">
        <f>'Respondent Assumptions'!F58</f>
        <v>1</v>
      </c>
      <c r="E58" s="88">
        <f>'Respondent Assumptions'!D58</f>
        <v>0.5</v>
      </c>
      <c r="F58" s="76">
        <f>'Respondent Assumptions'!E58</f>
        <v>0</v>
      </c>
      <c r="G58" s="17">
        <f t="shared" si="19"/>
        <v>0.5</v>
      </c>
      <c r="H58" s="16">
        <f t="shared" si="20"/>
        <v>63.564999999999998</v>
      </c>
      <c r="I58" s="15">
        <v>0</v>
      </c>
      <c r="J58" s="62">
        <f>'Respondent Assumptions'!L58</f>
        <v>0</v>
      </c>
      <c r="K58" s="62">
        <f>'Respondent Assumptions'!M58</f>
        <v>20</v>
      </c>
      <c r="L58" s="62">
        <f>'Respondent Assumptions'!N58</f>
        <v>1</v>
      </c>
      <c r="M58" s="29">
        <f t="shared" si="21"/>
        <v>0</v>
      </c>
      <c r="N58" s="29">
        <f t="shared" si="22"/>
        <v>20</v>
      </c>
      <c r="O58" s="29">
        <f t="shared" si="23"/>
        <v>1</v>
      </c>
      <c r="P58" s="63">
        <f t="shared" si="24"/>
        <v>0</v>
      </c>
      <c r="Q58" s="63">
        <f t="shared" si="25"/>
        <v>10</v>
      </c>
      <c r="R58" s="63">
        <f t="shared" si="26"/>
        <v>0.5</v>
      </c>
      <c r="S58" s="15">
        <f t="shared" si="27"/>
        <v>0</v>
      </c>
      <c r="T58" s="15">
        <f t="shared" si="28"/>
        <v>1271.3</v>
      </c>
      <c r="U58" s="15">
        <f t="shared" si="29"/>
        <v>63.564999999999998</v>
      </c>
      <c r="V58" s="15">
        <f t="shared" si="30"/>
        <v>0</v>
      </c>
      <c r="W58" s="15">
        <f t="shared" si="31"/>
        <v>0</v>
      </c>
      <c r="X58" s="15">
        <f t="shared" si="32"/>
        <v>1271.3</v>
      </c>
      <c r="Y58" s="15">
        <f t="shared" si="33"/>
        <v>63.564999999999998</v>
      </c>
      <c r="Z58" s="71">
        <v>1</v>
      </c>
      <c r="AA58" s="71"/>
      <c r="AB58"/>
      <c r="AC58"/>
      <c r="AD58"/>
      <c r="AE58"/>
      <c r="AF58"/>
      <c r="AG58"/>
    </row>
    <row r="59" spans="1:33" x14ac:dyDescent="0.25">
      <c r="A59" s="55"/>
      <c r="B59" s="160"/>
      <c r="C59" s="64" t="str">
        <f>'Respondent Assumptions'!C59</f>
        <v>Enter data into certification ID system</v>
      </c>
      <c r="D59" s="76">
        <f>'Respondent Assumptions'!F59</f>
        <v>116470.58823529411</v>
      </c>
      <c r="E59" s="88">
        <f>'Respondent Assumptions'!D59</f>
        <v>5.5555555555555558E-3</v>
      </c>
      <c r="F59" s="76">
        <f>'Respondent Assumptions'!E59</f>
        <v>0</v>
      </c>
      <c r="G59" s="17">
        <f t="shared" si="19"/>
        <v>647.05882352941171</v>
      </c>
      <c r="H59" s="16">
        <f t="shared" si="20"/>
        <v>82260.588235294112</v>
      </c>
      <c r="I59" s="15">
        <v>0</v>
      </c>
      <c r="J59" s="62">
        <f>'Respondent Assumptions'!L59</f>
        <v>0</v>
      </c>
      <c r="K59" s="62">
        <f>'Respondent Assumptions'!M59</f>
        <v>5</v>
      </c>
      <c r="L59" s="62">
        <f>'Respondent Assumptions'!N59</f>
        <v>20</v>
      </c>
      <c r="M59" s="29">
        <f t="shared" si="21"/>
        <v>0</v>
      </c>
      <c r="N59" s="29">
        <f t="shared" si="22"/>
        <v>582352.9411764706</v>
      </c>
      <c r="O59" s="29">
        <f t="shared" si="23"/>
        <v>2329411.7647058824</v>
      </c>
      <c r="P59" s="63">
        <f t="shared" si="24"/>
        <v>0</v>
      </c>
      <c r="Q59" s="63">
        <f t="shared" si="25"/>
        <v>3235.2941176470586</v>
      </c>
      <c r="R59" s="63">
        <f t="shared" si="26"/>
        <v>12941.176470588234</v>
      </c>
      <c r="S59" s="15">
        <f t="shared" si="27"/>
        <v>0</v>
      </c>
      <c r="T59" s="15">
        <f t="shared" si="28"/>
        <v>411302.94117647054</v>
      </c>
      <c r="U59" s="15">
        <f t="shared" si="29"/>
        <v>1645211.7647058822</v>
      </c>
      <c r="V59" s="15">
        <f t="shared" si="30"/>
        <v>0</v>
      </c>
      <c r="W59" s="15">
        <f t="shared" si="31"/>
        <v>0</v>
      </c>
      <c r="X59" s="15">
        <f t="shared" si="32"/>
        <v>411302.94117647054</v>
      </c>
      <c r="Y59" s="15">
        <f t="shared" si="33"/>
        <v>1645211.7647058822</v>
      </c>
      <c r="Z59" s="71">
        <v>1</v>
      </c>
      <c r="AA59" s="71"/>
    </row>
    <row r="60" spans="1:33" x14ac:dyDescent="0.25">
      <c r="A60" s="55"/>
      <c r="B60" s="158" t="s">
        <v>85</v>
      </c>
      <c r="C60" s="64" t="str">
        <f>'Respondent Assumptions'!C60</f>
        <v>Register with certification ID system</v>
      </c>
      <c r="D60" s="76">
        <f>'Respondent Assumptions'!F60</f>
        <v>1</v>
      </c>
      <c r="E60" s="88">
        <f>'Respondent Assumptions'!D60</f>
        <v>0.5</v>
      </c>
      <c r="F60" s="76">
        <f>'Respondent Assumptions'!E60</f>
        <v>0</v>
      </c>
      <c r="G60" s="17">
        <f t="shared" si="19"/>
        <v>0.5</v>
      </c>
      <c r="H60" s="16">
        <f t="shared" si="20"/>
        <v>63.564999999999998</v>
      </c>
      <c r="I60" s="15">
        <v>0</v>
      </c>
      <c r="J60" s="62">
        <f>'Respondent Assumptions'!L60</f>
        <v>0</v>
      </c>
      <c r="K60" s="62">
        <f>'Respondent Assumptions'!M60</f>
        <v>50</v>
      </c>
      <c r="L60" s="62">
        <f>'Respondent Assumptions'!N60</f>
        <v>1</v>
      </c>
      <c r="M60" s="29">
        <f t="shared" si="21"/>
        <v>0</v>
      </c>
      <c r="N60" s="29">
        <f t="shared" si="22"/>
        <v>50</v>
      </c>
      <c r="O60" s="29">
        <f t="shared" si="23"/>
        <v>1</v>
      </c>
      <c r="P60" s="63">
        <f t="shared" si="24"/>
        <v>0</v>
      </c>
      <c r="Q60" s="63">
        <f t="shared" si="25"/>
        <v>25</v>
      </c>
      <c r="R60" s="63">
        <f t="shared" si="26"/>
        <v>0.5</v>
      </c>
      <c r="S60" s="15">
        <f t="shared" si="27"/>
        <v>0</v>
      </c>
      <c r="T60" s="15">
        <f t="shared" si="28"/>
        <v>3178.25</v>
      </c>
      <c r="U60" s="15">
        <f t="shared" si="29"/>
        <v>63.564999999999998</v>
      </c>
      <c r="V60" s="15">
        <f t="shared" si="30"/>
        <v>0</v>
      </c>
      <c r="W60" s="15">
        <f t="shared" si="31"/>
        <v>0</v>
      </c>
      <c r="X60" s="15">
        <f t="shared" si="32"/>
        <v>3178.25</v>
      </c>
      <c r="Y60" s="15">
        <f t="shared" si="33"/>
        <v>63.564999999999998</v>
      </c>
      <c r="Z60" s="71">
        <v>1</v>
      </c>
      <c r="AA60" s="71"/>
    </row>
    <row r="61" spans="1:33" x14ac:dyDescent="0.25">
      <c r="A61" s="55"/>
      <c r="B61" s="159"/>
      <c r="C61" s="64" t="str">
        <f>'Respondent Assumptions'!C61</f>
        <v>Enter data into certification ID system</v>
      </c>
      <c r="D61" s="76">
        <f>'Respondent Assumptions'!F61</f>
        <v>116470.58823529411</v>
      </c>
      <c r="E61" s="88">
        <f>'Respondent Assumptions'!D61</f>
        <v>5.5555555555555558E-3</v>
      </c>
      <c r="F61" s="76">
        <f>'Respondent Assumptions'!E61</f>
        <v>0</v>
      </c>
      <c r="G61" s="17">
        <f t="shared" si="19"/>
        <v>647.05882352941171</v>
      </c>
      <c r="H61" s="16">
        <f t="shared" si="20"/>
        <v>82260.588235294112</v>
      </c>
      <c r="I61" s="15">
        <v>0</v>
      </c>
      <c r="J61" s="62">
        <f>'Respondent Assumptions'!L61</f>
        <v>0</v>
      </c>
      <c r="K61" s="62">
        <f>'Respondent Assumptions'!M61</f>
        <v>12.5</v>
      </c>
      <c r="L61" s="62">
        <f>'Respondent Assumptions'!N61</f>
        <v>50</v>
      </c>
      <c r="M61" s="29">
        <f t="shared" si="21"/>
        <v>0</v>
      </c>
      <c r="N61" s="29">
        <f t="shared" si="22"/>
        <v>1455882.3529411764</v>
      </c>
      <c r="O61" s="29">
        <f t="shared" si="23"/>
        <v>5823529.4117647056</v>
      </c>
      <c r="P61" s="63">
        <f t="shared" si="24"/>
        <v>0</v>
      </c>
      <c r="Q61" s="63">
        <f t="shared" si="25"/>
        <v>8088.2352941176468</v>
      </c>
      <c r="R61" s="63">
        <f t="shared" si="26"/>
        <v>32352.941176470587</v>
      </c>
      <c r="S61" s="15">
        <f t="shared" si="27"/>
        <v>0</v>
      </c>
      <c r="T61" s="15">
        <f t="shared" si="28"/>
        <v>1028257.3529411764</v>
      </c>
      <c r="U61" s="15">
        <f t="shared" si="29"/>
        <v>4113029.4117647056</v>
      </c>
      <c r="V61" s="15">
        <f t="shared" si="30"/>
        <v>0</v>
      </c>
      <c r="W61" s="15">
        <f t="shared" si="31"/>
        <v>0</v>
      </c>
      <c r="X61" s="15">
        <f t="shared" si="32"/>
        <v>1028257.3529411764</v>
      </c>
      <c r="Y61" s="15">
        <f t="shared" si="33"/>
        <v>4113029.4117647056</v>
      </c>
      <c r="Z61" s="71">
        <v>1</v>
      </c>
      <c r="AA61" s="71"/>
    </row>
    <row r="62" spans="1:33" x14ac:dyDescent="0.25">
      <c r="A62" s="55"/>
      <c r="B62" s="160"/>
      <c r="C62" s="101" t="str">
        <f>'Respondent Assumptions'!C62</f>
        <v>Maintain records</v>
      </c>
      <c r="D62" s="76">
        <f>'Respondent Assumptions'!F62</f>
        <v>1</v>
      </c>
      <c r="E62" s="88">
        <f>'Respondent Assumptions'!D62</f>
        <v>0</v>
      </c>
      <c r="F62" s="76">
        <f>'Respondent Assumptions'!E62</f>
        <v>20</v>
      </c>
      <c r="G62" s="17">
        <f t="shared" si="19"/>
        <v>20</v>
      </c>
      <c r="H62" s="16">
        <f t="shared" si="20"/>
        <v>2004.6000000000001</v>
      </c>
      <c r="I62" s="15">
        <v>50</v>
      </c>
      <c r="J62" s="62">
        <f>'Respondent Assumptions'!L62</f>
        <v>0</v>
      </c>
      <c r="K62" s="62">
        <f>'Respondent Assumptions'!M62</f>
        <v>50</v>
      </c>
      <c r="L62" s="62">
        <f>'Respondent Assumptions'!N62</f>
        <v>50</v>
      </c>
      <c r="M62" s="29">
        <f t="shared" si="21"/>
        <v>0</v>
      </c>
      <c r="N62" s="29">
        <f t="shared" si="22"/>
        <v>50</v>
      </c>
      <c r="O62" s="29">
        <f t="shared" si="23"/>
        <v>50</v>
      </c>
      <c r="P62" s="63">
        <f t="shared" si="24"/>
        <v>0</v>
      </c>
      <c r="Q62" s="63">
        <f t="shared" si="25"/>
        <v>1000</v>
      </c>
      <c r="R62" s="63">
        <f t="shared" si="26"/>
        <v>1000</v>
      </c>
      <c r="S62" s="15">
        <f t="shared" si="27"/>
        <v>0</v>
      </c>
      <c r="T62" s="15">
        <f t="shared" si="28"/>
        <v>100230</v>
      </c>
      <c r="U62" s="15">
        <f t="shared" si="29"/>
        <v>100230</v>
      </c>
      <c r="V62" s="15">
        <f t="shared" si="30"/>
        <v>0</v>
      </c>
      <c r="W62" s="15">
        <f t="shared" si="31"/>
        <v>0</v>
      </c>
      <c r="X62" s="15">
        <f t="shared" si="32"/>
        <v>100230</v>
      </c>
      <c r="Y62" s="15">
        <f t="shared" si="33"/>
        <v>100230</v>
      </c>
      <c r="Z62" s="71">
        <v>2</v>
      </c>
      <c r="AA62" s="71"/>
    </row>
    <row r="63" spans="1:33" s="24" customFormat="1" x14ac:dyDescent="0.25">
      <c r="A63" s="54">
        <v>1</v>
      </c>
      <c r="B63" s="158" t="s">
        <v>86</v>
      </c>
      <c r="C63" s="64" t="str">
        <f>'Respondent Assumptions'!C63</f>
        <v>Submit quarterly report</v>
      </c>
      <c r="D63" s="76">
        <f>'Respondent Assumptions'!F63</f>
        <v>4</v>
      </c>
      <c r="E63" s="88">
        <f>'Respondent Assumptions'!D63</f>
        <v>9.4</v>
      </c>
      <c r="F63" s="76">
        <f>'Respondent Assumptions'!E63</f>
        <v>0</v>
      </c>
      <c r="G63" s="17">
        <f t="shared" si="19"/>
        <v>37.6</v>
      </c>
      <c r="H63" s="16">
        <f t="shared" si="20"/>
        <v>4780.0879999999997</v>
      </c>
      <c r="I63" s="15">
        <v>0</v>
      </c>
      <c r="J63" s="62">
        <f>'Respondent Assumptions'!L63</f>
        <v>3</v>
      </c>
      <c r="K63" s="62">
        <f>'Respondent Assumptions'!M63</f>
        <v>3</v>
      </c>
      <c r="L63" s="62">
        <f>'Respondent Assumptions'!N63</f>
        <v>3</v>
      </c>
      <c r="M63" s="29">
        <f t="shared" si="21"/>
        <v>12</v>
      </c>
      <c r="N63" s="29">
        <f t="shared" si="22"/>
        <v>12</v>
      </c>
      <c r="O63" s="29">
        <f t="shared" si="23"/>
        <v>12</v>
      </c>
      <c r="P63" s="63">
        <f t="shared" si="24"/>
        <v>112.80000000000001</v>
      </c>
      <c r="Q63" s="63">
        <f t="shared" si="25"/>
        <v>112.80000000000001</v>
      </c>
      <c r="R63" s="63">
        <f t="shared" si="26"/>
        <v>112.80000000000001</v>
      </c>
      <c r="S63" s="15">
        <f t="shared" si="27"/>
        <v>14340.263999999999</v>
      </c>
      <c r="T63" s="15">
        <f t="shared" si="28"/>
        <v>14340.263999999999</v>
      </c>
      <c r="U63" s="15">
        <f t="shared" si="29"/>
        <v>14340.263999999999</v>
      </c>
      <c r="V63" s="15">
        <f t="shared" si="30"/>
        <v>0</v>
      </c>
      <c r="W63" s="15">
        <f t="shared" si="31"/>
        <v>14340.263999999999</v>
      </c>
      <c r="X63" s="15">
        <f t="shared" si="32"/>
        <v>14340.263999999999</v>
      </c>
      <c r="Y63" s="15">
        <f t="shared" si="33"/>
        <v>14340.263999999999</v>
      </c>
      <c r="Z63" s="71">
        <v>1</v>
      </c>
      <c r="AA63" s="71"/>
    </row>
    <row r="64" spans="1:33" s="24" customFormat="1" x14ac:dyDescent="0.25">
      <c r="A64" s="54"/>
      <c r="B64" s="159"/>
      <c r="C64" s="64" t="str">
        <f>'Respondent Assumptions'!C64</f>
        <v>Submit annual inventory report (part of quarterly report)</v>
      </c>
      <c r="D64" s="76">
        <f>'Respondent Assumptions'!F64</f>
        <v>1</v>
      </c>
      <c r="E64" s="88">
        <f>'Respondent Assumptions'!D64</f>
        <v>10</v>
      </c>
      <c r="F64" s="76">
        <f>'Respondent Assumptions'!E64</f>
        <v>0</v>
      </c>
      <c r="G64" s="17">
        <f t="shared" si="19"/>
        <v>10</v>
      </c>
      <c r="H64" s="16">
        <f t="shared" si="20"/>
        <v>1271.3</v>
      </c>
      <c r="I64" s="15">
        <v>0</v>
      </c>
      <c r="J64" s="62">
        <f>'Respondent Assumptions'!L64</f>
        <v>3</v>
      </c>
      <c r="K64" s="62">
        <f>'Respondent Assumptions'!M64</f>
        <v>3</v>
      </c>
      <c r="L64" s="62">
        <f>'Respondent Assumptions'!N64</f>
        <v>3</v>
      </c>
      <c r="M64" s="29">
        <f t="shared" si="21"/>
        <v>3</v>
      </c>
      <c r="N64" s="29">
        <f t="shared" si="22"/>
        <v>3</v>
      </c>
      <c r="O64" s="29">
        <f t="shared" si="23"/>
        <v>3</v>
      </c>
      <c r="P64" s="63">
        <f t="shared" si="24"/>
        <v>30</v>
      </c>
      <c r="Q64" s="63">
        <f t="shared" si="25"/>
        <v>30</v>
      </c>
      <c r="R64" s="63">
        <f t="shared" si="26"/>
        <v>30</v>
      </c>
      <c r="S64" s="15">
        <f t="shared" si="27"/>
        <v>3813.8999999999996</v>
      </c>
      <c r="T64" s="15">
        <f t="shared" si="28"/>
        <v>3813.8999999999996</v>
      </c>
      <c r="U64" s="15">
        <f t="shared" si="29"/>
        <v>3813.8999999999996</v>
      </c>
      <c r="V64" s="15">
        <f t="shared" si="30"/>
        <v>0</v>
      </c>
      <c r="W64" s="15">
        <f t="shared" si="31"/>
        <v>3813.8999999999996</v>
      </c>
      <c r="X64" s="15">
        <f t="shared" si="32"/>
        <v>3813.8999999999996</v>
      </c>
      <c r="Y64" s="15">
        <f t="shared" si="33"/>
        <v>3813.8999999999996</v>
      </c>
      <c r="Z64" s="71">
        <v>1</v>
      </c>
      <c r="AA64" s="71"/>
    </row>
    <row r="65" spans="1:33" s="24" customFormat="1" x14ac:dyDescent="0.25">
      <c r="A65" s="54"/>
      <c r="B65" s="159"/>
      <c r="C65" s="64" t="str">
        <f>'Respondent Assumptions'!C65</f>
        <v>Maintain records</v>
      </c>
      <c r="D65" s="76">
        <f>'Respondent Assumptions'!F65</f>
        <v>1</v>
      </c>
      <c r="E65" s="88">
        <f>'Respondent Assumptions'!D65</f>
        <v>0</v>
      </c>
      <c r="F65" s="76">
        <f>'Respondent Assumptions'!E65</f>
        <v>40</v>
      </c>
      <c r="G65" s="17">
        <f t="shared" si="19"/>
        <v>40</v>
      </c>
      <c r="H65" s="16">
        <f t="shared" si="20"/>
        <v>4009.2000000000003</v>
      </c>
      <c r="I65" s="15">
        <v>50</v>
      </c>
      <c r="J65" s="62">
        <f>'Respondent Assumptions'!L65</f>
        <v>3</v>
      </c>
      <c r="K65" s="62">
        <f>'Respondent Assumptions'!M65</f>
        <v>3</v>
      </c>
      <c r="L65" s="62">
        <f>'Respondent Assumptions'!N65</f>
        <v>3</v>
      </c>
      <c r="M65" s="29">
        <f t="shared" si="21"/>
        <v>3</v>
      </c>
      <c r="N65" s="29">
        <f t="shared" si="22"/>
        <v>3</v>
      </c>
      <c r="O65" s="29">
        <f t="shared" si="23"/>
        <v>3</v>
      </c>
      <c r="P65" s="63">
        <f t="shared" si="24"/>
        <v>120</v>
      </c>
      <c r="Q65" s="63">
        <f t="shared" si="25"/>
        <v>120</v>
      </c>
      <c r="R65" s="63">
        <f t="shared" si="26"/>
        <v>120</v>
      </c>
      <c r="S65" s="15">
        <f t="shared" si="27"/>
        <v>12027.6</v>
      </c>
      <c r="T65" s="15">
        <f t="shared" si="28"/>
        <v>12027.6</v>
      </c>
      <c r="U65" s="15">
        <f t="shared" si="29"/>
        <v>12027.6</v>
      </c>
      <c r="V65" s="15">
        <f t="shared" si="30"/>
        <v>150</v>
      </c>
      <c r="W65" s="15">
        <f t="shared" si="31"/>
        <v>12177.6</v>
      </c>
      <c r="X65" s="15">
        <f t="shared" si="32"/>
        <v>12177.6</v>
      </c>
      <c r="Y65" s="15">
        <f t="shared" si="33"/>
        <v>12177.6</v>
      </c>
      <c r="Z65" s="71">
        <v>2</v>
      </c>
      <c r="AA65" s="71"/>
    </row>
    <row r="66" spans="1:33" s="24" customFormat="1" x14ac:dyDescent="0.25">
      <c r="A66" s="54"/>
      <c r="B66" s="159"/>
      <c r="C66" s="64" t="str">
        <f>'Respondent Assumptions'!C66</f>
        <v>Register with certification ID system</v>
      </c>
      <c r="D66" s="76">
        <f>'Respondent Assumptions'!F66</f>
        <v>1</v>
      </c>
      <c r="E66" s="88">
        <f>'Respondent Assumptions'!D66</f>
        <v>0.5</v>
      </c>
      <c r="F66" s="76">
        <f>'Respondent Assumptions'!E66</f>
        <v>0</v>
      </c>
      <c r="G66" s="17">
        <f t="shared" si="19"/>
        <v>0.5</v>
      </c>
      <c r="H66" s="16">
        <f t="shared" si="20"/>
        <v>63.564999999999998</v>
      </c>
      <c r="I66" s="15">
        <v>0</v>
      </c>
      <c r="J66" s="62">
        <f>'Respondent Assumptions'!L66</f>
        <v>0</v>
      </c>
      <c r="K66" s="62">
        <f>'Respondent Assumptions'!M66</f>
        <v>3</v>
      </c>
      <c r="L66" s="62">
        <f>'Respondent Assumptions'!N66</f>
        <v>1</v>
      </c>
      <c r="M66" s="29">
        <f t="shared" si="21"/>
        <v>0</v>
      </c>
      <c r="N66" s="29">
        <f t="shared" si="22"/>
        <v>3</v>
      </c>
      <c r="O66" s="29">
        <f t="shared" si="23"/>
        <v>1</v>
      </c>
      <c r="P66" s="63">
        <f t="shared" si="24"/>
        <v>0</v>
      </c>
      <c r="Q66" s="63">
        <f t="shared" si="25"/>
        <v>1.5</v>
      </c>
      <c r="R66" s="63">
        <f t="shared" si="26"/>
        <v>0.5</v>
      </c>
      <c r="S66" s="15">
        <f t="shared" si="27"/>
        <v>0</v>
      </c>
      <c r="T66" s="15">
        <f t="shared" si="28"/>
        <v>190.69499999999999</v>
      </c>
      <c r="U66" s="15">
        <f t="shared" si="29"/>
        <v>63.564999999999998</v>
      </c>
      <c r="V66" s="15">
        <f t="shared" si="30"/>
        <v>0</v>
      </c>
      <c r="W66" s="15">
        <f t="shared" si="31"/>
        <v>0</v>
      </c>
      <c r="X66" s="15">
        <f t="shared" si="32"/>
        <v>190.69499999999999</v>
      </c>
      <c r="Y66" s="15">
        <f t="shared" si="33"/>
        <v>63.564999999999998</v>
      </c>
      <c r="Z66" s="71">
        <v>1</v>
      </c>
      <c r="AA66" s="71"/>
      <c r="AB66"/>
      <c r="AC66"/>
      <c r="AD66"/>
      <c r="AE66"/>
      <c r="AF66"/>
      <c r="AG66"/>
    </row>
    <row r="67" spans="1:33" x14ac:dyDescent="0.25">
      <c r="A67" s="55"/>
      <c r="B67" s="160"/>
      <c r="C67" s="64" t="str">
        <f>'Respondent Assumptions'!C67</f>
        <v>Enter data into certification ID system</v>
      </c>
      <c r="D67" s="76">
        <f>'Respondent Assumptions'!F67</f>
        <v>116470.58823529411</v>
      </c>
      <c r="E67" s="88">
        <f>'Respondent Assumptions'!D67</f>
        <v>5.5555555555555558E-3</v>
      </c>
      <c r="F67" s="76">
        <f>'Respondent Assumptions'!E67</f>
        <v>0</v>
      </c>
      <c r="G67" s="17">
        <f t="shared" si="19"/>
        <v>647.05882352941171</v>
      </c>
      <c r="H67" s="16">
        <f t="shared" si="20"/>
        <v>82260.588235294112</v>
      </c>
      <c r="I67" s="15">
        <v>0</v>
      </c>
      <c r="J67" s="62">
        <f>'Respondent Assumptions'!L67</f>
        <v>0</v>
      </c>
      <c r="K67" s="62">
        <f>'Respondent Assumptions'!M67</f>
        <v>0.75</v>
      </c>
      <c r="L67" s="62">
        <f>'Respondent Assumptions'!N67</f>
        <v>3</v>
      </c>
      <c r="M67" s="29">
        <f t="shared" si="21"/>
        <v>0</v>
      </c>
      <c r="N67" s="29">
        <f t="shared" si="22"/>
        <v>87352.941176470587</v>
      </c>
      <c r="O67" s="29">
        <f t="shared" si="23"/>
        <v>349411.76470588235</v>
      </c>
      <c r="P67" s="63">
        <f t="shared" si="24"/>
        <v>0</v>
      </c>
      <c r="Q67" s="63">
        <f t="shared" si="25"/>
        <v>485.29411764705878</v>
      </c>
      <c r="R67" s="63">
        <f t="shared" si="26"/>
        <v>1941.1764705882351</v>
      </c>
      <c r="S67" s="15">
        <f t="shared" si="27"/>
        <v>0</v>
      </c>
      <c r="T67" s="15">
        <f t="shared" si="28"/>
        <v>61695.441176470587</v>
      </c>
      <c r="U67" s="15">
        <f t="shared" si="29"/>
        <v>246781.76470588235</v>
      </c>
      <c r="V67" s="15">
        <f t="shared" si="30"/>
        <v>0</v>
      </c>
      <c r="W67" s="15">
        <f t="shared" si="31"/>
        <v>0</v>
      </c>
      <c r="X67" s="15">
        <f t="shared" si="32"/>
        <v>61695.441176470587</v>
      </c>
      <c r="Y67" s="15">
        <f t="shared" si="33"/>
        <v>246781.76470588235</v>
      </c>
      <c r="Z67" s="71">
        <v>1</v>
      </c>
      <c r="AA67" s="71"/>
    </row>
    <row r="68" spans="1:33" x14ac:dyDescent="0.25">
      <c r="A68" s="55"/>
      <c r="B68" s="158" t="s">
        <v>87</v>
      </c>
      <c r="C68" s="64" t="str">
        <f>'Respondent Assumptions'!C68</f>
        <v>Submit inter-company transfer request</v>
      </c>
      <c r="D68" s="76">
        <f>'Respondent Assumptions'!F68</f>
        <v>2</v>
      </c>
      <c r="E68" s="88">
        <f>'Respondent Assumptions'!D68</f>
        <v>6</v>
      </c>
      <c r="F68" s="76">
        <f>'Respondent Assumptions'!E68</f>
        <v>0</v>
      </c>
      <c r="G68" s="17">
        <f t="shared" si="19"/>
        <v>12</v>
      </c>
      <c r="H68" s="16">
        <f t="shared" si="20"/>
        <v>1525.56</v>
      </c>
      <c r="I68" s="15">
        <v>0</v>
      </c>
      <c r="J68" s="62">
        <f>'Respondent Assumptions'!L68</f>
        <v>12</v>
      </c>
      <c r="K68" s="62">
        <f>'Respondent Assumptions'!M68</f>
        <v>12</v>
      </c>
      <c r="L68" s="62">
        <f>'Respondent Assumptions'!N68</f>
        <v>12</v>
      </c>
      <c r="M68" s="29">
        <f t="shared" si="21"/>
        <v>24</v>
      </c>
      <c r="N68" s="29">
        <f t="shared" si="22"/>
        <v>24</v>
      </c>
      <c r="O68" s="29">
        <f t="shared" si="23"/>
        <v>24</v>
      </c>
      <c r="P68" s="63">
        <f t="shared" si="24"/>
        <v>144</v>
      </c>
      <c r="Q68" s="63">
        <f t="shared" si="25"/>
        <v>144</v>
      </c>
      <c r="R68" s="63">
        <f t="shared" si="26"/>
        <v>144</v>
      </c>
      <c r="S68" s="15">
        <f t="shared" si="27"/>
        <v>18306.72</v>
      </c>
      <c r="T68" s="15">
        <f t="shared" si="28"/>
        <v>18306.72</v>
      </c>
      <c r="U68" s="15">
        <f t="shared" si="29"/>
        <v>18306.72</v>
      </c>
      <c r="V68" s="15">
        <f t="shared" si="30"/>
        <v>0</v>
      </c>
      <c r="W68" s="15">
        <f t="shared" si="31"/>
        <v>18306.72</v>
      </c>
      <c r="X68" s="15">
        <f t="shared" si="32"/>
        <v>18306.72</v>
      </c>
      <c r="Y68" s="15">
        <f t="shared" si="33"/>
        <v>18306.72</v>
      </c>
      <c r="Z68" s="71">
        <v>1</v>
      </c>
      <c r="AA68" s="71"/>
    </row>
    <row r="69" spans="1:33" x14ac:dyDescent="0.25">
      <c r="A69" s="55"/>
      <c r="B69" s="159"/>
      <c r="C69" s="64" t="str">
        <f>'Respondent Assumptions'!C69</f>
        <v>Submit request to transfer from a person in a foreign country</v>
      </c>
      <c r="D69" s="76">
        <f>'Respondent Assumptions'!F69</f>
        <v>1</v>
      </c>
      <c r="E69" s="88">
        <f>'Respondent Assumptions'!D69</f>
        <v>6</v>
      </c>
      <c r="F69" s="76">
        <f>'Respondent Assumptions'!E69</f>
        <v>0</v>
      </c>
      <c r="G69" s="17">
        <f t="shared" ref="G69:G77" si="34">D69*(E69+F69)</f>
        <v>6</v>
      </c>
      <c r="H69" s="16">
        <f t="shared" ref="H69:H77" si="35">(D69*E69*$B$83)+(D69*F69*$B$84)</f>
        <v>762.78</v>
      </c>
      <c r="I69" s="15">
        <v>0</v>
      </c>
      <c r="J69" s="62">
        <f>'Respondent Assumptions'!L69</f>
        <v>1</v>
      </c>
      <c r="K69" s="62">
        <f>'Respondent Assumptions'!M69</f>
        <v>1</v>
      </c>
      <c r="L69" s="62">
        <f>'Respondent Assumptions'!N69</f>
        <v>1</v>
      </c>
      <c r="M69" s="29">
        <f t="shared" ref="M69:M77" si="36">$D69*J69</f>
        <v>1</v>
      </c>
      <c r="N69" s="29">
        <f t="shared" ref="N69:N77" si="37">$D69*K69</f>
        <v>1</v>
      </c>
      <c r="O69" s="29">
        <f t="shared" ref="O69:O77" si="38">$D69*L69</f>
        <v>1</v>
      </c>
      <c r="P69" s="63">
        <f t="shared" ref="P69:P77" si="39">J69*$G69</f>
        <v>6</v>
      </c>
      <c r="Q69" s="63">
        <f t="shared" ref="Q69:Q77" si="40">K69*$G69</f>
        <v>6</v>
      </c>
      <c r="R69" s="63">
        <f t="shared" ref="R69:R77" si="41">L69*$G69</f>
        <v>6</v>
      </c>
      <c r="S69" s="15">
        <f t="shared" ref="S69:S77" si="42">$H69*J69</f>
        <v>762.78</v>
      </c>
      <c r="T69" s="15">
        <f t="shared" ref="T69:T77" si="43">$H69*K69</f>
        <v>762.78</v>
      </c>
      <c r="U69" s="15">
        <f t="shared" ref="U69:U77" si="44">$H69*L69</f>
        <v>762.78</v>
      </c>
      <c r="V69" s="15">
        <f t="shared" ref="V69:V77" si="45">I69*J69</f>
        <v>0</v>
      </c>
      <c r="W69" s="15">
        <f t="shared" si="31"/>
        <v>762.78</v>
      </c>
      <c r="X69" s="15">
        <f t="shared" si="32"/>
        <v>762.78</v>
      </c>
      <c r="Y69" s="15">
        <f t="shared" si="33"/>
        <v>762.78</v>
      </c>
      <c r="Z69" s="71">
        <v>1</v>
      </c>
      <c r="AA69" s="71"/>
    </row>
    <row r="70" spans="1:33" x14ac:dyDescent="0.25">
      <c r="A70" s="55"/>
      <c r="B70" s="159"/>
      <c r="C70" s="64" t="str">
        <f>'Respondent Assumptions'!C70</f>
        <v>Submit request to transfer to a person in a foreign country</v>
      </c>
      <c r="D70" s="76">
        <f>'Respondent Assumptions'!F70</f>
        <v>1</v>
      </c>
      <c r="E70" s="88">
        <f>'Respondent Assumptions'!D70</f>
        <v>6</v>
      </c>
      <c r="F70" s="76">
        <f>'Respondent Assumptions'!E70</f>
        <v>0</v>
      </c>
      <c r="G70" s="17">
        <f t="shared" si="34"/>
        <v>6</v>
      </c>
      <c r="H70" s="16">
        <f t="shared" si="35"/>
        <v>762.78</v>
      </c>
      <c r="I70" s="15">
        <v>0</v>
      </c>
      <c r="J70" s="62">
        <f>'Respondent Assumptions'!L70</f>
        <v>1</v>
      </c>
      <c r="K70" s="62">
        <f>'Respondent Assumptions'!M70</f>
        <v>1</v>
      </c>
      <c r="L70" s="62">
        <f>'Respondent Assumptions'!N70</f>
        <v>1</v>
      </c>
      <c r="M70" s="29">
        <f t="shared" si="36"/>
        <v>1</v>
      </c>
      <c r="N70" s="29">
        <f t="shared" si="37"/>
        <v>1</v>
      </c>
      <c r="O70" s="29">
        <f t="shared" si="38"/>
        <v>1</v>
      </c>
      <c r="P70" s="63">
        <f t="shared" si="39"/>
        <v>6</v>
      </c>
      <c r="Q70" s="63">
        <f t="shared" si="40"/>
        <v>6</v>
      </c>
      <c r="R70" s="63">
        <f t="shared" si="41"/>
        <v>6</v>
      </c>
      <c r="S70" s="15">
        <f t="shared" si="42"/>
        <v>762.78</v>
      </c>
      <c r="T70" s="15">
        <f t="shared" si="43"/>
        <v>762.78</v>
      </c>
      <c r="U70" s="15">
        <f t="shared" si="44"/>
        <v>762.78</v>
      </c>
      <c r="V70" s="15">
        <f t="shared" si="45"/>
        <v>0</v>
      </c>
      <c r="W70" s="15">
        <f t="shared" ref="W70:W76" si="46">S70+$V70</f>
        <v>762.78</v>
      </c>
      <c r="X70" s="15">
        <f t="shared" ref="X70:X76" si="47">T70+$V70</f>
        <v>762.78</v>
      </c>
      <c r="Y70" s="15">
        <f t="shared" ref="Y70:Y76" si="48">U70+$V70</f>
        <v>762.78</v>
      </c>
      <c r="Z70" s="71">
        <v>1</v>
      </c>
      <c r="AA70" s="71"/>
    </row>
    <row r="71" spans="1:33" ht="14.45" customHeight="1" x14ac:dyDescent="0.25">
      <c r="A71" s="55"/>
      <c r="B71" s="160"/>
      <c r="C71" s="64" t="str">
        <f>'Respondent Assumptions'!C71</f>
        <v>Submit request to sell/transfer HFCs produced/imported with application-specific allowances</v>
      </c>
      <c r="D71" s="76">
        <f>'Respondent Assumptions'!F71</f>
        <v>1</v>
      </c>
      <c r="E71" s="88">
        <f>'Respondent Assumptions'!D71</f>
        <v>6</v>
      </c>
      <c r="F71" s="76">
        <f>'Respondent Assumptions'!E71</f>
        <v>0</v>
      </c>
      <c r="G71" s="17">
        <f t="shared" si="34"/>
        <v>6</v>
      </c>
      <c r="H71" s="16">
        <f t="shared" si="35"/>
        <v>762.78</v>
      </c>
      <c r="I71" s="15">
        <v>0</v>
      </c>
      <c r="J71" s="62">
        <f>'Respondent Assumptions'!L71</f>
        <v>5</v>
      </c>
      <c r="K71" s="62">
        <f>'Respondent Assumptions'!M71</f>
        <v>5</v>
      </c>
      <c r="L71" s="62">
        <f>'Respondent Assumptions'!N71</f>
        <v>5</v>
      </c>
      <c r="M71" s="29">
        <f t="shared" si="36"/>
        <v>5</v>
      </c>
      <c r="N71" s="29">
        <f t="shared" si="37"/>
        <v>5</v>
      </c>
      <c r="O71" s="29">
        <f t="shared" si="38"/>
        <v>5</v>
      </c>
      <c r="P71" s="63">
        <f t="shared" si="39"/>
        <v>30</v>
      </c>
      <c r="Q71" s="63">
        <f t="shared" si="40"/>
        <v>30</v>
      </c>
      <c r="R71" s="63">
        <f t="shared" si="41"/>
        <v>30</v>
      </c>
      <c r="S71" s="15">
        <f t="shared" si="42"/>
        <v>3813.8999999999996</v>
      </c>
      <c r="T71" s="15">
        <f t="shared" si="43"/>
        <v>3813.8999999999996</v>
      </c>
      <c r="U71" s="15">
        <f t="shared" si="44"/>
        <v>3813.8999999999996</v>
      </c>
      <c r="V71" s="15">
        <f t="shared" si="45"/>
        <v>0</v>
      </c>
      <c r="W71" s="15">
        <f t="shared" si="46"/>
        <v>3813.8999999999996</v>
      </c>
      <c r="X71" s="15">
        <f t="shared" si="47"/>
        <v>3813.8999999999996</v>
      </c>
      <c r="Y71" s="15">
        <f t="shared" si="48"/>
        <v>3813.8999999999996</v>
      </c>
      <c r="Z71" s="71">
        <v>1</v>
      </c>
      <c r="AA71" s="71"/>
    </row>
    <row r="72" spans="1:33" x14ac:dyDescent="0.25">
      <c r="A72" s="55">
        <v>1</v>
      </c>
      <c r="B72" s="158" t="s">
        <v>93</v>
      </c>
      <c r="C72" s="107" t="str">
        <f>'Respondent Assumptions'!C72</f>
        <v>Submit biannual report</v>
      </c>
      <c r="D72" s="76">
        <f>'Respondent Assumptions'!F72</f>
        <v>2</v>
      </c>
      <c r="E72" s="88">
        <f>'Respondent Assumptions'!D72</f>
        <v>6</v>
      </c>
      <c r="F72" s="76">
        <f>'Respondent Assumptions'!E72</f>
        <v>0</v>
      </c>
      <c r="G72" s="17">
        <f t="shared" si="34"/>
        <v>12</v>
      </c>
      <c r="H72" s="16">
        <f t="shared" si="35"/>
        <v>1525.56</v>
      </c>
      <c r="I72" s="15">
        <v>0</v>
      </c>
      <c r="J72" s="62">
        <f>'Respondent Assumptions'!L72</f>
        <v>42</v>
      </c>
      <c r="K72" s="62">
        <f>'Respondent Assumptions'!M72</f>
        <v>42</v>
      </c>
      <c r="L72" s="62">
        <f>'Respondent Assumptions'!N72</f>
        <v>42</v>
      </c>
      <c r="M72" s="29">
        <f t="shared" si="36"/>
        <v>84</v>
      </c>
      <c r="N72" s="29">
        <f t="shared" si="37"/>
        <v>84</v>
      </c>
      <c r="O72" s="29">
        <f t="shared" si="38"/>
        <v>84</v>
      </c>
      <c r="P72" s="63">
        <f t="shared" si="39"/>
        <v>504</v>
      </c>
      <c r="Q72" s="63">
        <f t="shared" si="40"/>
        <v>504</v>
      </c>
      <c r="R72" s="63">
        <f t="shared" si="41"/>
        <v>504</v>
      </c>
      <c r="S72" s="15">
        <f t="shared" si="42"/>
        <v>64073.52</v>
      </c>
      <c r="T72" s="15">
        <f t="shared" si="43"/>
        <v>64073.52</v>
      </c>
      <c r="U72" s="15">
        <f t="shared" si="44"/>
        <v>64073.52</v>
      </c>
      <c r="V72" s="15">
        <f t="shared" si="45"/>
        <v>0</v>
      </c>
      <c r="W72" s="15">
        <f t="shared" si="46"/>
        <v>64073.52</v>
      </c>
      <c r="X72" s="15">
        <f t="shared" si="47"/>
        <v>64073.52</v>
      </c>
      <c r="Y72" s="15">
        <f t="shared" si="48"/>
        <v>64073.52</v>
      </c>
      <c r="Z72" s="71">
        <v>1</v>
      </c>
      <c r="AA72" s="71"/>
    </row>
    <row r="73" spans="1:33" x14ac:dyDescent="0.25">
      <c r="A73" s="55"/>
      <c r="B73" s="159"/>
      <c r="C73" s="107" t="str">
        <f>'Respondent Assumptions'!C73</f>
        <v>Submit annual report (part of biannual report)</v>
      </c>
      <c r="D73" s="76">
        <f>'Respondent Assumptions'!F73</f>
        <v>1</v>
      </c>
      <c r="E73" s="88">
        <f>'Respondent Assumptions'!D73</f>
        <v>6</v>
      </c>
      <c r="F73" s="76">
        <f>'Respondent Assumptions'!E73</f>
        <v>0</v>
      </c>
      <c r="G73" s="17">
        <f t="shared" si="34"/>
        <v>6</v>
      </c>
      <c r="H73" s="16">
        <f t="shared" si="35"/>
        <v>762.78</v>
      </c>
      <c r="I73" s="15">
        <v>0</v>
      </c>
      <c r="J73" s="62">
        <f>'Respondent Assumptions'!L73</f>
        <v>50</v>
      </c>
      <c r="K73" s="62">
        <f>'Respondent Assumptions'!M73</f>
        <v>50</v>
      </c>
      <c r="L73" s="62">
        <f>'Respondent Assumptions'!N73</f>
        <v>50</v>
      </c>
      <c r="M73" s="29">
        <f t="shared" si="36"/>
        <v>50</v>
      </c>
      <c r="N73" s="29">
        <f t="shared" si="37"/>
        <v>50</v>
      </c>
      <c r="O73" s="29">
        <f t="shared" si="38"/>
        <v>50</v>
      </c>
      <c r="P73" s="63">
        <f t="shared" si="39"/>
        <v>300</v>
      </c>
      <c r="Q73" s="63">
        <f t="shared" si="40"/>
        <v>300</v>
      </c>
      <c r="R73" s="63">
        <f t="shared" si="41"/>
        <v>300</v>
      </c>
      <c r="S73" s="15">
        <f t="shared" si="42"/>
        <v>38139</v>
      </c>
      <c r="T73" s="15">
        <f t="shared" si="43"/>
        <v>38139</v>
      </c>
      <c r="U73" s="15">
        <f t="shared" si="44"/>
        <v>38139</v>
      </c>
      <c r="V73" s="15">
        <f t="shared" si="45"/>
        <v>0</v>
      </c>
      <c r="W73" s="15">
        <f t="shared" si="46"/>
        <v>38139</v>
      </c>
      <c r="X73" s="15">
        <f t="shared" si="47"/>
        <v>38139</v>
      </c>
      <c r="Y73" s="15">
        <f t="shared" si="48"/>
        <v>38139</v>
      </c>
      <c r="Z73" s="71">
        <v>1</v>
      </c>
      <c r="AA73" s="71"/>
    </row>
    <row r="74" spans="1:33" x14ac:dyDescent="0.25">
      <c r="A74" s="55">
        <v>1</v>
      </c>
      <c r="B74" s="159"/>
      <c r="C74" s="107" t="str">
        <f>'Respondent Assumptions'!C74</f>
        <v>Submit conferral request</v>
      </c>
      <c r="D74" s="76">
        <f>'Respondent Assumptions'!F74</f>
        <v>2</v>
      </c>
      <c r="E74" s="88">
        <f>'Respondent Assumptions'!D74</f>
        <v>6</v>
      </c>
      <c r="F74" s="76">
        <f>'Respondent Assumptions'!E74</f>
        <v>0</v>
      </c>
      <c r="G74" s="17">
        <f t="shared" si="34"/>
        <v>12</v>
      </c>
      <c r="H74" s="16">
        <f t="shared" si="35"/>
        <v>1525.56</v>
      </c>
      <c r="I74" s="15">
        <v>0</v>
      </c>
      <c r="J74" s="62">
        <f>'Respondent Assumptions'!L74</f>
        <v>40</v>
      </c>
      <c r="K74" s="62">
        <f>'Respondent Assumptions'!M74</f>
        <v>40</v>
      </c>
      <c r="L74" s="62">
        <f>'Respondent Assumptions'!N74</f>
        <v>40</v>
      </c>
      <c r="M74" s="29">
        <f t="shared" si="36"/>
        <v>80</v>
      </c>
      <c r="N74" s="29">
        <f t="shared" si="37"/>
        <v>80</v>
      </c>
      <c r="O74" s="29">
        <f t="shared" si="38"/>
        <v>80</v>
      </c>
      <c r="P74" s="63">
        <f t="shared" si="39"/>
        <v>480</v>
      </c>
      <c r="Q74" s="63">
        <f t="shared" si="40"/>
        <v>480</v>
      </c>
      <c r="R74" s="63">
        <f t="shared" si="41"/>
        <v>480</v>
      </c>
      <c r="S74" s="15">
        <f t="shared" si="42"/>
        <v>61022.399999999994</v>
      </c>
      <c r="T74" s="15">
        <f t="shared" si="43"/>
        <v>61022.399999999994</v>
      </c>
      <c r="U74" s="15">
        <f t="shared" si="44"/>
        <v>61022.399999999994</v>
      </c>
      <c r="V74" s="15">
        <f t="shared" si="45"/>
        <v>0</v>
      </c>
      <c r="W74" s="15">
        <f t="shared" si="46"/>
        <v>61022.399999999994</v>
      </c>
      <c r="X74" s="15">
        <f t="shared" si="47"/>
        <v>61022.399999999994</v>
      </c>
      <c r="Y74" s="15">
        <f t="shared" si="48"/>
        <v>61022.399999999994</v>
      </c>
      <c r="Z74" s="71">
        <v>1</v>
      </c>
      <c r="AA74" s="71"/>
    </row>
    <row r="75" spans="1:33" x14ac:dyDescent="0.25">
      <c r="A75" s="55"/>
      <c r="B75" s="159"/>
      <c r="C75" s="107" t="str">
        <f>'Respondent Assumptions'!C75</f>
        <v>Provide certification to third party (conferee)</v>
      </c>
      <c r="D75" s="76">
        <f>'Respondent Assumptions'!F75</f>
        <v>2</v>
      </c>
      <c r="E75" s="88">
        <f>'Respondent Assumptions'!D75</f>
        <v>2</v>
      </c>
      <c r="F75" s="76">
        <f>'Respondent Assumptions'!E75</f>
        <v>0</v>
      </c>
      <c r="G75" s="17">
        <f t="shared" si="34"/>
        <v>4</v>
      </c>
      <c r="H75" s="16">
        <f t="shared" si="35"/>
        <v>508.52</v>
      </c>
      <c r="I75" s="15">
        <v>0</v>
      </c>
      <c r="J75" s="62">
        <f>'Respondent Assumptions'!L75</f>
        <v>40</v>
      </c>
      <c r="K75" s="62">
        <f>'Respondent Assumptions'!M75</f>
        <v>40</v>
      </c>
      <c r="L75" s="62">
        <f>'Respondent Assumptions'!N75</f>
        <v>40</v>
      </c>
      <c r="M75" s="29">
        <f t="shared" si="36"/>
        <v>80</v>
      </c>
      <c r="N75" s="29">
        <f t="shared" si="37"/>
        <v>80</v>
      </c>
      <c r="O75" s="29">
        <f t="shared" si="38"/>
        <v>80</v>
      </c>
      <c r="P75" s="63">
        <f t="shared" si="39"/>
        <v>160</v>
      </c>
      <c r="Q75" s="63">
        <f t="shared" si="40"/>
        <v>160</v>
      </c>
      <c r="R75" s="63">
        <f t="shared" si="41"/>
        <v>160</v>
      </c>
      <c r="S75" s="15">
        <f t="shared" si="42"/>
        <v>20340.8</v>
      </c>
      <c r="T75" s="15">
        <f t="shared" si="43"/>
        <v>20340.8</v>
      </c>
      <c r="U75" s="15">
        <f t="shared" si="44"/>
        <v>20340.8</v>
      </c>
      <c r="V75" s="15">
        <f t="shared" si="45"/>
        <v>0</v>
      </c>
      <c r="W75" s="15">
        <f t="shared" si="46"/>
        <v>20340.8</v>
      </c>
      <c r="X75" s="15">
        <f t="shared" si="47"/>
        <v>20340.8</v>
      </c>
      <c r="Y75" s="15">
        <f t="shared" si="48"/>
        <v>20340.8</v>
      </c>
      <c r="Z75" s="71">
        <v>3</v>
      </c>
      <c r="AA75" s="71"/>
    </row>
    <row r="76" spans="1:33" x14ac:dyDescent="0.25">
      <c r="A76" s="55"/>
      <c r="B76" s="160"/>
      <c r="C76" s="107" t="str">
        <f>'Respondent Assumptions'!C76</f>
        <v>Maintain records</v>
      </c>
      <c r="D76" s="76">
        <f>'Respondent Assumptions'!F76</f>
        <v>1</v>
      </c>
      <c r="E76" s="88">
        <f>'Respondent Assumptions'!D76</f>
        <v>0</v>
      </c>
      <c r="F76" s="76">
        <f>'Respondent Assumptions'!E76</f>
        <v>80</v>
      </c>
      <c r="G76" s="17">
        <f t="shared" si="34"/>
        <v>80</v>
      </c>
      <c r="H76" s="16">
        <f t="shared" si="35"/>
        <v>8018.4000000000005</v>
      </c>
      <c r="I76" s="15">
        <v>50</v>
      </c>
      <c r="J76" s="62">
        <f>'Respondent Assumptions'!L76</f>
        <v>42</v>
      </c>
      <c r="K76" s="62">
        <f>'Respondent Assumptions'!M76</f>
        <v>42</v>
      </c>
      <c r="L76" s="62">
        <f>'Respondent Assumptions'!N76</f>
        <v>42</v>
      </c>
      <c r="M76" s="29">
        <f t="shared" si="36"/>
        <v>42</v>
      </c>
      <c r="N76" s="29">
        <f t="shared" si="37"/>
        <v>42</v>
      </c>
      <c r="O76" s="29">
        <f t="shared" si="38"/>
        <v>42</v>
      </c>
      <c r="P76" s="63">
        <f t="shared" si="39"/>
        <v>3360</v>
      </c>
      <c r="Q76" s="63">
        <f t="shared" si="40"/>
        <v>3360</v>
      </c>
      <c r="R76" s="63">
        <f t="shared" si="41"/>
        <v>3360</v>
      </c>
      <c r="S76" s="15">
        <f t="shared" si="42"/>
        <v>336772.80000000005</v>
      </c>
      <c r="T76" s="15">
        <f t="shared" si="43"/>
        <v>336772.80000000005</v>
      </c>
      <c r="U76" s="15">
        <f t="shared" si="44"/>
        <v>336772.80000000005</v>
      </c>
      <c r="V76" s="15">
        <f t="shared" si="45"/>
        <v>2100</v>
      </c>
      <c r="W76" s="15">
        <f t="shared" si="46"/>
        <v>338872.80000000005</v>
      </c>
      <c r="X76" s="15">
        <f t="shared" si="47"/>
        <v>338872.80000000005</v>
      </c>
      <c r="Y76" s="15">
        <f t="shared" si="48"/>
        <v>338872.80000000005</v>
      </c>
      <c r="Z76" s="71">
        <v>2</v>
      </c>
      <c r="AA76" s="71"/>
    </row>
    <row r="77" spans="1:33" x14ac:dyDescent="0.25">
      <c r="B77" s="108" t="s">
        <v>96</v>
      </c>
      <c r="C77" s="102" t="str">
        <f>'Respondent Assumptions'!C77</f>
        <v>Submit annual audit report</v>
      </c>
      <c r="D77" s="119">
        <f>'Respondent Assumptions'!F77</f>
        <v>1</v>
      </c>
      <c r="E77" s="120">
        <f>'Respondent Assumptions'!D77</f>
        <v>40</v>
      </c>
      <c r="F77" s="119">
        <f>'Respondent Assumptions'!E77</f>
        <v>0</v>
      </c>
      <c r="G77" s="121">
        <f t="shared" si="34"/>
        <v>40</v>
      </c>
      <c r="H77" s="122">
        <f t="shared" si="35"/>
        <v>5085.2</v>
      </c>
      <c r="I77" s="15">
        <f>'Respondent Assumptions'!AD5</f>
        <v>6239.2</v>
      </c>
      <c r="J77" s="118">
        <f>'Respondent Assumptions'!L77</f>
        <v>129</v>
      </c>
      <c r="K77" s="118">
        <f>'Respondent Assumptions'!M77</f>
        <v>129</v>
      </c>
      <c r="L77" s="118">
        <f>'Respondent Assumptions'!N77</f>
        <v>129</v>
      </c>
      <c r="M77" s="29">
        <f t="shared" si="36"/>
        <v>129</v>
      </c>
      <c r="N77" s="29">
        <f t="shared" si="37"/>
        <v>129</v>
      </c>
      <c r="O77" s="29">
        <f t="shared" si="38"/>
        <v>129</v>
      </c>
      <c r="P77" s="63">
        <f t="shared" si="39"/>
        <v>5160</v>
      </c>
      <c r="Q77" s="63">
        <f t="shared" si="40"/>
        <v>5160</v>
      </c>
      <c r="R77" s="63">
        <f t="shared" si="41"/>
        <v>5160</v>
      </c>
      <c r="S77" s="15">
        <f t="shared" si="42"/>
        <v>655990.79999999993</v>
      </c>
      <c r="T77" s="15">
        <f t="shared" si="43"/>
        <v>655990.79999999993</v>
      </c>
      <c r="U77" s="15">
        <f t="shared" si="44"/>
        <v>655990.79999999993</v>
      </c>
      <c r="V77" s="15">
        <f t="shared" si="45"/>
        <v>804856.79999999993</v>
      </c>
      <c r="W77" s="15">
        <f>S77+$V77</f>
        <v>1460847.5999999999</v>
      </c>
      <c r="X77" s="15">
        <f>T77+$V77</f>
        <v>1460847.5999999999</v>
      </c>
      <c r="Y77" s="15">
        <f>U77+$V77</f>
        <v>1460847.5999999999</v>
      </c>
      <c r="Z77" s="71">
        <v>1</v>
      </c>
      <c r="AA77" s="71"/>
    </row>
    <row r="78" spans="1:33" x14ac:dyDescent="0.25">
      <c r="B78" s="38" t="s">
        <v>131</v>
      </c>
      <c r="C78" s="39"/>
      <c r="D78" s="39"/>
      <c r="E78" s="39"/>
      <c r="F78" s="39"/>
      <c r="G78" s="39"/>
      <c r="H78" s="39"/>
      <c r="I78" s="39"/>
      <c r="J78" s="39"/>
      <c r="K78" s="39"/>
      <c r="L78" s="40"/>
      <c r="M78" s="117">
        <f t="shared" ref="M78:Y78" si="49">SUM(M5:M77)</f>
        <v>10194.379032258064</v>
      </c>
      <c r="N78" s="25">
        <f t="shared" si="49"/>
        <v>2138247.7514231498</v>
      </c>
      <c r="O78" s="25">
        <f t="shared" si="49"/>
        <v>10752442.457305502</v>
      </c>
      <c r="P78" s="25">
        <f t="shared" si="49"/>
        <v>30339.058064516128</v>
      </c>
      <c r="Q78" s="25">
        <f t="shared" si="49"/>
        <v>47966.155787476288</v>
      </c>
      <c r="R78" s="25">
        <f t="shared" si="49"/>
        <v>94545.126375711581</v>
      </c>
      <c r="S78" s="25">
        <f t="shared" si="49"/>
        <v>3497620.4517419348</v>
      </c>
      <c r="T78" s="25">
        <f t="shared" si="49"/>
        <v>5711653.3852618597</v>
      </c>
      <c r="U78" s="25">
        <f t="shared" si="49"/>
        <v>11633237.916144215</v>
      </c>
      <c r="V78" s="25">
        <f t="shared" si="49"/>
        <v>817606.79999999993</v>
      </c>
      <c r="W78" s="25">
        <f>SUM(W5:W77)</f>
        <v>4315227.2517419346</v>
      </c>
      <c r="X78" s="25">
        <f t="shared" si="49"/>
        <v>6529260.1852618596</v>
      </c>
      <c r="Y78" s="25">
        <f t="shared" si="49"/>
        <v>12450844.716144213</v>
      </c>
      <c r="Z78" s="71"/>
      <c r="AA78" s="71"/>
    </row>
    <row r="79" spans="1:33" x14ac:dyDescent="0.25">
      <c r="B79" s="41" t="s">
        <v>132</v>
      </c>
      <c r="C79" s="42"/>
      <c r="D79" s="42"/>
      <c r="E79" s="42"/>
      <c r="F79" s="42"/>
      <c r="G79" s="42"/>
      <c r="H79" s="42"/>
      <c r="I79" s="104"/>
      <c r="J79" s="99"/>
      <c r="K79" s="99"/>
      <c r="L79" s="30"/>
      <c r="M79" s="154">
        <f>SUM(M78:O78)</f>
        <v>12900884.58776091</v>
      </c>
      <c r="N79" s="154"/>
      <c r="O79" s="152"/>
      <c r="P79" s="155">
        <f>SUM(P78:R78)</f>
        <v>172850.340227704</v>
      </c>
      <c r="Q79" s="154"/>
      <c r="R79" s="152"/>
      <c r="S79" s="142">
        <f>SUM(S78:U78)</f>
        <v>20842511.753148008</v>
      </c>
      <c r="T79" s="143"/>
      <c r="U79" s="144"/>
      <c r="V79" s="65">
        <f>V78*3</f>
        <v>2452820.4</v>
      </c>
      <c r="W79" s="142">
        <f>SUM(W78:Y78)</f>
        <v>23295332.15314801</v>
      </c>
      <c r="X79" s="143"/>
      <c r="Y79" s="144"/>
      <c r="Z79" s="71"/>
      <c r="AA79" s="71"/>
    </row>
    <row r="80" spans="1:33" x14ac:dyDescent="0.25">
      <c r="B80" s="46" t="s">
        <v>125</v>
      </c>
      <c r="C80" s="47"/>
      <c r="D80" s="47"/>
      <c r="E80" s="47"/>
      <c r="F80" s="47"/>
      <c r="G80" s="47"/>
      <c r="H80" s="42"/>
      <c r="I80" s="104"/>
      <c r="J80" s="47"/>
      <c r="K80" s="47"/>
      <c r="L80" s="48"/>
      <c r="M80" s="152">
        <f>AVERAGE(M78:O78)</f>
        <v>4300294.8625869704</v>
      </c>
      <c r="N80" s="153"/>
      <c r="O80" s="153"/>
      <c r="P80" s="151">
        <f>AVERAGE(P78:R78)</f>
        <v>57616.780075901333</v>
      </c>
      <c r="Q80" s="151"/>
      <c r="R80" s="151"/>
      <c r="S80" s="145">
        <f>AVERAGE(S78:U78)</f>
        <v>6947503.917716003</v>
      </c>
      <c r="T80" s="145"/>
      <c r="U80" s="145"/>
      <c r="V80" s="65">
        <f>V78</f>
        <v>817606.79999999993</v>
      </c>
      <c r="W80" s="145">
        <f>AVERAGE(W78:Y78)</f>
        <v>7765110.7177160038</v>
      </c>
      <c r="X80" s="145"/>
      <c r="Y80" s="145"/>
      <c r="Z80" s="71"/>
      <c r="AA80" s="71"/>
    </row>
    <row r="81" spans="2:27" x14ac:dyDescent="0.25">
      <c r="Z81" s="71"/>
      <c r="AA81" s="71"/>
    </row>
    <row r="82" spans="2:27" x14ac:dyDescent="0.25">
      <c r="B82" s="3" t="s">
        <v>133</v>
      </c>
      <c r="C82" s="3"/>
      <c r="X82" s="56"/>
      <c r="Z82" s="71"/>
      <c r="AA82" s="71"/>
    </row>
    <row r="83" spans="2:27" x14ac:dyDescent="0.25">
      <c r="B83" s="28">
        <f>ROUND(60.54*2.1,2)</f>
        <v>127.13</v>
      </c>
      <c r="C83" s="4" t="s">
        <v>134</v>
      </c>
      <c r="X83" s="56"/>
      <c r="Z83" s="71"/>
      <c r="AA83" s="71"/>
    </row>
    <row r="84" spans="2:27" x14ac:dyDescent="0.25">
      <c r="B84" s="28">
        <f>ROUND(47.73*2.1,2)</f>
        <v>100.23</v>
      </c>
      <c r="C84" s="4" t="s">
        <v>135</v>
      </c>
      <c r="Z84" s="71"/>
      <c r="AA84" s="71"/>
    </row>
    <row r="85" spans="2:27" x14ac:dyDescent="0.25">
      <c r="Z85" s="71"/>
      <c r="AA85" s="71"/>
    </row>
  </sheetData>
  <mergeCells count="40">
    <mergeCell ref="B37:B42"/>
    <mergeCell ref="B43:B47"/>
    <mergeCell ref="B5:B14"/>
    <mergeCell ref="B15:B29"/>
    <mergeCell ref="B72:B76"/>
    <mergeCell ref="B48:B51"/>
    <mergeCell ref="B54:B59"/>
    <mergeCell ref="B68:B71"/>
    <mergeCell ref="B33:B36"/>
    <mergeCell ref="B60:B62"/>
    <mergeCell ref="B63:B67"/>
    <mergeCell ref="B52:B53"/>
    <mergeCell ref="G3:G4"/>
    <mergeCell ref="H3:H4"/>
    <mergeCell ref="F3:F4"/>
    <mergeCell ref="B3:B4"/>
    <mergeCell ref="C3:C4"/>
    <mergeCell ref="D3:D4"/>
    <mergeCell ref="E3:E4"/>
    <mergeCell ref="W79:Y79"/>
    <mergeCell ref="W80:Y80"/>
    <mergeCell ref="V3:V4"/>
    <mergeCell ref="I3:I4"/>
    <mergeCell ref="P3:R3"/>
    <mergeCell ref="S3:U3"/>
    <mergeCell ref="S80:U80"/>
    <mergeCell ref="P80:R80"/>
    <mergeCell ref="M80:O80"/>
    <mergeCell ref="M79:O79"/>
    <mergeCell ref="P79:R79"/>
    <mergeCell ref="S79:U79"/>
    <mergeCell ref="W3:Y3"/>
    <mergeCell ref="M3:O3"/>
    <mergeCell ref="J3:L3"/>
    <mergeCell ref="AG3:AG4"/>
    <mergeCell ref="AB3:AB4"/>
    <mergeCell ref="AC3:AC4"/>
    <mergeCell ref="AD3:AD4"/>
    <mergeCell ref="AE3:AE4"/>
    <mergeCell ref="AF3:AF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88265-A74A-4269-A9AC-56CB0E2E4201}">
  <sheetPr codeName="Sheet3">
    <tabColor theme="7" tint="0.59999389629810485"/>
  </sheetPr>
  <dimension ref="A1:G33"/>
  <sheetViews>
    <sheetView topLeftCell="B25" workbookViewId="0">
      <selection activeCell="E12" sqref="E12"/>
    </sheetView>
  </sheetViews>
  <sheetFormatPr defaultRowHeight="15" x14ac:dyDescent="0.25"/>
  <cols>
    <col min="1" max="1" width="4.42578125" customWidth="1"/>
    <col min="2" max="2" width="42.5703125" customWidth="1"/>
    <col min="3" max="6" width="11.85546875" customWidth="1"/>
    <col min="7" max="7" width="61.85546875" customWidth="1"/>
  </cols>
  <sheetData>
    <row r="1" spans="1:7" s="21" customFormat="1" ht="18.75" x14ac:dyDescent="0.3">
      <c r="A1" s="21" t="s">
        <v>136</v>
      </c>
    </row>
    <row r="4" spans="1:7" ht="36" x14ac:dyDescent="0.25">
      <c r="B4" s="67" t="s">
        <v>102</v>
      </c>
      <c r="C4" s="66" t="s">
        <v>137</v>
      </c>
      <c r="D4" s="66" t="s">
        <v>138</v>
      </c>
      <c r="E4" s="66" t="s">
        <v>139</v>
      </c>
      <c r="F4" s="66" t="s">
        <v>140</v>
      </c>
      <c r="G4" s="66" t="s">
        <v>141</v>
      </c>
    </row>
    <row r="5" spans="1:7" x14ac:dyDescent="0.25">
      <c r="B5" s="18" t="s">
        <v>142</v>
      </c>
      <c r="C5" s="32">
        <v>120</v>
      </c>
      <c r="D5" s="32">
        <v>3000</v>
      </c>
      <c r="E5" s="32">
        <v>0</v>
      </c>
      <c r="F5" s="32">
        <v>12000</v>
      </c>
      <c r="G5" s="18" t="s">
        <v>143</v>
      </c>
    </row>
    <row r="6" spans="1:7" x14ac:dyDescent="0.25">
      <c r="B6" s="18" t="s">
        <v>144</v>
      </c>
      <c r="C6" s="32">
        <v>0.1</v>
      </c>
      <c r="D6" s="32">
        <v>1</v>
      </c>
      <c r="E6" s="32">
        <v>0</v>
      </c>
      <c r="F6" s="32">
        <v>1</v>
      </c>
      <c r="G6" s="18" t="s">
        <v>145</v>
      </c>
    </row>
    <row r="7" spans="1:7" x14ac:dyDescent="0.25">
      <c r="B7" s="18" t="s">
        <v>146</v>
      </c>
      <c r="C7" s="32">
        <v>0</v>
      </c>
      <c r="D7" s="32">
        <v>0.33</v>
      </c>
      <c r="E7" s="32">
        <v>0</v>
      </c>
      <c r="F7" s="32">
        <v>1</v>
      </c>
      <c r="G7" s="18" t="s">
        <v>145</v>
      </c>
    </row>
    <row r="8" spans="1:7" x14ac:dyDescent="0.25">
      <c r="B8" s="18" t="s">
        <v>147</v>
      </c>
      <c r="C8" s="33">
        <v>0.1</v>
      </c>
      <c r="D8" s="33">
        <v>0.5</v>
      </c>
      <c r="E8" s="33">
        <v>0</v>
      </c>
      <c r="F8" s="33">
        <v>0.5</v>
      </c>
      <c r="G8" s="18" t="s">
        <v>148</v>
      </c>
    </row>
    <row r="9" spans="1:7" x14ac:dyDescent="0.25">
      <c r="B9" s="18" t="s">
        <v>149</v>
      </c>
      <c r="C9" s="33">
        <v>0.1</v>
      </c>
      <c r="D9" s="33">
        <v>1</v>
      </c>
      <c r="E9" s="33">
        <v>0</v>
      </c>
      <c r="F9" s="33">
        <v>0.5</v>
      </c>
      <c r="G9" s="18" t="s">
        <v>145</v>
      </c>
    </row>
    <row r="10" spans="1:7" x14ac:dyDescent="0.25">
      <c r="B10" s="110" t="s">
        <v>195</v>
      </c>
      <c r="C10" s="33">
        <v>0.1</v>
      </c>
      <c r="D10" s="33">
        <v>1</v>
      </c>
      <c r="E10" s="33">
        <v>0</v>
      </c>
      <c r="F10" s="33">
        <v>0</v>
      </c>
      <c r="G10" s="18"/>
    </row>
    <row r="11" spans="1:7" x14ac:dyDescent="0.25">
      <c r="B11" s="18" t="s">
        <v>150</v>
      </c>
      <c r="C11" s="32">
        <v>0.1</v>
      </c>
      <c r="D11" s="32">
        <v>2</v>
      </c>
      <c r="E11" s="32">
        <v>0</v>
      </c>
      <c r="F11" s="32">
        <v>4</v>
      </c>
      <c r="G11" s="18" t="s">
        <v>143</v>
      </c>
    </row>
    <row r="12" spans="1:7" x14ac:dyDescent="0.25">
      <c r="B12" s="18" t="s">
        <v>151</v>
      </c>
      <c r="C12" s="32">
        <v>0</v>
      </c>
      <c r="D12" s="32">
        <v>2</v>
      </c>
      <c r="E12" s="33">
        <v>0</v>
      </c>
      <c r="F12" s="32">
        <v>2</v>
      </c>
      <c r="G12" s="18" t="s">
        <v>152</v>
      </c>
    </row>
    <row r="13" spans="1:7" x14ac:dyDescent="0.25">
      <c r="B13" s="18" t="s">
        <v>153</v>
      </c>
      <c r="C13" s="32">
        <v>4</v>
      </c>
      <c r="D13" s="92">
        <v>60</v>
      </c>
      <c r="E13" s="32">
        <v>0</v>
      </c>
      <c r="F13" s="32">
        <v>120</v>
      </c>
      <c r="G13" s="18" t="s">
        <v>152</v>
      </c>
    </row>
    <row r="14" spans="1:7" x14ac:dyDescent="0.25">
      <c r="B14" s="18" t="s">
        <v>154</v>
      </c>
      <c r="C14" s="33">
        <v>40</v>
      </c>
      <c r="D14" s="33">
        <v>750</v>
      </c>
      <c r="E14" s="33">
        <v>0</v>
      </c>
      <c r="F14" s="33">
        <v>1800</v>
      </c>
      <c r="G14" s="18" t="s">
        <v>143</v>
      </c>
    </row>
    <row r="15" spans="1:7" x14ac:dyDescent="0.25">
      <c r="B15" s="18" t="s">
        <v>155</v>
      </c>
      <c r="C15" s="33">
        <v>0.01</v>
      </c>
      <c r="D15" s="33">
        <v>0.25</v>
      </c>
      <c r="E15" s="33">
        <v>0</v>
      </c>
      <c r="F15" s="33">
        <v>0.1</v>
      </c>
      <c r="G15" s="18" t="s">
        <v>143</v>
      </c>
    </row>
    <row r="16" spans="1:7" x14ac:dyDescent="0.25">
      <c r="B16" s="18" t="s">
        <v>156</v>
      </c>
      <c r="C16" s="33">
        <v>120</v>
      </c>
      <c r="D16" s="33">
        <v>2500</v>
      </c>
      <c r="E16" s="33">
        <v>0</v>
      </c>
      <c r="F16" s="33">
        <v>750</v>
      </c>
      <c r="G16" s="18" t="s">
        <v>143</v>
      </c>
    </row>
    <row r="17" spans="2:7" x14ac:dyDescent="0.25">
      <c r="B17" s="18" t="s">
        <v>157</v>
      </c>
      <c r="C17" s="32">
        <v>20</v>
      </c>
      <c r="D17" s="32">
        <v>80</v>
      </c>
      <c r="E17" s="33">
        <v>0</v>
      </c>
      <c r="F17" s="32">
        <v>80</v>
      </c>
      <c r="G17" s="18" t="s">
        <v>145</v>
      </c>
    </row>
    <row r="19" spans="2:7" ht="23.1" customHeight="1" x14ac:dyDescent="0.25">
      <c r="B19" s="156" t="s">
        <v>102</v>
      </c>
      <c r="C19" s="161" t="s">
        <v>158</v>
      </c>
      <c r="D19" s="161"/>
      <c r="E19" s="161"/>
      <c r="F19" s="162" t="s">
        <v>141</v>
      </c>
      <c r="G19" s="163"/>
    </row>
    <row r="20" spans="2:7" x14ac:dyDescent="0.25">
      <c r="B20" s="157"/>
      <c r="C20" s="66" t="s">
        <v>119</v>
      </c>
      <c r="D20" s="66" t="s">
        <v>120</v>
      </c>
      <c r="E20" s="66" t="s">
        <v>121</v>
      </c>
      <c r="F20" s="164"/>
      <c r="G20" s="165"/>
    </row>
    <row r="21" spans="2:7" x14ac:dyDescent="0.25">
      <c r="B21" s="18" t="str">
        <f t="shared" ref="B21:B26" si="0">B5</f>
        <v>Develop and Maintain a Certification ID Tracking System</v>
      </c>
      <c r="C21" s="34">
        <v>1</v>
      </c>
      <c r="D21" s="34">
        <v>1</v>
      </c>
      <c r="E21" s="32">
        <v>0.75</v>
      </c>
      <c r="F21" s="166" t="s">
        <v>159</v>
      </c>
      <c r="G21" s="166"/>
    </row>
    <row r="22" spans="2:7" x14ac:dyDescent="0.25">
      <c r="B22" s="18" t="str">
        <f t="shared" si="0"/>
        <v>Notify Submitters of Baseline Allowances</v>
      </c>
      <c r="C22" s="34">
        <f>'Respondent Burden - ICR'!J6+'Respondent Burden - ICR'!J15</f>
        <v>67</v>
      </c>
      <c r="D22" s="34">
        <f>'Respondent Burden - ICR'!K6+'Respondent Burden - ICR'!K15</f>
        <v>67</v>
      </c>
      <c r="E22" s="34">
        <f>'Respondent Burden - ICR'!L6+'Respondent Burden - ICR'!L15</f>
        <v>67</v>
      </c>
      <c r="F22" s="166" t="s">
        <v>160</v>
      </c>
      <c r="G22" s="166"/>
    </row>
    <row r="23" spans="2:7" ht="26.25" customHeight="1" x14ac:dyDescent="0.25">
      <c r="B23" s="18" t="str">
        <f t="shared" si="0"/>
        <v>Review Data for Reporting Completeness and Compliance</v>
      </c>
      <c r="C23" s="35">
        <f>SUMIF('Respondent Burden - ICR'!$A$5:$A$77,"1",'Respondent Burden - ICR'!M5:M77)</f>
        <v>8234</v>
      </c>
      <c r="D23" s="35">
        <f>SUMIF('Respondent Burden - ICR'!$A$5:$A$77,"1",'Respondent Burden - ICR'!N5:N77)</f>
        <v>8234</v>
      </c>
      <c r="E23" s="35">
        <f>SUMIF('Respondent Burden - ICR'!$A$5:$A$77,"1",'Respondent Burden - ICR'!O5:O77)</f>
        <v>8234</v>
      </c>
      <c r="F23" s="166" t="s">
        <v>161</v>
      </c>
      <c r="G23" s="166"/>
    </row>
    <row r="24" spans="2:7" x14ac:dyDescent="0.25">
      <c r="B24" s="18" t="str">
        <f t="shared" si="0"/>
        <v>Process Transfer Reports</v>
      </c>
      <c r="C24" s="34">
        <f>SUM('Respondent Burden - ICR'!M68:M71)</f>
        <v>31</v>
      </c>
      <c r="D24" s="34">
        <f>SUM('Respondent Burden - ICR'!N68:N71)</f>
        <v>31</v>
      </c>
      <c r="E24" s="34">
        <f>SUM('Respondent Burden - ICR'!O68:O71)</f>
        <v>31</v>
      </c>
      <c r="F24" s="166" t="s">
        <v>239</v>
      </c>
      <c r="G24" s="166"/>
    </row>
    <row r="25" spans="2:7" x14ac:dyDescent="0.25">
      <c r="B25" s="18" t="str">
        <f t="shared" si="0"/>
        <v>Review Petitions to Import HFCs</v>
      </c>
      <c r="C25" s="34">
        <f>'Respondent Burden - ICR'!M20+'Respondent Burden - ICR'!M21</f>
        <v>76</v>
      </c>
      <c r="D25" s="34">
        <f>'Respondent Burden - ICR'!N20+'Respondent Burden - ICR'!N21</f>
        <v>76</v>
      </c>
      <c r="E25" s="34">
        <f>'Respondent Burden - ICR'!O20+'Respondent Burden - ICR'!O21</f>
        <v>76</v>
      </c>
      <c r="F25" s="166" t="s">
        <v>162</v>
      </c>
      <c r="G25" s="166"/>
    </row>
    <row r="26" spans="2:7" x14ac:dyDescent="0.25">
      <c r="B26" s="110" t="str">
        <f t="shared" si="0"/>
        <v>Review Importer of Record Reports</v>
      </c>
      <c r="C26" s="34">
        <f>'Respondent Burden - ICR'!J15</f>
        <v>61</v>
      </c>
      <c r="D26" s="34">
        <f>'Respondent Burden - ICR'!K15</f>
        <v>61</v>
      </c>
      <c r="E26" s="34">
        <f>'Respondent Burden - ICR'!L15</f>
        <v>61</v>
      </c>
      <c r="F26" s="167" t="s">
        <v>163</v>
      </c>
      <c r="G26" s="167"/>
    </row>
    <row r="27" spans="2:7" x14ac:dyDescent="0.25">
      <c r="B27" s="18" t="str">
        <f t="shared" ref="B27:B33" si="1">B11</f>
        <v>Review Third-Party Audits</v>
      </c>
      <c r="C27" s="34">
        <f>'Respondent Burden - ICR'!M77</f>
        <v>129</v>
      </c>
      <c r="D27" s="34">
        <f>'Respondent Burden - ICR'!N77</f>
        <v>129</v>
      </c>
      <c r="E27" s="34">
        <f>'Respondent Burden - ICR'!O77</f>
        <v>129</v>
      </c>
      <c r="F27" s="166"/>
      <c r="G27" s="166"/>
    </row>
    <row r="28" spans="2:7" x14ac:dyDescent="0.25">
      <c r="B28" s="18" t="str">
        <f t="shared" si="1"/>
        <v>Provide Reporting Guidance</v>
      </c>
      <c r="C28" s="34">
        <v>40</v>
      </c>
      <c r="D28" s="36">
        <f t="shared" ref="D28:D33" si="2">C28</f>
        <v>40</v>
      </c>
      <c r="E28" s="36">
        <f t="shared" ref="E28:E33" si="3">C28</f>
        <v>40</v>
      </c>
      <c r="F28" s="166" t="s">
        <v>148</v>
      </c>
      <c r="G28" s="166"/>
    </row>
    <row r="29" spans="2:7" x14ac:dyDescent="0.25">
      <c r="B29" s="18" t="str">
        <f t="shared" si="1"/>
        <v>Conduct Stakeholder Outreach Efforts</v>
      </c>
      <c r="C29" s="34">
        <v>1</v>
      </c>
      <c r="D29" s="36">
        <f t="shared" si="2"/>
        <v>1</v>
      </c>
      <c r="E29" s="36">
        <f t="shared" si="3"/>
        <v>1</v>
      </c>
      <c r="F29" s="166"/>
      <c r="G29" s="166"/>
    </row>
    <row r="30" spans="2:7" x14ac:dyDescent="0.25">
      <c r="B30" s="18" t="str">
        <f t="shared" si="1"/>
        <v>Maintain the Data Tracking System</v>
      </c>
      <c r="C30" s="34">
        <v>1</v>
      </c>
      <c r="D30" s="36">
        <f t="shared" si="2"/>
        <v>1</v>
      </c>
      <c r="E30" s="36">
        <f t="shared" si="3"/>
        <v>1</v>
      </c>
      <c r="F30" s="166"/>
      <c r="G30" s="166"/>
    </row>
    <row r="31" spans="2:7" x14ac:dyDescent="0.25">
      <c r="B31" s="18" t="str">
        <f t="shared" si="1"/>
        <v>Review Import Data Submitted in ACE</v>
      </c>
      <c r="C31" s="35">
        <f>'Respondent Burden - ICR'!M20</f>
        <v>64</v>
      </c>
      <c r="D31" s="35">
        <f>'Respondent Burden - ICR'!N20</f>
        <v>64</v>
      </c>
      <c r="E31" s="35">
        <f>'Respondent Burden - ICR'!O20</f>
        <v>64</v>
      </c>
      <c r="F31" s="168" t="s">
        <v>164</v>
      </c>
      <c r="G31" s="169"/>
    </row>
    <row r="32" spans="2:7" x14ac:dyDescent="0.25">
      <c r="B32" s="18" t="str">
        <f t="shared" si="1"/>
        <v>Conduct Compliance Monitoring Activities</v>
      </c>
      <c r="C32" s="34">
        <v>2</v>
      </c>
      <c r="D32" s="36">
        <v>2</v>
      </c>
      <c r="E32" s="36">
        <v>2</v>
      </c>
      <c r="F32" s="166" t="s">
        <v>165</v>
      </c>
      <c r="G32" s="166"/>
    </row>
    <row r="33" spans="2:7" x14ac:dyDescent="0.25">
      <c r="B33" s="18" t="str">
        <f t="shared" si="1"/>
        <v>Ensure Non-Exceedance of AIM Act Limits</v>
      </c>
      <c r="C33" s="34">
        <v>1</v>
      </c>
      <c r="D33" s="36">
        <f t="shared" si="2"/>
        <v>1</v>
      </c>
      <c r="E33" s="36">
        <f t="shared" si="3"/>
        <v>1</v>
      </c>
      <c r="F33" s="166"/>
      <c r="G33" s="166"/>
    </row>
  </sheetData>
  <mergeCells count="16">
    <mergeCell ref="F30:G30"/>
    <mergeCell ref="F33:G33"/>
    <mergeCell ref="F32:G32"/>
    <mergeCell ref="F27:G27"/>
    <mergeCell ref="F22:G22"/>
    <mergeCell ref="F23:G23"/>
    <mergeCell ref="F24:G24"/>
    <mergeCell ref="F25:G25"/>
    <mergeCell ref="F28:G28"/>
    <mergeCell ref="F31:G31"/>
    <mergeCell ref="B19:B20"/>
    <mergeCell ref="C19:E19"/>
    <mergeCell ref="F19:G20"/>
    <mergeCell ref="F21:G21"/>
    <mergeCell ref="F29:G29"/>
    <mergeCell ref="F26:G26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56B4-CC75-4716-B3AE-B0F18E03C64D}">
  <sheetPr codeName="Sheet4">
    <tabColor theme="7" tint="0.59999389629810485"/>
  </sheetPr>
  <dimension ref="A1:AF32"/>
  <sheetViews>
    <sheetView topLeftCell="A22" workbookViewId="0">
      <selection activeCell="T25" sqref="T25"/>
    </sheetView>
  </sheetViews>
  <sheetFormatPr defaultRowHeight="15" x14ac:dyDescent="0.25"/>
  <cols>
    <col min="1" max="1" width="4.85546875" customWidth="1"/>
    <col min="2" max="2" width="51.140625" customWidth="1"/>
    <col min="3" max="6" width="11" customWidth="1"/>
    <col min="7" max="9" width="7.5703125" customWidth="1"/>
    <col min="10" max="10" width="8.5703125" customWidth="1"/>
    <col min="11" max="12" width="8.42578125" bestFit="1" customWidth="1"/>
    <col min="13" max="13" width="6.140625" customWidth="1"/>
    <col min="14" max="16" width="8.85546875" customWidth="1"/>
    <col min="17" max="19" width="9.140625" bestFit="1" customWidth="1"/>
    <col min="20" max="20" width="10.7109375" customWidth="1"/>
    <col min="21" max="22" width="8.85546875" customWidth="1"/>
    <col min="23" max="28" width="9.140625" bestFit="1" customWidth="1"/>
    <col min="30" max="30" width="13.85546875" bestFit="1" customWidth="1"/>
    <col min="32" max="32" width="11.140625" bestFit="1" customWidth="1"/>
  </cols>
  <sheetData>
    <row r="1" spans="1:32" s="21" customFormat="1" ht="18.75" x14ac:dyDescent="0.3">
      <c r="A1" s="21" t="s">
        <v>166</v>
      </c>
    </row>
    <row r="3" spans="1:32" ht="15.95" customHeight="1" x14ac:dyDescent="0.25">
      <c r="B3" s="171" t="s">
        <v>102</v>
      </c>
      <c r="C3" s="161" t="s">
        <v>167</v>
      </c>
      <c r="D3" s="161" t="s">
        <v>168</v>
      </c>
      <c r="E3" s="161" t="s">
        <v>169</v>
      </c>
      <c r="F3" s="161" t="s">
        <v>170</v>
      </c>
      <c r="G3" s="162" t="s">
        <v>171</v>
      </c>
      <c r="H3" s="170"/>
      <c r="I3" s="163"/>
      <c r="J3" s="148" t="s">
        <v>172</v>
      </c>
      <c r="K3" s="149"/>
      <c r="L3" s="150"/>
      <c r="N3" s="148" t="s">
        <v>173</v>
      </c>
      <c r="O3" s="149"/>
      <c r="P3" s="150"/>
      <c r="Q3" s="148" t="s">
        <v>174</v>
      </c>
      <c r="R3" s="149"/>
      <c r="S3" s="150"/>
      <c r="T3" s="148" t="s">
        <v>175</v>
      </c>
      <c r="U3" s="149"/>
      <c r="V3" s="150"/>
      <c r="W3" s="148" t="s">
        <v>176</v>
      </c>
      <c r="X3" s="149"/>
      <c r="Y3" s="150"/>
      <c r="Z3" s="148" t="s">
        <v>177</v>
      </c>
      <c r="AA3" s="149"/>
      <c r="AB3" s="150"/>
      <c r="AD3" s="140" t="s">
        <v>113</v>
      </c>
      <c r="AE3" s="140" t="s">
        <v>115</v>
      </c>
      <c r="AF3" s="140" t="s">
        <v>118</v>
      </c>
    </row>
    <row r="4" spans="1:32" ht="18.75" customHeight="1" x14ac:dyDescent="0.25">
      <c r="B4" s="171"/>
      <c r="C4" s="161"/>
      <c r="D4" s="161"/>
      <c r="E4" s="161"/>
      <c r="F4" s="161"/>
      <c r="G4" s="66" t="s">
        <v>119</v>
      </c>
      <c r="H4" s="66" t="s">
        <v>120</v>
      </c>
      <c r="I4" s="66" t="s">
        <v>121</v>
      </c>
      <c r="J4" s="66" t="s">
        <v>119</v>
      </c>
      <c r="K4" s="66" t="s">
        <v>120</v>
      </c>
      <c r="L4" s="66" t="s">
        <v>121</v>
      </c>
      <c r="N4" s="66" t="s">
        <v>119</v>
      </c>
      <c r="O4" s="66" t="s">
        <v>120</v>
      </c>
      <c r="P4" s="66" t="s">
        <v>121</v>
      </c>
      <c r="Q4" s="66" t="s">
        <v>119</v>
      </c>
      <c r="R4" s="66" t="s">
        <v>120</v>
      </c>
      <c r="S4" s="66" t="s">
        <v>121</v>
      </c>
      <c r="T4" s="66" t="s">
        <v>119</v>
      </c>
      <c r="U4" s="66" t="s">
        <v>120</v>
      </c>
      <c r="V4" s="66" t="s">
        <v>121</v>
      </c>
      <c r="W4" s="66" t="s">
        <v>119</v>
      </c>
      <c r="X4" s="66" t="s">
        <v>120</v>
      </c>
      <c r="Y4" s="66" t="s">
        <v>121</v>
      </c>
      <c r="Z4" s="66" t="s">
        <v>119</v>
      </c>
      <c r="AA4" s="66" t="s">
        <v>120</v>
      </c>
      <c r="AB4" s="66" t="s">
        <v>121</v>
      </c>
      <c r="AD4" s="140"/>
      <c r="AE4" s="140"/>
      <c r="AF4" s="140"/>
    </row>
    <row r="5" spans="1:32" x14ac:dyDescent="0.25">
      <c r="B5" s="18" t="str">
        <f>'Agency Assumptions'!B5</f>
        <v>Develop and Maintain a Certification ID Tracking System</v>
      </c>
      <c r="C5" s="90">
        <f>'Agency Assumptions'!C5</f>
        <v>120</v>
      </c>
      <c r="D5" s="90">
        <f>'Agency Assumptions'!D5</f>
        <v>3000</v>
      </c>
      <c r="E5" s="90">
        <f>'Agency Assumptions'!E5</f>
        <v>0</v>
      </c>
      <c r="F5" s="90">
        <f>'Agency Assumptions'!F5</f>
        <v>12000</v>
      </c>
      <c r="G5" s="19">
        <f>'Agency Assumptions'!C21</f>
        <v>1</v>
      </c>
      <c r="H5" s="19">
        <f>'Agency Assumptions'!D21</f>
        <v>1</v>
      </c>
      <c r="I5" s="52">
        <f>'Agency Assumptions'!E21</f>
        <v>0.75</v>
      </c>
      <c r="J5" s="19">
        <f t="shared" ref="J5" si="0">SUM($C5:$F5)*G5</f>
        <v>15120</v>
      </c>
      <c r="K5" s="19">
        <f t="shared" ref="K5" si="1">SUM($C5:$F5)*H5</f>
        <v>15120</v>
      </c>
      <c r="L5" s="19">
        <f t="shared" ref="L5" si="2">SUM($C5:$F5)*I5</f>
        <v>11340</v>
      </c>
      <c r="N5" s="15">
        <f t="shared" ref="N5:N17" si="3">$C5*G5*$F$23</f>
        <v>13660.800000000001</v>
      </c>
      <c r="O5" s="15">
        <f t="shared" ref="O5:O17" si="4">$C5*H5*$F$23</f>
        <v>13660.800000000001</v>
      </c>
      <c r="P5" s="15">
        <f t="shared" ref="P5:P17" si="5">$C5*I5*$F$23</f>
        <v>10245.6</v>
      </c>
      <c r="Q5" s="15">
        <f t="shared" ref="Q5:Q17" si="6">$D5*G5*$F$24</f>
        <v>245670</v>
      </c>
      <c r="R5" s="15">
        <f t="shared" ref="R5:R17" si="7">$D5*H5*$F$24</f>
        <v>245670</v>
      </c>
      <c r="S5" s="15">
        <f t="shared" ref="S5:S17" si="8">$D5*I5*$F$24</f>
        <v>184252.5</v>
      </c>
      <c r="T5" s="15">
        <f t="shared" ref="T5:T17" si="9">$E5*G5*$F$25</f>
        <v>0</v>
      </c>
      <c r="U5" s="15">
        <f t="shared" ref="U5:U17" si="10">$E5*H5*$F$25</f>
        <v>0</v>
      </c>
      <c r="V5" s="15">
        <f t="shared" ref="V5:V17" si="11">$E5*I5*$F$25</f>
        <v>0</v>
      </c>
      <c r="W5" s="15">
        <f t="shared" ref="W5:W17" si="12">$F5*G5*$F$26</f>
        <v>1566239.9999999998</v>
      </c>
      <c r="X5" s="15">
        <f t="shared" ref="X5:X17" si="13">$F5*H5*$F$26</f>
        <v>1566239.9999999998</v>
      </c>
      <c r="Y5" s="15">
        <f t="shared" ref="Y5:Y17" si="14">$F5*I5*$F$26</f>
        <v>1174679.9999999998</v>
      </c>
      <c r="Z5" s="15">
        <f t="shared" ref="Z5" si="15">N5+Q5+T5+W5</f>
        <v>1825570.7999999998</v>
      </c>
      <c r="AA5" s="15">
        <f t="shared" ref="AA5" si="16">O5+R5+U5+X5</f>
        <v>1825570.7999999998</v>
      </c>
      <c r="AB5" s="15">
        <f t="shared" ref="AB5" si="17">P5+S5+V5+Y5</f>
        <v>1369178.0999999999</v>
      </c>
      <c r="AD5" s="57" t="s">
        <v>122</v>
      </c>
      <c r="AE5" s="58">
        <f>J18</f>
        <v>37098.660000000003</v>
      </c>
      <c r="AF5" s="59">
        <f>Z18</f>
        <v>4242078.5423999997</v>
      </c>
    </row>
    <row r="6" spans="1:32" x14ac:dyDescent="0.25">
      <c r="B6" s="18" t="str">
        <f>'Agency Assumptions'!B6</f>
        <v>Notify Submitters of Baseline Allowances</v>
      </c>
      <c r="C6" s="90">
        <f>'Agency Assumptions'!C6</f>
        <v>0.1</v>
      </c>
      <c r="D6" s="90">
        <f>'Agency Assumptions'!D6</f>
        <v>1</v>
      </c>
      <c r="E6" s="90">
        <f>'Agency Assumptions'!E6</f>
        <v>0</v>
      </c>
      <c r="F6" s="90">
        <f>'Agency Assumptions'!F6</f>
        <v>1</v>
      </c>
      <c r="G6" s="19">
        <f>'Agency Assumptions'!C22</f>
        <v>67</v>
      </c>
      <c r="H6" s="19">
        <f>'Agency Assumptions'!D22</f>
        <v>67</v>
      </c>
      <c r="I6" s="19">
        <f>'Agency Assumptions'!E22</f>
        <v>67</v>
      </c>
      <c r="J6" s="19">
        <f t="shared" ref="J6:J17" si="18">SUM($C6:$F6)*G6</f>
        <v>140.70000000000002</v>
      </c>
      <c r="K6" s="19">
        <f t="shared" ref="K6:K17" si="19">SUM($C6:$F6)*H6</f>
        <v>140.70000000000002</v>
      </c>
      <c r="L6" s="19">
        <f t="shared" ref="L6:L17" si="20">SUM($C6:$F6)*I6</f>
        <v>140.70000000000002</v>
      </c>
      <c r="N6" s="15">
        <f t="shared" si="3"/>
        <v>762.72800000000007</v>
      </c>
      <c r="O6" s="15">
        <f t="shared" si="4"/>
        <v>762.72800000000007</v>
      </c>
      <c r="P6" s="15">
        <f t="shared" si="5"/>
        <v>762.72800000000007</v>
      </c>
      <c r="Q6" s="15">
        <f t="shared" si="6"/>
        <v>5486.63</v>
      </c>
      <c r="R6" s="15">
        <f t="shared" si="7"/>
        <v>5486.63</v>
      </c>
      <c r="S6" s="15">
        <f t="shared" si="8"/>
        <v>5486.63</v>
      </c>
      <c r="T6" s="15">
        <f t="shared" si="9"/>
        <v>0</v>
      </c>
      <c r="U6" s="15">
        <f t="shared" si="10"/>
        <v>0</v>
      </c>
      <c r="V6" s="15">
        <f t="shared" si="11"/>
        <v>0</v>
      </c>
      <c r="W6" s="15">
        <f t="shared" si="12"/>
        <v>8744.8399999999983</v>
      </c>
      <c r="X6" s="15">
        <f t="shared" si="13"/>
        <v>8744.8399999999983</v>
      </c>
      <c r="Y6" s="15">
        <f t="shared" si="14"/>
        <v>8744.8399999999983</v>
      </c>
      <c r="Z6" s="15">
        <f t="shared" ref="Z6:Z17" si="21">N6+Q6+T6+W6</f>
        <v>14994.197999999999</v>
      </c>
      <c r="AA6" s="15">
        <f t="shared" ref="AA6:AA17" si="22">O6+R6+U6+X6</f>
        <v>14994.197999999999</v>
      </c>
      <c r="AB6" s="15">
        <f t="shared" ref="AB6:AB17" si="23">P6+S6+V6+Y6</f>
        <v>14994.197999999999</v>
      </c>
      <c r="AD6" s="57" t="s">
        <v>123</v>
      </c>
      <c r="AE6" s="58">
        <f>K18</f>
        <v>37098.660000000003</v>
      </c>
      <c r="AF6" s="59">
        <f>AA18</f>
        <v>4242078.5423999997</v>
      </c>
    </row>
    <row r="7" spans="1:32" ht="15.95" customHeight="1" x14ac:dyDescent="0.25">
      <c r="B7" s="18" t="str">
        <f>'Agency Assumptions'!B7</f>
        <v>Review Data for Reporting Completeness and Compliance</v>
      </c>
      <c r="C7" s="90">
        <f>'Agency Assumptions'!C7</f>
        <v>0</v>
      </c>
      <c r="D7" s="90">
        <f>'Agency Assumptions'!D7</f>
        <v>0.33</v>
      </c>
      <c r="E7" s="90">
        <f>'Agency Assumptions'!E7</f>
        <v>0</v>
      </c>
      <c r="F7" s="90">
        <f>'Agency Assumptions'!F7</f>
        <v>1</v>
      </c>
      <c r="G7" s="19">
        <f>'Agency Assumptions'!C23</f>
        <v>8234</v>
      </c>
      <c r="H7" s="19">
        <f>'Agency Assumptions'!D23</f>
        <v>8234</v>
      </c>
      <c r="I7" s="19">
        <f>'Agency Assumptions'!E23</f>
        <v>8234</v>
      </c>
      <c r="J7" s="19">
        <f t="shared" si="18"/>
        <v>10951.220000000001</v>
      </c>
      <c r="K7" s="19">
        <f t="shared" si="19"/>
        <v>10951.220000000001</v>
      </c>
      <c r="L7" s="19">
        <f t="shared" si="20"/>
        <v>10951.220000000001</v>
      </c>
      <c r="N7" s="15">
        <f t="shared" si="3"/>
        <v>0</v>
      </c>
      <c r="O7" s="15">
        <f t="shared" si="4"/>
        <v>0</v>
      </c>
      <c r="P7" s="15">
        <f t="shared" si="5"/>
        <v>0</v>
      </c>
      <c r="Q7" s="15">
        <f t="shared" si="6"/>
        <v>222513.14580000003</v>
      </c>
      <c r="R7" s="15">
        <f t="shared" si="7"/>
        <v>222513.14580000003</v>
      </c>
      <c r="S7" s="15">
        <f t="shared" si="8"/>
        <v>222513.14580000003</v>
      </c>
      <c r="T7" s="15">
        <f t="shared" si="9"/>
        <v>0</v>
      </c>
      <c r="U7" s="15">
        <f t="shared" si="10"/>
        <v>0</v>
      </c>
      <c r="V7" s="15">
        <f t="shared" si="11"/>
        <v>0</v>
      </c>
      <c r="W7" s="15">
        <f t="shared" si="12"/>
        <v>1074701.68</v>
      </c>
      <c r="X7" s="15">
        <f t="shared" si="13"/>
        <v>1074701.68</v>
      </c>
      <c r="Y7" s="15">
        <f t="shared" si="14"/>
        <v>1074701.68</v>
      </c>
      <c r="Z7" s="15">
        <f t="shared" si="21"/>
        <v>1297214.8258</v>
      </c>
      <c r="AA7" s="15">
        <f t="shared" si="22"/>
        <v>1297214.8258</v>
      </c>
      <c r="AB7" s="15">
        <f t="shared" si="23"/>
        <v>1297214.8258</v>
      </c>
      <c r="AD7" s="57" t="s">
        <v>124</v>
      </c>
      <c r="AE7" s="58">
        <f>L18</f>
        <v>33318.660000000003</v>
      </c>
      <c r="AF7" s="59">
        <f>AB18</f>
        <v>3785685.8424000004</v>
      </c>
    </row>
    <row r="8" spans="1:32" x14ac:dyDescent="0.25">
      <c r="B8" s="18" t="str">
        <f>'Agency Assumptions'!B8</f>
        <v>Process Transfer Reports</v>
      </c>
      <c r="C8" s="90">
        <f>'Agency Assumptions'!C8</f>
        <v>0.1</v>
      </c>
      <c r="D8" s="90">
        <f>'Agency Assumptions'!D8</f>
        <v>0.5</v>
      </c>
      <c r="E8" s="90">
        <f>'Agency Assumptions'!E8</f>
        <v>0</v>
      </c>
      <c r="F8" s="90">
        <f>'Agency Assumptions'!F8</f>
        <v>0.5</v>
      </c>
      <c r="G8" s="19">
        <f>'Agency Assumptions'!C24</f>
        <v>31</v>
      </c>
      <c r="H8" s="19">
        <f>'Agency Assumptions'!D24</f>
        <v>31</v>
      </c>
      <c r="I8" s="19">
        <f>'Agency Assumptions'!E24</f>
        <v>31</v>
      </c>
      <c r="J8" s="19">
        <f t="shared" si="18"/>
        <v>34.1</v>
      </c>
      <c r="K8" s="19">
        <f t="shared" si="19"/>
        <v>34.1</v>
      </c>
      <c r="L8" s="19">
        <f t="shared" si="20"/>
        <v>34.1</v>
      </c>
      <c r="N8" s="15">
        <f t="shared" si="3"/>
        <v>352.904</v>
      </c>
      <c r="O8" s="15">
        <f t="shared" si="4"/>
        <v>352.904</v>
      </c>
      <c r="P8" s="15">
        <f t="shared" si="5"/>
        <v>352.904</v>
      </c>
      <c r="Q8" s="15">
        <f t="shared" si="6"/>
        <v>1269.2950000000001</v>
      </c>
      <c r="R8" s="15">
        <f t="shared" si="7"/>
        <v>1269.2950000000001</v>
      </c>
      <c r="S8" s="15">
        <f t="shared" si="8"/>
        <v>1269.2950000000001</v>
      </c>
      <c r="T8" s="15">
        <f t="shared" si="9"/>
        <v>0</v>
      </c>
      <c r="U8" s="15">
        <f t="shared" si="10"/>
        <v>0</v>
      </c>
      <c r="V8" s="15">
        <f t="shared" si="11"/>
        <v>0</v>
      </c>
      <c r="W8" s="15">
        <f t="shared" si="12"/>
        <v>2023.0599999999997</v>
      </c>
      <c r="X8" s="15">
        <f t="shared" si="13"/>
        <v>2023.0599999999997</v>
      </c>
      <c r="Y8" s="15">
        <f t="shared" si="14"/>
        <v>2023.0599999999997</v>
      </c>
      <c r="Z8" s="15">
        <f t="shared" si="21"/>
        <v>3645.259</v>
      </c>
      <c r="AA8" s="15">
        <f t="shared" si="22"/>
        <v>3645.259</v>
      </c>
      <c r="AB8" s="15">
        <f t="shared" si="23"/>
        <v>3645.259</v>
      </c>
      <c r="AD8" s="57" t="s">
        <v>125</v>
      </c>
      <c r="AE8" s="58">
        <f>AVERAGE(AE5:AE7)</f>
        <v>35838.660000000003</v>
      </c>
      <c r="AF8" s="59">
        <f>AVERAGE(AF5:AF7)</f>
        <v>4089947.6424000002</v>
      </c>
    </row>
    <row r="9" spans="1:32" ht="15.95" customHeight="1" x14ac:dyDescent="0.25">
      <c r="B9" s="18" t="str">
        <f>'Agency Assumptions'!B9</f>
        <v>Review Petitions to Import HFCs</v>
      </c>
      <c r="C9" s="90">
        <f>'Agency Assumptions'!C9</f>
        <v>0.1</v>
      </c>
      <c r="D9" s="90">
        <f>'Agency Assumptions'!D9</f>
        <v>1</v>
      </c>
      <c r="E9" s="90">
        <f>'Agency Assumptions'!E9</f>
        <v>0</v>
      </c>
      <c r="F9" s="90">
        <f>'Agency Assumptions'!F9</f>
        <v>0.5</v>
      </c>
      <c r="G9" s="19">
        <f>'Agency Assumptions'!C25</f>
        <v>76</v>
      </c>
      <c r="H9" s="19">
        <f>'Agency Assumptions'!D25</f>
        <v>76</v>
      </c>
      <c r="I9" s="19">
        <f>'Agency Assumptions'!E25</f>
        <v>76</v>
      </c>
      <c r="J9" s="19">
        <f t="shared" si="18"/>
        <v>121.60000000000001</v>
      </c>
      <c r="K9" s="19">
        <f t="shared" si="19"/>
        <v>121.60000000000001</v>
      </c>
      <c r="L9" s="19">
        <f t="shared" si="20"/>
        <v>121.60000000000001</v>
      </c>
      <c r="N9" s="15">
        <f t="shared" si="3"/>
        <v>865.18400000000008</v>
      </c>
      <c r="O9" s="15">
        <f t="shared" si="4"/>
        <v>865.18400000000008</v>
      </c>
      <c r="P9" s="15">
        <f t="shared" si="5"/>
        <v>865.18400000000008</v>
      </c>
      <c r="Q9" s="15">
        <f t="shared" si="6"/>
        <v>6223.64</v>
      </c>
      <c r="R9" s="15">
        <f t="shared" si="7"/>
        <v>6223.64</v>
      </c>
      <c r="S9" s="15">
        <f t="shared" si="8"/>
        <v>6223.64</v>
      </c>
      <c r="T9" s="15">
        <f t="shared" si="9"/>
        <v>0</v>
      </c>
      <c r="U9" s="15">
        <f t="shared" si="10"/>
        <v>0</v>
      </c>
      <c r="V9" s="15">
        <f t="shared" si="11"/>
        <v>0</v>
      </c>
      <c r="W9" s="15">
        <f t="shared" si="12"/>
        <v>4959.7599999999993</v>
      </c>
      <c r="X9" s="15">
        <f t="shared" si="13"/>
        <v>4959.7599999999993</v>
      </c>
      <c r="Y9" s="15">
        <f t="shared" si="14"/>
        <v>4959.7599999999993</v>
      </c>
      <c r="Z9" s="15">
        <f t="shared" si="21"/>
        <v>12048.583999999999</v>
      </c>
      <c r="AA9" s="15">
        <f t="shared" si="22"/>
        <v>12048.583999999999</v>
      </c>
      <c r="AB9" s="15">
        <f t="shared" si="23"/>
        <v>12048.583999999999</v>
      </c>
    </row>
    <row r="10" spans="1:32" x14ac:dyDescent="0.25">
      <c r="B10" s="110" t="str">
        <f>'Agency Assumptions'!B10</f>
        <v>Review Importer of Record Reports</v>
      </c>
      <c r="C10" s="90">
        <f>'Agency Assumptions'!C10</f>
        <v>0.1</v>
      </c>
      <c r="D10" s="90">
        <f>'Agency Assumptions'!D10</f>
        <v>1</v>
      </c>
      <c r="E10" s="90">
        <f>'Agency Assumptions'!E10</f>
        <v>0</v>
      </c>
      <c r="F10" s="90">
        <f>'Agency Assumptions'!F10</f>
        <v>0</v>
      </c>
      <c r="G10" s="19">
        <f>'Agency Assumptions'!C26</f>
        <v>61</v>
      </c>
      <c r="H10" s="19">
        <f>'Agency Assumptions'!D26</f>
        <v>61</v>
      </c>
      <c r="I10" s="19">
        <f>'Agency Assumptions'!E26</f>
        <v>61</v>
      </c>
      <c r="J10" s="19">
        <f t="shared" si="18"/>
        <v>67.100000000000009</v>
      </c>
      <c r="K10" s="19">
        <f t="shared" si="19"/>
        <v>67.100000000000009</v>
      </c>
      <c r="L10" s="19">
        <f t="shared" si="20"/>
        <v>67.100000000000009</v>
      </c>
      <c r="N10" s="15">
        <f t="shared" si="3"/>
        <v>694.42400000000009</v>
      </c>
      <c r="O10" s="15">
        <f t="shared" si="4"/>
        <v>694.42400000000009</v>
      </c>
      <c r="P10" s="15">
        <f t="shared" si="5"/>
        <v>694.42400000000009</v>
      </c>
      <c r="Q10" s="15">
        <f t="shared" si="6"/>
        <v>4995.29</v>
      </c>
      <c r="R10" s="15">
        <f t="shared" si="7"/>
        <v>4995.29</v>
      </c>
      <c r="S10" s="15">
        <f t="shared" si="8"/>
        <v>4995.29</v>
      </c>
      <c r="T10" s="15">
        <f t="shared" si="9"/>
        <v>0</v>
      </c>
      <c r="U10" s="15">
        <f t="shared" si="10"/>
        <v>0</v>
      </c>
      <c r="V10" s="15">
        <f t="shared" si="11"/>
        <v>0</v>
      </c>
      <c r="W10" s="15">
        <f t="shared" si="12"/>
        <v>0</v>
      </c>
      <c r="X10" s="15">
        <f t="shared" si="13"/>
        <v>0</v>
      </c>
      <c r="Y10" s="15">
        <f t="shared" si="14"/>
        <v>0</v>
      </c>
      <c r="Z10" s="15">
        <f t="shared" si="21"/>
        <v>5689.7139999999999</v>
      </c>
      <c r="AA10" s="15">
        <f t="shared" si="22"/>
        <v>5689.7139999999999</v>
      </c>
      <c r="AB10" s="15">
        <f t="shared" si="23"/>
        <v>5689.7139999999999</v>
      </c>
      <c r="AF10" s="56">
        <f>AF8+'Respondent Burden - ICR'!AG8</f>
        <v>11855058.360116005</v>
      </c>
    </row>
    <row r="11" spans="1:32" x14ac:dyDescent="0.25">
      <c r="B11" s="18" t="str">
        <f>'Agency Assumptions'!B11</f>
        <v>Review Third-Party Audits</v>
      </c>
      <c r="C11" s="90">
        <f>'Agency Assumptions'!C11</f>
        <v>0.1</v>
      </c>
      <c r="D11" s="90">
        <f>'Agency Assumptions'!D11</f>
        <v>2</v>
      </c>
      <c r="E11" s="90">
        <f>'Agency Assumptions'!E11</f>
        <v>0</v>
      </c>
      <c r="F11" s="90">
        <f>'Agency Assumptions'!F11</f>
        <v>4</v>
      </c>
      <c r="G11" s="19">
        <f>'Agency Assumptions'!C27</f>
        <v>129</v>
      </c>
      <c r="H11" s="19">
        <f>'Agency Assumptions'!D27</f>
        <v>129</v>
      </c>
      <c r="I11" s="19">
        <f>'Agency Assumptions'!E27</f>
        <v>129</v>
      </c>
      <c r="J11" s="19">
        <f t="shared" si="18"/>
        <v>786.9</v>
      </c>
      <c r="K11" s="19">
        <f t="shared" si="19"/>
        <v>786.9</v>
      </c>
      <c r="L11" s="19">
        <f t="shared" si="20"/>
        <v>786.9</v>
      </c>
      <c r="N11" s="15">
        <f t="shared" si="3"/>
        <v>1468.5360000000001</v>
      </c>
      <c r="O11" s="15">
        <f t="shared" si="4"/>
        <v>1468.5360000000001</v>
      </c>
      <c r="P11" s="15">
        <f t="shared" si="5"/>
        <v>1468.5360000000001</v>
      </c>
      <c r="Q11" s="15">
        <f t="shared" si="6"/>
        <v>21127.62</v>
      </c>
      <c r="R11" s="15">
        <f t="shared" si="7"/>
        <v>21127.62</v>
      </c>
      <c r="S11" s="15">
        <f t="shared" si="8"/>
        <v>21127.62</v>
      </c>
      <c r="T11" s="15">
        <f t="shared" si="9"/>
        <v>0</v>
      </c>
      <c r="U11" s="15">
        <f t="shared" si="10"/>
        <v>0</v>
      </c>
      <c r="V11" s="15">
        <f t="shared" si="11"/>
        <v>0</v>
      </c>
      <c r="W11" s="15">
        <f t="shared" si="12"/>
        <v>67348.319999999992</v>
      </c>
      <c r="X11" s="15">
        <f t="shared" si="13"/>
        <v>67348.319999999992</v>
      </c>
      <c r="Y11" s="15">
        <f t="shared" si="14"/>
        <v>67348.319999999992</v>
      </c>
      <c r="Z11" s="15">
        <f t="shared" si="21"/>
        <v>89944.475999999995</v>
      </c>
      <c r="AA11" s="15">
        <f t="shared" si="22"/>
        <v>89944.475999999995</v>
      </c>
      <c r="AB11" s="15">
        <f t="shared" si="23"/>
        <v>89944.475999999995</v>
      </c>
      <c r="AF11" s="56"/>
    </row>
    <row r="12" spans="1:32" x14ac:dyDescent="0.25">
      <c r="B12" s="18" t="str">
        <f>'Agency Assumptions'!B12</f>
        <v>Provide Reporting Guidance</v>
      </c>
      <c r="C12" s="90">
        <f>'Agency Assumptions'!C12</f>
        <v>0</v>
      </c>
      <c r="D12" s="90">
        <f>'Agency Assumptions'!D12</f>
        <v>2</v>
      </c>
      <c r="E12" s="90">
        <f>'Agency Assumptions'!E12</f>
        <v>0</v>
      </c>
      <c r="F12" s="90">
        <f>'Agency Assumptions'!F12</f>
        <v>2</v>
      </c>
      <c r="G12" s="19">
        <f>'Agency Assumptions'!C28</f>
        <v>40</v>
      </c>
      <c r="H12" s="19">
        <f>'Agency Assumptions'!D28</f>
        <v>40</v>
      </c>
      <c r="I12" s="19">
        <f>'Agency Assumptions'!E28</f>
        <v>40</v>
      </c>
      <c r="J12" s="19">
        <f t="shared" si="18"/>
        <v>160</v>
      </c>
      <c r="K12" s="19">
        <f t="shared" si="19"/>
        <v>160</v>
      </c>
      <c r="L12" s="19">
        <f t="shared" si="20"/>
        <v>160</v>
      </c>
      <c r="N12" s="15">
        <f t="shared" si="3"/>
        <v>0</v>
      </c>
      <c r="O12" s="15">
        <f t="shared" si="4"/>
        <v>0</v>
      </c>
      <c r="P12" s="15">
        <f t="shared" si="5"/>
        <v>0</v>
      </c>
      <c r="Q12" s="15">
        <f t="shared" si="6"/>
        <v>6551.2</v>
      </c>
      <c r="R12" s="15">
        <f t="shared" si="7"/>
        <v>6551.2</v>
      </c>
      <c r="S12" s="15">
        <f t="shared" si="8"/>
        <v>6551.2</v>
      </c>
      <c r="T12" s="15">
        <f t="shared" si="9"/>
        <v>0</v>
      </c>
      <c r="U12" s="15">
        <f t="shared" si="10"/>
        <v>0</v>
      </c>
      <c r="V12" s="15">
        <f t="shared" si="11"/>
        <v>0</v>
      </c>
      <c r="W12" s="15">
        <f t="shared" si="12"/>
        <v>10441.599999999999</v>
      </c>
      <c r="X12" s="15">
        <f t="shared" si="13"/>
        <v>10441.599999999999</v>
      </c>
      <c r="Y12" s="15">
        <f t="shared" si="14"/>
        <v>10441.599999999999</v>
      </c>
      <c r="Z12" s="15">
        <f t="shared" si="21"/>
        <v>16992.8</v>
      </c>
      <c r="AA12" s="15">
        <f t="shared" si="22"/>
        <v>16992.8</v>
      </c>
      <c r="AB12" s="15">
        <f t="shared" si="23"/>
        <v>16992.8</v>
      </c>
    </row>
    <row r="13" spans="1:32" x14ac:dyDescent="0.25">
      <c r="B13" s="18" t="str">
        <f>'Agency Assumptions'!B13</f>
        <v>Conduct Stakeholder Outreach Efforts</v>
      </c>
      <c r="C13" s="90">
        <f>'Agency Assumptions'!C13</f>
        <v>4</v>
      </c>
      <c r="D13" s="90">
        <f>'Agency Assumptions'!D13</f>
        <v>60</v>
      </c>
      <c r="E13" s="90">
        <f>'Agency Assumptions'!E13</f>
        <v>0</v>
      </c>
      <c r="F13" s="90">
        <f>'Agency Assumptions'!F13</f>
        <v>120</v>
      </c>
      <c r="G13" s="19">
        <f>'Agency Assumptions'!C29</f>
        <v>1</v>
      </c>
      <c r="H13" s="19">
        <f>'Agency Assumptions'!D29</f>
        <v>1</v>
      </c>
      <c r="I13" s="19">
        <f>'Agency Assumptions'!E29</f>
        <v>1</v>
      </c>
      <c r="J13" s="19">
        <f t="shared" si="18"/>
        <v>184</v>
      </c>
      <c r="K13" s="19">
        <f t="shared" si="19"/>
        <v>184</v>
      </c>
      <c r="L13" s="19">
        <f t="shared" si="20"/>
        <v>184</v>
      </c>
      <c r="N13" s="15">
        <f t="shared" si="3"/>
        <v>455.36</v>
      </c>
      <c r="O13" s="15">
        <f t="shared" si="4"/>
        <v>455.36</v>
      </c>
      <c r="P13" s="15">
        <f t="shared" si="5"/>
        <v>455.36</v>
      </c>
      <c r="Q13" s="15">
        <f t="shared" si="6"/>
        <v>4913.3999999999996</v>
      </c>
      <c r="R13" s="15">
        <f t="shared" si="7"/>
        <v>4913.3999999999996</v>
      </c>
      <c r="S13" s="15">
        <f t="shared" si="8"/>
        <v>4913.3999999999996</v>
      </c>
      <c r="T13" s="15">
        <f t="shared" si="9"/>
        <v>0</v>
      </c>
      <c r="U13" s="15">
        <f t="shared" si="10"/>
        <v>0</v>
      </c>
      <c r="V13" s="15">
        <f t="shared" si="11"/>
        <v>0</v>
      </c>
      <c r="W13" s="15">
        <f t="shared" si="12"/>
        <v>15662.399999999998</v>
      </c>
      <c r="X13" s="15">
        <f t="shared" si="13"/>
        <v>15662.399999999998</v>
      </c>
      <c r="Y13" s="15">
        <f t="shared" si="14"/>
        <v>15662.399999999998</v>
      </c>
      <c r="Z13" s="15">
        <f t="shared" si="21"/>
        <v>21031.159999999996</v>
      </c>
      <c r="AA13" s="15">
        <f t="shared" si="22"/>
        <v>21031.159999999996</v>
      </c>
      <c r="AB13" s="15">
        <f t="shared" si="23"/>
        <v>21031.159999999996</v>
      </c>
    </row>
    <row r="14" spans="1:32" x14ac:dyDescent="0.25">
      <c r="B14" s="18" t="str">
        <f>'Agency Assumptions'!B14</f>
        <v>Maintain the Data Tracking System</v>
      </c>
      <c r="C14" s="90">
        <f>'Agency Assumptions'!C14</f>
        <v>40</v>
      </c>
      <c r="D14" s="90">
        <f>'Agency Assumptions'!D14</f>
        <v>750</v>
      </c>
      <c r="E14" s="90">
        <f>'Agency Assumptions'!E14</f>
        <v>0</v>
      </c>
      <c r="F14" s="90">
        <f>'Agency Assumptions'!F14</f>
        <v>1800</v>
      </c>
      <c r="G14" s="19">
        <f>'Agency Assumptions'!C30</f>
        <v>1</v>
      </c>
      <c r="H14" s="19">
        <f>'Agency Assumptions'!D30</f>
        <v>1</v>
      </c>
      <c r="I14" s="19">
        <f>'Agency Assumptions'!E30</f>
        <v>1</v>
      </c>
      <c r="J14" s="19">
        <f t="shared" si="18"/>
        <v>2590</v>
      </c>
      <c r="K14" s="19">
        <f t="shared" si="19"/>
        <v>2590</v>
      </c>
      <c r="L14" s="19">
        <f t="shared" si="20"/>
        <v>2590</v>
      </c>
      <c r="N14" s="15">
        <f t="shared" si="3"/>
        <v>4553.6000000000004</v>
      </c>
      <c r="O14" s="15">
        <f t="shared" si="4"/>
        <v>4553.6000000000004</v>
      </c>
      <c r="P14" s="15">
        <f t="shared" si="5"/>
        <v>4553.6000000000004</v>
      </c>
      <c r="Q14" s="15">
        <f t="shared" si="6"/>
        <v>61417.5</v>
      </c>
      <c r="R14" s="15">
        <f t="shared" si="7"/>
        <v>61417.5</v>
      </c>
      <c r="S14" s="15">
        <f t="shared" si="8"/>
        <v>61417.5</v>
      </c>
      <c r="T14" s="15">
        <f t="shared" si="9"/>
        <v>0</v>
      </c>
      <c r="U14" s="15">
        <f t="shared" si="10"/>
        <v>0</v>
      </c>
      <c r="V14" s="15">
        <f t="shared" si="11"/>
        <v>0</v>
      </c>
      <c r="W14" s="15">
        <f t="shared" si="12"/>
        <v>234935.99999999997</v>
      </c>
      <c r="X14" s="15">
        <f t="shared" si="13"/>
        <v>234935.99999999997</v>
      </c>
      <c r="Y14" s="15">
        <f t="shared" si="14"/>
        <v>234935.99999999997</v>
      </c>
      <c r="Z14" s="15">
        <f t="shared" si="21"/>
        <v>300907.09999999998</v>
      </c>
      <c r="AA14" s="15">
        <f t="shared" si="22"/>
        <v>300907.09999999998</v>
      </c>
      <c r="AB14" s="15">
        <f t="shared" si="23"/>
        <v>300907.09999999998</v>
      </c>
    </row>
    <row r="15" spans="1:32" x14ac:dyDescent="0.25">
      <c r="B15" s="18" t="str">
        <f>'Agency Assumptions'!B15</f>
        <v>Review Import Data Submitted in ACE</v>
      </c>
      <c r="C15" s="90">
        <f>'Agency Assumptions'!C15</f>
        <v>0.01</v>
      </c>
      <c r="D15" s="90">
        <f>'Agency Assumptions'!D15</f>
        <v>0.25</v>
      </c>
      <c r="E15" s="90">
        <f>'Agency Assumptions'!E15</f>
        <v>0</v>
      </c>
      <c r="F15" s="90">
        <f>'Agency Assumptions'!F15</f>
        <v>0.1</v>
      </c>
      <c r="G15" s="19">
        <f>'Agency Assumptions'!C31</f>
        <v>64</v>
      </c>
      <c r="H15" s="19">
        <f>'Agency Assumptions'!D31</f>
        <v>64</v>
      </c>
      <c r="I15" s="19">
        <f>'Agency Assumptions'!E31</f>
        <v>64</v>
      </c>
      <c r="J15" s="19">
        <f t="shared" si="18"/>
        <v>23.04</v>
      </c>
      <c r="K15" s="19">
        <f t="shared" si="19"/>
        <v>23.04</v>
      </c>
      <c r="L15" s="19">
        <f t="shared" si="20"/>
        <v>23.04</v>
      </c>
      <c r="N15" s="15">
        <f t="shared" si="3"/>
        <v>72.857600000000005</v>
      </c>
      <c r="O15" s="15">
        <f t="shared" si="4"/>
        <v>72.857600000000005</v>
      </c>
      <c r="P15" s="15">
        <f t="shared" si="5"/>
        <v>72.857600000000005</v>
      </c>
      <c r="Q15" s="15">
        <f t="shared" si="6"/>
        <v>1310.24</v>
      </c>
      <c r="R15" s="15">
        <f t="shared" si="7"/>
        <v>1310.24</v>
      </c>
      <c r="S15" s="15">
        <f t="shared" si="8"/>
        <v>1310.24</v>
      </c>
      <c r="T15" s="15">
        <f t="shared" si="9"/>
        <v>0</v>
      </c>
      <c r="U15" s="15">
        <f t="shared" si="10"/>
        <v>0</v>
      </c>
      <c r="V15" s="15">
        <f t="shared" si="11"/>
        <v>0</v>
      </c>
      <c r="W15" s="15">
        <f t="shared" si="12"/>
        <v>835.32799999999997</v>
      </c>
      <c r="X15" s="15">
        <f t="shared" si="13"/>
        <v>835.32799999999997</v>
      </c>
      <c r="Y15" s="15">
        <f t="shared" si="14"/>
        <v>835.32799999999997</v>
      </c>
      <c r="Z15" s="15">
        <f t="shared" si="21"/>
        <v>2218.4256</v>
      </c>
      <c r="AA15" s="15">
        <f t="shared" si="22"/>
        <v>2218.4256</v>
      </c>
      <c r="AB15" s="15">
        <f t="shared" si="23"/>
        <v>2218.4256</v>
      </c>
    </row>
    <row r="16" spans="1:32" x14ac:dyDescent="0.25">
      <c r="B16" s="18" t="str">
        <f>'Agency Assumptions'!B16</f>
        <v>Conduct Compliance Monitoring Activities</v>
      </c>
      <c r="C16" s="90">
        <f>'Agency Assumptions'!C16</f>
        <v>120</v>
      </c>
      <c r="D16" s="90">
        <f>'Agency Assumptions'!D16</f>
        <v>2500</v>
      </c>
      <c r="E16" s="90">
        <f>'Agency Assumptions'!E16</f>
        <v>0</v>
      </c>
      <c r="F16" s="90">
        <f>'Agency Assumptions'!F16</f>
        <v>750</v>
      </c>
      <c r="G16" s="19">
        <f>'Agency Assumptions'!C32</f>
        <v>2</v>
      </c>
      <c r="H16" s="19">
        <f>'Agency Assumptions'!D32</f>
        <v>2</v>
      </c>
      <c r="I16" s="19">
        <f>'Agency Assumptions'!E32</f>
        <v>2</v>
      </c>
      <c r="J16" s="19">
        <f t="shared" si="18"/>
        <v>6740</v>
      </c>
      <c r="K16" s="19">
        <f t="shared" si="19"/>
        <v>6740</v>
      </c>
      <c r="L16" s="19">
        <f t="shared" si="20"/>
        <v>6740</v>
      </c>
      <c r="N16" s="15">
        <f t="shared" si="3"/>
        <v>27321.600000000002</v>
      </c>
      <c r="O16" s="15">
        <f t="shared" si="4"/>
        <v>27321.600000000002</v>
      </c>
      <c r="P16" s="15">
        <f t="shared" si="5"/>
        <v>27321.600000000002</v>
      </c>
      <c r="Q16" s="15">
        <f t="shared" si="6"/>
        <v>409450</v>
      </c>
      <c r="R16" s="15">
        <f t="shared" si="7"/>
        <v>409450</v>
      </c>
      <c r="S16" s="15">
        <f t="shared" si="8"/>
        <v>409450</v>
      </c>
      <c r="T16" s="15">
        <f t="shared" si="9"/>
        <v>0</v>
      </c>
      <c r="U16" s="15">
        <f t="shared" si="10"/>
        <v>0</v>
      </c>
      <c r="V16" s="15">
        <f t="shared" si="11"/>
        <v>0</v>
      </c>
      <c r="W16" s="15">
        <f t="shared" si="12"/>
        <v>195779.99999999997</v>
      </c>
      <c r="X16" s="15">
        <f t="shared" si="13"/>
        <v>195779.99999999997</v>
      </c>
      <c r="Y16" s="15">
        <f t="shared" si="14"/>
        <v>195779.99999999997</v>
      </c>
      <c r="Z16" s="15">
        <f t="shared" si="21"/>
        <v>632551.6</v>
      </c>
      <c r="AA16" s="15">
        <f t="shared" si="22"/>
        <v>632551.6</v>
      </c>
      <c r="AB16" s="15">
        <f t="shared" si="23"/>
        <v>632551.6</v>
      </c>
    </row>
    <row r="17" spans="2:30" x14ac:dyDescent="0.25">
      <c r="B17" s="18" t="str">
        <f>'Agency Assumptions'!B17</f>
        <v>Ensure Non-Exceedance of AIM Act Limits</v>
      </c>
      <c r="C17" s="90">
        <f>'Agency Assumptions'!C17</f>
        <v>20</v>
      </c>
      <c r="D17" s="90">
        <f>'Agency Assumptions'!D17</f>
        <v>80</v>
      </c>
      <c r="E17" s="90">
        <f>'Agency Assumptions'!E17</f>
        <v>0</v>
      </c>
      <c r="F17" s="90">
        <f>'Agency Assumptions'!F17</f>
        <v>80</v>
      </c>
      <c r="G17" s="19">
        <f>'Agency Assumptions'!C33</f>
        <v>1</v>
      </c>
      <c r="H17" s="19">
        <f>'Agency Assumptions'!D33</f>
        <v>1</v>
      </c>
      <c r="I17" s="19">
        <f>'Agency Assumptions'!E33</f>
        <v>1</v>
      </c>
      <c r="J17" s="19">
        <f t="shared" si="18"/>
        <v>180</v>
      </c>
      <c r="K17" s="19">
        <f t="shared" si="19"/>
        <v>180</v>
      </c>
      <c r="L17" s="19">
        <f t="shared" si="20"/>
        <v>180</v>
      </c>
      <c r="N17" s="15">
        <f t="shared" si="3"/>
        <v>2276.8000000000002</v>
      </c>
      <c r="O17" s="15">
        <f t="shared" si="4"/>
        <v>2276.8000000000002</v>
      </c>
      <c r="P17" s="15">
        <f t="shared" si="5"/>
        <v>2276.8000000000002</v>
      </c>
      <c r="Q17" s="15">
        <f t="shared" si="6"/>
        <v>6551.2</v>
      </c>
      <c r="R17" s="15">
        <f t="shared" si="7"/>
        <v>6551.2</v>
      </c>
      <c r="S17" s="15">
        <f t="shared" si="8"/>
        <v>6551.2</v>
      </c>
      <c r="T17" s="15">
        <f t="shared" si="9"/>
        <v>0</v>
      </c>
      <c r="U17" s="15">
        <f t="shared" si="10"/>
        <v>0</v>
      </c>
      <c r="V17" s="15">
        <f t="shared" si="11"/>
        <v>0</v>
      </c>
      <c r="W17" s="15">
        <f t="shared" si="12"/>
        <v>10441.599999999999</v>
      </c>
      <c r="X17" s="15">
        <f t="shared" si="13"/>
        <v>10441.599999999999</v>
      </c>
      <c r="Y17" s="15">
        <f t="shared" si="14"/>
        <v>10441.599999999999</v>
      </c>
      <c r="Z17" s="15">
        <f t="shared" si="21"/>
        <v>19269.599999999999</v>
      </c>
      <c r="AA17" s="15">
        <f t="shared" si="22"/>
        <v>19269.599999999999</v>
      </c>
      <c r="AB17" s="15">
        <f t="shared" si="23"/>
        <v>19269.599999999999</v>
      </c>
    </row>
    <row r="18" spans="2:30" x14ac:dyDescent="0.25">
      <c r="B18" s="174" t="s">
        <v>178</v>
      </c>
      <c r="C18" s="174"/>
      <c r="D18" s="174"/>
      <c r="E18" s="174"/>
      <c r="F18" s="174"/>
      <c r="G18" s="174"/>
      <c r="H18" s="174"/>
      <c r="I18" s="174"/>
      <c r="J18" s="125">
        <f>SUM(J5:J17)</f>
        <v>37098.660000000003</v>
      </c>
      <c r="K18" s="125">
        <f>SUM(K5:K17)</f>
        <v>37098.660000000003</v>
      </c>
      <c r="L18" s="125">
        <f>SUM(L5:L17)</f>
        <v>33318.660000000003</v>
      </c>
      <c r="N18" s="26">
        <f t="shared" ref="N18:AB18" si="24">SUM(N5:N17)</f>
        <v>52484.793600000005</v>
      </c>
      <c r="O18" s="26">
        <f t="shared" si="24"/>
        <v>52484.793600000005</v>
      </c>
      <c r="P18" s="26">
        <f t="shared" si="24"/>
        <v>49069.593600000007</v>
      </c>
      <c r="Q18" s="26">
        <f t="shared" si="24"/>
        <v>997479.16079999995</v>
      </c>
      <c r="R18" s="26">
        <f t="shared" si="24"/>
        <v>997479.16079999995</v>
      </c>
      <c r="S18" s="26">
        <f t="shared" si="24"/>
        <v>936061.66079999995</v>
      </c>
      <c r="T18" s="26">
        <f t="shared" si="24"/>
        <v>0</v>
      </c>
      <c r="U18" s="26">
        <f t="shared" si="24"/>
        <v>0</v>
      </c>
      <c r="V18" s="26">
        <f t="shared" si="24"/>
        <v>0</v>
      </c>
      <c r="W18" s="26">
        <f t="shared" si="24"/>
        <v>3192114.5879999995</v>
      </c>
      <c r="X18" s="26">
        <f t="shared" si="24"/>
        <v>3192114.5879999995</v>
      </c>
      <c r="Y18" s="26">
        <f t="shared" si="24"/>
        <v>2800554.5879999995</v>
      </c>
      <c r="Z18" s="26">
        <f t="shared" si="24"/>
        <v>4242078.5423999997</v>
      </c>
      <c r="AA18" s="26">
        <f t="shared" si="24"/>
        <v>4242078.5423999997</v>
      </c>
      <c r="AB18" s="26">
        <f t="shared" si="24"/>
        <v>3785685.8424000004</v>
      </c>
    </row>
    <row r="19" spans="2:30" s="22" customFormat="1" x14ac:dyDescent="0.25">
      <c r="B19" s="175" t="s">
        <v>132</v>
      </c>
      <c r="C19" s="175"/>
      <c r="D19" s="175"/>
      <c r="E19" s="175"/>
      <c r="F19" s="175"/>
      <c r="G19" s="175"/>
      <c r="H19" s="175"/>
      <c r="I19" s="175"/>
      <c r="J19" s="172">
        <f>SUM(J18:L18)</f>
        <v>107515.98000000001</v>
      </c>
      <c r="K19" s="172"/>
      <c r="L19" s="172"/>
      <c r="M19"/>
      <c r="N19" s="179">
        <f>SUM(N18:P18)</f>
        <v>154039.18080000003</v>
      </c>
      <c r="O19" s="179"/>
      <c r="P19" s="179"/>
      <c r="Q19" s="179">
        <f>SUM(Q18:S18)</f>
        <v>2931019.9824000001</v>
      </c>
      <c r="R19" s="179"/>
      <c r="S19" s="179"/>
      <c r="T19" s="179">
        <f>SUM(T18:V18)</f>
        <v>0</v>
      </c>
      <c r="U19" s="179"/>
      <c r="V19" s="179"/>
      <c r="W19" s="179">
        <f>SUM(W18:Y18)</f>
        <v>9184783.7639999986</v>
      </c>
      <c r="X19" s="179"/>
      <c r="Y19" s="179"/>
      <c r="Z19" s="179">
        <f>SUM(Z18:AB18)</f>
        <v>12269842.927200001</v>
      </c>
      <c r="AA19" s="179"/>
      <c r="AB19" s="179"/>
    </row>
    <row r="20" spans="2:30" x14ac:dyDescent="0.25">
      <c r="B20" s="176" t="s">
        <v>125</v>
      </c>
      <c r="C20" s="177"/>
      <c r="D20" s="177"/>
      <c r="E20" s="177"/>
      <c r="F20" s="177"/>
      <c r="G20" s="177"/>
      <c r="H20" s="177"/>
      <c r="I20" s="178"/>
      <c r="J20" s="173">
        <f>AVERAGE(J18:L18)</f>
        <v>35838.660000000003</v>
      </c>
      <c r="K20" s="173"/>
      <c r="L20" s="173"/>
      <c r="N20" s="179">
        <f>AVERAGE(N18:P18)</f>
        <v>51346.39360000001</v>
      </c>
      <c r="O20" s="179"/>
      <c r="P20" s="179"/>
      <c r="Q20" s="179">
        <f>AVERAGE(Q18:S18)</f>
        <v>977006.66080000007</v>
      </c>
      <c r="R20" s="179"/>
      <c r="S20" s="179"/>
      <c r="T20" s="179">
        <f>AVERAGE(T18:V18)</f>
        <v>0</v>
      </c>
      <c r="U20" s="179"/>
      <c r="V20" s="179"/>
      <c r="W20" s="179">
        <f>AVERAGE(W18:Y18)</f>
        <v>3061594.5879999995</v>
      </c>
      <c r="X20" s="179"/>
      <c r="Y20" s="179"/>
      <c r="Z20" s="179">
        <f>AVERAGE(Z18:AB18)</f>
        <v>4089947.6424000002</v>
      </c>
      <c r="AA20" s="179"/>
      <c r="AB20" s="179"/>
    </row>
    <row r="21" spans="2:30" x14ac:dyDescent="0.25">
      <c r="AD21" s="56"/>
    </row>
    <row r="22" spans="2:30" x14ac:dyDescent="0.25">
      <c r="B22" s="6" t="s">
        <v>179</v>
      </c>
      <c r="C22" s="7"/>
      <c r="D22" s="8"/>
      <c r="E22" s="7"/>
      <c r="F22" s="9"/>
    </row>
    <row r="23" spans="2:30" x14ac:dyDescent="0.25">
      <c r="B23" s="10" t="s">
        <v>180</v>
      </c>
      <c r="C23" s="10" t="s">
        <v>181</v>
      </c>
      <c r="D23" s="11">
        <v>71.150000000000006</v>
      </c>
      <c r="E23" s="10">
        <v>1.6</v>
      </c>
      <c r="F23" s="12">
        <f>ROUND(D23*E23,2)</f>
        <v>113.84</v>
      </c>
    </row>
    <row r="24" spans="2:30" x14ac:dyDescent="0.25">
      <c r="B24" s="1" t="s">
        <v>182</v>
      </c>
      <c r="C24" s="10" t="s">
        <v>183</v>
      </c>
      <c r="D24" s="11">
        <v>51.18</v>
      </c>
      <c r="E24" s="10">
        <v>1.6</v>
      </c>
      <c r="F24" s="12">
        <f>ROUND(D24*E24,2)</f>
        <v>81.89</v>
      </c>
    </row>
    <row r="25" spans="2:30" x14ac:dyDescent="0.25">
      <c r="B25" s="1" t="s">
        <v>184</v>
      </c>
      <c r="C25" s="13" t="s">
        <v>185</v>
      </c>
      <c r="D25" s="11">
        <v>49.04</v>
      </c>
      <c r="E25" s="10">
        <v>1.6</v>
      </c>
      <c r="F25" s="12">
        <f>ROUND(D25*E25,2)</f>
        <v>78.459999999999994</v>
      </c>
    </row>
    <row r="26" spans="2:30" x14ac:dyDescent="0.25">
      <c r="B26" s="1" t="s">
        <v>186</v>
      </c>
      <c r="C26" s="1"/>
      <c r="D26" s="1"/>
      <c r="E26" s="1"/>
      <c r="F26" s="27">
        <f>(164.13+96.91)/2</f>
        <v>130.51999999999998</v>
      </c>
    </row>
    <row r="28" spans="2:30" x14ac:dyDescent="0.25">
      <c r="B28" s="2"/>
      <c r="T28" s="56"/>
    </row>
    <row r="30" spans="2:30" ht="14.25" customHeight="1" x14ac:dyDescent="0.25"/>
    <row r="31" spans="2:30" ht="18.399999999999999" customHeight="1" x14ac:dyDescent="0.25"/>
    <row r="32" spans="2:30" ht="15" customHeight="1" x14ac:dyDescent="0.25"/>
  </sheetData>
  <mergeCells count="30">
    <mergeCell ref="AD3:AD4"/>
    <mergeCell ref="AE3:AE4"/>
    <mergeCell ref="AF3:AF4"/>
    <mergeCell ref="W19:Y19"/>
    <mergeCell ref="W20:Y20"/>
    <mergeCell ref="Z19:AB19"/>
    <mergeCell ref="Z20:AB20"/>
    <mergeCell ref="W3:Y3"/>
    <mergeCell ref="Z3:AB3"/>
    <mergeCell ref="N19:P19"/>
    <mergeCell ref="N20:P20"/>
    <mergeCell ref="Q19:S19"/>
    <mergeCell ref="Q20:S20"/>
    <mergeCell ref="T19:V19"/>
    <mergeCell ref="T20:V20"/>
    <mergeCell ref="J19:L19"/>
    <mergeCell ref="J20:L20"/>
    <mergeCell ref="B18:I18"/>
    <mergeCell ref="B19:I19"/>
    <mergeCell ref="B20:I20"/>
    <mergeCell ref="B3:B4"/>
    <mergeCell ref="C3:C4"/>
    <mergeCell ref="D3:D4"/>
    <mergeCell ref="E3:E4"/>
    <mergeCell ref="F3:F4"/>
    <mergeCell ref="G3:I3"/>
    <mergeCell ref="J3:L3"/>
    <mergeCell ref="N3:P3"/>
    <mergeCell ref="Q3:S3"/>
    <mergeCell ref="T3:V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B04EF5C753074E8F20D27BC3DE7DE2" ma:contentTypeVersion="15" ma:contentTypeDescription="Create a new document." ma:contentTypeScope="" ma:versionID="dfcb032647f8b8e5710ba01a277cb319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20af4edb-1540-4aba-b7d0-294715a11a7a" xmlns:ns6="8c57eaaf-0617-4b5e-abd8-c9c87ce9c094" targetNamespace="http://schemas.microsoft.com/office/2006/metadata/properties" ma:root="true" ma:fieldsID="56cecd99f9ed5132c271b06dbc393c49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20af4edb-1540-4aba-b7d0-294715a11a7a"/>
    <xsd:import namespace="8c57eaaf-0617-4b5e-abd8-c9c87ce9c094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6:SharedWithUsers" minOccurs="0"/>
                <xsd:element ref="ns6:SharedWithDetails" minOccurs="0"/>
                <xsd:element ref="ns5:MediaServiceDateTaken" minOccurs="0"/>
                <xsd:element ref="ns1:_ip_UnifiedCompliancePolicyProperties" minOccurs="0"/>
                <xsd:element ref="ns1:_ip_UnifiedCompliancePolicyUIAction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bad415ec-5cf2-480c-84ea-8d7bd9371bca}" ma:internalName="TaxCatchAllLabel" ma:readOnly="true" ma:showField="CatchAllDataLabel" ma:web="8c57eaaf-0617-4b5e-abd8-c9c87ce9c0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bad415ec-5cf2-480c-84ea-8d7bd9371bca}" ma:internalName="TaxCatchAll" ma:showField="CatchAllData" ma:web="8c57eaaf-0617-4b5e-abd8-c9c87ce9c0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4edb-1540-4aba-b7d0-294715a11a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7eaaf-0617-4b5e-abd8-c9c87ce9c094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c57eaaf-0617-4b5e-abd8-c9c87ce9c094">
      <UserInfo>
        <DisplayName>Kuntal Merchant</DisplayName>
        <AccountId>14</AccountId>
        <AccountType/>
      </UserInfo>
      <UserInfo>
        <DisplayName>Akerman, Nancy</DisplayName>
        <AccountId>30</AccountId>
        <AccountType/>
      </UserInfo>
      <UserInfo>
        <DisplayName>Arling, Jeremy</DisplayName>
        <AccountId>25</AccountId>
        <AccountType/>
      </UserInfo>
      <UserInfo>
        <DisplayName>SharingLinks.007412e8-17b7-4b00-bb19-b68ffea9c922.Flexible.3b79b8c7-0fa7-4345-a58b-6b66953b3f6d</DisplayName>
        <AccountId>95</AccountId>
        <AccountType/>
      </UserInfo>
      <UserInfo>
        <DisplayName>SharingLinks.43bd346e-f32d-4b83-9653-296475c63f91.Flexible.b6d2183d-5ade-4188-908d-e1400a4156b6</DisplayName>
        <AccountId>33</AccountId>
        <AccountType/>
      </UserInfo>
      <UserInfo>
        <DisplayName>SharingLinks.ccbb858d-3b5c-422c-924e-59d02ab94acb.Flexible.3ec0d7fc-aa25-46a6-9659-8e27600483c6</DisplayName>
        <AccountId>106</AccountId>
        <AccountType/>
      </UserInfo>
      <UserInfo>
        <DisplayName>Hall-Jordan, Luke</DisplayName>
        <AccountId>22</AccountId>
        <AccountType/>
      </UserInfo>
      <UserInfo>
        <DisplayName>Bianco, Karen</DisplayName>
        <AccountId>41</AccountId>
        <AccountType/>
      </UserInfo>
      <UserInfo>
        <DisplayName>Neal, Cheri</DisplayName>
        <AccountId>286</AccountId>
        <AccountType/>
      </UserInfo>
      <UserInfo>
        <DisplayName>Feather, John</DisplayName>
        <AccountId>255</AccountId>
        <AccountType/>
      </UserInfo>
    </SharedWithUsers>
    <_Source xmlns="http://schemas.microsoft.com/sharepoint/v3/fields" xsi:nil="true"/>
    <Language xmlns="http://schemas.microsoft.com/sharepoint/v3">English</Language>
    <_ip_UnifiedCompliancePolicyUIAction xmlns="http://schemas.microsoft.com/sharepoint/v3" xsi:nil="true"/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_ip_UnifiedCompliancePolicyProperties xmlns="http://schemas.microsoft.com/sharepoint/v3" xsi:nil="true"/>
    <Rights xmlns="4ffa91fb-a0ff-4ac5-b2db-65c790d184a4" xsi:nil="true"/>
    <Document_x0020_Creation_x0020_Date xmlns="4ffa91fb-a0ff-4ac5-b2db-65c790d184a4">2022-07-03T20:15:04+00:00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lcf76f155ced4ddcb4097134ff3c332f xmlns="20af4edb-1540-4aba-b7d0-294715a11a7a">
      <Terms xmlns="http://schemas.microsoft.com/office/infopath/2007/PartnerControls"/>
    </lcf76f155ced4ddcb4097134ff3c332f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8BED2B-43A7-478B-9DCF-CEECBEFF7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20af4edb-1540-4aba-b7d0-294715a11a7a"/>
    <ds:schemaRef ds:uri="8c57eaaf-0617-4b5e-abd8-c9c87ce9c0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944960-CEE5-415C-8F05-056FEBA7B2E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4E29A97-C7C4-4009-A2FF-51260D2342CF}">
  <ds:schemaRefs>
    <ds:schemaRef ds:uri="http://schemas.microsoft.com/office/2006/documentManagement/types"/>
    <ds:schemaRef ds:uri="http://purl.org/dc/elements/1.1/"/>
    <ds:schemaRef ds:uri="http://schemas.microsoft.com/sharepoint/v3/fields"/>
    <ds:schemaRef ds:uri="8c57eaaf-0617-4b5e-abd8-c9c87ce9c094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20af4edb-1540-4aba-b7d0-294715a11a7a"/>
    <ds:schemaRef ds:uri="http://purl.org/dc/dcmitype/"/>
    <ds:schemaRef ds:uri="http://schemas.openxmlformats.org/package/2006/metadata/core-properties"/>
    <ds:schemaRef ds:uri="http://schemas.microsoft.com/sharepoint.v3"/>
    <ds:schemaRef ds:uri="4ffa91fb-a0ff-4ac5-b2db-65c790d184a4"/>
    <ds:schemaRef ds:uri="http://schemas.microsoft.com/sharepoint/v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6258034F-3D90-4C3B-BAB8-55989AF7A7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Reporting Activity</vt:lpstr>
      <vt:lpstr>Respondent Assumptions</vt:lpstr>
      <vt:lpstr>Respondent Burden - ICR</vt:lpstr>
      <vt:lpstr>Agency Assumptions</vt:lpstr>
      <vt:lpstr>Agency Burden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Oksana Bihun</dc:creator>
  <cp:keywords/>
  <dc:description/>
  <cp:lastModifiedBy>Schultz, Eric</cp:lastModifiedBy>
  <cp:revision/>
  <dcterms:created xsi:type="dcterms:W3CDTF">2021-02-11T15:50:30Z</dcterms:created>
  <dcterms:modified xsi:type="dcterms:W3CDTF">2022-11-03T18:37:07Z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0x0101003EB04EF5C753074E8F20D27BC3DE7DE2</vt:lpwstr>
  </property>
  <property fmtid="{D5CDD505-2E9C-101B-9397-08002B2CF9AE}" pid="3" name="TaxKeyword">
    <vt:lpwstr/>
  </property>
  <property fmtid="{D5CDD505-2E9C-101B-9397-08002B2CF9AE}" pid="4" name="e3f09c3df709400db2417a7161762d62">
    <vt:lpwstr/>
  </property>
  <property fmtid="{D5CDD505-2E9C-101B-9397-08002B2CF9AE}" pid="5" name="EPA_x0020_Subject">
    <vt:lpwstr/>
  </property>
  <property fmtid="{D5CDD505-2E9C-101B-9397-08002B2CF9AE}" pid="6" name="Document Type">
    <vt:lpwstr/>
  </property>
  <property fmtid="{D5CDD505-2E9C-101B-9397-08002B2CF9AE}" pid="7" name="EPA Subject">
    <vt:lpwstr/>
  </property>
  <property fmtid="{D5CDD505-2E9C-101B-9397-08002B2CF9AE}" pid="8" name="MediaServiceImageTags">
    <vt:lpwstr/>
  </property>
</Properties>
</file>