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B2FC23C-C4DF-4D8E-A9FA-DA9579E1A98B}" xr6:coauthVersionLast="47" xr6:coauthVersionMax="47" xr10:uidLastSave="{00000000-0000-0000-0000-000000000000}"/>
  <bookViews>
    <workbookView xWindow="-110" yWindow="-110" windowWidth="19420" windowHeight="10420" xr2:uid="{00000000-000D-0000-FFFF-FFFF00000000}"/>
  </bookViews>
  <sheets>
    <sheet name="Summary" sheetId="3" r:id="rId1"/>
    <sheet name="Industry" sheetId="1" r:id="rId2"/>
    <sheet name="Agency" sheetId="2" r:id="rId3"/>
    <sheet name="Capital O&amp;M" sheetId="4" r:id="rId4"/>
    <sheet name="Responses" sheetId="5" r:id="rId5"/>
    <sheet name="Respondents" sheetId="6" r:id="rId6"/>
  </sheets>
  <definedNames>
    <definedName name="_Hlk11244459" localSheetId="1">Industry!$A$1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3" l="1"/>
  <c r="E7" i="5"/>
  <c r="D8" i="6"/>
  <c r="E9" i="5"/>
  <c r="G6" i="4"/>
  <c r="K22" i="1" l="1"/>
  <c r="B6" i="3"/>
  <c r="B7" i="5" l="1"/>
  <c r="B6" i="5"/>
  <c r="E6" i="5" s="1"/>
  <c r="E5" i="5"/>
  <c r="E10" i="5" s="1"/>
  <c r="E9" i="2" l="1"/>
  <c r="D5" i="4"/>
  <c r="C8" i="6"/>
  <c r="B8" i="6"/>
  <c r="F7" i="6"/>
  <c r="F6" i="6"/>
  <c r="F5" i="6"/>
  <c r="F8" i="6" s="1"/>
  <c r="B3" i="3" s="1"/>
  <c r="G5" i="4"/>
  <c r="D6" i="4" l="1"/>
  <c r="I6" i="4" s="1"/>
  <c r="K21" i="1" l="1"/>
  <c r="K24" i="1" s="1"/>
  <c r="E20" i="1"/>
  <c r="E19" i="1"/>
  <c r="E11" i="2" l="1"/>
  <c r="E10" i="2"/>
  <c r="E38" i="1"/>
  <c r="E37" i="1"/>
  <c r="E35" i="1"/>
  <c r="E34" i="1"/>
  <c r="K14" i="1"/>
  <c r="K15" i="1" s="1"/>
  <c r="K16" i="1" l="1"/>
  <c r="K18" i="1"/>
  <c r="F7" i="2"/>
  <c r="H7" i="2" s="1"/>
  <c r="D13" i="2"/>
  <c r="F13" i="2" s="1"/>
  <c r="D11" i="2"/>
  <c r="D10" i="2"/>
  <c r="F10" i="2" s="1"/>
  <c r="H10" i="2" s="1"/>
  <c r="D9" i="2"/>
  <c r="F9" i="2" s="1"/>
  <c r="D8" i="2"/>
  <c r="F8" i="2" s="1"/>
  <c r="D7" i="2"/>
  <c r="D6" i="2"/>
  <c r="F6" i="2" s="1"/>
  <c r="D38" i="1"/>
  <c r="D37" i="1"/>
  <c r="F37" i="1" s="1"/>
  <c r="H37" i="1" s="1"/>
  <c r="D35" i="1"/>
  <c r="F35" i="1" s="1"/>
  <c r="H35" i="1" s="1"/>
  <c r="D34" i="1"/>
  <c r="F34" i="1" s="1"/>
  <c r="D33" i="1"/>
  <c r="F33" i="1" s="1"/>
  <c r="D26" i="1"/>
  <c r="F26" i="1" s="1"/>
  <c r="D25" i="1"/>
  <c r="F25" i="1" s="1"/>
  <c r="H25" i="1" s="1"/>
  <c r="D22" i="1"/>
  <c r="F22" i="1" s="1"/>
  <c r="D20" i="1"/>
  <c r="D19" i="1"/>
  <c r="D18" i="1"/>
  <c r="F18" i="1" s="1"/>
  <c r="D17" i="1"/>
  <c r="F17" i="1" s="1"/>
  <c r="D16" i="1"/>
  <c r="F16" i="1" s="1"/>
  <c r="D15" i="1"/>
  <c r="F15" i="1" s="1"/>
  <c r="D12" i="1"/>
  <c r="F12" i="1" s="1"/>
  <c r="H34" i="1" l="1"/>
  <c r="H12" i="1"/>
  <c r="G12" i="1"/>
  <c r="I12" i="1" s="1"/>
  <c r="H17" i="1"/>
  <c r="G17" i="1"/>
  <c r="H8" i="2"/>
  <c r="H16" i="1"/>
  <c r="H26" i="1"/>
  <c r="G26" i="1"/>
  <c r="H9" i="2"/>
  <c r="H18" i="1"/>
  <c r="H15" i="1"/>
  <c r="G15" i="1"/>
  <c r="G33" i="1"/>
  <c r="H33" i="1"/>
  <c r="I33" i="1" s="1"/>
  <c r="H13" i="2"/>
  <c r="I13" i="2" s="1"/>
  <c r="G22" i="1"/>
  <c r="H6" i="2"/>
  <c r="G6" i="2"/>
  <c r="I6" i="2"/>
  <c r="F38" i="1"/>
  <c r="F19" i="1"/>
  <c r="H19" i="1" s="1"/>
  <c r="F20" i="1"/>
  <c r="F11" i="2"/>
  <c r="G11" i="2" s="1"/>
  <c r="G13" i="2"/>
  <c r="G10" i="2"/>
  <c r="I10" i="2" s="1"/>
  <c r="G9" i="2"/>
  <c r="G8" i="2"/>
  <c r="G7" i="2"/>
  <c r="I7" i="2" s="1"/>
  <c r="G34" i="1"/>
  <c r="I34" i="1" s="1"/>
  <c r="G37" i="1"/>
  <c r="I37" i="1" s="1"/>
  <c r="G35" i="1"/>
  <c r="I35" i="1" s="1"/>
  <c r="G25" i="1"/>
  <c r="I25" i="1" s="1"/>
  <c r="H22" i="1"/>
  <c r="G18" i="1"/>
  <c r="G16" i="1"/>
  <c r="I8" i="2" l="1"/>
  <c r="F27" i="1"/>
  <c r="H20" i="1"/>
  <c r="G20" i="1"/>
  <c r="G38" i="1"/>
  <c r="H38" i="1"/>
  <c r="I38" i="1" s="1"/>
  <c r="I41" i="1" s="1"/>
  <c r="I17" i="1"/>
  <c r="F14" i="2"/>
  <c r="I9" i="2"/>
  <c r="I14" i="2" s="1"/>
  <c r="I16" i="1"/>
  <c r="I22" i="1"/>
  <c r="I26" i="1"/>
  <c r="H11" i="2"/>
  <c r="I18" i="1"/>
  <c r="I11" i="2"/>
  <c r="G19" i="1"/>
  <c r="I15" i="1"/>
  <c r="I20" i="1"/>
  <c r="F41" i="1" l="1"/>
  <c r="F42" i="1" s="1"/>
  <c r="I19" i="1"/>
  <c r="L42" i="1" l="1"/>
  <c r="K41" i="1"/>
  <c r="I27" i="1"/>
  <c r="I42" i="1" s="1"/>
  <c r="I44" i="1" s="1"/>
  <c r="B5" i="3" s="1"/>
  <c r="B4" i="3"/>
  <c r="B2" i="3"/>
</calcChain>
</file>

<file path=xl/sharedStrings.xml><?xml version="1.0" encoding="utf-8"?>
<sst xmlns="http://schemas.openxmlformats.org/spreadsheetml/2006/main" count="178" uniqueCount="151">
  <si>
    <t>Burden Item</t>
  </si>
  <si>
    <t>1.  Applications</t>
  </si>
  <si>
    <t xml:space="preserve">  a.   Batch vapor and in-line cleaning machines</t>
  </si>
  <si>
    <t>N/A</t>
  </si>
  <si>
    <t xml:space="preserve">  b.   Batch cold cleaning machines</t>
  </si>
  <si>
    <t>2.  Survey and studies</t>
  </si>
  <si>
    <t>3.  Reporting Requirements</t>
  </si>
  <si>
    <t xml:space="preserve"> ii.   Gather existing information</t>
  </si>
  <si>
    <t>iii.   Write Report</t>
  </si>
  <si>
    <t xml:space="preserve">         Initial notification report</t>
  </si>
  <si>
    <t xml:space="preserve">         Initial compliance report</t>
  </si>
  <si>
    <r>
      <t xml:space="preserve">         Performance test results </t>
    </r>
    <r>
      <rPr>
        <vertAlign val="superscript"/>
        <sz val="10"/>
        <color rgb="FF000000"/>
        <rFont val="Times New Roman"/>
        <family val="1"/>
      </rPr>
      <t>d</t>
    </r>
  </si>
  <si>
    <r>
      <t xml:space="preserve">         Annual compliance report </t>
    </r>
    <r>
      <rPr>
        <vertAlign val="superscript"/>
        <sz val="10"/>
        <color rgb="FF000000"/>
        <rFont val="Times New Roman"/>
        <family val="1"/>
      </rPr>
      <t>e</t>
    </r>
  </si>
  <si>
    <r>
      <t xml:space="preserve">         Report with exceedance </t>
    </r>
    <r>
      <rPr>
        <vertAlign val="superscript"/>
        <sz val="10"/>
        <color rgb="FF000000"/>
        <rFont val="Times New Roman"/>
        <family val="1"/>
      </rPr>
      <t>f, g</t>
    </r>
  </si>
  <si>
    <r>
      <t xml:space="preserve">         Report with no exceedance </t>
    </r>
    <r>
      <rPr>
        <vertAlign val="superscript"/>
        <sz val="10"/>
        <color rgb="FF000000"/>
        <rFont val="Times New Roman"/>
        <family val="1"/>
      </rPr>
      <t>f, h</t>
    </r>
  </si>
  <si>
    <t xml:space="preserve"> ii.  Gather existing information</t>
  </si>
  <si>
    <r>
      <t xml:space="preserve"> iii. Write Report </t>
    </r>
    <r>
      <rPr>
        <vertAlign val="superscript"/>
        <sz val="10"/>
        <color rgb="FF000000"/>
        <rFont val="Times New Roman"/>
        <family val="1"/>
      </rPr>
      <t>j</t>
    </r>
  </si>
  <si>
    <t xml:space="preserve">         Initial compliance report  </t>
  </si>
  <si>
    <t>Subtotal for Reporting Requirements</t>
  </si>
  <si>
    <r>
      <t xml:space="preserve">4.  </t>
    </r>
    <r>
      <rPr>
        <b/>
        <sz val="10"/>
        <color rgb="FF000000"/>
        <rFont val="Times New Roman"/>
        <family val="1"/>
      </rPr>
      <t>Recordkeeping Requirements</t>
    </r>
  </si>
  <si>
    <t xml:space="preserve"> ii.  Plan activities</t>
  </si>
  <si>
    <t xml:space="preserve"> iii. Implement activities</t>
  </si>
  <si>
    <r>
      <t xml:space="preserve">        Performance test </t>
    </r>
    <r>
      <rPr>
        <vertAlign val="superscript"/>
        <sz val="10"/>
        <color rgb="FF000000"/>
        <rFont val="Times New Roman"/>
        <family val="1"/>
      </rPr>
      <t>d</t>
    </r>
  </si>
  <si>
    <r>
      <t xml:space="preserve">        Control device monitoring </t>
    </r>
    <r>
      <rPr>
        <vertAlign val="superscript"/>
        <sz val="10"/>
        <color rgb="FF000000"/>
        <rFont val="Times New Roman"/>
        <family val="1"/>
      </rPr>
      <t>k, l</t>
    </r>
  </si>
  <si>
    <r>
      <t xml:space="preserve">        Solvent consumption log </t>
    </r>
    <r>
      <rPr>
        <vertAlign val="superscript"/>
        <sz val="10"/>
        <color rgb="FF000000"/>
        <rFont val="Times New Roman"/>
        <family val="1"/>
      </rPr>
      <t>m</t>
    </r>
  </si>
  <si>
    <t xml:space="preserve"> iv.  Record Data</t>
  </si>
  <si>
    <r>
      <t xml:space="preserve">        Control device monitoring </t>
    </r>
    <r>
      <rPr>
        <vertAlign val="superscript"/>
        <sz val="10"/>
        <color rgb="FF000000"/>
        <rFont val="Times New Roman"/>
        <family val="1"/>
      </rPr>
      <t>l, n</t>
    </r>
  </si>
  <si>
    <r>
      <t xml:space="preserve">        Solvent emission calculation </t>
    </r>
    <r>
      <rPr>
        <vertAlign val="superscript"/>
        <sz val="10"/>
        <color rgb="FF000000"/>
        <rFont val="Times New Roman"/>
        <family val="1"/>
      </rPr>
      <t>m, o</t>
    </r>
  </si>
  <si>
    <r>
      <t xml:space="preserve"> v.  Time to train personnel </t>
    </r>
    <r>
      <rPr>
        <vertAlign val="superscript"/>
        <sz val="10"/>
        <color rgb="FF000000"/>
        <rFont val="Times New Roman"/>
        <family val="1"/>
      </rPr>
      <t>p</t>
    </r>
  </si>
  <si>
    <t xml:space="preserve"> b.   Batch cold cleaning machines</t>
  </si>
  <si>
    <t>Subtotal for Recordkeeping Requirements</t>
  </si>
  <si>
    <t>Assumptions:</t>
  </si>
  <si>
    <r>
      <t>c.</t>
    </r>
    <r>
      <rPr>
        <sz val="10"/>
        <color theme="1"/>
        <rFont val="Times New Roman"/>
        <family val="1"/>
      </rPr>
      <t xml:space="preserve">  We assume it will take 2 hours to read instructions.</t>
    </r>
  </si>
  <si>
    <r>
      <t>d.</t>
    </r>
    <r>
      <rPr>
        <sz val="10"/>
        <color theme="1"/>
        <rFont val="Times New Roman"/>
        <family val="1"/>
      </rPr>
      <t xml:space="preserve">  We estimate that idling emission or dwell test reports will require 80 technical hours, which are divided between the test report (30 hours) and the test itself (50 hours).</t>
    </r>
  </si>
  <si>
    <r>
      <t>f.</t>
    </r>
    <r>
      <rPr>
        <sz val="10"/>
        <color theme="1"/>
        <rFont val="Times New Roman"/>
        <family val="1"/>
      </rPr>
      <t xml:space="preserve">  The burden of one quarterly and one semiannual exceedance report is included in the burden estimate for the annual report.</t>
    </r>
  </si>
  <si>
    <r>
      <t>i.</t>
    </r>
    <r>
      <rPr>
        <sz val="10"/>
        <color theme="1"/>
        <rFont val="Times New Roman"/>
        <family val="1"/>
      </rPr>
      <t xml:space="preserve">  We assume that it will take 0.5 hours to read instructions.</t>
    </r>
  </si>
  <si>
    <r>
      <t>j.</t>
    </r>
    <r>
      <rPr>
        <sz val="10"/>
        <color theme="1"/>
        <rFont val="Times New Roman"/>
        <family val="1"/>
      </rPr>
      <t xml:space="preserve">  We assume that it will take 0.25 hours to write each report.</t>
    </r>
  </si>
  <si>
    <r>
      <t>k.</t>
    </r>
    <r>
      <rPr>
        <sz val="10"/>
        <color theme="1"/>
        <rFont val="Times New Roman"/>
        <family val="1"/>
      </rPr>
      <t xml:space="preserve">  Actual monitoring is conducted weekly, monthly or quarterly for specific control devices.  The estimated time is based on the typical control devices expected to be installed.</t>
    </r>
  </si>
  <si>
    <r>
      <t>l.</t>
    </r>
    <r>
      <rPr>
        <sz val="10"/>
        <color theme="1"/>
        <rFont val="Times New Roman"/>
        <family val="1"/>
      </rPr>
      <t xml:space="preserve">  We assume that 50 percent of the facilities will choose the standard equipment and will be required to conduct control device monitoring.  </t>
    </r>
  </si>
  <si>
    <r>
      <t>m.</t>
    </r>
    <r>
      <rPr>
        <sz val="10"/>
        <color theme="1"/>
        <rFont val="Times New Roman"/>
        <family val="1"/>
      </rPr>
      <t xml:space="preserve">  We assume that 50 percent of the facilities will choose to do solvent consumption monitoring.</t>
    </r>
  </si>
  <si>
    <r>
      <t>p.</t>
    </r>
    <r>
      <rPr>
        <sz val="10"/>
        <color theme="1"/>
        <rFont val="Times New Roman"/>
        <family val="1"/>
      </rPr>
      <t xml:space="preserve">  We assume that no special training requirements are required.</t>
    </r>
  </si>
  <si>
    <t>Report Activity</t>
  </si>
  <si>
    <t>1.  Batch vapor and in-line cleaning machine</t>
  </si>
  <si>
    <t xml:space="preserve">     a.  Initial notification report</t>
  </si>
  <si>
    <t xml:space="preserve">     b.  Initial compliance report</t>
  </si>
  <si>
    <r>
      <t xml:space="preserve">     c.  Performance test results </t>
    </r>
    <r>
      <rPr>
        <vertAlign val="superscript"/>
        <sz val="10"/>
        <color rgb="FF000000"/>
        <rFont val="Times New Roman"/>
        <family val="1"/>
      </rPr>
      <t>b</t>
    </r>
  </si>
  <si>
    <r>
      <t xml:space="preserve">     d.  Annual compliance report </t>
    </r>
    <r>
      <rPr>
        <vertAlign val="superscript"/>
        <sz val="10"/>
        <color rgb="FF000000"/>
        <rFont val="Times New Roman"/>
        <family val="1"/>
      </rPr>
      <t>c</t>
    </r>
  </si>
  <si>
    <r>
      <t xml:space="preserve">         Report with exceedance </t>
    </r>
    <r>
      <rPr>
        <vertAlign val="superscript"/>
        <sz val="10"/>
        <color rgb="FF000000"/>
        <rFont val="Times New Roman"/>
        <family val="1"/>
      </rPr>
      <t>d, e</t>
    </r>
  </si>
  <si>
    <r>
      <t xml:space="preserve">         Report with no exceedance </t>
    </r>
    <r>
      <rPr>
        <vertAlign val="superscript"/>
        <sz val="10"/>
        <color rgb="FF000000"/>
        <rFont val="Times New Roman"/>
        <family val="1"/>
      </rPr>
      <t>d, f</t>
    </r>
  </si>
  <si>
    <t xml:space="preserve">2.  Batch Cold Cleaning Machines          </t>
  </si>
  <si>
    <t xml:space="preserve">    a.  Initial notification/compliance report</t>
  </si>
  <si>
    <r>
      <t>b.</t>
    </r>
    <r>
      <rPr>
        <sz val="10"/>
        <color rgb="FF000000"/>
        <rFont val="Times New Roman"/>
        <family val="1"/>
      </rPr>
      <t xml:space="preserve">  We assume that it will take 8 hours to review performance test results.</t>
    </r>
  </si>
  <si>
    <r>
      <t>c.</t>
    </r>
    <r>
      <rPr>
        <sz val="10"/>
        <color rgb="FF000000"/>
        <rFont val="Times New Roman"/>
        <family val="1"/>
      </rPr>
      <t xml:space="preserve">  All facilities are expected to submit annual compliance reports summarizing either solvent consumption data or monitoring results for each cleaning machine.</t>
    </r>
  </si>
  <si>
    <r>
      <t>d.</t>
    </r>
    <r>
      <rPr>
        <sz val="10"/>
        <color rgb="FF000000"/>
        <rFont val="Times New Roman"/>
        <family val="1"/>
      </rPr>
      <t xml:space="preserve">  The burden of one quarterly and one semiannual exceedance report is included in the burden estimate for the annual report.</t>
    </r>
  </si>
  <si>
    <r>
      <t xml:space="preserve">  i.   Familiarization with the regulatory requirements </t>
    </r>
    <r>
      <rPr>
        <vertAlign val="superscript"/>
        <sz val="10"/>
        <color rgb="FF000000"/>
        <rFont val="Times New Roman"/>
        <family val="1"/>
      </rPr>
      <t>c</t>
    </r>
  </si>
  <si>
    <t xml:space="preserve">  i.  Familiarization with the regulatory requirements</t>
  </si>
  <si>
    <t>hr per resp</t>
  </si>
  <si>
    <t>See 3A(iii) </t>
  </si>
  <si>
    <t>See 3B(iii) </t>
  </si>
  <si>
    <t>See 3A(i) </t>
  </si>
  <si>
    <r>
      <t>q.</t>
    </r>
    <r>
      <rPr>
        <sz val="10"/>
        <color theme="1"/>
        <rFont val="Times New Roman"/>
        <family val="1"/>
      </rPr>
      <t xml:space="preserve">  Totals have been rounded to 3 significant figures. Figures may not add exactly due to rounding.</t>
    </r>
  </si>
  <si>
    <r>
      <t xml:space="preserve">TOTAL COST: </t>
    </r>
    <r>
      <rPr>
        <b/>
        <vertAlign val="superscript"/>
        <sz val="10"/>
        <rFont val="Times New Roman"/>
        <family val="1"/>
      </rPr>
      <t>q</t>
    </r>
  </si>
  <si>
    <r>
      <t xml:space="preserve">Capital and O&amp;M Cost (see Section 6(b)(iii)): </t>
    </r>
    <r>
      <rPr>
        <b/>
        <vertAlign val="superscript"/>
        <sz val="10"/>
        <rFont val="Times New Roman"/>
        <family val="1"/>
      </rPr>
      <t>q</t>
    </r>
  </si>
  <si>
    <r>
      <t xml:space="preserve">TOTAL ANNUAL BURDEN AND COST (rounded) </t>
    </r>
    <r>
      <rPr>
        <b/>
        <vertAlign val="superscript"/>
        <sz val="10"/>
        <color theme="1"/>
        <rFont val="Times New Roman"/>
        <family val="1"/>
      </rPr>
      <t>q</t>
    </r>
  </si>
  <si>
    <r>
      <t>g.</t>
    </r>
    <r>
      <rPr>
        <sz val="10"/>
        <color theme="1"/>
        <rFont val="Times New Roman"/>
        <family val="1"/>
      </rPr>
      <t xml:space="preserve">  Totals have been rounded to 3 significant figures. Figures may not add exactly due to rounding.</t>
    </r>
  </si>
  <si>
    <r>
      <t>TOTAL ANNUAL BURDEN AND COST (rounded) </t>
    </r>
    <r>
      <rPr>
        <b/>
        <vertAlign val="superscript"/>
        <sz val="10"/>
        <color rgb="FF000000"/>
        <rFont val="Times New Roman"/>
        <family val="1"/>
      </rPr>
      <t>g</t>
    </r>
  </si>
  <si>
    <r>
      <t xml:space="preserve">  i.  Familiarize with regulatory requirements </t>
    </r>
    <r>
      <rPr>
        <vertAlign val="superscript"/>
        <sz val="10"/>
        <color rgb="FF000000"/>
        <rFont val="Times New Roman"/>
        <family val="1"/>
      </rPr>
      <t>i</t>
    </r>
  </si>
  <si>
    <t xml:space="preserve">batch and in-line vapor machines </t>
  </si>
  <si>
    <t>cold-cleaning machines</t>
  </si>
  <si>
    <r>
      <t>e.</t>
    </r>
    <r>
      <rPr>
        <sz val="10"/>
        <color theme="1"/>
        <rFont val="Times New Roman"/>
        <family val="1"/>
      </rPr>
      <t xml:space="preserve">  We assume that 768 facilities are required to complete the annual compliance report.</t>
    </r>
  </si>
  <si>
    <r>
      <t>g.</t>
    </r>
    <r>
      <rPr>
        <sz val="10"/>
        <color theme="1"/>
        <rFont val="Times New Roman"/>
        <family val="1"/>
      </rPr>
      <t xml:space="preserve">  We assume that 10 percent of 768 facilities are in exceedance at least one time per year (quarterly reporting).</t>
    </r>
  </si>
  <si>
    <r>
      <t>h.</t>
    </r>
    <r>
      <rPr>
        <sz val="10"/>
        <color theme="1"/>
        <rFont val="Times New Roman"/>
        <family val="1"/>
      </rPr>
      <t xml:space="preserve">  We assume that 90 percent of 768 facilities are not in exceedance (semiannual reporting).</t>
    </r>
  </si>
  <si>
    <r>
      <t>e.</t>
    </r>
    <r>
      <rPr>
        <sz val="10"/>
        <color rgb="FF000000"/>
        <rFont val="Times New Roman"/>
        <family val="1"/>
      </rPr>
      <t xml:space="preserve">  We assume that 10 percent of 768 facilities are in exceedance at least one time per year.</t>
    </r>
  </si>
  <si>
    <r>
      <t>f.</t>
    </r>
    <r>
      <rPr>
        <sz val="10"/>
        <color rgb="FF000000"/>
        <rFont val="Times New Roman"/>
        <family val="1"/>
      </rPr>
      <t xml:space="preserve">  We assume that 90 percent of 768 facilities are not in exceedance.</t>
    </r>
  </si>
  <si>
    <t>Capital/Startup vs. Operation and Maintenance (O&amp;M) Costs</t>
  </si>
  <si>
    <t>Total annual responses</t>
  </si>
  <si>
    <t>Annual Compliance Report</t>
  </si>
  <si>
    <t>Quarterly Exceedance Reports</t>
  </si>
  <si>
    <t>Semiannual exceedance reports</t>
  </si>
  <si>
    <t>Batch cold cleaning - recordkeeping</t>
  </si>
  <si>
    <r>
      <t xml:space="preserve">Table 1: Annual Respondent Burden and Cost </t>
    </r>
    <r>
      <rPr>
        <b/>
        <sz val="12"/>
        <color theme="1"/>
        <rFont val="Times New Roman"/>
        <family val="1"/>
      </rPr>
      <t>– NESHAP for Halogenated Solvent Cleaners/Halogenated Hazardous Air Pollutants (40 CFR Part 63, Subpart T) (Renewal)</t>
    </r>
  </si>
  <si>
    <r>
      <t xml:space="preserve">Table 2: Average Annual EPA Burden </t>
    </r>
    <r>
      <rPr>
        <b/>
        <sz val="12"/>
        <color theme="1"/>
        <rFont val="Times New Roman"/>
        <family val="1"/>
      </rPr>
      <t>and Cost – NESHAP for Halogenated Solvent Cleaners/Halogenated Hazardous Air Pollutants (40 CFR Part 63, Subpart T) (Renewal)</t>
    </r>
  </si>
  <si>
    <t>ICR Summary Information</t>
  </si>
  <si>
    <t>Hours per Response</t>
  </si>
  <si>
    <t>Number of Respondents</t>
  </si>
  <si>
    <t>Total Estimated Burden Hours</t>
  </si>
  <si>
    <t>Total Estimated Costs</t>
  </si>
  <si>
    <t>Annualized Capital O&amp;M</t>
  </si>
  <si>
    <t>Total Annual Responses</t>
  </si>
  <si>
    <t>Form Number</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</si>
  <si>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</si>
  <si>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</si>
  <si>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</si>
  <si>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</si>
  <si>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</si>
  <si>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</si>
  <si>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</si>
  <si>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</si>
  <si>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</si>
  <si>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</si>
  <si>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r>
      <t xml:space="preserve">Number of New  Respondents </t>
    </r>
    <r>
      <rPr>
        <b/>
        <vertAlign val="superscript"/>
        <sz val="10"/>
        <color theme="1"/>
        <rFont val="Times New Roman"/>
        <family val="1"/>
      </rPr>
      <t>a</t>
    </r>
  </si>
  <si>
    <t>Total Capital/Startup Cost,  (B X C)</t>
  </si>
  <si>
    <t>Annual O&amp;M Costs for One Respondent</t>
  </si>
  <si>
    <r>
      <t>Number of Respondents with O&amp;M</t>
    </r>
    <r>
      <rPr>
        <b/>
        <vertAlign val="superscript"/>
        <sz val="10"/>
        <color theme="1"/>
        <rFont val="Times New Roman"/>
        <family val="1"/>
      </rPr>
      <t xml:space="preserve"> b</t>
    </r>
  </si>
  <si>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</si>
  <si>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</si>
  <si>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</si>
  <si>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</si>
  <si>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</si>
  <si>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</si>
  <si>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</si>
  <si>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</si>
  <si>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</si>
  <si>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</si>
  <si>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</si>
  <si>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</si>
  <si>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</si>
  <si>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</si>
  <si>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</si>
  <si>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</si>
  <si>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</si>
  <si>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Temperature monitoring device</t>
  </si>
  <si>
    <r>
      <rPr>
        <vertAlign val="superscript"/>
        <sz val="10"/>
        <color theme="1"/>
        <rFont val="Times New Roman"/>
        <family val="1"/>
      </rPr>
      <t>a</t>
    </r>
    <r>
      <rPr>
        <sz val="10"/>
        <color theme="1"/>
        <rFont val="Times New Roman"/>
        <family val="1"/>
      </rPr>
      <t xml:space="preserve"> Totals have been rounded to 3 significant digits. Figures may not add exactly due to rounding. </t>
    </r>
  </si>
  <si>
    <r>
      <t>Total</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a</t>
    </r>
  </si>
  <si>
    <t>Quarterly exceedance reports</t>
  </si>
  <si>
    <r>
      <t>a.</t>
    </r>
    <r>
      <rPr>
        <sz val="10"/>
        <color theme="1"/>
        <rFont val="Times New Roman"/>
        <family val="1"/>
      </rPr>
      <t xml:space="preserve">  We estimate that an average of 931 existing respondents will be subject to the rule over the three-year period of this ICR.  Of this total, 768 respondents are subject to batch vapor and in-line cleaning machine requirements while </t>
    </r>
    <r>
      <rPr>
        <sz val="10"/>
        <rFont val="Times New Roman"/>
        <family val="1"/>
      </rPr>
      <t>163</t>
    </r>
    <r>
      <rPr>
        <sz val="10"/>
        <color theme="1"/>
        <rFont val="Times New Roman"/>
        <family val="1"/>
      </rPr>
      <t xml:space="preserve"> respondents are subject to batch cold cleaning machine requirements.  No new respondents are expected.</t>
    </r>
  </si>
  <si>
    <t>Batch vapor and in-line cleaning machines:</t>
  </si>
  <si>
    <t>Batch cold cleaning machines:</t>
  </si>
  <si>
    <t>Initial notification report and compliance report</t>
  </si>
  <si>
    <t>Annual compliance report</t>
  </si>
  <si>
    <t>Note: Totals have been rounded to 3 significant figures. Figures may not add exactly due to rounding.</t>
  </si>
  <si>
    <t>Not Applicable</t>
  </si>
  <si>
    <r>
      <t>n.</t>
    </r>
    <r>
      <rPr>
        <sz val="10"/>
        <color theme="1"/>
        <rFont val="Times New Roman"/>
        <family val="1"/>
      </rPr>
      <t xml:space="preserve">  We assume that it will take 1.2 hours per facility to record data.</t>
    </r>
  </si>
  <si>
    <r>
      <t>o.</t>
    </r>
    <r>
      <rPr>
        <sz val="10"/>
        <color theme="1"/>
        <rFont val="Times New Roman"/>
        <family val="1"/>
      </rPr>
      <t xml:space="preserve">  We assume that it will take 0.75 hours per facility to record solvent consumption data.</t>
    </r>
  </si>
  <si>
    <r>
      <rPr>
        <vertAlign val="superscript"/>
        <sz val="10"/>
        <color theme="1"/>
        <rFont val="Times New Roman"/>
        <family val="1"/>
      </rPr>
      <t xml:space="preserve">b. </t>
    </r>
    <r>
      <rPr>
        <sz val="10"/>
        <color theme="1"/>
        <rFont val="Times New Roman"/>
        <family val="1"/>
      </rPr>
      <t>This ICR uses the following labor rates: Managerial $157.61 ($75.05+ 110%);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</si>
  <si>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(A)
Person hours per occurrence</t>
  </si>
  <si>
    <t>(B)
No. of occurrences per respondent per year</t>
  </si>
  <si>
    <t>(C)
Person hours per respondent per year (AxB)</t>
  </si>
  <si>
    <r>
      <t xml:space="preserve">(D)
Respondents per year </t>
    </r>
    <r>
      <rPr>
        <b/>
        <vertAlign val="superscript"/>
        <sz val="10"/>
        <color theme="1"/>
        <rFont val="Times New Roman"/>
        <family val="1"/>
      </rPr>
      <t>a</t>
    </r>
  </si>
  <si>
    <t>(E)
Technical person-hours per year (CxD)</t>
  </si>
  <si>
    <t>(F)
Management person-hours per year (Ex0.05)</t>
  </si>
  <si>
    <t>(G)
Clerical person-hours per year (Ex0.1)</t>
  </si>
  <si>
    <r>
      <t xml:space="preserve">(H)
Total cost per year ($) </t>
    </r>
    <r>
      <rPr>
        <b/>
        <vertAlign val="superscript"/>
        <sz val="10"/>
        <color theme="1"/>
        <rFont val="Times New Roman"/>
        <family val="1"/>
      </rPr>
      <t>b</t>
    </r>
  </si>
  <si>
    <t>(A)
Technical person-hours per occurrence</t>
  </si>
  <si>
    <t>(C)
Technical person-hours per respondent per year (AxB)</t>
  </si>
  <si>
    <t>(D)
Respondents per year</t>
  </si>
  <si>
    <t>(E)
Technical hours per year (CxD)</t>
  </si>
  <si>
    <t>(F)
Management hours per year  (Ex0.05)</t>
  </si>
  <si>
    <t>(G)
Clerical hours per year (Ex0.1)</t>
  </si>
  <si>
    <r>
      <t xml:space="preserve">(H)
Total cost per year ($) </t>
    </r>
    <r>
      <rPr>
        <b/>
        <vertAlign val="superscript"/>
        <sz val="10"/>
        <color theme="1"/>
        <rFont val="Times New Roman"/>
        <family val="1"/>
      </rPr>
      <t>a</t>
    </r>
  </si>
  <si>
    <r>
      <t>a.</t>
    </r>
    <r>
      <rPr>
        <sz val="10"/>
        <color rgb="FF000000"/>
        <rFont val="Times New Roman"/>
        <family val="1"/>
      </rPr>
      <t xml:space="preserve">  This cost is based on the following labor rates which incorporates a 1.6 benefits multiplication factor to account for benefit packages available to government employees:  Managerial rate of $70.56 (GS-13, Step 5, $44.10 + 60%), Technical rate of $52.37 (GS-12, Step 1, $32.73 + 60%), and Clerical rate of $28.34 (GS-6, Step 3, $17.71 + 60%).  These rates are from the Office of Personnel Management (OPM) “2022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</si>
</sst>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3" formatCode="_(* #,##0.00_);_(* \(#,##0.00\);_(* &quot;-&quot;??_);_(@_)"/>
    <numFmt numFmtId="164" formatCode="General_)"/>
    <numFmt numFmtId="165" formatCode="&quot;$&quot;#,##0.00"/>
    <numFmt numFmtId="166" formatCode="&quot;$&quot;#,##0"/>
    <numFmt numFmtId="167" formatCode="_(* #,##0_);_(* \(#,##0\);_(* &quot;-&quot;??_);_(@_)"/>
    <numFmt numFmtId="168" formatCode="#,##0.0"/>
  </numFmts>
  <fonts count="26" x14ac:knownFonts="1">
    <font>
      <sz val="11"/>
      <color theme="1"/>
      <name val="Calibri"/>
      <family val="2"/>
      <scheme val="minor"/>
    </font>
    <font>
      <sz val="11"/>
      <color rgb="FFFF0000"/>
      <name val="Calibri"/>
      <family val="2"/>
      <scheme val="minor"/>
    </font>
    <font>
      <sz val="10"/>
      <color theme="1"/>
      <name val="Times New Roman"/>
      <family val="1"/>
    </font>
    <font>
      <sz val="12"/>
      <color theme="1"/>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vertAlign val="superscript"/>
      <sz val="10"/>
      <color theme="1"/>
      <name val="Times New Roman"/>
      <family val="1"/>
    </font>
    <font>
      <sz val="12"/>
      <color rgb="FF000000"/>
      <name val="Times New Roman"/>
      <family val="1"/>
    </font>
    <font>
      <b/>
      <sz val="8"/>
      <color rgb="FFFF0000"/>
      <name val="Times New Roman"/>
      <family val="1"/>
    </font>
    <font>
      <b/>
      <sz val="10"/>
      <name val="Times New Roman"/>
      <family val="1"/>
    </font>
    <font>
      <sz val="10"/>
      <name val="Calibri"/>
      <family val="2"/>
      <scheme val="minor"/>
    </font>
    <font>
      <b/>
      <vertAlign val="superscript"/>
      <sz val="10"/>
      <name val="Times New Roman"/>
      <family val="1"/>
    </font>
    <font>
      <b/>
      <vertAlign val="superscript"/>
      <sz val="10"/>
      <color rgb="FF000000"/>
      <name val="Times New Roman"/>
      <family val="1"/>
    </font>
    <font>
      <sz val="11"/>
      <color theme="1"/>
      <name val="Calibri"/>
      <family val="2"/>
      <scheme val="minor"/>
    </font>
    <font>
      <sz val="10"/>
      <color rgb="FFFF0000"/>
      <name val="Times New Roman"/>
      <family val="1"/>
    </font>
    <font>
      <b/>
      <sz val="12"/>
      <color theme="1"/>
      <name val="Times New Roman"/>
      <family val="1"/>
    </font>
    <font>
      <b/>
      <sz val="12"/>
      <color rgb="FF000000"/>
      <name val="Times New Roman"/>
      <family val="1"/>
    </font>
    <font>
      <sz val="8"/>
      <name val="Helv"/>
    </font>
    <font>
      <sz val="10"/>
      <name val="Times New Roman"/>
      <family val="1"/>
    </font>
    <font>
      <sz val="10"/>
      <color theme="1"/>
      <name val="Calibri"/>
      <family val="2"/>
      <scheme val="minor"/>
    </font>
    <font>
      <sz val="10"/>
      <color rgb="FFFF0000"/>
      <name val="Calibri"/>
      <family val="2"/>
      <scheme val="minor"/>
    </font>
    <font>
      <sz val="11"/>
      <color rgb="FF7030A0"/>
      <name val="Calibri"/>
      <family val="2"/>
      <scheme val="minor"/>
    </font>
    <font>
      <sz val="10"/>
      <color rgb="FF7030A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9" fontId="16" fillId="0" borderId="0" applyFont="0" applyFill="0" applyBorder="0" applyAlignment="0" applyProtection="0"/>
    <xf numFmtId="164" fontId="20" fillId="0" borderId="0"/>
    <xf numFmtId="43" fontId="16" fillId="0" borderId="0" applyFont="0" applyFill="0" applyBorder="0" applyAlignment="0" applyProtection="0"/>
  </cellStyleXfs>
  <cellXfs count="92">
    <xf numFmtId="0" fontId="0" fillId="0" borderId="0" xfId="0"/>
    <xf numFmtId="0" fontId="6" fillId="0" borderId="0" xfId="0" applyFont="1" applyAlignment="1">
      <alignment vertical="center"/>
    </xf>
    <xf numFmtId="0" fontId="4" fillId="0" borderId="1" xfId="0" applyFont="1" applyBorder="1" applyAlignment="1">
      <alignment horizontal="center" vertical="center" wrapText="1"/>
    </xf>
    <xf numFmtId="0" fontId="6" fillId="0" borderId="1" xfId="0" applyFont="1" applyBorder="1" applyAlignment="1">
      <alignment vertical="center"/>
    </xf>
    <xf numFmtId="0" fontId="2" fillId="0" borderId="1" xfId="0" applyFont="1" applyBorder="1"/>
    <xf numFmtId="0" fontId="6" fillId="0" borderId="1" xfId="0" applyFont="1" applyBorder="1" applyAlignment="1">
      <alignment horizontal="center" vertical="center"/>
    </xf>
    <xf numFmtId="6"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8" fillId="0" borderId="1" xfId="0" applyFont="1" applyBorder="1" applyAlignment="1">
      <alignment vertical="center"/>
    </xf>
    <xf numFmtId="8" fontId="8" fillId="0" borderId="1" xfId="0" applyNumberFormat="1" applyFont="1" applyBorder="1" applyAlignment="1">
      <alignment horizontal="right" vertical="center"/>
    </xf>
    <xf numFmtId="6" fontId="4" fillId="0" borderId="1" xfId="0" applyNumberFormat="1" applyFont="1" applyBorder="1" applyAlignment="1">
      <alignment horizontal="right" vertical="center"/>
    </xf>
    <xf numFmtId="0" fontId="4" fillId="0" borderId="1" xfId="0" applyFont="1" applyBorder="1" applyAlignment="1">
      <alignment horizontal="center" vertical="center"/>
    </xf>
    <xf numFmtId="0" fontId="2" fillId="0" borderId="1" xfId="0" applyFont="1" applyBorder="1" applyAlignment="1"/>
    <xf numFmtId="0" fontId="2" fillId="0" borderId="0" xfId="0" applyFont="1" applyAlignment="1">
      <alignment vertical="center"/>
    </xf>
    <xf numFmtId="0" fontId="9" fillId="0" borderId="0" xfId="0" applyFont="1"/>
    <xf numFmtId="0" fontId="9" fillId="0" borderId="0" xfId="0" applyFont="1" applyAlignment="1">
      <alignment vertical="center"/>
    </xf>
    <xf numFmtId="6" fontId="8" fillId="0" borderId="1" xfId="0" applyNumberFormat="1" applyFont="1" applyBorder="1" applyAlignment="1">
      <alignment horizontal="right" vertical="center"/>
    </xf>
    <xf numFmtId="0" fontId="7" fillId="0" borderId="0" xfId="0" applyFont="1" applyAlignment="1">
      <alignment vertical="center"/>
    </xf>
    <xf numFmtId="0" fontId="10" fillId="0" borderId="0" xfId="0" applyFont="1" applyAlignment="1">
      <alignment horizontal="left" vertical="center" indent="10"/>
    </xf>
    <xf numFmtId="0" fontId="1" fillId="0" borderId="0" xfId="0" applyFont="1"/>
    <xf numFmtId="0" fontId="3"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xf numFmtId="8" fontId="6" fillId="0" borderId="1" xfId="0" applyNumberFormat="1" applyFont="1" applyBorder="1" applyAlignment="1">
      <alignment horizontal="right" vertical="center"/>
    </xf>
    <xf numFmtId="8" fontId="2" fillId="0" borderId="1" xfId="0" applyNumberFormat="1" applyFont="1" applyBorder="1" applyAlignment="1"/>
    <xf numFmtId="0" fontId="0" fillId="0" borderId="0" xfId="0" applyAlignment="1">
      <alignment horizontal="left"/>
    </xf>
    <xf numFmtId="9" fontId="0" fillId="2" borderId="0" xfId="1" applyFont="1" applyFill="1" applyAlignment="1">
      <alignment horizontal="left"/>
    </xf>
    <xf numFmtId="0" fontId="0" fillId="2" borderId="0" xfId="0" applyFill="1" applyAlignment="1">
      <alignment horizontal="left"/>
    </xf>
    <xf numFmtId="1" fontId="0" fillId="2" borderId="0" xfId="0" applyNumberFormat="1" applyFill="1" applyAlignment="1">
      <alignment horizontal="left"/>
    </xf>
    <xf numFmtId="0" fontId="0" fillId="3" borderId="0" xfId="0" applyFill="1"/>
    <xf numFmtId="1" fontId="0" fillId="4" borderId="0" xfId="0" applyNumberFormat="1" applyFill="1"/>
    <xf numFmtId="0" fontId="0" fillId="4" borderId="0" xfId="0" applyFill="1"/>
    <xf numFmtId="0" fontId="1" fillId="3" borderId="0" xfId="0" applyFont="1" applyFill="1"/>
    <xf numFmtId="3" fontId="8" fillId="0" borderId="1" xfId="0" applyNumberFormat="1" applyFont="1" applyBorder="1" applyAlignment="1">
      <alignment horizontal="right" vertical="center"/>
    </xf>
    <xf numFmtId="0" fontId="6" fillId="0" borderId="1" xfId="0" applyFont="1" applyFill="1" applyBorder="1" applyAlignment="1">
      <alignment horizontal="center" vertical="center"/>
    </xf>
    <xf numFmtId="6" fontId="6" fillId="0" borderId="1" xfId="0" applyNumberFormat="1" applyFont="1" applyFill="1" applyBorder="1" applyAlignment="1">
      <alignment horizontal="right" vertical="center"/>
    </xf>
    <xf numFmtId="1" fontId="0" fillId="0" borderId="0" xfId="0" applyNumberFormat="1"/>
    <xf numFmtId="0" fontId="1" fillId="3" borderId="0" xfId="1" applyNumberFormat="1" applyFont="1" applyFill="1"/>
    <xf numFmtId="1" fontId="1" fillId="3" borderId="0" xfId="0" applyNumberFormat="1" applyFont="1" applyFill="1"/>
    <xf numFmtId="0" fontId="19" fillId="0" borderId="0" xfId="0" applyFont="1"/>
    <xf numFmtId="0" fontId="19" fillId="0" borderId="0" xfId="0" applyFont="1" applyAlignment="1">
      <alignment vertical="center"/>
    </xf>
    <xf numFmtId="3" fontId="0" fillId="0" borderId="0" xfId="0" applyNumberFormat="1"/>
    <xf numFmtId="164" fontId="21" fillId="0" borderId="0" xfId="2" applyFont="1" applyAlignment="1">
      <alignment horizontal="center" vertical="center" wrapText="1"/>
    </xf>
    <xf numFmtId="165" fontId="21" fillId="0" borderId="0" xfId="2" applyNumberFormat="1" applyFont="1" applyAlignment="1">
      <alignment horizontal="right" wrapText="1"/>
    </xf>
    <xf numFmtId="0" fontId="22" fillId="0" borderId="0" xfId="0" applyFont="1"/>
    <xf numFmtId="0" fontId="4" fillId="0" borderId="0" xfId="0" applyFont="1" applyAlignment="1">
      <alignment horizontal="center" vertical="center" wrapText="1"/>
    </xf>
    <xf numFmtId="0" fontId="21" fillId="0" borderId="1" xfId="0" applyFont="1" applyBorder="1" applyAlignment="1">
      <alignment horizontal="left" vertical="center" wrapText="1"/>
    </xf>
    <xf numFmtId="6"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6" fontId="4" fillId="0" borderId="0" xfId="0" applyNumberFormat="1" applyFont="1" applyAlignment="1">
      <alignment horizontal="center" vertical="center" wrapText="1"/>
    </xf>
    <xf numFmtId="0" fontId="4" fillId="0" borderId="1" xfId="0" applyFont="1" applyBorder="1" applyAlignment="1">
      <alignment vertical="center" wrapText="1"/>
    </xf>
    <xf numFmtId="6" fontId="4" fillId="0" borderId="1" xfId="0" applyNumberFormat="1" applyFont="1" applyBorder="1" applyAlignment="1">
      <alignment horizontal="center" vertical="center" wrapText="1"/>
    </xf>
    <xf numFmtId="6" fontId="22" fillId="0" borderId="0" xfId="0" applyNumberFormat="1" applyFont="1"/>
    <xf numFmtId="0" fontId="23" fillId="0" borderId="0" xfId="0" applyFont="1" applyAlignment="1">
      <alignment vertical="top"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17" fillId="0" borderId="0" xfId="0" applyFont="1"/>
    <xf numFmtId="1" fontId="2"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66" fontId="0" fillId="0" borderId="0" xfId="0" applyNumberFormat="1"/>
    <xf numFmtId="0" fontId="24" fillId="0" borderId="0" xfId="0" applyFont="1"/>
    <xf numFmtId="0" fontId="25" fillId="0" borderId="0" xfId="0" applyFont="1"/>
    <xf numFmtId="168" fontId="2"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67" fontId="0" fillId="0" borderId="0" xfId="3" applyNumberFormat="1" applyFont="1"/>
    <xf numFmtId="0" fontId="0" fillId="0" borderId="0" xfId="0" applyAlignment="1">
      <alignment horizontal="center"/>
    </xf>
    <xf numFmtId="4"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4" fillId="0" borderId="1" xfId="0" applyFont="1" applyBorder="1" applyAlignment="1">
      <alignment vertical="center"/>
    </xf>
    <xf numFmtId="3" fontId="4" fillId="0" borderId="1" xfId="0" applyNumberFormat="1" applyFont="1" applyBorder="1" applyAlignment="1">
      <alignment horizontal="center" vertical="center"/>
    </xf>
    <xf numFmtId="0" fontId="2" fillId="0" borderId="0" xfId="0" applyFont="1" applyAlignment="1">
      <alignment horizontal="left" vertical="center" wrapText="1"/>
    </xf>
    <xf numFmtId="0" fontId="9" fillId="0" borderId="0" xfId="0" applyFont="1" applyAlignment="1">
      <alignment horizontal="left" vertical="center" wrapText="1"/>
    </xf>
    <xf numFmtId="0" fontId="8" fillId="0" borderId="1" xfId="0" applyFont="1" applyBorder="1" applyAlignment="1">
      <alignment vertical="center"/>
    </xf>
    <xf numFmtId="0" fontId="7"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vertical="top" wrapText="1"/>
    </xf>
    <xf numFmtId="0" fontId="21" fillId="0" borderId="6" xfId="0" applyFont="1" applyBorder="1" applyAlignment="1">
      <alignment horizontal="left" vertical="center" wrapText="1"/>
    </xf>
    <xf numFmtId="0" fontId="21" fillId="0" borderId="3" xfId="0" applyFont="1" applyBorder="1" applyAlignment="1">
      <alignment horizontal="left" vertical="center" wrapText="1"/>
    </xf>
    <xf numFmtId="0" fontId="19"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9"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cellXfs>
  <cellStyles count="4">
    <cellStyle name="Comma" xfId="3" builtinId="3"/>
    <cellStyle name="Normal" xfId="0" builtinId="0"/>
    <cellStyle name="Normal_SSI Burden Estimate BML 060710" xfId="2" xr:uid="{1A2AB053-8DF5-4CC9-B6E4-6C47810C6E3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7D0C-F69D-4F65-B6BD-5458AACA4691}">
  <dimension ref="A1:C8"/>
  <sheetViews>
    <sheetView tabSelected="1" workbookViewId="0">
      <selection activeCell="J9" sqref="J9"/>
    </sheetView>
  </sheetViews>
  <sheetFormatPr defaultRowHeight="14.5" x14ac:dyDescent="0.35"/>
  <cols>
    <col min="1" max="1" width="27.7265625" bestFit="1" customWidth="1"/>
    <col min="2" max="2" width="13.7265625" bestFit="1" customWidth="1"/>
  </cols>
  <sheetData>
    <row r="1" spans="1:3" x14ac:dyDescent="0.35">
      <c r="A1" s="69" t="s">
        <v>82</v>
      </c>
      <c r="B1" s="69"/>
    </row>
    <row r="2" spans="1:3" x14ac:dyDescent="0.35">
      <c r="A2" t="s">
        <v>83</v>
      </c>
      <c r="B2" s="37">
        <f>Industry!K41</f>
        <v>11.946564885496183</v>
      </c>
    </row>
    <row r="3" spans="1:3" x14ac:dyDescent="0.35">
      <c r="A3" t="s">
        <v>84</v>
      </c>
      <c r="B3">
        <f>Respondents!F8</f>
        <v>931</v>
      </c>
      <c r="C3" s="64"/>
    </row>
    <row r="4" spans="1:3" x14ac:dyDescent="0.35">
      <c r="A4" t="s">
        <v>85</v>
      </c>
      <c r="B4" s="42">
        <f>Industry!F42</f>
        <v>31300</v>
      </c>
    </row>
    <row r="5" spans="1:3" x14ac:dyDescent="0.35">
      <c r="A5" t="s">
        <v>86</v>
      </c>
      <c r="B5" s="63">
        <f>Industry!I44</f>
        <v>4420000</v>
      </c>
    </row>
    <row r="6" spans="1:3" x14ac:dyDescent="0.35">
      <c r="A6" t="s">
        <v>87</v>
      </c>
      <c r="B6" s="63">
        <f>Industry!I43</f>
        <v>660000</v>
      </c>
    </row>
    <row r="7" spans="1:3" x14ac:dyDescent="0.35">
      <c r="A7" t="s">
        <v>88</v>
      </c>
      <c r="B7" s="68">
        <f>Responses!E10</f>
        <v>2620</v>
      </c>
    </row>
    <row r="8" spans="1:3" x14ac:dyDescent="0.35">
      <c r="A8" t="s">
        <v>89</v>
      </c>
      <c r="B8" t="s">
        <v>131</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
  <sheetViews>
    <sheetView topLeftCell="A28" zoomScale="90" zoomScaleNormal="90" workbookViewId="0">
      <selection activeCell="K16" sqref="K16"/>
    </sheetView>
  </sheetViews>
  <sheetFormatPr defaultRowHeight="14.5" x14ac:dyDescent="0.35"/>
  <cols>
    <col min="1" max="1" width="41.81640625" customWidth="1"/>
    <col min="2" max="8" width="11.54296875" customWidth="1"/>
    <col min="9" max="9" width="15.1796875" customWidth="1"/>
    <col min="11" max="11" width="27" bestFit="1" customWidth="1"/>
    <col min="12" max="12" width="29.81640625" customWidth="1"/>
  </cols>
  <sheetData>
    <row r="1" spans="1:13" ht="15" x14ac:dyDescent="0.35">
      <c r="A1" s="41" t="s">
        <v>80</v>
      </c>
    </row>
    <row r="2" spans="1:13" x14ac:dyDescent="0.35">
      <c r="F2">
        <v>123.94</v>
      </c>
      <c r="G2">
        <v>157.61000000000001</v>
      </c>
      <c r="H2">
        <v>62.52</v>
      </c>
    </row>
    <row r="3" spans="1:13" ht="78" x14ac:dyDescent="0.35">
      <c r="A3" s="11" t="s">
        <v>0</v>
      </c>
      <c r="B3" s="2" t="s">
        <v>135</v>
      </c>
      <c r="C3" s="2" t="s">
        <v>136</v>
      </c>
      <c r="D3" s="2" t="s">
        <v>137</v>
      </c>
      <c r="E3" s="2" t="s">
        <v>138</v>
      </c>
      <c r="F3" s="2" t="s">
        <v>139</v>
      </c>
      <c r="G3" s="2" t="s">
        <v>140</v>
      </c>
      <c r="H3" s="2" t="s">
        <v>141</v>
      </c>
      <c r="I3" s="2" t="s">
        <v>142</v>
      </c>
    </row>
    <row r="4" spans="1:13" x14ac:dyDescent="0.35">
      <c r="A4" s="3" t="s">
        <v>1</v>
      </c>
      <c r="B4" s="12"/>
      <c r="C4" s="12"/>
      <c r="D4" s="12"/>
      <c r="E4" s="12"/>
      <c r="F4" s="12"/>
      <c r="G4" s="12"/>
      <c r="H4" s="12"/>
      <c r="I4" s="12"/>
    </row>
    <row r="5" spans="1:13" x14ac:dyDescent="0.35">
      <c r="A5" s="3" t="s">
        <v>2</v>
      </c>
      <c r="B5" s="5" t="s">
        <v>3</v>
      </c>
      <c r="C5" s="12"/>
      <c r="D5" s="12"/>
      <c r="E5" s="12"/>
      <c r="F5" s="12"/>
      <c r="G5" s="12"/>
      <c r="H5" s="12"/>
      <c r="I5" s="12"/>
    </row>
    <row r="6" spans="1:13" x14ac:dyDescent="0.35">
      <c r="A6" s="3" t="s">
        <v>4</v>
      </c>
      <c r="B6" s="5" t="s">
        <v>3</v>
      </c>
      <c r="C6" s="12"/>
      <c r="D6" s="12"/>
      <c r="E6" s="12"/>
      <c r="F6" s="12"/>
      <c r="G6" s="12"/>
      <c r="H6" s="12"/>
      <c r="I6" s="12"/>
    </row>
    <row r="7" spans="1:13" x14ac:dyDescent="0.35">
      <c r="A7" s="3" t="s">
        <v>5</v>
      </c>
      <c r="B7" s="12"/>
      <c r="C7" s="12"/>
      <c r="D7" s="12"/>
      <c r="E7" s="12"/>
      <c r="F7" s="12"/>
      <c r="G7" s="12"/>
      <c r="H7" s="12"/>
      <c r="I7" s="12"/>
    </row>
    <row r="8" spans="1:13" x14ac:dyDescent="0.35">
      <c r="A8" s="3" t="s">
        <v>2</v>
      </c>
      <c r="B8" s="5" t="s">
        <v>3</v>
      </c>
      <c r="C8" s="12"/>
      <c r="D8" s="12"/>
      <c r="E8" s="12"/>
      <c r="F8" s="12"/>
      <c r="G8" s="12"/>
      <c r="H8" s="12"/>
      <c r="I8" s="12"/>
    </row>
    <row r="9" spans="1:13" x14ac:dyDescent="0.35">
      <c r="A9" s="3" t="s">
        <v>4</v>
      </c>
      <c r="B9" s="5" t="s">
        <v>3</v>
      </c>
      <c r="C9" s="12"/>
      <c r="D9" s="12"/>
      <c r="E9" s="12"/>
      <c r="F9" s="12"/>
      <c r="G9" s="12"/>
      <c r="H9" s="12"/>
      <c r="I9" s="12"/>
    </row>
    <row r="10" spans="1:13" x14ac:dyDescent="0.35">
      <c r="A10" s="3" t="s">
        <v>6</v>
      </c>
      <c r="B10" s="12"/>
      <c r="C10" s="12"/>
      <c r="D10" s="12"/>
      <c r="E10" s="12"/>
      <c r="F10" s="12"/>
      <c r="G10" s="12"/>
      <c r="H10" s="12"/>
      <c r="I10" s="12"/>
    </row>
    <row r="11" spans="1:13" x14ac:dyDescent="0.35">
      <c r="A11" s="3" t="s">
        <v>2</v>
      </c>
      <c r="B11" s="12"/>
      <c r="C11" s="12"/>
      <c r="D11" s="12"/>
      <c r="E11" s="12"/>
      <c r="F11" s="12"/>
      <c r="G11" s="12"/>
      <c r="H11" s="12"/>
      <c r="I11" s="12"/>
    </row>
    <row r="12" spans="1:13" ht="15.5" x14ac:dyDescent="0.35">
      <c r="A12" s="3" t="s">
        <v>54</v>
      </c>
      <c r="B12" s="5">
        <v>2</v>
      </c>
      <c r="C12" s="5">
        <v>1</v>
      </c>
      <c r="D12" s="5">
        <f>B12*C12</f>
        <v>2</v>
      </c>
      <c r="E12" s="5">
        <v>768</v>
      </c>
      <c r="F12" s="5">
        <f>D12*E12</f>
        <v>1536</v>
      </c>
      <c r="G12" s="5">
        <f>F12*0.05</f>
        <v>76.800000000000011</v>
      </c>
      <c r="H12" s="5">
        <f>F12*0.1</f>
        <v>153.60000000000002</v>
      </c>
      <c r="I12" s="24">
        <f>F12*F$2+G12*G$2+H12*H$2</f>
        <v>212079.36000000002</v>
      </c>
      <c r="K12" s="19"/>
    </row>
    <row r="13" spans="1:13" ht="15.5" x14ac:dyDescent="0.35">
      <c r="A13" s="3" t="s">
        <v>7</v>
      </c>
      <c r="B13" s="5" t="s">
        <v>57</v>
      </c>
      <c r="C13" s="3"/>
      <c r="D13" s="3"/>
      <c r="E13" s="3"/>
      <c r="F13" s="3"/>
      <c r="G13" s="3"/>
      <c r="H13" s="3"/>
      <c r="I13" s="3"/>
      <c r="K13" s="18"/>
      <c r="L13" s="18"/>
    </row>
    <row r="14" spans="1:13" x14ac:dyDescent="0.35">
      <c r="A14" s="3" t="s">
        <v>8</v>
      </c>
      <c r="B14" s="12"/>
      <c r="C14" s="12"/>
      <c r="D14" s="12"/>
      <c r="E14" s="12"/>
      <c r="F14" s="12"/>
      <c r="G14" s="12"/>
      <c r="H14" s="12"/>
      <c r="I14" s="12"/>
      <c r="K14" s="27">
        <f>1180/1431</f>
        <v>0.8245981830887491</v>
      </c>
      <c r="L14" s="28"/>
      <c r="M14" s="26"/>
    </row>
    <row r="15" spans="1:13" x14ac:dyDescent="0.35">
      <c r="A15" s="3" t="s">
        <v>9</v>
      </c>
      <c r="B15" s="5">
        <v>1</v>
      </c>
      <c r="C15" s="5">
        <v>1</v>
      </c>
      <c r="D15" s="5">
        <f t="shared" ref="D15:D20" si="0">B15*C15</f>
        <v>1</v>
      </c>
      <c r="E15" s="5">
        <v>0</v>
      </c>
      <c r="F15" s="5">
        <f t="shared" ref="F15:F20" si="1">D15*E15</f>
        <v>0</v>
      </c>
      <c r="G15" s="5">
        <f t="shared" ref="G15:G19" si="2">F15*0.05</f>
        <v>0</v>
      </c>
      <c r="H15" s="5">
        <f t="shared" ref="H15:H20" si="3">F15*0.1</f>
        <v>0</v>
      </c>
      <c r="I15" s="6">
        <f t="shared" ref="I15:I20" si="4">F15*F$2+G15*G$2+H15*H$2</f>
        <v>0</v>
      </c>
      <c r="K15" s="29">
        <f>+K14*931</f>
        <v>767.70090845562538</v>
      </c>
      <c r="L15" s="28" t="s">
        <v>67</v>
      </c>
      <c r="M15" s="26"/>
    </row>
    <row r="16" spans="1:13" x14ac:dyDescent="0.35">
      <c r="A16" s="3" t="s">
        <v>10</v>
      </c>
      <c r="B16" s="5">
        <v>4</v>
      </c>
      <c r="C16" s="5">
        <v>1</v>
      </c>
      <c r="D16" s="5">
        <f t="shared" si="0"/>
        <v>4</v>
      </c>
      <c r="E16" s="5">
        <v>0</v>
      </c>
      <c r="F16" s="5">
        <f t="shared" si="1"/>
        <v>0</v>
      </c>
      <c r="G16" s="5">
        <f t="shared" si="2"/>
        <v>0</v>
      </c>
      <c r="H16" s="5">
        <f t="shared" si="3"/>
        <v>0</v>
      </c>
      <c r="I16" s="6">
        <f t="shared" si="4"/>
        <v>0</v>
      </c>
      <c r="K16" s="29">
        <f>931-K15</f>
        <v>163.29909154437462</v>
      </c>
      <c r="L16" s="28" t="s">
        <v>68</v>
      </c>
      <c r="M16" s="26"/>
    </row>
    <row r="17" spans="1:12" ht="15.5" x14ac:dyDescent="0.35">
      <c r="A17" s="3" t="s">
        <v>11</v>
      </c>
      <c r="B17" s="5">
        <v>30</v>
      </c>
      <c r="C17" s="5">
        <v>1</v>
      </c>
      <c r="D17" s="5">
        <f t="shared" si="0"/>
        <v>30</v>
      </c>
      <c r="E17" s="5">
        <v>0</v>
      </c>
      <c r="F17" s="5">
        <f t="shared" si="1"/>
        <v>0</v>
      </c>
      <c r="G17" s="5">
        <f t="shared" si="2"/>
        <v>0</v>
      </c>
      <c r="H17" s="5">
        <f t="shared" si="3"/>
        <v>0</v>
      </c>
      <c r="I17" s="6">
        <f t="shared" si="4"/>
        <v>0</v>
      </c>
    </row>
    <row r="18" spans="1:12" ht="15.5" x14ac:dyDescent="0.35">
      <c r="A18" s="3" t="s">
        <v>12</v>
      </c>
      <c r="B18" s="5">
        <v>1.5</v>
      </c>
      <c r="C18" s="5">
        <v>1</v>
      </c>
      <c r="D18" s="5">
        <f t="shared" si="0"/>
        <v>1.5</v>
      </c>
      <c r="E18" s="7">
        <v>768</v>
      </c>
      <c r="F18" s="5">
        <f t="shared" si="1"/>
        <v>1152</v>
      </c>
      <c r="G18" s="5">
        <f t="shared" si="2"/>
        <v>57.6</v>
      </c>
      <c r="H18" s="5">
        <f t="shared" si="3"/>
        <v>115.2</v>
      </c>
      <c r="I18" s="24">
        <f t="shared" si="4"/>
        <v>159059.52000000002</v>
      </c>
      <c r="K18" s="31">
        <f>ROUND(+K15*860,-3)</f>
        <v>660000</v>
      </c>
      <c r="L18" s="32" t="s">
        <v>74</v>
      </c>
    </row>
    <row r="19" spans="1:12" ht="15.5" x14ac:dyDescent="0.35">
      <c r="A19" s="3" t="s">
        <v>13</v>
      </c>
      <c r="B19" s="5">
        <v>1</v>
      </c>
      <c r="C19" s="5">
        <v>4</v>
      </c>
      <c r="D19" s="5">
        <f t="shared" si="0"/>
        <v>4</v>
      </c>
      <c r="E19" s="5">
        <f>768*0.1</f>
        <v>76.800000000000011</v>
      </c>
      <c r="F19" s="5">
        <f t="shared" si="1"/>
        <v>307.20000000000005</v>
      </c>
      <c r="G19" s="5">
        <f t="shared" si="2"/>
        <v>15.360000000000003</v>
      </c>
      <c r="H19" s="5">
        <f>F19*0.1</f>
        <v>30.720000000000006</v>
      </c>
      <c r="I19" s="24">
        <f t="shared" si="4"/>
        <v>42415.872000000003</v>
      </c>
      <c r="L19" s="30" t="s">
        <v>75</v>
      </c>
    </row>
    <row r="20" spans="1:12" ht="15.5" x14ac:dyDescent="0.35">
      <c r="A20" s="3" t="s">
        <v>14</v>
      </c>
      <c r="B20" s="5">
        <v>0.5</v>
      </c>
      <c r="C20" s="5">
        <v>2</v>
      </c>
      <c r="D20" s="5">
        <f t="shared" si="0"/>
        <v>1</v>
      </c>
      <c r="E20" s="7">
        <f>768*0.9</f>
        <v>691.2</v>
      </c>
      <c r="F20" s="5">
        <f t="shared" si="1"/>
        <v>691.2</v>
      </c>
      <c r="G20" s="5">
        <f>F20*0.05</f>
        <v>34.56</v>
      </c>
      <c r="H20" s="5">
        <f t="shared" si="3"/>
        <v>69.12</v>
      </c>
      <c r="I20" s="24">
        <f t="shared" si="4"/>
        <v>95435.712000000014</v>
      </c>
      <c r="K20" s="38">
        <v>768</v>
      </c>
      <c r="L20" s="30" t="s">
        <v>76</v>
      </c>
    </row>
    <row r="21" spans="1:12" x14ac:dyDescent="0.35">
      <c r="A21" s="3" t="s">
        <v>4</v>
      </c>
      <c r="B21" s="12"/>
      <c r="C21" s="12"/>
      <c r="D21" s="12"/>
      <c r="E21" s="12"/>
      <c r="F21" s="12"/>
      <c r="G21" s="12"/>
      <c r="H21" s="12"/>
      <c r="I21" s="12"/>
      <c r="K21" s="33">
        <f>76.8*4</f>
        <v>307.2</v>
      </c>
      <c r="L21" s="30" t="s">
        <v>77</v>
      </c>
    </row>
    <row r="22" spans="1:12" ht="15.5" x14ac:dyDescent="0.35">
      <c r="A22" s="3" t="s">
        <v>66</v>
      </c>
      <c r="B22" s="5">
        <v>0.5</v>
      </c>
      <c r="C22" s="5">
        <v>1</v>
      </c>
      <c r="D22" s="5">
        <f>B22*C22</f>
        <v>0.5</v>
      </c>
      <c r="E22" s="35">
        <v>163</v>
      </c>
      <c r="F22" s="35">
        <f>D22*E22</f>
        <v>81.5</v>
      </c>
      <c r="G22" s="35">
        <f>F22*0.05</f>
        <v>4.0750000000000002</v>
      </c>
      <c r="H22" s="35">
        <f>F22*0.1</f>
        <v>8.15</v>
      </c>
      <c r="I22" s="36">
        <f>F22*F$2+G22*G$2+H22*H$2</f>
        <v>11252.908750000001</v>
      </c>
      <c r="K22" s="33">
        <f>Responses!B7*2</f>
        <v>1382.4</v>
      </c>
      <c r="L22" s="30" t="s">
        <v>78</v>
      </c>
    </row>
    <row r="23" spans="1:12" x14ac:dyDescent="0.35">
      <c r="A23" s="3" t="s">
        <v>15</v>
      </c>
      <c r="B23" s="5" t="s">
        <v>58</v>
      </c>
      <c r="C23" s="3"/>
      <c r="D23" s="3"/>
      <c r="E23" s="3"/>
      <c r="F23" s="3"/>
      <c r="G23" s="3"/>
      <c r="H23" s="3"/>
      <c r="I23" s="3"/>
      <c r="K23" s="33">
        <v>163</v>
      </c>
      <c r="L23" s="30" t="s">
        <v>79</v>
      </c>
    </row>
    <row r="24" spans="1:12" ht="15.5" x14ac:dyDescent="0.35">
      <c r="A24" s="3" t="s">
        <v>16</v>
      </c>
      <c r="B24" s="12"/>
      <c r="C24" s="12"/>
      <c r="D24" s="12"/>
      <c r="E24" s="12"/>
      <c r="F24" s="12"/>
      <c r="G24" s="12"/>
      <c r="H24" s="12"/>
      <c r="I24" s="12"/>
      <c r="K24" s="39">
        <f>SUM(K20:K23)</f>
        <v>2620.6000000000004</v>
      </c>
      <c r="L24" s="30"/>
    </row>
    <row r="25" spans="1:12" x14ac:dyDescent="0.35">
      <c r="A25" s="3" t="s">
        <v>9</v>
      </c>
      <c r="B25" s="5">
        <v>0.25</v>
      </c>
      <c r="C25" s="5">
        <v>1</v>
      </c>
      <c r="D25" s="5">
        <f t="shared" ref="D25:D26" si="5">B25*C25</f>
        <v>0.25</v>
      </c>
      <c r="E25" s="5">
        <v>0</v>
      </c>
      <c r="F25" s="5">
        <f t="shared" ref="F25:F26" si="6">D25*E25</f>
        <v>0</v>
      </c>
      <c r="G25" s="5">
        <f t="shared" ref="G25:G26" si="7">F25*0.05</f>
        <v>0</v>
      </c>
      <c r="H25" s="5">
        <f t="shared" ref="H25:H26" si="8">F25*0.1</f>
        <v>0</v>
      </c>
      <c r="I25" s="6">
        <f t="shared" ref="I25:I26" si="9">F25*F$2+G25*G$2+H25*H$2</f>
        <v>0</v>
      </c>
    </row>
    <row r="26" spans="1:12" x14ac:dyDescent="0.35">
      <c r="A26" s="3" t="s">
        <v>17</v>
      </c>
      <c r="B26" s="5">
        <v>0.25</v>
      </c>
      <c r="C26" s="5">
        <v>1</v>
      </c>
      <c r="D26" s="5">
        <f t="shared" si="5"/>
        <v>0.25</v>
      </c>
      <c r="E26" s="5">
        <v>0</v>
      </c>
      <c r="F26" s="5">
        <f t="shared" si="6"/>
        <v>0</v>
      </c>
      <c r="G26" s="5">
        <f t="shared" si="7"/>
        <v>0</v>
      </c>
      <c r="H26" s="5">
        <f t="shared" si="8"/>
        <v>0</v>
      </c>
      <c r="I26" s="6">
        <f t="shared" si="9"/>
        <v>0</v>
      </c>
    </row>
    <row r="27" spans="1:12" x14ac:dyDescent="0.35">
      <c r="A27" s="8" t="s">
        <v>18</v>
      </c>
      <c r="B27" s="12"/>
      <c r="C27" s="12"/>
      <c r="D27" s="12"/>
      <c r="E27" s="12"/>
      <c r="F27" s="70">
        <f>SUM(F14:H26,F12:H12)</f>
        <v>4333.085</v>
      </c>
      <c r="G27" s="70"/>
      <c r="H27" s="70"/>
      <c r="I27" s="9">
        <f>SUM(I4:I26)</f>
        <v>520243.37274999998</v>
      </c>
    </row>
    <row r="28" spans="1:12" x14ac:dyDescent="0.35">
      <c r="A28" s="3" t="s">
        <v>19</v>
      </c>
      <c r="B28" s="12"/>
      <c r="C28" s="12"/>
      <c r="D28" s="12"/>
      <c r="E28" s="12"/>
      <c r="F28" s="12"/>
      <c r="G28" s="12"/>
      <c r="H28" s="12"/>
      <c r="I28" s="12"/>
    </row>
    <row r="29" spans="1:12" x14ac:dyDescent="0.35">
      <c r="A29" s="3" t="s">
        <v>2</v>
      </c>
      <c r="B29" s="12"/>
      <c r="C29" s="12"/>
      <c r="D29" s="12"/>
      <c r="E29" s="12"/>
      <c r="F29" s="12"/>
      <c r="G29" s="12"/>
      <c r="H29" s="12"/>
      <c r="I29" s="12"/>
    </row>
    <row r="30" spans="1:12" x14ac:dyDescent="0.35">
      <c r="A30" s="3" t="s">
        <v>55</v>
      </c>
      <c r="B30" s="5" t="s">
        <v>59</v>
      </c>
      <c r="C30" s="3"/>
      <c r="D30" s="3"/>
      <c r="E30" s="3"/>
      <c r="F30" s="3"/>
      <c r="G30" s="3"/>
      <c r="H30" s="3"/>
      <c r="I30" s="3"/>
    </row>
    <row r="31" spans="1:12" x14ac:dyDescent="0.35">
      <c r="A31" s="3" t="s">
        <v>20</v>
      </c>
      <c r="B31" s="5" t="s">
        <v>3</v>
      </c>
      <c r="C31" s="12"/>
      <c r="D31" s="12"/>
      <c r="E31" s="12"/>
      <c r="F31" s="12"/>
      <c r="G31" s="12"/>
      <c r="H31" s="12"/>
      <c r="I31" s="12"/>
    </row>
    <row r="32" spans="1:12" x14ac:dyDescent="0.35">
      <c r="A32" s="3" t="s">
        <v>21</v>
      </c>
      <c r="B32" s="12"/>
      <c r="C32" s="12"/>
      <c r="D32" s="12"/>
      <c r="E32" s="12"/>
      <c r="F32" s="12"/>
      <c r="G32" s="12"/>
      <c r="H32" s="12"/>
      <c r="I32" s="12"/>
    </row>
    <row r="33" spans="1:13" ht="15.5" x14ac:dyDescent="0.35">
      <c r="A33" s="3" t="s">
        <v>22</v>
      </c>
      <c r="B33" s="5">
        <v>50</v>
      </c>
      <c r="C33" s="5">
        <v>1</v>
      </c>
      <c r="D33" s="5">
        <f t="shared" ref="D33:D35" si="10">B33*C33</f>
        <v>50</v>
      </c>
      <c r="E33" s="5">
        <v>0</v>
      </c>
      <c r="F33" s="5">
        <f t="shared" ref="F33:F38" si="11">D33*E33</f>
        <v>0</v>
      </c>
      <c r="G33" s="5">
        <f t="shared" ref="G33:G38" si="12">F33*0.05</f>
        <v>0</v>
      </c>
      <c r="H33" s="5">
        <f t="shared" ref="H33:H37" si="13">F33*0.1</f>
        <v>0</v>
      </c>
      <c r="I33" s="6">
        <f t="shared" ref="I33:I35" si="14">F33*F$2+G33*G$2+H33*H$2</f>
        <v>0</v>
      </c>
    </row>
    <row r="34" spans="1:13" ht="15.5" x14ac:dyDescent="0.35">
      <c r="A34" s="3" t="s">
        <v>23</v>
      </c>
      <c r="B34" s="5">
        <v>1.64</v>
      </c>
      <c r="C34" s="5">
        <v>12</v>
      </c>
      <c r="D34" s="5">
        <f t="shared" si="10"/>
        <v>19.68</v>
      </c>
      <c r="E34" s="5">
        <f>768*0.5</f>
        <v>384</v>
      </c>
      <c r="F34" s="5">
        <f t="shared" si="11"/>
        <v>7557.12</v>
      </c>
      <c r="G34" s="5">
        <f t="shared" si="12"/>
        <v>377.85599999999999</v>
      </c>
      <c r="H34" s="5">
        <f>F34*0.1</f>
        <v>755.71199999999999</v>
      </c>
      <c r="I34" s="24">
        <f>F34*F$2+G34*G$2+H34*H$2</f>
        <v>1043430.4512</v>
      </c>
    </row>
    <row r="35" spans="1:13" ht="15.5" x14ac:dyDescent="0.35">
      <c r="A35" s="3" t="s">
        <v>24</v>
      </c>
      <c r="B35" s="5">
        <v>1.5</v>
      </c>
      <c r="C35" s="5">
        <v>12</v>
      </c>
      <c r="D35" s="5">
        <f t="shared" si="10"/>
        <v>18</v>
      </c>
      <c r="E35" s="5">
        <f>768*0.5</f>
        <v>384</v>
      </c>
      <c r="F35" s="5">
        <f t="shared" si="11"/>
        <v>6912</v>
      </c>
      <c r="G35" s="5">
        <f t="shared" si="12"/>
        <v>345.6</v>
      </c>
      <c r="H35" s="5">
        <f t="shared" si="13"/>
        <v>691.2</v>
      </c>
      <c r="I35" s="24">
        <f t="shared" si="14"/>
        <v>954357.12000000011</v>
      </c>
    </row>
    <row r="36" spans="1:13" x14ac:dyDescent="0.35">
      <c r="A36" s="3" t="s">
        <v>25</v>
      </c>
      <c r="B36" s="12"/>
      <c r="C36" s="12"/>
      <c r="D36" s="12"/>
      <c r="E36" s="12"/>
      <c r="F36" s="5"/>
      <c r="G36" s="5"/>
      <c r="H36" s="5"/>
      <c r="I36" s="25"/>
    </row>
    <row r="37" spans="1:13" ht="15.5" x14ac:dyDescent="0.35">
      <c r="A37" s="3" t="s">
        <v>26</v>
      </c>
      <c r="B37" s="5">
        <v>1.2</v>
      </c>
      <c r="C37" s="5">
        <v>12</v>
      </c>
      <c r="D37" s="5">
        <f t="shared" ref="D37:D38" si="15">B37*C37</f>
        <v>14.399999999999999</v>
      </c>
      <c r="E37" s="5">
        <f>768*0.5</f>
        <v>384</v>
      </c>
      <c r="F37" s="5">
        <f t="shared" si="11"/>
        <v>5529.5999999999995</v>
      </c>
      <c r="G37" s="5">
        <f t="shared" si="12"/>
        <v>276.47999999999996</v>
      </c>
      <c r="H37" s="5">
        <f t="shared" si="13"/>
        <v>552.95999999999992</v>
      </c>
      <c r="I37" s="24">
        <f t="shared" ref="I37" si="16">F37*F$2+G37*G$2+H37*H$2</f>
        <v>763485.696</v>
      </c>
    </row>
    <row r="38" spans="1:13" ht="15.5" x14ac:dyDescent="0.35">
      <c r="A38" s="3" t="s">
        <v>27</v>
      </c>
      <c r="B38" s="5">
        <v>0.75</v>
      </c>
      <c r="C38" s="5">
        <v>12</v>
      </c>
      <c r="D38" s="5">
        <f t="shared" si="15"/>
        <v>9</v>
      </c>
      <c r="E38" s="5">
        <f>768*0.5</f>
        <v>384</v>
      </c>
      <c r="F38" s="5">
        <f t="shared" si="11"/>
        <v>3456</v>
      </c>
      <c r="G38" s="5">
        <f t="shared" si="12"/>
        <v>172.8</v>
      </c>
      <c r="H38" s="5">
        <f>F38*0.1</f>
        <v>345.6</v>
      </c>
      <c r="I38" s="24">
        <f>F38*F$2+G38*G$2+H38*H$2</f>
        <v>477178.56000000006</v>
      </c>
    </row>
    <row r="39" spans="1:13" ht="15.5" x14ac:dyDescent="0.35">
      <c r="A39" s="3" t="s">
        <v>28</v>
      </c>
      <c r="B39" s="12"/>
      <c r="C39" s="12"/>
      <c r="D39" s="12"/>
      <c r="E39" s="12"/>
      <c r="F39" s="12"/>
      <c r="G39" s="12"/>
      <c r="H39" s="12"/>
      <c r="I39" s="12"/>
    </row>
    <row r="40" spans="1:13" x14ac:dyDescent="0.35">
      <c r="A40" s="3" t="s">
        <v>29</v>
      </c>
      <c r="B40" s="5" t="s">
        <v>3</v>
      </c>
      <c r="C40" s="12"/>
      <c r="D40" s="12"/>
      <c r="E40" s="12"/>
      <c r="F40" s="12"/>
      <c r="G40" s="12"/>
      <c r="H40" s="12"/>
      <c r="I40" s="12"/>
    </row>
    <row r="41" spans="1:13" x14ac:dyDescent="0.35">
      <c r="A41" s="8" t="s">
        <v>30</v>
      </c>
      <c r="B41" s="12"/>
      <c r="C41" s="12"/>
      <c r="D41" s="12"/>
      <c r="E41" s="12"/>
      <c r="F41" s="71">
        <f>SUM(F28:H40)</f>
        <v>26972.927999999996</v>
      </c>
      <c r="G41" s="71"/>
      <c r="H41" s="71"/>
      <c r="I41" s="34">
        <f>SUM(I28:I40)</f>
        <v>3238451.8272000002</v>
      </c>
      <c r="K41">
        <f>+F42/Responses!E10</f>
        <v>11.946564885496183</v>
      </c>
    </row>
    <row r="42" spans="1:13" ht="15" x14ac:dyDescent="0.35">
      <c r="A42" s="72" t="s">
        <v>63</v>
      </c>
      <c r="B42" s="72"/>
      <c r="C42" s="72"/>
      <c r="D42" s="72"/>
      <c r="E42" s="72"/>
      <c r="F42" s="73">
        <f>ROUND(F41+F27,-2)</f>
        <v>31300</v>
      </c>
      <c r="G42" s="73"/>
      <c r="H42" s="73"/>
      <c r="I42" s="10">
        <f>ROUND(I41+I27,-4)</f>
        <v>3760000</v>
      </c>
      <c r="L42" s="37">
        <f>F42/2620</f>
        <v>11.946564885496183</v>
      </c>
      <c r="M42" t="s">
        <v>56</v>
      </c>
    </row>
    <row r="43" spans="1:13" ht="15" x14ac:dyDescent="0.35">
      <c r="A43" s="22" t="s">
        <v>62</v>
      </c>
      <c r="B43" s="23"/>
      <c r="C43" s="23"/>
      <c r="D43" s="23"/>
      <c r="E43" s="23"/>
      <c r="F43" s="23"/>
      <c r="G43" s="23"/>
      <c r="H43" s="23"/>
      <c r="I43" s="10">
        <v>660000</v>
      </c>
    </row>
    <row r="44" spans="1:13" ht="15" x14ac:dyDescent="0.35">
      <c r="A44" s="22" t="s">
        <v>61</v>
      </c>
      <c r="B44" s="23"/>
      <c r="C44" s="23"/>
      <c r="D44" s="23"/>
      <c r="E44" s="23"/>
      <c r="F44" s="23"/>
      <c r="G44" s="23"/>
      <c r="H44" s="23"/>
      <c r="I44" s="10">
        <f>I43+I42</f>
        <v>4420000</v>
      </c>
    </row>
    <row r="45" spans="1:13" x14ac:dyDescent="0.35">
      <c r="A45" s="21"/>
    </row>
    <row r="46" spans="1:13" x14ac:dyDescent="0.35">
      <c r="A46" s="13" t="s">
        <v>31</v>
      </c>
    </row>
    <row r="47" spans="1:13" ht="36.65" customHeight="1" x14ac:dyDescent="0.35">
      <c r="A47" s="75" t="s">
        <v>125</v>
      </c>
      <c r="B47" s="75"/>
      <c r="C47" s="75"/>
      <c r="D47" s="75"/>
      <c r="E47" s="75"/>
      <c r="F47" s="75"/>
      <c r="G47" s="75"/>
      <c r="H47" s="75"/>
      <c r="I47" s="75"/>
    </row>
    <row r="48" spans="1:13" ht="58.5" customHeight="1" x14ac:dyDescent="0.35">
      <c r="A48" s="74" t="s">
        <v>134</v>
      </c>
      <c r="B48" s="74"/>
      <c r="C48" s="74"/>
      <c r="D48" s="74"/>
      <c r="E48" s="74"/>
      <c r="F48" s="74"/>
      <c r="G48" s="74"/>
      <c r="H48" s="74"/>
      <c r="I48" s="74"/>
      <c r="J48" s="64"/>
    </row>
    <row r="49" spans="1:1" ht="15.5" x14ac:dyDescent="0.35">
      <c r="A49" s="15" t="s">
        <v>32</v>
      </c>
    </row>
    <row r="50" spans="1:1" ht="15.5" x14ac:dyDescent="0.35">
      <c r="A50" s="15" t="s">
        <v>33</v>
      </c>
    </row>
    <row r="51" spans="1:1" ht="15.5" x14ac:dyDescent="0.35">
      <c r="A51" s="15" t="s">
        <v>69</v>
      </c>
    </row>
    <row r="52" spans="1:1" ht="15.5" x14ac:dyDescent="0.35">
      <c r="A52" s="15" t="s">
        <v>34</v>
      </c>
    </row>
    <row r="53" spans="1:1" ht="15.5" x14ac:dyDescent="0.35">
      <c r="A53" s="15" t="s">
        <v>70</v>
      </c>
    </row>
    <row r="54" spans="1:1" ht="15.5" x14ac:dyDescent="0.35">
      <c r="A54" s="15" t="s">
        <v>71</v>
      </c>
    </row>
    <row r="55" spans="1:1" ht="15.5" x14ac:dyDescent="0.35">
      <c r="A55" s="15" t="s">
        <v>35</v>
      </c>
    </row>
    <row r="56" spans="1:1" ht="15.5" x14ac:dyDescent="0.35">
      <c r="A56" s="15" t="s">
        <v>36</v>
      </c>
    </row>
    <row r="57" spans="1:1" ht="15.5" x14ac:dyDescent="0.35">
      <c r="A57" s="15" t="s">
        <v>37</v>
      </c>
    </row>
    <row r="58" spans="1:1" ht="15.5" x14ac:dyDescent="0.35">
      <c r="A58" s="15" t="s">
        <v>38</v>
      </c>
    </row>
    <row r="59" spans="1:1" ht="15.5" x14ac:dyDescent="0.35">
      <c r="A59" s="15" t="s">
        <v>39</v>
      </c>
    </row>
    <row r="60" spans="1:1" ht="15.5" x14ac:dyDescent="0.35">
      <c r="A60" s="15" t="s">
        <v>132</v>
      </c>
    </row>
    <row r="61" spans="1:1" ht="15.5" x14ac:dyDescent="0.35">
      <c r="A61" s="15" t="s">
        <v>133</v>
      </c>
    </row>
    <row r="62" spans="1:1" ht="16" x14ac:dyDescent="0.35">
      <c r="A62" s="14" t="s">
        <v>40</v>
      </c>
    </row>
    <row r="63" spans="1:1" ht="16" x14ac:dyDescent="0.35">
      <c r="A63" s="14" t="s">
        <v>60</v>
      </c>
    </row>
  </sheetData>
  <mergeCells count="6">
    <mergeCell ref="F27:H27"/>
    <mergeCell ref="F41:H41"/>
    <mergeCell ref="A42:E42"/>
    <mergeCell ref="F42:H42"/>
    <mergeCell ref="A48:I48"/>
    <mergeCell ref="A47:I4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3"/>
  <sheetViews>
    <sheetView workbookViewId="0">
      <selection activeCell="A2" sqref="A2"/>
    </sheetView>
  </sheetViews>
  <sheetFormatPr defaultRowHeight="14.5" x14ac:dyDescent="0.35"/>
  <cols>
    <col min="1" max="1" width="43.453125" customWidth="1"/>
    <col min="2" max="2" width="11.26953125" customWidth="1"/>
    <col min="3" max="3" width="12.26953125" customWidth="1"/>
    <col min="4" max="4" width="12" customWidth="1"/>
    <col min="5" max="5" width="11.453125" customWidth="1"/>
    <col min="6" max="6" width="10.7265625" customWidth="1"/>
    <col min="7" max="7" width="12.81640625" customWidth="1"/>
    <col min="8" max="8" width="11.26953125" customWidth="1"/>
    <col min="9" max="9" width="11.81640625" customWidth="1"/>
  </cols>
  <sheetData>
    <row r="1" spans="1:15" ht="15.5" x14ac:dyDescent="0.35">
      <c r="A1" s="40" t="s">
        <v>81</v>
      </c>
    </row>
    <row r="2" spans="1:15" x14ac:dyDescent="0.35">
      <c r="F2">
        <v>52.37</v>
      </c>
      <c r="G2">
        <v>70.56</v>
      </c>
      <c r="H2">
        <v>28.34</v>
      </c>
    </row>
    <row r="3" spans="1:15" ht="91" x14ac:dyDescent="0.35">
      <c r="A3" s="2" t="s">
        <v>0</v>
      </c>
      <c r="B3" s="2" t="s">
        <v>143</v>
      </c>
      <c r="C3" s="2" t="s">
        <v>136</v>
      </c>
      <c r="D3" s="2" t="s">
        <v>144</v>
      </c>
      <c r="E3" s="2" t="s">
        <v>145</v>
      </c>
      <c r="F3" s="2" t="s">
        <v>146</v>
      </c>
      <c r="G3" s="2" t="s">
        <v>147</v>
      </c>
      <c r="H3" s="2" t="s">
        <v>148</v>
      </c>
      <c r="I3" s="2" t="s">
        <v>149</v>
      </c>
      <c r="L3" s="20"/>
      <c r="M3" s="20"/>
    </row>
    <row r="4" spans="1:15" ht="15.5" x14ac:dyDescent="0.35">
      <c r="A4" s="3" t="s">
        <v>41</v>
      </c>
      <c r="B4" s="4"/>
      <c r="C4" s="4"/>
      <c r="D4" s="4"/>
      <c r="E4" s="4"/>
      <c r="F4" s="4"/>
      <c r="G4" s="4"/>
      <c r="H4" s="4"/>
      <c r="I4" s="4"/>
      <c r="N4" s="20"/>
      <c r="O4" s="20"/>
    </row>
    <row r="5" spans="1:15" ht="15.5" x14ac:dyDescent="0.35">
      <c r="A5" s="3" t="s">
        <v>42</v>
      </c>
      <c r="B5" s="4"/>
      <c r="C5" s="4"/>
      <c r="D5" s="4"/>
      <c r="E5" s="4"/>
      <c r="F5" s="4"/>
      <c r="G5" s="4"/>
      <c r="H5" s="4"/>
      <c r="I5" s="4"/>
      <c r="N5" s="20"/>
      <c r="O5" s="20"/>
    </row>
    <row r="6" spans="1:15" x14ac:dyDescent="0.35">
      <c r="A6" s="3" t="s">
        <v>43</v>
      </c>
      <c r="B6" s="5">
        <v>1</v>
      </c>
      <c r="C6" s="5">
        <v>1</v>
      </c>
      <c r="D6" s="5">
        <f t="shared" ref="D6:D11" si="0">B6*C6</f>
        <v>1</v>
      </c>
      <c r="E6" s="5">
        <v>0</v>
      </c>
      <c r="F6" s="5">
        <f t="shared" ref="F6:F11" si="1">D6*E6</f>
        <v>0</v>
      </c>
      <c r="G6" s="5">
        <f t="shared" ref="G6:G11" si="2">F6*0.05</f>
        <v>0</v>
      </c>
      <c r="H6" s="5">
        <f t="shared" ref="H6:H11" si="3">F6*0.1</f>
        <v>0</v>
      </c>
      <c r="I6" s="6">
        <f t="shared" ref="I6:I11" si="4">F6*F$2+G6*G$2+H6*H$2</f>
        <v>0</v>
      </c>
    </row>
    <row r="7" spans="1:15" x14ac:dyDescent="0.35">
      <c r="A7" s="3" t="s">
        <v>44</v>
      </c>
      <c r="B7" s="5">
        <v>2</v>
      </c>
      <c r="C7" s="5">
        <v>1</v>
      </c>
      <c r="D7" s="5">
        <f t="shared" si="0"/>
        <v>2</v>
      </c>
      <c r="E7" s="5">
        <v>0</v>
      </c>
      <c r="F7" s="5">
        <f t="shared" si="1"/>
        <v>0</v>
      </c>
      <c r="G7" s="5">
        <f t="shared" si="2"/>
        <v>0</v>
      </c>
      <c r="H7" s="5">
        <f t="shared" si="3"/>
        <v>0</v>
      </c>
      <c r="I7" s="6">
        <f t="shared" si="4"/>
        <v>0</v>
      </c>
    </row>
    <row r="8" spans="1:15" ht="15.5" x14ac:dyDescent="0.35">
      <c r="A8" s="3" t="s">
        <v>45</v>
      </c>
      <c r="B8" s="5">
        <v>8</v>
      </c>
      <c r="C8" s="5">
        <v>1</v>
      </c>
      <c r="D8" s="5">
        <f t="shared" si="0"/>
        <v>8</v>
      </c>
      <c r="E8" s="5">
        <v>0</v>
      </c>
      <c r="F8" s="5">
        <f t="shared" si="1"/>
        <v>0</v>
      </c>
      <c r="G8" s="5">
        <f t="shared" si="2"/>
        <v>0</v>
      </c>
      <c r="H8" s="5">
        <f t="shared" si="3"/>
        <v>0</v>
      </c>
      <c r="I8" s="6">
        <f t="shared" si="4"/>
        <v>0</v>
      </c>
    </row>
    <row r="9" spans="1:15" ht="15.5" x14ac:dyDescent="0.35">
      <c r="A9" s="3" t="s">
        <v>46</v>
      </c>
      <c r="B9" s="5">
        <v>2</v>
      </c>
      <c r="C9" s="5">
        <v>1</v>
      </c>
      <c r="D9" s="5">
        <f t="shared" si="0"/>
        <v>2</v>
      </c>
      <c r="E9" s="7">
        <f>Responses!E5</f>
        <v>768</v>
      </c>
      <c r="F9" s="5">
        <f>D9*E9</f>
        <v>1536</v>
      </c>
      <c r="G9" s="5">
        <f t="shared" si="2"/>
        <v>76.800000000000011</v>
      </c>
      <c r="H9" s="5">
        <f t="shared" si="3"/>
        <v>153.60000000000002</v>
      </c>
      <c r="I9" s="24">
        <f>F9*F$2+G9*G$2+H9*H$2</f>
        <v>90212.351999999999</v>
      </c>
    </row>
    <row r="10" spans="1:15" ht="15.5" x14ac:dyDescent="0.35">
      <c r="A10" s="3" t="s">
        <v>47</v>
      </c>
      <c r="B10" s="5">
        <v>1</v>
      </c>
      <c r="C10" s="5">
        <v>4</v>
      </c>
      <c r="D10" s="5">
        <f t="shared" si="0"/>
        <v>4</v>
      </c>
      <c r="E10" s="5">
        <f>768*0.1</f>
        <v>76.800000000000011</v>
      </c>
      <c r="F10" s="5">
        <f t="shared" si="1"/>
        <v>307.20000000000005</v>
      </c>
      <c r="G10" s="5">
        <f t="shared" si="2"/>
        <v>15.360000000000003</v>
      </c>
      <c r="H10" s="5">
        <f t="shared" si="3"/>
        <v>30.720000000000006</v>
      </c>
      <c r="I10" s="24">
        <f t="shared" si="4"/>
        <v>18042.470400000002</v>
      </c>
    </row>
    <row r="11" spans="1:15" ht="15.5" x14ac:dyDescent="0.35">
      <c r="A11" s="3" t="s">
        <v>48</v>
      </c>
      <c r="B11" s="5">
        <v>0.5</v>
      </c>
      <c r="C11" s="5">
        <v>2</v>
      </c>
      <c r="D11" s="5">
        <f t="shared" si="0"/>
        <v>1</v>
      </c>
      <c r="E11" s="7">
        <f>768*0.9</f>
        <v>691.2</v>
      </c>
      <c r="F11" s="5">
        <f t="shared" si="1"/>
        <v>691.2</v>
      </c>
      <c r="G11" s="5">
        <f t="shared" si="2"/>
        <v>34.56</v>
      </c>
      <c r="H11" s="5">
        <f t="shared" si="3"/>
        <v>69.12</v>
      </c>
      <c r="I11" s="24">
        <f t="shared" si="4"/>
        <v>40595.558400000002</v>
      </c>
    </row>
    <row r="12" spans="1:15" x14ac:dyDescent="0.35">
      <c r="A12" s="3" t="s">
        <v>49</v>
      </c>
      <c r="B12" s="4"/>
      <c r="C12" s="4"/>
      <c r="D12" s="4"/>
      <c r="E12" s="4"/>
      <c r="F12" s="4"/>
      <c r="G12" s="4"/>
      <c r="H12" s="4"/>
      <c r="I12" s="4"/>
    </row>
    <row r="13" spans="1:15" x14ac:dyDescent="0.35">
      <c r="A13" s="3" t="s">
        <v>50</v>
      </c>
      <c r="B13" s="5">
        <v>0.25</v>
      </c>
      <c r="C13" s="5">
        <v>1</v>
      </c>
      <c r="D13" s="5">
        <f>B13*C13</f>
        <v>0.25</v>
      </c>
      <c r="E13" s="5">
        <v>0</v>
      </c>
      <c r="F13" s="5">
        <f>D13*E13</f>
        <v>0</v>
      </c>
      <c r="G13" s="5">
        <f>F13*0.05</f>
        <v>0</v>
      </c>
      <c r="H13" s="5">
        <f>F13*0.1</f>
        <v>0</v>
      </c>
      <c r="I13" s="6">
        <f>F13*F$2+G13*G$2+H13*H$2</f>
        <v>0</v>
      </c>
    </row>
    <row r="14" spans="1:15" ht="15" x14ac:dyDescent="0.35">
      <c r="A14" s="76" t="s">
        <v>65</v>
      </c>
      <c r="B14" s="76"/>
      <c r="C14" s="76"/>
      <c r="D14" s="76"/>
      <c r="E14" s="76"/>
      <c r="F14" s="71">
        <f>ROUND(SUM(F4:H13),-1)</f>
        <v>2910</v>
      </c>
      <c r="G14" s="71"/>
      <c r="H14" s="71"/>
      <c r="I14" s="16">
        <f>ROUND(SUM(I4:I13),-3)</f>
        <v>149000</v>
      </c>
    </row>
    <row r="16" spans="1:15" x14ac:dyDescent="0.35">
      <c r="A16" s="1" t="s">
        <v>31</v>
      </c>
    </row>
    <row r="17" spans="1:9" ht="47.5" customHeight="1" x14ac:dyDescent="0.35">
      <c r="A17" s="77" t="s">
        <v>150</v>
      </c>
      <c r="B17" s="77"/>
      <c r="C17" s="77"/>
      <c r="D17" s="77"/>
      <c r="E17" s="77"/>
      <c r="F17" s="77"/>
      <c r="G17" s="77"/>
      <c r="H17" s="77"/>
      <c r="I17" s="77"/>
    </row>
    <row r="18" spans="1:9" ht="15.5" x14ac:dyDescent="0.35">
      <c r="A18" s="17" t="s">
        <v>51</v>
      </c>
    </row>
    <row r="19" spans="1:9" ht="26.5" customHeight="1" x14ac:dyDescent="0.35">
      <c r="A19" s="77" t="s">
        <v>52</v>
      </c>
      <c r="B19" s="77"/>
      <c r="C19" s="77"/>
      <c r="D19" s="77"/>
      <c r="E19" s="77"/>
      <c r="F19" s="77"/>
      <c r="G19" s="77"/>
      <c r="H19" s="77"/>
      <c r="I19" s="77"/>
    </row>
    <row r="20" spans="1:9" ht="15.5" x14ac:dyDescent="0.35">
      <c r="A20" s="17" t="s">
        <v>53</v>
      </c>
    </row>
    <row r="21" spans="1:9" ht="15.5" x14ac:dyDescent="0.35">
      <c r="A21" s="17" t="s">
        <v>72</v>
      </c>
    </row>
    <row r="22" spans="1:9" ht="15.5" x14ac:dyDescent="0.35">
      <c r="A22" s="17" t="s">
        <v>73</v>
      </c>
    </row>
    <row r="23" spans="1:9" ht="16" x14ac:dyDescent="0.35">
      <c r="A23" s="14" t="s">
        <v>64</v>
      </c>
    </row>
  </sheetData>
  <mergeCells count="4">
    <mergeCell ref="A14:E14"/>
    <mergeCell ref="F14:H14"/>
    <mergeCell ref="A17:I17"/>
    <mergeCell ref="A19:I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8186-34EF-4181-920F-05A18DF777C9}">
  <dimension ref="A1:I8"/>
  <sheetViews>
    <sheetView zoomScaleNormal="100" workbookViewId="0">
      <selection activeCell="E17" sqref="E17"/>
    </sheetView>
  </sheetViews>
  <sheetFormatPr defaultColWidth="22" defaultRowHeight="13" x14ac:dyDescent="0.3"/>
  <cols>
    <col min="1" max="1" width="22" style="45"/>
    <col min="2" max="2" width="17.54296875" style="45" customWidth="1"/>
    <col min="3" max="3" width="17.26953125" style="45" customWidth="1"/>
    <col min="4" max="4" width="22" style="45"/>
    <col min="5" max="5" width="19.81640625" style="45" customWidth="1"/>
    <col min="6" max="7" width="16.81640625" style="45" customWidth="1"/>
    <col min="8" max="8" width="6" style="45" customWidth="1"/>
    <col min="9" max="16384" width="22" style="45"/>
  </cols>
  <sheetData>
    <row r="1" spans="1:9" x14ac:dyDescent="0.3">
      <c r="A1" s="43"/>
      <c r="B1" s="44"/>
      <c r="C1" s="44"/>
    </row>
    <row r="2" spans="1:9" x14ac:dyDescent="0.3">
      <c r="A2" s="78" t="s">
        <v>90</v>
      </c>
      <c r="B2" s="78"/>
      <c r="C2" s="78"/>
      <c r="D2" s="78"/>
      <c r="E2" s="78"/>
      <c r="F2" s="78"/>
      <c r="G2" s="79"/>
      <c r="H2" s="46"/>
    </row>
    <row r="3" spans="1:9" x14ac:dyDescent="0.3">
      <c r="A3" s="2" t="s">
        <v>91</v>
      </c>
      <c r="B3" s="2" t="s">
        <v>92</v>
      </c>
      <c r="C3" s="2" t="s">
        <v>93</v>
      </c>
      <c r="D3" s="2" t="s">
        <v>94</v>
      </c>
      <c r="E3" s="2" t="s">
        <v>95</v>
      </c>
      <c r="F3" s="2" t="s">
        <v>96</v>
      </c>
      <c r="G3" s="2" t="s">
        <v>97</v>
      </c>
      <c r="H3" s="46"/>
    </row>
    <row r="4" spans="1:9" ht="46.5" customHeight="1" x14ac:dyDescent="0.3">
      <c r="A4" s="2" t="s">
        <v>98</v>
      </c>
      <c r="B4" s="2" t="s">
        <v>99</v>
      </c>
      <c r="C4" s="2" t="s">
        <v>100</v>
      </c>
      <c r="D4" s="2" t="s">
        <v>101</v>
      </c>
      <c r="E4" s="2" t="s">
        <v>102</v>
      </c>
      <c r="F4" s="2" t="s">
        <v>103</v>
      </c>
      <c r="G4" s="2" t="s">
        <v>104</v>
      </c>
      <c r="H4" s="46"/>
    </row>
    <row r="5" spans="1:9" ht="36.75" customHeight="1" x14ac:dyDescent="0.3">
      <c r="A5" s="49" t="s">
        <v>121</v>
      </c>
      <c r="B5" s="48">
        <v>2700</v>
      </c>
      <c r="C5" s="50">
        <v>0</v>
      </c>
      <c r="D5" s="48">
        <f>B5*C5</f>
        <v>0</v>
      </c>
      <c r="E5" s="48">
        <v>860</v>
      </c>
      <c r="F5" s="50">
        <v>768</v>
      </c>
      <c r="G5" s="48">
        <f>F5*E5</f>
        <v>660480</v>
      </c>
      <c r="H5" s="51"/>
    </row>
    <row r="6" spans="1:9" ht="46.5" customHeight="1" x14ac:dyDescent="0.3">
      <c r="A6" s="52" t="s">
        <v>123</v>
      </c>
      <c r="B6" s="50"/>
      <c r="C6" s="50"/>
      <c r="D6" s="53">
        <f>ROUND(SUM(D5:D5), -3)</f>
        <v>0</v>
      </c>
      <c r="E6" s="50"/>
      <c r="F6" s="50"/>
      <c r="G6" s="53">
        <f>ROUND(SUM(G5:G5), -3)</f>
        <v>660000</v>
      </c>
      <c r="I6" s="54">
        <f>D6+G6</f>
        <v>660000</v>
      </c>
    </row>
    <row r="7" spans="1:9" ht="22.5" customHeight="1" x14ac:dyDescent="0.3">
      <c r="A7" s="80" t="s">
        <v>122</v>
      </c>
      <c r="B7" s="80"/>
      <c r="C7" s="80"/>
      <c r="D7" s="80"/>
      <c r="E7" s="80"/>
      <c r="F7" s="80"/>
      <c r="G7" s="80"/>
    </row>
    <row r="8" spans="1:9" x14ac:dyDescent="0.3">
      <c r="A8" s="55"/>
      <c r="B8" s="55"/>
      <c r="C8" s="55"/>
      <c r="D8" s="55"/>
      <c r="E8" s="55"/>
      <c r="F8" s="55"/>
      <c r="G8" s="55"/>
    </row>
  </sheetData>
  <mergeCells count="2">
    <mergeCell ref="A2:G2"/>
    <mergeCell ref="A7:G7"/>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EA07-28C6-4255-8562-548B622E9355}">
  <dimension ref="A1:F11"/>
  <sheetViews>
    <sheetView workbookViewId="0">
      <selection activeCell="L9" sqref="L9"/>
    </sheetView>
  </sheetViews>
  <sheetFormatPr defaultRowHeight="14.5" x14ac:dyDescent="0.35"/>
  <cols>
    <col min="1" max="1" width="22.26953125" bestFit="1" customWidth="1"/>
    <col min="2" max="2" width="11.81640625" customWidth="1"/>
    <col min="3" max="3" width="12.7265625" customWidth="1"/>
    <col min="4" max="4" width="13.26953125" customWidth="1"/>
    <col min="5" max="5" width="14.7265625" customWidth="1"/>
  </cols>
  <sheetData>
    <row r="1" spans="1:6" s="45" customFormat="1" ht="15" x14ac:dyDescent="0.3">
      <c r="A1" s="83" t="s">
        <v>88</v>
      </c>
      <c r="B1" s="83"/>
      <c r="C1" s="83"/>
      <c r="D1" s="83"/>
      <c r="E1" s="83"/>
    </row>
    <row r="2" spans="1:6" s="45" customFormat="1" ht="13" x14ac:dyDescent="0.3">
      <c r="A2" s="56" t="s">
        <v>91</v>
      </c>
      <c r="B2" s="56" t="s">
        <v>92</v>
      </c>
      <c r="C2" s="56" t="s">
        <v>93</v>
      </c>
      <c r="D2" s="56" t="s">
        <v>94</v>
      </c>
      <c r="E2" s="56" t="s">
        <v>95</v>
      </c>
    </row>
    <row r="3" spans="1:6" s="45" customFormat="1" ht="91" x14ac:dyDescent="0.3">
      <c r="A3" s="56" t="s">
        <v>105</v>
      </c>
      <c r="B3" s="56" t="s">
        <v>106</v>
      </c>
      <c r="C3" s="56" t="s">
        <v>107</v>
      </c>
      <c r="D3" s="56" t="s">
        <v>108</v>
      </c>
      <c r="E3" s="56" t="s">
        <v>109</v>
      </c>
    </row>
    <row r="4" spans="1:6" s="45" customFormat="1" ht="17.25" customHeight="1" x14ac:dyDescent="0.3">
      <c r="A4" s="84" t="s">
        <v>126</v>
      </c>
      <c r="B4" s="85"/>
      <c r="C4" s="85"/>
      <c r="D4" s="85"/>
      <c r="E4" s="86"/>
    </row>
    <row r="5" spans="1:6" s="45" customFormat="1" ht="13" x14ac:dyDescent="0.3">
      <c r="A5" s="57" t="s">
        <v>129</v>
      </c>
      <c r="B5" s="50">
        <v>768</v>
      </c>
      <c r="C5" s="50">
        <v>1</v>
      </c>
      <c r="D5" s="50">
        <v>0</v>
      </c>
      <c r="E5" s="50">
        <f t="shared" ref="E5:E6" si="0">(B5*C5)+D5</f>
        <v>768</v>
      </c>
    </row>
    <row r="6" spans="1:6" s="45" customFormat="1" ht="13" x14ac:dyDescent="0.3">
      <c r="A6" s="57" t="s">
        <v>124</v>
      </c>
      <c r="B6" s="50">
        <f>+B5*0.1</f>
        <v>76.800000000000011</v>
      </c>
      <c r="C6" s="50">
        <v>4</v>
      </c>
      <c r="D6" s="50">
        <v>0</v>
      </c>
      <c r="E6" s="50">
        <f t="shared" si="0"/>
        <v>307.20000000000005</v>
      </c>
    </row>
    <row r="7" spans="1:6" s="45" customFormat="1" ht="26" x14ac:dyDescent="0.3">
      <c r="A7" s="57" t="s">
        <v>78</v>
      </c>
      <c r="B7" s="50">
        <f>+B5*0.9</f>
        <v>691.2</v>
      </c>
      <c r="C7" s="50">
        <v>2</v>
      </c>
      <c r="D7" s="50">
        <v>0</v>
      </c>
      <c r="E7" s="66">
        <f>(B7*C7)+D7</f>
        <v>1382.4</v>
      </c>
    </row>
    <row r="8" spans="1:6" s="45" customFormat="1" ht="26.5" customHeight="1" x14ac:dyDescent="0.3">
      <c r="A8" s="84" t="s">
        <v>127</v>
      </c>
      <c r="B8" s="85"/>
      <c r="C8" s="85"/>
      <c r="D8" s="85"/>
      <c r="E8" s="86"/>
      <c r="F8" s="58"/>
    </row>
    <row r="9" spans="1:6" s="45" customFormat="1" ht="42" customHeight="1" x14ac:dyDescent="0.3">
      <c r="A9" s="47" t="s">
        <v>128</v>
      </c>
      <c r="B9" s="59">
        <v>0</v>
      </c>
      <c r="C9" s="50">
        <v>2</v>
      </c>
      <c r="D9" s="50">
        <v>163</v>
      </c>
      <c r="E9" s="50">
        <f>(B9*C9)+D9</f>
        <v>163</v>
      </c>
    </row>
    <row r="10" spans="1:6" s="45" customFormat="1" ht="13" x14ac:dyDescent="0.3">
      <c r="A10" s="49"/>
      <c r="B10" s="50"/>
      <c r="C10" s="50"/>
      <c r="D10" s="2" t="s">
        <v>110</v>
      </c>
      <c r="E10" s="67">
        <f>ROUND(SUM(E4:E9),-1)</f>
        <v>2620</v>
      </c>
    </row>
    <row r="11" spans="1:6" s="45" customFormat="1" ht="13" x14ac:dyDescent="0.3">
      <c r="A11" s="81" t="s">
        <v>130</v>
      </c>
      <c r="B11" s="82"/>
      <c r="C11" s="82"/>
      <c r="D11" s="82"/>
      <c r="E11" s="82"/>
    </row>
  </sheetData>
  <mergeCells count="4">
    <mergeCell ref="A11:E11"/>
    <mergeCell ref="A1:E1"/>
    <mergeCell ref="A4:E4"/>
    <mergeCell ref="A8:E8"/>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B193D-1671-4CF7-A0DB-118CDA12B7A3}">
  <dimension ref="A1:G9"/>
  <sheetViews>
    <sheetView workbookViewId="0">
      <selection activeCell="C14" sqref="C14"/>
    </sheetView>
  </sheetViews>
  <sheetFormatPr defaultColWidth="17.7265625" defaultRowHeight="31.9" customHeight="1" x14ac:dyDescent="0.35"/>
  <sheetData>
    <row r="1" spans="1:7" s="45" customFormat="1" ht="31.9" customHeight="1" x14ac:dyDescent="0.3">
      <c r="A1" s="87" t="s">
        <v>84</v>
      </c>
      <c r="B1" s="87"/>
      <c r="C1" s="87"/>
      <c r="D1" s="87"/>
      <c r="E1" s="87"/>
      <c r="F1" s="87"/>
      <c r="G1" s="65"/>
    </row>
    <row r="2" spans="1:7" s="45" customFormat="1" ht="49.15" customHeight="1" x14ac:dyDescent="0.3">
      <c r="A2" s="61"/>
      <c r="B2" s="88" t="s">
        <v>111</v>
      </c>
      <c r="C2" s="88"/>
      <c r="D2" s="89" t="s">
        <v>112</v>
      </c>
      <c r="E2" s="90"/>
      <c r="F2" s="91"/>
    </row>
    <row r="3" spans="1:7" s="45" customFormat="1" ht="31.9" customHeight="1" x14ac:dyDescent="0.3">
      <c r="A3" s="61"/>
      <c r="B3" s="62" t="s">
        <v>91</v>
      </c>
      <c r="C3" s="62" t="s">
        <v>92</v>
      </c>
      <c r="D3" s="62" t="s">
        <v>93</v>
      </c>
      <c r="E3" s="62" t="s">
        <v>94</v>
      </c>
      <c r="F3" s="62" t="s">
        <v>95</v>
      </c>
    </row>
    <row r="4" spans="1:7" s="45" customFormat="1" ht="70.900000000000006" customHeight="1" x14ac:dyDescent="0.3">
      <c r="A4" s="62" t="s">
        <v>113</v>
      </c>
      <c r="B4" s="61" t="s">
        <v>114</v>
      </c>
      <c r="C4" s="61" t="s">
        <v>115</v>
      </c>
      <c r="D4" s="61" t="s">
        <v>116</v>
      </c>
      <c r="E4" s="61" t="s">
        <v>117</v>
      </c>
      <c r="F4" s="61" t="s">
        <v>118</v>
      </c>
    </row>
    <row r="5" spans="1:7" s="45" customFormat="1" ht="13" x14ac:dyDescent="0.3">
      <c r="A5" s="56">
        <v>1</v>
      </c>
      <c r="B5" s="50">
        <v>0</v>
      </c>
      <c r="C5" s="50">
        <v>768</v>
      </c>
      <c r="D5" s="50">
        <v>163</v>
      </c>
      <c r="E5" s="50">
        <v>0</v>
      </c>
      <c r="F5" s="50">
        <f>B5+C5+D5-E5</f>
        <v>931</v>
      </c>
    </row>
    <row r="6" spans="1:7" s="45" customFormat="1" ht="13" x14ac:dyDescent="0.3">
      <c r="A6" s="56">
        <v>2</v>
      </c>
      <c r="B6" s="50">
        <v>0</v>
      </c>
      <c r="C6" s="50">
        <v>768</v>
      </c>
      <c r="D6" s="50">
        <v>163</v>
      </c>
      <c r="E6" s="50">
        <v>0</v>
      </c>
      <c r="F6" s="50">
        <f>B6+C6+D6-E6</f>
        <v>931</v>
      </c>
    </row>
    <row r="7" spans="1:7" s="45" customFormat="1" ht="13" x14ac:dyDescent="0.3">
      <c r="A7" s="56">
        <v>3</v>
      </c>
      <c r="B7" s="50">
        <v>0</v>
      </c>
      <c r="C7" s="50">
        <v>768</v>
      </c>
      <c r="D7" s="50">
        <v>163</v>
      </c>
      <c r="E7" s="50">
        <v>0</v>
      </c>
      <c r="F7" s="50">
        <f>B7+C7+D7-E7</f>
        <v>931</v>
      </c>
    </row>
    <row r="8" spans="1:7" s="45" customFormat="1" ht="13" x14ac:dyDescent="0.3">
      <c r="A8" s="56" t="s">
        <v>119</v>
      </c>
      <c r="B8" s="50">
        <f>AVERAGE(B5:B7)</f>
        <v>0</v>
      </c>
      <c r="C8" s="50">
        <f>AVERAGE(C5:C7)</f>
        <v>768</v>
      </c>
      <c r="D8" s="50">
        <f>AVERAGE(D5:D7)</f>
        <v>163</v>
      </c>
      <c r="E8" s="50">
        <v>0</v>
      </c>
      <c r="F8" s="60">
        <f>AVERAGE(F5:F7)</f>
        <v>931</v>
      </c>
    </row>
    <row r="9" spans="1:7" s="45" customFormat="1" ht="20.5" customHeight="1" x14ac:dyDescent="0.3">
      <c r="A9" s="17" t="s">
        <v>120</v>
      </c>
    </row>
  </sheetData>
  <mergeCells count="3">
    <mergeCell ref="A1:F1"/>
    <mergeCell ref="B2:C2"/>
    <mergeCell ref="D2:F2"/>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Industry</vt:lpstr>
      <vt:lpstr>Agency</vt:lpstr>
      <vt:lpstr>Capital O&amp;M</vt:lpstr>
      <vt:lpstr>Responses</vt:lpstr>
      <vt:lpstr>Respondents</vt:lpstr>
      <vt:lpstr>Industry!_Hlk11244459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2016-03-16T15:52:54Z</dcterms:created>
  <dcterms:modified xsi:type="dcterms:W3CDTF">2022-10-26T10:16:28Z</dcterms:modified>
</cp:coreProperties>
</file>