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46ACFE17-0348-4018-8D01-6D7725144B71}" xr6:coauthVersionLast="47" xr6:coauthVersionMax="47" xr10:uidLastSave="{00000000-0000-0000-0000-000000000000}"/>
  <bookViews>
    <workbookView xWindow="-110" yWindow="-110" windowWidth="19420" windowHeight="10420" xr2:uid="{00000000-000D-0000-FFFF-FFFF00000000}"/>
  </bookViews>
  <sheets>
    <sheet name="Summary" sheetId="5" r:id="rId1"/>
    <sheet name="Table 1" sheetId="1" r:id="rId2"/>
    <sheet name="Table 2" sheetId="2" r:id="rId3"/>
    <sheet name="Capital and O&amp;M" sheetId="3" r:id="rId4"/>
    <sheet name="Responses" sheetId="6" r:id="rId5"/>
    <sheet name="Responden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9" i="1" l="1"/>
  <c r="E9" i="3"/>
  <c r="N1" i="3"/>
  <c r="E8" i="3"/>
  <c r="E7" i="3"/>
  <c r="E6" i="3"/>
  <c r="E5" i="3"/>
  <c r="B9" i="3"/>
  <c r="B5" i="3"/>
  <c r="N6" i="3" l="1"/>
  <c r="N7" i="3"/>
  <c r="N8" i="3"/>
  <c r="N9" i="3"/>
  <c r="N5" i="3"/>
  <c r="R6" i="3"/>
  <c r="R7" i="3"/>
  <c r="R8" i="3"/>
  <c r="R9" i="3"/>
  <c r="R5" i="3"/>
  <c r="B7" i="6"/>
  <c r="B9" i="6"/>
  <c r="B8" i="6"/>
  <c r="I48" i="1"/>
  <c r="F48" i="1"/>
  <c r="I47" i="1"/>
  <c r="F47" i="1"/>
  <c r="I33" i="1"/>
  <c r="F33" i="1"/>
  <c r="I7" i="1"/>
  <c r="E9" i="6" l="1"/>
  <c r="E8" i="6"/>
  <c r="E5" i="6"/>
  <c r="E6" i="6"/>
  <c r="E7" i="6"/>
  <c r="E4" i="6"/>
  <c r="B3" i="5"/>
  <c r="E8" i="7"/>
  <c r="D8" i="7"/>
  <c r="B8" i="7"/>
  <c r="C8" i="7"/>
  <c r="F7" i="7"/>
  <c r="F6" i="7"/>
  <c r="F8" i="7" s="1"/>
  <c r="F5" i="7"/>
  <c r="E10" i="6" l="1"/>
  <c r="B7" i="5" s="1"/>
  <c r="E29" i="1" l="1"/>
  <c r="E28" i="1"/>
  <c r="E18" i="2" l="1"/>
  <c r="E20" i="2"/>
  <c r="E21" i="2"/>
  <c r="E13" i="1"/>
  <c r="E19" i="2" s="1"/>
  <c r="D10" i="3" l="1"/>
  <c r="G9" i="3"/>
  <c r="G10" i="3" s="1"/>
  <c r="G8" i="3"/>
  <c r="G6" i="3"/>
  <c r="G7" i="3"/>
  <c r="G5" i="3"/>
  <c r="D23" i="2"/>
  <c r="F23" i="2" s="1"/>
  <c r="G23" i="2" s="1"/>
  <c r="D22" i="2"/>
  <c r="F22" i="2" s="1"/>
  <c r="D17" i="2"/>
  <c r="F17" i="2" s="1"/>
  <c r="D6" i="2"/>
  <c r="F6" i="2" s="1"/>
  <c r="D7" i="2"/>
  <c r="F7" i="2" s="1"/>
  <c r="D10" i="2"/>
  <c r="F10" i="2" s="1"/>
  <c r="D15" i="2"/>
  <c r="F15" i="2" s="1"/>
  <c r="D16" i="2"/>
  <c r="F16" i="2" s="1"/>
  <c r="D18" i="2"/>
  <c r="F18" i="2" s="1"/>
  <c r="G18" i="2" s="1"/>
  <c r="D19" i="2"/>
  <c r="F19" i="2" s="1"/>
  <c r="G19" i="2" s="1"/>
  <c r="D20" i="2"/>
  <c r="F20" i="2" s="1"/>
  <c r="D21" i="2"/>
  <c r="F21" i="2" s="1"/>
  <c r="G21" i="2" s="1"/>
  <c r="D25" i="2"/>
  <c r="F25" i="2" s="1"/>
  <c r="G25" i="2" s="1"/>
  <c r="D4" i="2"/>
  <c r="F4" i="2" s="1"/>
  <c r="F41" i="1"/>
  <c r="H41" i="1" s="1"/>
  <c r="G41" i="1"/>
  <c r="F43" i="1"/>
  <c r="H43" i="1" s="1"/>
  <c r="G43" i="1"/>
  <c r="D41" i="1"/>
  <c r="D42" i="1"/>
  <c r="F42" i="1" s="1"/>
  <c r="D43" i="1"/>
  <c r="D32" i="1"/>
  <c r="F32" i="1" s="1"/>
  <c r="G32" i="1" s="1"/>
  <c r="D31" i="1"/>
  <c r="F31" i="1" s="1"/>
  <c r="G31" i="1" s="1"/>
  <c r="D16" i="1"/>
  <c r="F16" i="1" s="1"/>
  <c r="G16" i="1" s="1"/>
  <c r="D17" i="1"/>
  <c r="F17" i="1" s="1"/>
  <c r="D14" i="1"/>
  <c r="F14" i="1" s="1"/>
  <c r="G14" i="1" s="1"/>
  <c r="D9" i="1"/>
  <c r="F9" i="1" s="1"/>
  <c r="G9" i="1" s="1"/>
  <c r="D10" i="1"/>
  <c r="F10" i="1" s="1"/>
  <c r="D11" i="1"/>
  <c r="F11" i="1" s="1"/>
  <c r="G11" i="1" s="1"/>
  <c r="D12" i="1"/>
  <c r="F12" i="1" s="1"/>
  <c r="D13" i="1"/>
  <c r="F13" i="1" s="1"/>
  <c r="G13" i="1" s="1"/>
  <c r="D22" i="1"/>
  <c r="F22" i="1" s="1"/>
  <c r="D25" i="1"/>
  <c r="F25" i="1" s="1"/>
  <c r="G25" i="1" s="1"/>
  <c r="D26" i="1"/>
  <c r="F26" i="1" s="1"/>
  <c r="D28" i="1"/>
  <c r="F28" i="1" s="1"/>
  <c r="G28" i="1" s="1"/>
  <c r="D29" i="1"/>
  <c r="F29" i="1" s="1"/>
  <c r="D30" i="1"/>
  <c r="F30" i="1" s="1"/>
  <c r="G30" i="1" s="1"/>
  <c r="D40" i="1"/>
  <c r="F40" i="1" s="1"/>
  <c r="D7" i="1"/>
  <c r="F7" i="1" s="1"/>
  <c r="H7" i="1" s="1"/>
  <c r="B6" i="5" l="1"/>
  <c r="G40" i="1"/>
  <c r="G20" i="2"/>
  <c r="G17" i="2"/>
  <c r="G42" i="1"/>
  <c r="H42" i="1"/>
  <c r="I42" i="1"/>
  <c r="H31" i="1"/>
  <c r="I43" i="1"/>
  <c r="I41" i="1"/>
  <c r="I31" i="1"/>
  <c r="G4" i="2"/>
  <c r="F26" i="2" s="1"/>
  <c r="H4" i="2"/>
  <c r="G22" i="2"/>
  <c r="H22" i="2"/>
  <c r="H17" i="2"/>
  <c r="H23" i="2"/>
  <c r="I23" i="2" s="1"/>
  <c r="G16" i="2"/>
  <c r="G6" i="2"/>
  <c r="G15" i="2"/>
  <c r="G10" i="2"/>
  <c r="G7" i="2"/>
  <c r="H25" i="2"/>
  <c r="I25" i="2" s="1"/>
  <c r="H21" i="2"/>
  <c r="I21" i="2" s="1"/>
  <c r="H20" i="2"/>
  <c r="I20" i="2" s="1"/>
  <c r="H19" i="2"/>
  <c r="I19" i="2" s="1"/>
  <c r="H18" i="2"/>
  <c r="I18" i="2" s="1"/>
  <c r="H16" i="2"/>
  <c r="H15" i="2"/>
  <c r="H10" i="2"/>
  <c r="H7" i="2"/>
  <c r="H6" i="2"/>
  <c r="H32" i="1"/>
  <c r="I32" i="1" s="1"/>
  <c r="G17" i="1"/>
  <c r="H17" i="1"/>
  <c r="H16" i="1"/>
  <c r="I16" i="1" s="1"/>
  <c r="H14" i="1"/>
  <c r="I14" i="1" s="1"/>
  <c r="G26" i="1"/>
  <c r="H26" i="1"/>
  <c r="G12" i="1"/>
  <c r="H12" i="1"/>
  <c r="G29" i="1"/>
  <c r="H29" i="1"/>
  <c r="G10" i="1"/>
  <c r="H10" i="1"/>
  <c r="G22" i="1"/>
  <c r="H22" i="1"/>
  <c r="G7" i="1"/>
  <c r="H40" i="1"/>
  <c r="I40" i="1" s="1"/>
  <c r="H30" i="1"/>
  <c r="I30" i="1" s="1"/>
  <c r="H28" i="1"/>
  <c r="I28" i="1" s="1"/>
  <c r="H25" i="1"/>
  <c r="I25" i="1" s="1"/>
  <c r="H13" i="1"/>
  <c r="I13" i="1" s="1"/>
  <c r="H11" i="1"/>
  <c r="I11" i="1" s="1"/>
  <c r="H9" i="1"/>
  <c r="I9" i="1" s="1"/>
  <c r="I49" i="1" l="1"/>
  <c r="I50" i="1" s="1"/>
  <c r="I4" i="2"/>
  <c r="I17" i="2"/>
  <c r="I6" i="2"/>
  <c r="I22" i="2"/>
  <c r="I10" i="2"/>
  <c r="I15" i="2"/>
  <c r="I7" i="2"/>
  <c r="I16" i="2"/>
  <c r="I17" i="1"/>
  <c r="I22" i="1"/>
  <c r="I29" i="1"/>
  <c r="I26" i="1"/>
  <c r="I10" i="1"/>
  <c r="I12" i="1"/>
  <c r="B2" i="5" l="1"/>
  <c r="K48" i="1"/>
  <c r="B4" i="5" s="1"/>
  <c r="I26" i="2"/>
  <c r="B5" i="5"/>
</calcChain>
</file>

<file path=xl/sharedStrings.xml><?xml version="1.0" encoding="utf-8"?>
<sst xmlns="http://schemas.openxmlformats.org/spreadsheetml/2006/main" count="221" uniqueCount="176">
  <si>
    <t xml:space="preserve">      </t>
  </si>
  <si>
    <r>
      <t xml:space="preserve">Table 1: Annual Respondent Burden and Cost – </t>
    </r>
    <r>
      <rPr>
        <b/>
        <sz val="12"/>
        <color theme="1"/>
        <rFont val="Times New Roman"/>
        <family val="1"/>
      </rPr>
      <t>NESHAP for Phosphoric Acid Manufacturing and Phosphate Fertilizers Production (40 CFR Part 63, Subparts AA and BB) (Renewal)</t>
    </r>
  </si>
  <si>
    <t>Burden item</t>
  </si>
  <si>
    <t>(A)</t>
  </si>
  <si>
    <t>(B)</t>
  </si>
  <si>
    <t>(C)</t>
  </si>
  <si>
    <t>(D)</t>
  </si>
  <si>
    <t>(E)</t>
  </si>
  <si>
    <t>(F)</t>
  </si>
  <si>
    <t>(G)</t>
  </si>
  <si>
    <t>Total</t>
  </si>
  <si>
    <t>1.  Applications</t>
  </si>
  <si>
    <t>N/A</t>
  </si>
  <si>
    <t>2.  Survey and Studies</t>
  </si>
  <si>
    <t xml:space="preserve">     B.  Required activities</t>
  </si>
  <si>
    <t xml:space="preserve">       Repeat initial performance test</t>
  </si>
  <si>
    <t xml:space="preserve">       Startup, shutdown, malfunction plan</t>
  </si>
  <si>
    <t xml:space="preserve">    C.  Create information</t>
  </si>
  <si>
    <t xml:space="preserve">    D.  Gather existing information</t>
  </si>
  <si>
    <t>Subtotal for Reporting</t>
  </si>
  <si>
    <t>Subtotal for Recordkeeping</t>
  </si>
  <si>
    <t>(A)
Technical Hours per Occurrence</t>
  </si>
  <si>
    <t>(B)
Occurrences per respondent per year</t>
  </si>
  <si>
    <t>(C)
Person hours per respondent per year
(C=AxB)</t>
  </si>
  <si>
    <t>(F)
Managerial person hours per year
(F=Ex0.05)</t>
  </si>
  <si>
    <t>(E) 
Technical person hours per year
(E=CxD)</t>
  </si>
  <si>
    <t>(G)
Clerical person hours per year
(G=Ex0.1)</t>
  </si>
  <si>
    <r>
      <t xml:space="preserve">(H)
Total Cost per Year ($) </t>
    </r>
    <r>
      <rPr>
        <b/>
        <vertAlign val="superscript"/>
        <sz val="9"/>
        <color theme="1"/>
        <rFont val="Times New Roman"/>
        <family val="1"/>
      </rPr>
      <t>b</t>
    </r>
  </si>
  <si>
    <t xml:space="preserve">     A.  Familiarize with regulatory requirements</t>
  </si>
  <si>
    <r>
      <t xml:space="preserve">(D)
Respondents per year </t>
    </r>
    <r>
      <rPr>
        <b/>
        <vertAlign val="superscript"/>
        <sz val="10"/>
        <color theme="1"/>
        <rFont val="Times New Roman"/>
        <family val="1"/>
      </rPr>
      <t>a</t>
    </r>
  </si>
  <si>
    <t xml:space="preserve">       TF testing</t>
  </si>
  <si>
    <t>3.  Reporting Requirements</t>
  </si>
  <si>
    <t>See 3B</t>
  </si>
  <si>
    <t>4.  Recordkeeping Requirements</t>
  </si>
  <si>
    <t>See 4E</t>
  </si>
  <si>
    <t xml:space="preserve">       Notification of applicability</t>
  </si>
  <si>
    <t>Initial performance test</t>
  </si>
  <si>
    <t xml:space="preserve">       Notification of construction./ reconstruction</t>
  </si>
  <si>
    <t xml:space="preserve">       Notification of actual startup</t>
  </si>
  <si>
    <t xml:space="preserve">       Notification of compliance requirements</t>
  </si>
  <si>
    <t xml:space="preserve">       Notification of performance test</t>
  </si>
  <si>
    <t xml:space="preserve">       Notification of compliance status</t>
  </si>
  <si>
    <t xml:space="preserve">       Report of performance test</t>
  </si>
  <si>
    <t xml:space="preserve">     B.  Plan activities</t>
  </si>
  <si>
    <t xml:space="preserve">     C.  Implement activities</t>
  </si>
  <si>
    <t xml:space="preserve">     D.  Develop record system</t>
  </si>
  <si>
    <t xml:space="preserve">     E.  Time to enter information</t>
  </si>
  <si>
    <t xml:space="preserve">     G. Time to comply with applicable requirements</t>
  </si>
  <si>
    <t xml:space="preserve">     H.  Time for audits</t>
  </si>
  <si>
    <t>Assumptions</t>
  </si>
  <si>
    <r>
      <t xml:space="preserve">     A.  Familiarize with regulatory requirements </t>
    </r>
    <r>
      <rPr>
        <vertAlign val="superscript"/>
        <sz val="10"/>
        <color theme="1"/>
        <rFont val="Times New Roman"/>
        <family val="1"/>
      </rPr>
      <t>c</t>
    </r>
  </si>
  <si>
    <r>
      <t xml:space="preserve">       Annual performance test</t>
    </r>
    <r>
      <rPr>
        <sz val="10"/>
        <color theme="1"/>
        <rFont val="Times New Roman"/>
        <family val="1"/>
      </rPr>
      <t xml:space="preserve"> </t>
    </r>
  </si>
  <si>
    <r>
      <t xml:space="preserve">       Repeat annual performance test </t>
    </r>
    <r>
      <rPr>
        <vertAlign val="superscript"/>
        <sz val="10"/>
        <color theme="1"/>
        <rFont val="Times New Roman"/>
        <family val="1"/>
      </rPr>
      <t>d</t>
    </r>
  </si>
  <si>
    <r>
      <t xml:space="preserve">       Mercury testing - Calciners </t>
    </r>
    <r>
      <rPr>
        <vertAlign val="superscript"/>
        <sz val="10"/>
        <color theme="1"/>
        <rFont val="Times New Roman"/>
        <family val="1"/>
      </rPr>
      <t>e</t>
    </r>
  </si>
  <si>
    <r>
      <t xml:space="preserve">         a. Oxidation Reactors </t>
    </r>
    <r>
      <rPr>
        <vertAlign val="superscript"/>
        <sz val="10"/>
        <color theme="1"/>
        <rFont val="Times New Roman"/>
        <family val="1"/>
      </rPr>
      <t>f</t>
    </r>
  </si>
  <si>
    <r>
      <t xml:space="preserve">         b. Calciners </t>
    </r>
    <r>
      <rPr>
        <vertAlign val="superscript"/>
        <sz val="10"/>
        <color theme="1"/>
        <rFont val="Times New Roman"/>
        <family val="1"/>
      </rPr>
      <t>e</t>
    </r>
  </si>
  <si>
    <t xml:space="preserve">    E.  Write report</t>
  </si>
  <si>
    <r>
      <t xml:space="preserve">       Report monitoring exceedances </t>
    </r>
    <r>
      <rPr>
        <vertAlign val="superscript"/>
        <sz val="10"/>
        <color theme="1"/>
        <rFont val="Times New Roman"/>
        <family val="1"/>
      </rPr>
      <t>g</t>
    </r>
  </si>
  <si>
    <r>
      <rPr>
        <vertAlign val="superscript"/>
        <sz val="9"/>
        <rFont val="Times New Roman"/>
        <family val="1"/>
      </rPr>
      <t>c</t>
    </r>
    <r>
      <rPr>
        <sz val="9"/>
        <rFont val="Times New Roman"/>
        <family val="1"/>
      </rPr>
      <t xml:space="preserve">  We assume that all respondents will have to familiarize with the regulatory requirements each year.</t>
    </r>
  </si>
  <si>
    <r>
      <t xml:space="preserve">       Report of no excess emissions </t>
    </r>
    <r>
      <rPr>
        <vertAlign val="superscript"/>
        <sz val="10"/>
        <color theme="1"/>
        <rFont val="Times New Roman"/>
        <family val="1"/>
      </rPr>
      <t>h</t>
    </r>
  </si>
  <si>
    <r>
      <t xml:space="preserve">       Startup/ shutdown/ malfunction report </t>
    </r>
    <r>
      <rPr>
        <vertAlign val="superscript"/>
        <sz val="10"/>
        <color theme="1"/>
        <rFont val="Times New Roman"/>
        <family val="1"/>
      </rPr>
      <t>i</t>
    </r>
  </si>
  <si>
    <r>
      <t xml:space="preserve">       Develop monitoring plan </t>
    </r>
    <r>
      <rPr>
        <vertAlign val="superscript"/>
        <sz val="10"/>
        <color theme="1"/>
        <rFont val="Times New Roman"/>
        <family val="1"/>
      </rPr>
      <t>j</t>
    </r>
  </si>
  <si>
    <r>
      <t xml:space="preserve">       Prepare gypsum stack management </t>
    </r>
    <r>
      <rPr>
        <vertAlign val="superscript"/>
        <sz val="10"/>
        <color theme="1"/>
        <rFont val="Times New Roman"/>
        <family val="1"/>
      </rPr>
      <t>j</t>
    </r>
  </si>
  <si>
    <t>See 3A</t>
  </si>
  <si>
    <r>
      <t xml:space="preserve">       Records of operating parameters </t>
    </r>
    <r>
      <rPr>
        <vertAlign val="superscript"/>
        <sz val="10"/>
        <color theme="1"/>
        <rFont val="Times New Roman"/>
        <family val="1"/>
      </rPr>
      <t>k</t>
    </r>
  </si>
  <si>
    <r>
      <rPr>
        <vertAlign val="superscript"/>
        <sz val="9"/>
        <color theme="1"/>
        <rFont val="Times New Roman"/>
        <family val="1"/>
      </rPr>
      <t>k</t>
    </r>
    <r>
      <rPr>
        <sz val="9"/>
        <color theme="1"/>
        <rFont val="Times New Roman"/>
        <family val="1"/>
      </rPr>
      <t xml:space="preserve">  We have assumed that it will take 1.5 hours per respondent to enter information and that information is entered one-time per week for 52 weeks per year.</t>
    </r>
  </si>
  <si>
    <r>
      <t xml:space="preserve">       Records of Hg testing </t>
    </r>
    <r>
      <rPr>
        <vertAlign val="superscript"/>
        <sz val="10"/>
        <color theme="1"/>
        <rFont val="Times New Roman"/>
        <family val="1"/>
      </rPr>
      <t>e</t>
    </r>
  </si>
  <si>
    <r>
      <t xml:space="preserve">       Records of TF testing </t>
    </r>
    <r>
      <rPr>
        <vertAlign val="superscript"/>
        <sz val="10"/>
        <color theme="1"/>
        <rFont val="Times New Roman"/>
        <family val="1"/>
      </rPr>
      <t>e, f</t>
    </r>
  </si>
  <si>
    <r>
      <t xml:space="preserve">       Records of BLDS alarm </t>
    </r>
    <r>
      <rPr>
        <vertAlign val="superscript"/>
        <sz val="10"/>
        <color theme="1"/>
        <rFont val="Times New Roman"/>
        <family val="1"/>
      </rPr>
      <t>l</t>
    </r>
  </si>
  <si>
    <r>
      <rPr>
        <vertAlign val="superscript"/>
        <sz val="9"/>
        <color theme="1"/>
        <rFont val="Times New Roman"/>
        <family val="1"/>
      </rPr>
      <t>l</t>
    </r>
    <r>
      <rPr>
        <sz val="9"/>
        <color theme="1"/>
        <rFont val="Times New Roman"/>
        <family val="1"/>
      </rPr>
      <t xml:space="preserve">  Records of BLDS alarms must be kept, we assume each fabric filter will warrant 5 hours of documenting for this requirement.</t>
    </r>
  </si>
  <si>
    <t xml:space="preserve">     F.  Time to train personnel</t>
  </si>
  <si>
    <r>
      <t xml:space="preserve">TOTAL ANNUAL BURDEN and COST (rounded) </t>
    </r>
    <r>
      <rPr>
        <b/>
        <vertAlign val="superscript"/>
        <sz val="9"/>
        <color theme="1"/>
        <rFont val="Times New Roman"/>
        <family val="1"/>
      </rPr>
      <t>m</t>
    </r>
  </si>
  <si>
    <r>
      <t xml:space="preserve">CAPITAL AND O&amp;M COST  (rounded) </t>
    </r>
    <r>
      <rPr>
        <b/>
        <vertAlign val="superscript"/>
        <sz val="9"/>
        <color theme="1"/>
        <rFont val="Times New Roman"/>
        <family val="1"/>
      </rPr>
      <t>m</t>
    </r>
  </si>
  <si>
    <r>
      <t xml:space="preserve">GRAND TOTAL (rounded) </t>
    </r>
    <r>
      <rPr>
        <b/>
        <vertAlign val="superscript"/>
        <sz val="9"/>
        <color theme="1"/>
        <rFont val="Times New Roman"/>
        <family val="1"/>
      </rPr>
      <t>m</t>
    </r>
  </si>
  <si>
    <r>
      <rPr>
        <vertAlign val="superscript"/>
        <sz val="9"/>
        <color theme="1"/>
        <rFont val="Times New Roman"/>
        <family val="1"/>
      </rPr>
      <t>m</t>
    </r>
    <r>
      <rPr>
        <sz val="9"/>
        <color theme="1"/>
        <rFont val="Times New Roman"/>
        <family val="1"/>
      </rPr>
      <t xml:space="preserve">  Totals have been rounded to 3 significant figures. Figures may not add exactly due to rounding. </t>
    </r>
  </si>
  <si>
    <t>Burden Item</t>
  </si>
  <si>
    <t>Repeat initial performance test</t>
  </si>
  <si>
    <t xml:space="preserve">   Retesting preparation</t>
  </si>
  <si>
    <t xml:space="preserve">   Retesting</t>
  </si>
  <si>
    <t>Excess emissions enforcement activities</t>
  </si>
  <si>
    <t>Report review</t>
  </si>
  <si>
    <t xml:space="preserve">   Notification of applicability</t>
  </si>
  <si>
    <t xml:space="preserve">   Notification of construction./reconstruction </t>
  </si>
  <si>
    <t xml:space="preserve">   Notification of anticipated startup</t>
  </si>
  <si>
    <t xml:space="preserve">   Notification of actual startup</t>
  </si>
  <si>
    <t xml:space="preserve">   Notification of special compliance requirements</t>
  </si>
  <si>
    <t xml:space="preserve">   Notification of initial performance test</t>
  </si>
  <si>
    <t xml:space="preserve">   Notification of compliance status</t>
  </si>
  <si>
    <t xml:space="preserve">   Annual performance test</t>
  </si>
  <si>
    <t xml:space="preserve">   Waiver application</t>
  </si>
  <si>
    <t>Table 2: Average Annual EPA Burden and Cost – NESHAP for Phosphoric Acid Manufacturing and Phosphate Fertilizers Production (40 CFR Part 63, Subparts AA and BB) (Renewal)</t>
  </si>
  <si>
    <t>(A)
Person hours per occurrence</t>
  </si>
  <si>
    <t>(E)
Technical person hours per year
(E=CxD)</t>
  </si>
  <si>
    <r>
      <t xml:space="preserve">(H)
Total Cost per Year ($) </t>
    </r>
    <r>
      <rPr>
        <b/>
        <vertAlign val="superscript"/>
        <sz val="10"/>
        <color theme="1"/>
        <rFont val="Times New Roman"/>
        <family val="1"/>
      </rPr>
      <t>b</t>
    </r>
  </si>
  <si>
    <r>
      <t xml:space="preserve">   Observe stack tests </t>
    </r>
    <r>
      <rPr>
        <vertAlign val="superscript"/>
        <sz val="10"/>
        <color theme="1"/>
        <rFont val="Times New Roman"/>
        <family val="1"/>
      </rPr>
      <t>c</t>
    </r>
  </si>
  <si>
    <r>
      <t xml:space="preserve">   Repeat annual performance test </t>
    </r>
    <r>
      <rPr>
        <vertAlign val="superscript"/>
        <sz val="10"/>
        <color theme="1"/>
        <rFont val="Times New Roman"/>
        <family val="1"/>
      </rPr>
      <t>d</t>
    </r>
  </si>
  <si>
    <r>
      <t xml:space="preserve">   Excess emissions report </t>
    </r>
    <r>
      <rPr>
        <vertAlign val="superscript"/>
        <sz val="10"/>
        <color theme="1"/>
        <rFont val="Times New Roman"/>
        <family val="1"/>
      </rPr>
      <t>e</t>
    </r>
  </si>
  <si>
    <t>e  We have assumed that 10 percent of respondent will report exceedances.  Respondents are required to report quarterly.</t>
  </si>
  <si>
    <r>
      <t xml:space="preserve">   No excess emissions report </t>
    </r>
    <r>
      <rPr>
        <vertAlign val="superscript"/>
        <sz val="10"/>
        <color theme="1"/>
        <rFont val="Times New Roman"/>
        <family val="1"/>
      </rPr>
      <t>f</t>
    </r>
  </si>
  <si>
    <r>
      <t xml:space="preserve">   Review monitoring plan </t>
    </r>
    <r>
      <rPr>
        <vertAlign val="superscript"/>
        <sz val="10"/>
        <color theme="1"/>
        <rFont val="Times New Roman"/>
        <family val="1"/>
      </rPr>
      <t>g</t>
    </r>
  </si>
  <si>
    <r>
      <t xml:space="preserve">   Review gypsum stack and cooling pond management plan </t>
    </r>
    <r>
      <rPr>
        <vertAlign val="superscript"/>
        <sz val="10"/>
        <color theme="1"/>
        <rFont val="Times New Roman"/>
        <family val="1"/>
      </rPr>
      <t>g</t>
    </r>
  </si>
  <si>
    <r>
      <t xml:space="preserve">   Startup, shutdown, malfunction report </t>
    </r>
    <r>
      <rPr>
        <vertAlign val="superscript"/>
        <sz val="10"/>
        <color theme="1"/>
        <rFont val="Times New Roman"/>
        <family val="1"/>
      </rPr>
      <t>h</t>
    </r>
  </si>
  <si>
    <r>
      <t>d</t>
    </r>
    <r>
      <rPr>
        <sz val="9"/>
        <color theme="1"/>
        <rFont val="Times New Roman"/>
        <family val="1"/>
      </rPr>
      <t xml:space="preserve">  We have assumed that 7 percent of respondents will fail the initial performance test and must repeat it.</t>
    </r>
  </si>
  <si>
    <r>
      <t>f</t>
    </r>
    <r>
      <rPr>
        <sz val="9"/>
        <color theme="1"/>
        <rFont val="Times New Roman"/>
        <family val="1"/>
      </rPr>
      <t xml:space="preserve">  We have assumed that 90 percent of existing respondents report no excess emissions semiannually. </t>
    </r>
  </si>
  <si>
    <r>
      <rPr>
        <vertAlign val="superscript"/>
        <sz val="9"/>
        <color theme="1"/>
        <rFont val="Times New Roman"/>
        <family val="1"/>
      </rPr>
      <t>c</t>
    </r>
    <r>
      <rPr>
        <sz val="9"/>
        <color theme="1"/>
        <rFont val="Times New Roman"/>
        <family val="1"/>
      </rPr>
      <t xml:space="preserve">  Assumes EPA will attend 20 percent of stack tests. Only considers facilities with new emission points.</t>
    </r>
  </si>
  <si>
    <r>
      <t xml:space="preserve">TOTAL ANNUAL BURDEN AND COST (rounded) </t>
    </r>
    <r>
      <rPr>
        <b/>
        <vertAlign val="superscript"/>
        <sz val="10"/>
        <color theme="1"/>
        <rFont val="Times New Roman"/>
        <family val="1"/>
      </rPr>
      <t>i</t>
    </r>
  </si>
  <si>
    <r>
      <rPr>
        <vertAlign val="superscript"/>
        <sz val="9"/>
        <color theme="1"/>
        <rFont val="Times New Roman"/>
        <family val="1"/>
      </rPr>
      <t>i</t>
    </r>
    <r>
      <rPr>
        <sz val="9"/>
        <color theme="1"/>
        <rFont val="Times New Roman"/>
        <family val="1"/>
      </rPr>
      <t xml:space="preserve">  Totals have been rounded to 3 significant figures. Figures may not add exactly due to rounding. </t>
    </r>
  </si>
  <si>
    <t>Capital/Startup vs. Operation and Maintenance (O&amp;M) Costs</t>
  </si>
  <si>
    <t>Continuous Monitoring Device</t>
  </si>
  <si>
    <t>Capital/Startup Cost for One Respondent</t>
  </si>
  <si>
    <t>Number of New Respondents</t>
  </si>
  <si>
    <t>Total Capital/Startup Cost, (B X C)</t>
  </si>
  <si>
    <t>Annual O&amp;M Costs for One Respondent</t>
  </si>
  <si>
    <t>Number of Respondents with O&amp;M</t>
  </si>
  <si>
    <t>Temperature monitoring device</t>
  </si>
  <si>
    <t>see 3B</t>
  </si>
  <si>
    <t>hr/response</t>
  </si>
  <si>
    <r>
      <rPr>
        <vertAlign val="superscript"/>
        <sz val="9"/>
        <rFont val="Times New Roman"/>
        <family val="1"/>
      </rPr>
      <t>h</t>
    </r>
    <r>
      <rPr>
        <sz val="9"/>
        <rFont val="Times New Roman"/>
        <family val="1"/>
      </rPr>
      <t xml:space="preserve">  We have assumed that 90 percent of sources will report no excess emissions semiannually.</t>
    </r>
  </si>
  <si>
    <r>
      <t>h</t>
    </r>
    <r>
      <rPr>
        <sz val="9"/>
        <color theme="1"/>
        <rFont val="Times New Roman"/>
        <family val="1"/>
      </rPr>
      <t xml:space="preserve">  No longer applies.</t>
    </r>
  </si>
  <si>
    <r>
      <rPr>
        <vertAlign val="superscript"/>
        <sz val="9"/>
        <color rgb="FF000000"/>
        <rFont val="Times New Roman"/>
        <family val="1"/>
      </rPr>
      <t>b</t>
    </r>
    <r>
      <rPr>
        <sz val="9"/>
        <color rgb="FF000000"/>
        <rFont val="Times New Roman"/>
        <family val="1"/>
      </rPr>
      <t xml:space="preserve">  This cost is based on the following labor rates which incorporates a 1.6 benefits multiplication factor to account for government overhead expenses:  Managerial rate of $70.56 (GS-13, Step 5, $44.10 + 60%), Technical rate of $52.37 (GS-12, Step 1, $32.73 + 60%), and Clerical rate of $28.34 (GS-6, Step 3, $17.71 + 60%).  These rates are from the Office of Personnel Management (OPM) “2022 General Schedule” which excludes locality rates of pay.</t>
    </r>
  </si>
  <si>
    <r>
      <rPr>
        <vertAlign val="superscript"/>
        <sz val="9"/>
        <color theme="1"/>
        <rFont val="Times New Roman"/>
        <family val="1"/>
      </rPr>
      <t>d</t>
    </r>
    <r>
      <rPr>
        <sz val="9"/>
        <color theme="1"/>
        <rFont val="Times New Roman"/>
        <family val="1"/>
      </rPr>
      <t xml:space="preserve">  We have assumed that 7 percent of respondents will fail the performance test and must repeat it.</t>
    </r>
  </si>
  <si>
    <t>ICR Summary Information</t>
  </si>
  <si>
    <t>Hours per Response</t>
  </si>
  <si>
    <t>Number of Respondents</t>
  </si>
  <si>
    <t>Total Estimated Burden Hours</t>
  </si>
  <si>
    <t>Total Estimated Costs</t>
  </si>
  <si>
    <t>Annualized Capital O&amp;M</t>
  </si>
  <si>
    <t>Total Annual Responses</t>
  </si>
  <si>
    <t>Form Number</t>
  </si>
  <si>
    <t>Information Collection Activity</t>
  </si>
  <si>
    <t>Number of Responses</t>
  </si>
  <si>
    <t>Number of Existing Respondents That Keep Records But Do Not Submit Reports</t>
  </si>
  <si>
    <t>Total Annual Responses E=(BxC)+D</t>
  </si>
  <si>
    <t>Notification of compliance status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</si>
  <si>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</si>
  <si>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</si>
  <si>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</si>
  <si>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</si>
  <si>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</si>
  <si>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</si>
  <si>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</si>
  <si>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</si>
  <si>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</si>
  <si>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</si>
  <si>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Not Applicable</t>
  </si>
  <si>
    <t>Notification of construction/reconstruction</t>
  </si>
  <si>
    <t>Quarterly reports of excess emissions</t>
  </si>
  <si>
    <r>
      <rPr>
        <vertAlign val="superscript"/>
        <sz val="9"/>
        <color rgb="FF000000"/>
        <rFont val="Times New Roman"/>
        <family val="1"/>
      </rPr>
      <t>a</t>
    </r>
    <r>
      <rPr>
        <sz val="9"/>
        <color rgb="FF000000"/>
        <rFont val="Times New Roman"/>
        <family val="1"/>
      </rPr>
      <t xml:space="preserve">  Based on the 2015 RTR, we estimate there are 6 phosphate rock calciners that are subject to Hg and TF testing.</t>
    </r>
  </si>
  <si>
    <r>
      <rPr>
        <vertAlign val="superscript"/>
        <sz val="9"/>
        <rFont val="Times New Roman"/>
        <family val="1"/>
      </rPr>
      <t>b</t>
    </r>
    <r>
      <rPr>
        <sz val="9"/>
        <rFont val="Times New Roman"/>
        <family val="1"/>
      </rPr>
      <t xml:space="preserve">  </t>
    </r>
    <r>
      <rPr>
        <sz val="9"/>
        <color rgb="FF000000"/>
        <rFont val="Times New Roman"/>
        <family val="1"/>
      </rPr>
      <t>Based on the 2015 RTR, we estimate there are 3 oxidation reactors subject to TF testing.</t>
    </r>
  </si>
  <si>
    <r>
      <rPr>
        <vertAlign val="superscript"/>
        <sz val="9"/>
        <rFont val="Times New Roman"/>
        <family val="1"/>
      </rPr>
      <t>c</t>
    </r>
    <r>
      <rPr>
        <sz val="9"/>
        <rFont val="Times New Roman"/>
        <family val="1"/>
      </rPr>
      <t xml:space="preserve">  Facilities must follow performance evaluation criteria (calibrations) for control devices. There are 23 process units at the 13 facilities.</t>
    </r>
  </si>
  <si>
    <r>
      <rPr>
        <vertAlign val="superscript"/>
        <sz val="9"/>
        <rFont val="Times New Roman"/>
        <family val="1"/>
      </rPr>
      <t>d</t>
    </r>
    <r>
      <rPr>
        <sz val="9"/>
        <rFont val="Times New Roman"/>
        <family val="1"/>
      </rPr>
      <t xml:space="preserve">  Based on the 2015 RTR, we estimate there are 3 BLDS alarms. We assumed capital costs were incurred during the first year of the amendment.</t>
    </r>
  </si>
  <si>
    <t>Total O&amp;M, (E X F)</t>
  </si>
  <si>
    <t>Semiannual report of no excess emissions</t>
  </si>
  <si>
    <t>Annual performance test report</t>
  </si>
  <si>
    <t>Notification of initial performance test</t>
  </si>
  <si>
    <r>
      <rPr>
        <vertAlign val="superscript"/>
        <sz val="9"/>
        <rFont val="Times New Roman"/>
        <family val="1"/>
      </rPr>
      <t>a</t>
    </r>
    <r>
      <rPr>
        <sz val="9"/>
        <rFont val="Times New Roman"/>
        <family val="1"/>
      </rPr>
      <t xml:space="preserve">  Based on data collected during the 2020 final rule and consultation with internal agency experts, we estimate that 12 phosphoric acid units and 11 phosphate fertilizers, for a total of 23 processing units, located at 13 facilities will be subject to the rule. No additional respondents will become subject the rule over the three-year period of this ICR.</t>
    </r>
  </si>
  <si>
    <r>
      <rPr>
        <vertAlign val="superscript"/>
        <sz val="9"/>
        <rFont val="Times New Roman"/>
        <family val="1"/>
      </rPr>
      <t>e</t>
    </r>
    <r>
      <rPr>
        <sz val="9"/>
        <rFont val="Times New Roman"/>
        <family val="1"/>
      </rPr>
      <t xml:space="preserve">  Based on the 2015 RTR and 2020 final rule, we estimate there are 6 phosphate rock calciners that are subject to Hg and TF testing.</t>
    </r>
  </si>
  <si>
    <r>
      <rPr>
        <vertAlign val="superscript"/>
        <sz val="9"/>
        <rFont val="Times New Roman"/>
        <family val="1"/>
      </rPr>
      <t>f</t>
    </r>
    <r>
      <rPr>
        <sz val="9"/>
        <rFont val="Times New Roman"/>
        <family val="1"/>
      </rPr>
      <t xml:space="preserve">  Based on the 2015 RTR and 2020 final rule, we estimate there are 3 oxidation reactors subject to TF testing.</t>
    </r>
  </si>
  <si>
    <r>
      <rPr>
        <vertAlign val="superscript"/>
        <sz val="9"/>
        <rFont val="Times New Roman"/>
        <family val="1"/>
      </rPr>
      <t>g</t>
    </r>
    <r>
      <rPr>
        <sz val="9"/>
        <rFont val="Times New Roman"/>
        <family val="1"/>
      </rPr>
      <t xml:space="preserve">  We have assumed that 10 percent of sources will report exceedances.  Respondents are required to report quarterly.</t>
    </r>
  </si>
  <si>
    <r>
      <rPr>
        <vertAlign val="superscript"/>
        <sz val="9"/>
        <rFont val="Times New Roman"/>
        <family val="1"/>
      </rPr>
      <t>i</t>
    </r>
    <r>
      <rPr>
        <sz val="9"/>
        <rFont val="Times New Roman"/>
        <family val="1"/>
      </rPr>
      <t xml:space="preserve"> No longer applies.</t>
    </r>
  </si>
  <si>
    <t>2015 $</t>
  </si>
  <si>
    <t>2020 $</t>
  </si>
  <si>
    <r>
      <rPr>
        <vertAlign val="superscript"/>
        <sz val="9"/>
        <rFont val="Times New Roman"/>
        <family val="1"/>
      </rPr>
      <t>f</t>
    </r>
    <r>
      <rPr>
        <sz val="9"/>
        <rFont val="Times New Roman"/>
        <family val="1"/>
      </rPr>
      <t xml:space="preserve">  Totals have been rounded to 3 significant figures. Figures may not add exactly due to rounding.</t>
    </r>
  </si>
  <si>
    <r>
      <t>Capital/Startup Cost for One Respondent</t>
    </r>
    <r>
      <rPr>
        <vertAlign val="superscript"/>
        <sz val="10"/>
        <color rgb="FF000000"/>
        <rFont val="Times New Roman"/>
        <family val="1"/>
      </rPr>
      <t>e</t>
    </r>
  </si>
  <si>
    <r>
      <t>Annual O&amp;M Costs for One Respondent</t>
    </r>
    <r>
      <rPr>
        <vertAlign val="superscript"/>
        <sz val="10"/>
        <color rgb="FF000000"/>
        <rFont val="Times New Roman"/>
        <family val="1"/>
      </rPr>
      <t>e</t>
    </r>
  </si>
  <si>
    <r>
      <t>Total</t>
    </r>
    <r>
      <rPr>
        <b/>
        <vertAlign val="superscript"/>
        <sz val="10"/>
        <color rgb="FF000000"/>
        <rFont val="Times New Roman"/>
        <family val="1"/>
      </rPr>
      <t>f</t>
    </r>
  </si>
  <si>
    <r>
      <t>BLDS alarm</t>
    </r>
    <r>
      <rPr>
        <vertAlign val="superscript"/>
        <sz val="10"/>
        <color rgb="FF000000"/>
        <rFont val="Times New Roman"/>
        <family val="1"/>
      </rPr>
      <t>d</t>
    </r>
  </si>
  <si>
    <r>
      <t>Performance evaluation</t>
    </r>
    <r>
      <rPr>
        <vertAlign val="superscript"/>
        <sz val="10"/>
        <color rgb="FF000000"/>
        <rFont val="Times New Roman"/>
        <family val="1"/>
      </rPr>
      <t>c</t>
    </r>
  </si>
  <si>
    <r>
      <t>Mercury testing</t>
    </r>
    <r>
      <rPr>
        <vertAlign val="superscript"/>
        <sz val="10"/>
        <color rgb="FF000000"/>
        <rFont val="Times New Roman"/>
        <family val="1"/>
      </rPr>
      <t>a</t>
    </r>
  </si>
  <si>
    <r>
      <t>TF testing</t>
    </r>
    <r>
      <rPr>
        <vertAlign val="superscript"/>
        <sz val="10"/>
        <color rgb="FF000000"/>
        <rFont val="Times New Roman"/>
        <family val="1"/>
      </rPr>
      <t>a,b</t>
    </r>
  </si>
  <si>
    <r>
      <rPr>
        <vertAlign val="superscript"/>
        <sz val="9"/>
        <rFont val="Times New Roman"/>
        <family val="1"/>
      </rPr>
      <t>b</t>
    </r>
    <r>
      <rPr>
        <sz val="9"/>
        <rFont val="Times New Roman"/>
        <family val="1"/>
      </rPr>
      <t xml:space="preserve">  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</si>
  <si>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9"/>
        <rFont val="Times New Roman"/>
        <family val="1"/>
      </rPr>
      <t>j</t>
    </r>
    <r>
      <rPr>
        <sz val="9"/>
        <rFont val="Times New Roman"/>
        <family val="1"/>
      </rPr>
      <t xml:space="preserve"> This is a one-time activity from the 2015 final rule. We assume the burden was already incurred during the first year of the amendment.</t>
    </r>
  </si>
  <si>
    <r>
      <rPr>
        <vertAlign val="superscript"/>
        <sz val="9"/>
        <rFont val="Times New Roman"/>
        <family val="1"/>
      </rPr>
      <t>e</t>
    </r>
    <r>
      <rPr>
        <sz val="9"/>
        <rFont val="Times New Roman"/>
        <family val="1"/>
      </rPr>
      <t xml:space="preserve">  Costs have been adjusted from $2015 to $2020 using the annual Chemical Engineering Plant Cost Index (CEPCI).</t>
    </r>
  </si>
  <si>
    <t>2015 --&gt; 2020 (CEPCI):</t>
  </si>
  <si>
    <t>(B)
Number of occurrences per respondent per year</t>
  </si>
  <si>
    <r>
      <rPr>
        <vertAlign val="superscript"/>
        <sz val="9"/>
        <color theme="1"/>
        <rFont val="Times New Roman"/>
        <family val="1"/>
      </rPr>
      <t>g</t>
    </r>
    <r>
      <rPr>
        <sz val="9"/>
        <color theme="1"/>
        <rFont val="Times New Roman"/>
        <family val="1"/>
      </rPr>
      <t xml:space="preserve">  This is a one-time activity. We assume the burden was already incurred during the first year of the amendment.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</si>
</sst>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General_)"/>
    <numFmt numFmtId="166" formatCode="0.0000"/>
  </numFmts>
  <fonts count="29"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theme="1"/>
      <name val="Times New Roman"/>
      <family val="1"/>
    </font>
    <font>
      <b/>
      <sz val="9"/>
      <color theme="1"/>
      <name val="Times New Roman"/>
      <family val="1"/>
    </font>
    <font>
      <b/>
      <vertAlign val="superscript"/>
      <sz val="9"/>
      <color theme="1"/>
      <name val="Times New Roman"/>
      <family val="1"/>
    </font>
    <font>
      <vertAlign val="superscript"/>
      <sz val="10"/>
      <color theme="1"/>
      <name val="Times New Roman"/>
      <family val="1"/>
    </font>
    <font>
      <sz val="10"/>
      <color rgb="FF000000"/>
      <name val="Times New Roman"/>
      <family val="1"/>
    </font>
    <font>
      <b/>
      <sz val="10"/>
      <color rgb="FF000000"/>
      <name val="Times New Roman"/>
      <family val="1"/>
    </font>
    <font>
      <b/>
      <vertAlign val="superscript"/>
      <sz val="10"/>
      <color theme="1"/>
      <name val="Times New Roman"/>
      <family val="1"/>
    </font>
    <font>
      <sz val="9"/>
      <color theme="1"/>
      <name val="Times New Roman"/>
      <family val="1"/>
    </font>
    <font>
      <vertAlign val="superscript"/>
      <sz val="9"/>
      <color theme="1"/>
      <name val="Times New Roman"/>
      <family val="1"/>
    </font>
    <font>
      <sz val="9"/>
      <name val="Times New Roman"/>
      <family val="1"/>
    </font>
    <font>
      <vertAlign val="superscript"/>
      <sz val="9"/>
      <name val="Times New Roman"/>
      <family val="1"/>
    </font>
    <font>
      <vertAlign val="superscript"/>
      <sz val="9"/>
      <color rgb="FF000000"/>
      <name val="Times New Roman"/>
      <family val="1"/>
    </font>
    <font>
      <sz val="9"/>
      <color rgb="FF000000"/>
      <name val="Times New Roman"/>
      <family val="1"/>
    </font>
    <font>
      <sz val="11"/>
      <color rgb="FFFF0000"/>
      <name val="Calibri"/>
      <family val="2"/>
      <scheme val="minor"/>
    </font>
    <font>
      <sz val="11"/>
      <name val="Calibri"/>
      <family val="2"/>
      <scheme val="minor"/>
    </font>
    <font>
      <sz val="10"/>
      <color theme="1"/>
      <name val="Calibri"/>
      <family val="2"/>
      <scheme val="minor"/>
    </font>
    <font>
      <vertAlign val="superscript"/>
      <sz val="10"/>
      <color rgb="FF000000"/>
      <name val="Times New Roman"/>
      <family val="1"/>
    </font>
    <font>
      <sz val="10"/>
      <color rgb="FFFF0000"/>
      <name val="Times New Roman"/>
      <family val="1"/>
    </font>
    <font>
      <sz val="10"/>
      <name val="Times New Roman"/>
      <family val="1"/>
    </font>
    <font>
      <sz val="8"/>
      <name val="Helv"/>
    </font>
    <font>
      <b/>
      <vertAlign val="superscript"/>
      <sz val="10"/>
      <color rgb="FF000000"/>
      <name val="Times New Roman"/>
      <family val="1"/>
    </font>
    <font>
      <b/>
      <sz val="11"/>
      <color rgb="FFFF0000"/>
      <name val="Calibri"/>
      <family val="2"/>
      <scheme val="minor"/>
    </font>
    <font>
      <b/>
      <sz val="11"/>
      <color theme="1"/>
      <name val="Times New Roman"/>
      <family val="1"/>
    </font>
    <font>
      <sz val="11"/>
      <color theme="1" tint="0.34998626667073579"/>
      <name val="Calibri"/>
      <family val="2"/>
      <scheme val="minor"/>
    </font>
    <font>
      <sz val="10"/>
      <color theme="1" tint="0.34998626667073579"/>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5" fontId="23" fillId="0" borderId="0"/>
  </cellStyleXfs>
  <cellXfs count="74">
    <xf numFmtId="0" fontId="0" fillId="0" borderId="0" xfId="0"/>
    <xf numFmtId="0" fontId="1" fillId="0" borderId="0" xfId="0" applyFont="1"/>
    <xf numFmtId="0" fontId="2" fillId="0" borderId="0" xfId="0" applyFont="1" applyAlignment="1">
      <alignment horizontal="left" vertical="center"/>
    </xf>
    <xf numFmtId="0" fontId="5" fillId="0" borderId="0" xfId="0" applyFont="1"/>
    <xf numFmtId="6" fontId="0" fillId="0" borderId="0" xfId="0" applyNumberFormat="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6" fontId="3"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8" fontId="8" fillId="0" borderId="1" xfId="0" applyNumberFormat="1" applyFont="1" applyBorder="1" applyAlignment="1">
      <alignment horizontal="right" vertical="center" wrapText="1"/>
    </xf>
    <xf numFmtId="0" fontId="5" fillId="0" borderId="1" xfId="0" applyFont="1" applyBorder="1" applyAlignment="1">
      <alignment vertical="center" wrapText="1"/>
    </xf>
    <xf numFmtId="6" fontId="9"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0" fillId="0" borderId="1" xfId="0" applyBorder="1"/>
    <xf numFmtId="8" fontId="3" fillId="0" borderId="1" xfId="0" applyNumberFormat="1" applyFont="1" applyBorder="1" applyAlignment="1">
      <alignment horizontal="right" vertical="center" wrapText="1"/>
    </xf>
    <xf numFmtId="6" fontId="4" fillId="0" borderId="1" xfId="0" applyNumberFormat="1" applyFont="1" applyBorder="1" applyAlignment="1">
      <alignment horizontal="right" vertical="center" wrapText="1"/>
    </xf>
    <xf numFmtId="0" fontId="5" fillId="0" borderId="0" xfId="0" applyFont="1" applyFill="1" applyBorder="1" applyAlignment="1">
      <alignment vertical="center" wrapText="1"/>
    </xf>
    <xf numFmtId="0" fontId="11" fillId="0" borderId="0" xfId="0" applyFont="1" applyFill="1" applyBorder="1" applyAlignment="1">
      <alignment vertical="center"/>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13" fillId="0" borderId="0" xfId="0" applyFont="1" applyFill="1" applyBorder="1" applyAlignment="1">
      <alignment vertical="center"/>
    </xf>
    <xf numFmtId="6" fontId="8" fillId="0" borderId="1" xfId="0" applyNumberFormat="1" applyFont="1" applyBorder="1" applyAlignment="1">
      <alignment horizontal="right" vertical="center" wrapText="1"/>
    </xf>
    <xf numFmtId="6" fontId="9" fillId="0" borderId="1" xfId="0" applyNumberFormat="1" applyFont="1" applyBorder="1" applyAlignment="1">
      <alignment vertical="center" wrapText="1"/>
    </xf>
    <xf numFmtId="0" fontId="12" fillId="0" borderId="0" xfId="0" applyFont="1" applyAlignment="1">
      <alignment vertical="center"/>
    </xf>
    <xf numFmtId="6" fontId="3" fillId="0" borderId="1" xfId="0" applyNumberFormat="1" applyFont="1" applyBorder="1" applyAlignment="1">
      <alignment horizontal="center" vertical="center" wrapText="1"/>
    </xf>
    <xf numFmtId="6" fontId="8"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17" fillId="0" borderId="0" xfId="0" applyFont="1"/>
    <xf numFmtId="1" fontId="18" fillId="0" borderId="0" xfId="0" applyNumberFormat="1" applyFont="1" applyFill="1"/>
    <xf numFmtId="3" fontId="0" fillId="0" borderId="0" xfId="0" applyNumberFormat="1"/>
    <xf numFmtId="1" fontId="0" fillId="0" borderId="0" xfId="0" applyNumberFormat="1"/>
    <xf numFmtId="0" fontId="19" fillId="0" borderId="0" xfId="0" applyFont="1"/>
    <xf numFmtId="0" fontId="3" fillId="0" borderId="1" xfId="0" applyFont="1" applyBorder="1" applyAlignment="1">
      <alignment horizontal="left" vertical="center" wrapText="1"/>
    </xf>
    <xf numFmtId="0" fontId="21" fillId="0" borderId="0" xfId="0" applyFont="1"/>
    <xf numFmtId="0" fontId="22"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20" fillId="0" borderId="0" xfId="0" applyFont="1" applyAlignment="1">
      <alignment vertical="center"/>
    </xf>
    <xf numFmtId="6" fontId="4" fillId="0" borderId="1" xfId="0" applyNumberFormat="1" applyFont="1" applyBorder="1" applyAlignment="1">
      <alignment horizontal="center" vertical="center" wrapText="1"/>
    </xf>
    <xf numFmtId="0" fontId="9" fillId="0" borderId="1" xfId="0" applyFont="1" applyFill="1" applyBorder="1" applyAlignment="1">
      <alignment vertical="center" wrapText="1"/>
    </xf>
    <xf numFmtId="6" fontId="9" fillId="0" borderId="1" xfId="0" applyNumberFormat="1" applyFont="1" applyBorder="1" applyAlignment="1">
      <alignment horizontal="center" vertical="center" wrapText="1"/>
    </xf>
    <xf numFmtId="0" fontId="25" fillId="0" borderId="0" xfId="0" applyFont="1"/>
    <xf numFmtId="6" fontId="3"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26" fillId="0" borderId="0" xfId="0" applyFont="1"/>
    <xf numFmtId="0" fontId="27" fillId="0" borderId="0" xfId="0" applyFont="1" applyAlignment="1">
      <alignment horizontal="right"/>
    </xf>
    <xf numFmtId="166" fontId="27" fillId="0" borderId="0" xfId="0" quotePrefix="1" applyNumberFormat="1" applyFont="1"/>
    <xf numFmtId="0" fontId="27" fillId="0" borderId="0" xfId="0" applyFont="1"/>
    <xf numFmtId="0" fontId="28" fillId="0" borderId="1" xfId="0" applyFont="1" applyBorder="1" applyAlignment="1">
      <alignment horizontal="center" vertical="center" wrapText="1"/>
    </xf>
    <xf numFmtId="6" fontId="28" fillId="0" borderId="1" xfId="0" applyNumberFormat="1" applyFont="1" applyFill="1" applyBorder="1" applyAlignment="1">
      <alignment horizontal="center" vertical="center" wrapText="1"/>
    </xf>
    <xf numFmtId="0" fontId="27" fillId="0" borderId="0" xfId="0" applyFont="1" applyFill="1"/>
    <xf numFmtId="0" fontId="0" fillId="0" borderId="0" xfId="0" applyAlignment="1">
      <alignment horizontal="center"/>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1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165" fontId="13" fillId="0" borderId="0" xfId="1" applyFont="1" applyAlignment="1">
      <alignment horizontal="left" vertical="top" wrapText="1"/>
    </xf>
    <xf numFmtId="0" fontId="2" fillId="0" borderId="1" xfId="0" applyFont="1" applyBorder="1" applyAlignment="1">
      <alignment horizontal="center" vertical="center" wrapText="1"/>
    </xf>
    <xf numFmtId="0" fontId="16" fillId="0" borderId="5" xfId="0" applyFont="1" applyBorder="1" applyAlignment="1">
      <alignment horizontal="left" vertical="top" wrapText="1"/>
    </xf>
    <xf numFmtId="0" fontId="16" fillId="0" borderId="0" xfId="0" applyFont="1" applyBorder="1" applyAlignment="1">
      <alignment horizontal="left" vertical="top" wrapText="1"/>
    </xf>
    <xf numFmtId="0" fontId="9" fillId="0" borderId="1" xfId="0" applyFont="1" applyBorder="1" applyAlignment="1">
      <alignment vertical="center" wrapText="1"/>
    </xf>
  </cellXfs>
  <cellStyles count="2">
    <cellStyle name="Normal" xfId="0" builtinId="0"/>
    <cellStyle name="Normal_SSI Burden Estimate BML 060710" xfId="1" xr:uid="{775237FB-01D2-4ECB-8C44-3B447D4197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BD32-100A-4DA0-A0FF-C0C2715ADFD9}">
  <dimension ref="A1:B8"/>
  <sheetViews>
    <sheetView tabSelected="1" workbookViewId="0">
      <selection activeCell="B4" sqref="B4"/>
    </sheetView>
  </sheetViews>
  <sheetFormatPr defaultRowHeight="14.5" x14ac:dyDescent="0.35"/>
  <cols>
    <col min="1" max="1" width="29" customWidth="1"/>
    <col min="2" max="2" width="14.81640625" customWidth="1"/>
  </cols>
  <sheetData>
    <row r="1" spans="1:2" x14ac:dyDescent="0.35">
      <c r="A1" s="60" t="s">
        <v>121</v>
      </c>
      <c r="B1" s="60"/>
    </row>
    <row r="2" spans="1:2" x14ac:dyDescent="0.35">
      <c r="A2" t="s">
        <v>122</v>
      </c>
      <c r="B2" s="34">
        <f>'Table 1'!K49</f>
        <v>51.752528816748992</v>
      </c>
    </row>
    <row r="3" spans="1:2" x14ac:dyDescent="0.35">
      <c r="A3" t="s">
        <v>123</v>
      </c>
      <c r="B3">
        <f>Respondents!F8</f>
        <v>13</v>
      </c>
    </row>
    <row r="4" spans="1:2" x14ac:dyDescent="0.35">
      <c r="A4" t="s">
        <v>124</v>
      </c>
      <c r="B4" s="33">
        <f>'Table 1'!K48</f>
        <v>2200</v>
      </c>
    </row>
    <row r="5" spans="1:2" x14ac:dyDescent="0.35">
      <c r="A5" t="s">
        <v>125</v>
      </c>
      <c r="B5" s="4">
        <f>'Table 1'!I50</f>
        <v>463000</v>
      </c>
    </row>
    <row r="6" spans="1:2" x14ac:dyDescent="0.35">
      <c r="A6" t="s">
        <v>126</v>
      </c>
      <c r="B6" s="4">
        <f>'Capital and O&amp;M'!G10</f>
        <v>199000</v>
      </c>
    </row>
    <row r="7" spans="1:2" x14ac:dyDescent="0.35">
      <c r="A7" t="s">
        <v>127</v>
      </c>
      <c r="B7" s="34">
        <f>Responses!E10</f>
        <v>42.510000000000005</v>
      </c>
    </row>
    <row r="8" spans="1:2" x14ac:dyDescent="0.35">
      <c r="A8" t="s">
        <v>128</v>
      </c>
      <c r="B8" t="s">
        <v>144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opLeftCell="A37" zoomScale="80" zoomScaleNormal="80" workbookViewId="0">
      <selection activeCell="K50" sqref="K50"/>
    </sheetView>
  </sheetViews>
  <sheetFormatPr defaultRowHeight="14.5" x14ac:dyDescent="0.35"/>
  <cols>
    <col min="1" max="1" width="50.7265625" customWidth="1"/>
    <col min="2" max="2" width="10.453125" customWidth="1"/>
    <col min="3" max="3" width="11.54296875" customWidth="1"/>
    <col min="4" max="4" width="10.1796875" customWidth="1"/>
    <col min="5" max="5" width="11.7265625" customWidth="1"/>
    <col min="7" max="7" width="10" customWidth="1"/>
    <col min="9" max="9" width="13.26953125" customWidth="1"/>
  </cols>
  <sheetData>
    <row r="1" spans="1:9" ht="15" x14ac:dyDescent="0.35">
      <c r="A1" s="2" t="s">
        <v>1</v>
      </c>
    </row>
    <row r="2" spans="1:9" ht="15.5" x14ac:dyDescent="0.35">
      <c r="A2" s="1" t="s">
        <v>0</v>
      </c>
      <c r="F2">
        <v>123.94</v>
      </c>
      <c r="G2">
        <v>157.61000000000001</v>
      </c>
      <c r="H2">
        <v>62.52</v>
      </c>
    </row>
    <row r="3" spans="1:9" ht="82.5" customHeight="1" x14ac:dyDescent="0.35">
      <c r="A3" s="6" t="s">
        <v>2</v>
      </c>
      <c r="B3" s="6" t="s">
        <v>21</v>
      </c>
      <c r="C3" s="6" t="s">
        <v>22</v>
      </c>
      <c r="D3" s="6" t="s">
        <v>23</v>
      </c>
      <c r="E3" s="6" t="s">
        <v>29</v>
      </c>
      <c r="F3" s="7" t="s">
        <v>25</v>
      </c>
      <c r="G3" s="7" t="s">
        <v>24</v>
      </c>
      <c r="H3" s="7" t="s">
        <v>26</v>
      </c>
      <c r="I3" s="7" t="s">
        <v>27</v>
      </c>
    </row>
    <row r="4" spans="1:9" x14ac:dyDescent="0.35">
      <c r="A4" s="8" t="s">
        <v>11</v>
      </c>
      <c r="B4" s="9" t="s">
        <v>12</v>
      </c>
      <c r="C4" s="8"/>
      <c r="D4" s="8"/>
      <c r="E4" s="8"/>
      <c r="F4" s="8"/>
      <c r="G4" s="8"/>
      <c r="H4" s="8"/>
      <c r="I4" s="8"/>
    </row>
    <row r="5" spans="1:9" x14ac:dyDescent="0.35">
      <c r="A5" s="8" t="s">
        <v>13</v>
      </c>
      <c r="B5" s="9" t="s">
        <v>12</v>
      </c>
      <c r="C5" s="8"/>
      <c r="D5" s="8"/>
      <c r="E5" s="8"/>
      <c r="F5" s="8"/>
      <c r="G5" s="8"/>
      <c r="H5" s="8"/>
      <c r="I5" s="8"/>
    </row>
    <row r="6" spans="1:9" x14ac:dyDescent="0.35">
      <c r="A6" s="8" t="s">
        <v>31</v>
      </c>
      <c r="B6" s="8"/>
      <c r="C6" s="8"/>
      <c r="D6" s="8"/>
      <c r="E6" s="8"/>
      <c r="F6" s="8"/>
      <c r="G6" s="8"/>
      <c r="H6" s="8"/>
      <c r="I6" s="8"/>
    </row>
    <row r="7" spans="1:9" ht="15.5" x14ac:dyDescent="0.35">
      <c r="A7" s="8" t="s">
        <v>50</v>
      </c>
      <c r="B7" s="9">
        <v>4</v>
      </c>
      <c r="C7" s="9">
        <v>1</v>
      </c>
      <c r="D7" s="9">
        <f>+B7*C7</f>
        <v>4</v>
      </c>
      <c r="E7" s="9">
        <v>13</v>
      </c>
      <c r="F7" s="23">
        <f>+D7*E7</f>
        <v>52</v>
      </c>
      <c r="G7" s="22">
        <f>+F7*0.05</f>
        <v>2.6</v>
      </c>
      <c r="H7" s="9">
        <f>+F7*0.1</f>
        <v>5.2</v>
      </c>
      <c r="I7" s="17">
        <f>+$F$2*F7+$G$2*G7+$H$2*H7</f>
        <v>7179.77</v>
      </c>
    </row>
    <row r="8" spans="1:9" x14ac:dyDescent="0.35">
      <c r="A8" s="8" t="s">
        <v>14</v>
      </c>
      <c r="B8" s="9"/>
      <c r="C8" s="9"/>
      <c r="D8" s="9"/>
      <c r="E8" s="9"/>
      <c r="F8" s="9"/>
      <c r="G8" s="8"/>
      <c r="H8" s="8"/>
      <c r="I8" s="10"/>
    </row>
    <row r="9" spans="1:9" x14ac:dyDescent="0.35">
      <c r="A9" s="8" t="s">
        <v>36</v>
      </c>
      <c r="B9" s="9">
        <v>28</v>
      </c>
      <c r="C9" s="9">
        <v>1</v>
      </c>
      <c r="D9" s="9">
        <f t="shared" ref="D9:D17" si="0">+B9*C9</f>
        <v>28</v>
      </c>
      <c r="E9" s="9">
        <v>0</v>
      </c>
      <c r="F9" s="9">
        <f t="shared" ref="F9:F14" si="1">+D9*E9</f>
        <v>0</v>
      </c>
      <c r="G9" s="9">
        <f t="shared" ref="G9:G17" si="2">+F9*0.05</f>
        <v>0</v>
      </c>
      <c r="H9" s="9">
        <f t="shared" ref="H9:H14" si="3">+F9*0.1</f>
        <v>0</v>
      </c>
      <c r="I9" s="10">
        <f t="shared" ref="I9:I14" si="4">+$F$2*F9+$G$2*G9+$H$2*H9</f>
        <v>0</v>
      </c>
    </row>
    <row r="10" spans="1:9" x14ac:dyDescent="0.35">
      <c r="A10" s="8" t="s">
        <v>15</v>
      </c>
      <c r="B10" s="9">
        <v>28</v>
      </c>
      <c r="C10" s="9">
        <v>0.1</v>
      </c>
      <c r="D10" s="9">
        <f t="shared" si="0"/>
        <v>2.8000000000000003</v>
      </c>
      <c r="E10" s="9">
        <v>0</v>
      </c>
      <c r="F10" s="9">
        <f t="shared" si="1"/>
        <v>0</v>
      </c>
      <c r="G10" s="9">
        <f t="shared" si="2"/>
        <v>0</v>
      </c>
      <c r="H10" s="9">
        <f t="shared" si="3"/>
        <v>0</v>
      </c>
      <c r="I10" s="10">
        <f t="shared" si="4"/>
        <v>0</v>
      </c>
    </row>
    <row r="11" spans="1:9" x14ac:dyDescent="0.35">
      <c r="A11" s="8" t="s">
        <v>16</v>
      </c>
      <c r="B11" s="9">
        <v>40</v>
      </c>
      <c r="C11" s="9">
        <v>1</v>
      </c>
      <c r="D11" s="9">
        <f t="shared" si="0"/>
        <v>40</v>
      </c>
      <c r="E11" s="9">
        <v>0</v>
      </c>
      <c r="F11" s="9">
        <f t="shared" si="1"/>
        <v>0</v>
      </c>
      <c r="G11" s="9">
        <f t="shared" si="2"/>
        <v>0</v>
      </c>
      <c r="H11" s="9">
        <f t="shared" si="3"/>
        <v>0</v>
      </c>
      <c r="I11" s="10">
        <f t="shared" si="4"/>
        <v>0</v>
      </c>
    </row>
    <row r="12" spans="1:9" x14ac:dyDescent="0.35">
      <c r="A12" s="8" t="s">
        <v>51</v>
      </c>
      <c r="B12" s="9">
        <v>28</v>
      </c>
      <c r="C12" s="9">
        <v>1</v>
      </c>
      <c r="D12" s="9">
        <f t="shared" si="0"/>
        <v>28</v>
      </c>
      <c r="E12" s="30">
        <v>13</v>
      </c>
      <c r="F12" s="23">
        <f t="shared" si="1"/>
        <v>364</v>
      </c>
      <c r="G12" s="22">
        <f t="shared" si="2"/>
        <v>18.2</v>
      </c>
      <c r="H12" s="22">
        <f t="shared" si="3"/>
        <v>36.4</v>
      </c>
      <c r="I12" s="17">
        <f t="shared" si="4"/>
        <v>50258.39</v>
      </c>
    </row>
    <row r="13" spans="1:9" ht="15.5" x14ac:dyDescent="0.35">
      <c r="A13" s="8" t="s">
        <v>52</v>
      </c>
      <c r="B13" s="9">
        <v>28</v>
      </c>
      <c r="C13" s="9">
        <v>0.2</v>
      </c>
      <c r="D13" s="9">
        <f t="shared" si="0"/>
        <v>5.6000000000000005</v>
      </c>
      <c r="E13" s="30">
        <f>ROUND(0.07*E12, 2)</f>
        <v>0.91</v>
      </c>
      <c r="F13" s="21">
        <f t="shared" si="1"/>
        <v>5.096000000000001</v>
      </c>
      <c r="G13" s="21">
        <f t="shared" si="2"/>
        <v>0.25480000000000008</v>
      </c>
      <c r="H13" s="22">
        <f t="shared" si="3"/>
        <v>0.50960000000000016</v>
      </c>
      <c r="I13" s="17">
        <f t="shared" si="4"/>
        <v>703.61746000000016</v>
      </c>
    </row>
    <row r="14" spans="1:9" ht="15.5" x14ac:dyDescent="0.35">
      <c r="A14" s="8" t="s">
        <v>53</v>
      </c>
      <c r="B14" s="9">
        <v>10</v>
      </c>
      <c r="C14" s="9">
        <v>1</v>
      </c>
      <c r="D14" s="9">
        <f t="shared" si="0"/>
        <v>10</v>
      </c>
      <c r="E14" s="9">
        <v>6</v>
      </c>
      <c r="F14" s="9">
        <f t="shared" si="1"/>
        <v>60</v>
      </c>
      <c r="G14" s="9">
        <f t="shared" si="2"/>
        <v>3</v>
      </c>
      <c r="H14" s="9">
        <f t="shared" si="3"/>
        <v>6</v>
      </c>
      <c r="I14" s="17">
        <f t="shared" si="4"/>
        <v>8284.35</v>
      </c>
    </row>
    <row r="15" spans="1:9" x14ac:dyDescent="0.35">
      <c r="A15" s="8" t="s">
        <v>30</v>
      </c>
      <c r="B15" s="9"/>
      <c r="C15" s="9"/>
      <c r="D15" s="9"/>
      <c r="E15" s="9"/>
      <c r="F15" s="9"/>
      <c r="G15" s="9"/>
      <c r="H15" s="9"/>
      <c r="I15" s="17"/>
    </row>
    <row r="16" spans="1:9" ht="15.5" x14ac:dyDescent="0.35">
      <c r="A16" s="8" t="s">
        <v>54</v>
      </c>
      <c r="B16" s="9">
        <v>10</v>
      </c>
      <c r="C16" s="9">
        <v>1</v>
      </c>
      <c r="D16" s="9">
        <f t="shared" si="0"/>
        <v>10</v>
      </c>
      <c r="E16" s="9">
        <v>3</v>
      </c>
      <c r="F16" s="9">
        <f t="shared" ref="F16:F17" si="5">+D16*E16</f>
        <v>30</v>
      </c>
      <c r="G16" s="9">
        <f t="shared" si="2"/>
        <v>1.5</v>
      </c>
      <c r="H16" s="9">
        <f t="shared" ref="H16:H17" si="6">+F16*0.1</f>
        <v>3</v>
      </c>
      <c r="I16" s="17">
        <f t="shared" ref="I16:I17" si="7">+$F$2*F16+$G$2*G16+$H$2*H16</f>
        <v>4142.1750000000002</v>
      </c>
    </row>
    <row r="17" spans="1:9" ht="15.5" x14ac:dyDescent="0.35">
      <c r="A17" s="8" t="s">
        <v>55</v>
      </c>
      <c r="B17" s="9">
        <v>10</v>
      </c>
      <c r="C17" s="9">
        <v>1</v>
      </c>
      <c r="D17" s="9">
        <f t="shared" si="0"/>
        <v>10</v>
      </c>
      <c r="E17" s="9">
        <v>6</v>
      </c>
      <c r="F17" s="9">
        <f t="shared" si="5"/>
        <v>60</v>
      </c>
      <c r="G17" s="9">
        <f t="shared" si="2"/>
        <v>3</v>
      </c>
      <c r="H17" s="9">
        <f t="shared" si="6"/>
        <v>6</v>
      </c>
      <c r="I17" s="17">
        <f t="shared" si="7"/>
        <v>8284.35</v>
      </c>
    </row>
    <row r="18" spans="1:9" x14ac:dyDescent="0.35">
      <c r="A18" s="8" t="s">
        <v>17</v>
      </c>
      <c r="B18" s="9" t="s">
        <v>32</v>
      </c>
      <c r="C18" s="9"/>
      <c r="D18" s="9"/>
      <c r="E18" s="9"/>
      <c r="F18" s="9"/>
      <c r="G18" s="8"/>
      <c r="H18" s="8"/>
      <c r="I18" s="10"/>
    </row>
    <row r="19" spans="1:9" x14ac:dyDescent="0.35">
      <c r="A19" s="8" t="s">
        <v>18</v>
      </c>
      <c r="B19" s="9" t="s">
        <v>32</v>
      </c>
      <c r="C19" s="9"/>
      <c r="D19" s="9"/>
      <c r="E19" s="9"/>
      <c r="F19" s="9"/>
      <c r="G19" s="8"/>
      <c r="H19" s="8"/>
      <c r="I19" s="10"/>
    </row>
    <row r="20" spans="1:9" x14ac:dyDescent="0.35">
      <c r="A20" s="8" t="s">
        <v>56</v>
      </c>
      <c r="B20" s="9"/>
      <c r="C20" s="9"/>
      <c r="D20" s="9"/>
      <c r="E20" s="9"/>
      <c r="F20" s="9"/>
      <c r="G20" s="8"/>
      <c r="H20" s="8"/>
      <c r="I20" s="10"/>
    </row>
    <row r="21" spans="1:9" x14ac:dyDescent="0.35">
      <c r="A21" s="8" t="s">
        <v>35</v>
      </c>
      <c r="B21" s="9" t="s">
        <v>12</v>
      </c>
      <c r="C21" s="9"/>
      <c r="D21" s="9"/>
      <c r="E21" s="9"/>
      <c r="F21" s="9"/>
      <c r="G21" s="8"/>
      <c r="H21" s="8"/>
      <c r="I21" s="10"/>
    </row>
    <row r="22" spans="1:9" x14ac:dyDescent="0.35">
      <c r="A22" s="8" t="s">
        <v>37</v>
      </c>
      <c r="B22" s="9">
        <v>2</v>
      </c>
      <c r="C22" s="9">
        <v>1</v>
      </c>
      <c r="D22" s="9">
        <f>+B22*C22</f>
        <v>2</v>
      </c>
      <c r="E22" s="9">
        <v>0</v>
      </c>
      <c r="F22" s="9">
        <f>+D22*E22</f>
        <v>0</v>
      </c>
      <c r="G22" s="8">
        <f>+F22*0.05</f>
        <v>0</v>
      </c>
      <c r="H22" s="8">
        <f>+F22*0.1</f>
        <v>0</v>
      </c>
      <c r="I22" s="10">
        <f>+$F$2*F22+$G$2*G22+$H$2*H22</f>
        <v>0</v>
      </c>
    </row>
    <row r="23" spans="1:9" x14ac:dyDescent="0.35">
      <c r="A23" s="8" t="s">
        <v>38</v>
      </c>
      <c r="B23" s="9" t="s">
        <v>12</v>
      </c>
      <c r="C23" s="9"/>
      <c r="D23" s="9"/>
      <c r="E23" s="9"/>
      <c r="F23" s="9"/>
      <c r="G23" s="8"/>
      <c r="H23" s="8"/>
      <c r="I23" s="10"/>
    </row>
    <row r="24" spans="1:9" x14ac:dyDescent="0.35">
      <c r="A24" s="8" t="s">
        <v>39</v>
      </c>
      <c r="B24" s="9" t="s">
        <v>12</v>
      </c>
      <c r="C24" s="9"/>
      <c r="D24" s="9"/>
      <c r="E24" s="9"/>
      <c r="F24" s="9"/>
      <c r="G24" s="8"/>
      <c r="H24" s="8"/>
      <c r="I24" s="10"/>
    </row>
    <row r="25" spans="1:9" x14ac:dyDescent="0.35">
      <c r="A25" s="8" t="s">
        <v>40</v>
      </c>
      <c r="B25" s="9">
        <v>2</v>
      </c>
      <c r="C25" s="9">
        <v>1</v>
      </c>
      <c r="D25" s="9">
        <f>+B25*C25</f>
        <v>2</v>
      </c>
      <c r="E25" s="9">
        <v>0</v>
      </c>
      <c r="F25" s="9">
        <f>+D25*E25</f>
        <v>0</v>
      </c>
      <c r="G25" s="9">
        <f>+F25*0.05</f>
        <v>0</v>
      </c>
      <c r="H25" s="9">
        <f>+F25*0.1</f>
        <v>0</v>
      </c>
      <c r="I25" s="10">
        <f>+$F$2*F25+$G$2*G25+$H$2*H25</f>
        <v>0</v>
      </c>
    </row>
    <row r="26" spans="1:9" x14ac:dyDescent="0.35">
      <c r="A26" s="8" t="s">
        <v>41</v>
      </c>
      <c r="B26" s="9">
        <v>4</v>
      </c>
      <c r="C26" s="9">
        <v>1</v>
      </c>
      <c r="D26" s="9">
        <f>+B26*C26</f>
        <v>4</v>
      </c>
      <c r="E26" s="9">
        <v>0</v>
      </c>
      <c r="F26" s="9">
        <f>+D26*E26</f>
        <v>0</v>
      </c>
      <c r="G26" s="9">
        <f>+F26*0.05</f>
        <v>0</v>
      </c>
      <c r="H26" s="9">
        <f>+F26*0.1</f>
        <v>0</v>
      </c>
      <c r="I26" s="10">
        <f>+$F$2*F26+$G$2*G26+$H$2*H26</f>
        <v>0</v>
      </c>
    </row>
    <row r="27" spans="1:9" x14ac:dyDescent="0.35">
      <c r="A27" s="8" t="s">
        <v>42</v>
      </c>
      <c r="B27" s="9" t="s">
        <v>115</v>
      </c>
      <c r="C27" s="9"/>
      <c r="D27" s="9"/>
      <c r="E27" s="30"/>
      <c r="F27" s="9"/>
      <c r="G27" s="21"/>
      <c r="H27" s="9"/>
      <c r="I27" s="17"/>
    </row>
    <row r="28" spans="1:9" ht="15.5" x14ac:dyDescent="0.35">
      <c r="A28" s="8" t="s">
        <v>57</v>
      </c>
      <c r="B28" s="9">
        <v>16</v>
      </c>
      <c r="C28" s="9">
        <v>4</v>
      </c>
      <c r="D28" s="9">
        <f>+B28*C28</f>
        <v>64</v>
      </c>
      <c r="E28" s="30">
        <f>13*0.1</f>
        <v>1.3</v>
      </c>
      <c r="F28" s="22">
        <f>+D28*E28</f>
        <v>83.2</v>
      </c>
      <c r="G28" s="21">
        <f>+F28*0.05</f>
        <v>4.16</v>
      </c>
      <c r="H28" s="9">
        <f>+F28*0.1</f>
        <v>8.32</v>
      </c>
      <c r="I28" s="17">
        <f>+$F$2*F28+$G$2*G28+$H$2*H28</f>
        <v>11487.632000000001</v>
      </c>
    </row>
    <row r="29" spans="1:9" ht="15.5" x14ac:dyDescent="0.35">
      <c r="A29" s="8" t="s">
        <v>59</v>
      </c>
      <c r="B29" s="9">
        <v>8</v>
      </c>
      <c r="C29" s="9">
        <v>2</v>
      </c>
      <c r="D29" s="9">
        <f>+B29*C29</f>
        <v>16</v>
      </c>
      <c r="E29" s="30">
        <f>13*0.9</f>
        <v>11.700000000000001</v>
      </c>
      <c r="F29" s="9">
        <f>+D29*E29</f>
        <v>187.20000000000002</v>
      </c>
      <c r="G29" s="9">
        <f>+F29*0.05</f>
        <v>9.3600000000000012</v>
      </c>
      <c r="H29" s="9">
        <f>+F29*0.1</f>
        <v>18.720000000000002</v>
      </c>
      <c r="I29" s="17">
        <f>+$F$2*F29+$G$2*G29+$H$2*H29</f>
        <v>25847.172000000002</v>
      </c>
    </row>
    <row r="30" spans="1:9" ht="15.5" x14ac:dyDescent="0.35">
      <c r="A30" s="8" t="s">
        <v>60</v>
      </c>
      <c r="B30" s="9">
        <v>8</v>
      </c>
      <c r="C30" s="9">
        <v>1</v>
      </c>
      <c r="D30" s="9">
        <f>+B30*C30</f>
        <v>8</v>
      </c>
      <c r="E30" s="9">
        <v>0</v>
      </c>
      <c r="F30" s="9">
        <f>+D30*E30</f>
        <v>0</v>
      </c>
      <c r="G30" s="9">
        <f>+F30*0.05</f>
        <v>0</v>
      </c>
      <c r="H30" s="9">
        <f>+F30*0.1</f>
        <v>0</v>
      </c>
      <c r="I30" s="10">
        <f>+$F$2*F30+$G$2*G30+$H$2*H30</f>
        <v>0</v>
      </c>
    </row>
    <row r="31" spans="1:9" ht="15.5" x14ac:dyDescent="0.35">
      <c r="A31" s="8" t="s">
        <v>61</v>
      </c>
      <c r="B31" s="9">
        <v>15</v>
      </c>
      <c r="C31" s="9">
        <v>1</v>
      </c>
      <c r="D31" s="9">
        <f>+B31*C31</f>
        <v>15</v>
      </c>
      <c r="E31" s="9">
        <v>0</v>
      </c>
      <c r="F31" s="9">
        <f>+D31*E31</f>
        <v>0</v>
      </c>
      <c r="G31" s="9">
        <f>+F31*0.05</f>
        <v>0</v>
      </c>
      <c r="H31" s="9">
        <f>+F31*0.1</f>
        <v>0</v>
      </c>
      <c r="I31" s="10">
        <f>+$F$2*F31+$G$2*G31+$H$2*H31</f>
        <v>0</v>
      </c>
    </row>
    <row r="32" spans="1:9" ht="15.5" x14ac:dyDescent="0.35">
      <c r="A32" s="8" t="s">
        <v>62</v>
      </c>
      <c r="B32" s="9">
        <v>20</v>
      </c>
      <c r="C32" s="9">
        <v>1</v>
      </c>
      <c r="D32" s="9">
        <f>+B32*C32</f>
        <v>20</v>
      </c>
      <c r="E32" s="9">
        <v>0</v>
      </c>
      <c r="F32" s="9">
        <f>+D32*E32</f>
        <v>0</v>
      </c>
      <c r="G32" s="9">
        <f>+F32*0.05</f>
        <v>0</v>
      </c>
      <c r="H32" s="9">
        <f>+F32*0.1</f>
        <v>0</v>
      </c>
      <c r="I32" s="10">
        <f>+$F$2*F32+$G$2*G32+$H$2*H32</f>
        <v>0</v>
      </c>
    </row>
    <row r="33" spans="1:11" x14ac:dyDescent="0.35">
      <c r="A33" s="5" t="s">
        <v>19</v>
      </c>
      <c r="B33" s="6"/>
      <c r="C33" s="6"/>
      <c r="D33" s="9"/>
      <c r="E33" s="6"/>
      <c r="F33" s="64">
        <f>+SUM(F7:H32)</f>
        <v>967.72040000000004</v>
      </c>
      <c r="G33" s="65"/>
      <c r="H33" s="66"/>
      <c r="I33" s="18">
        <f>+SUM(I7:I32)</f>
        <v>116187.45646000002</v>
      </c>
    </row>
    <row r="34" spans="1:11" x14ac:dyDescent="0.35">
      <c r="A34" s="8" t="s">
        <v>33</v>
      </c>
      <c r="B34" s="9"/>
      <c r="C34" s="9"/>
      <c r="D34" s="9"/>
      <c r="E34" s="9"/>
      <c r="F34" s="9"/>
      <c r="G34" s="8"/>
      <c r="H34" s="8"/>
      <c r="I34" s="10"/>
    </row>
    <row r="35" spans="1:11" x14ac:dyDescent="0.35">
      <c r="A35" s="8" t="s">
        <v>28</v>
      </c>
      <c r="B35" s="9" t="s">
        <v>63</v>
      </c>
      <c r="C35" s="9"/>
      <c r="D35" s="9"/>
      <c r="E35" s="9"/>
      <c r="F35" s="9"/>
      <c r="G35" s="8"/>
      <c r="H35" s="8"/>
      <c r="I35" s="10"/>
    </row>
    <row r="36" spans="1:11" x14ac:dyDescent="0.35">
      <c r="A36" s="8" t="s">
        <v>43</v>
      </c>
      <c r="B36" s="9" t="s">
        <v>34</v>
      </c>
      <c r="C36" s="9"/>
      <c r="D36" s="9"/>
      <c r="E36" s="9"/>
      <c r="F36" s="9"/>
      <c r="G36" s="8"/>
      <c r="H36" s="8"/>
      <c r="I36" s="10"/>
    </row>
    <row r="37" spans="1:11" x14ac:dyDescent="0.35">
      <c r="A37" s="8" t="s">
        <v>44</v>
      </c>
      <c r="B37" s="9" t="s">
        <v>34</v>
      </c>
      <c r="C37" s="9"/>
      <c r="D37" s="9"/>
      <c r="E37" s="9"/>
      <c r="F37" s="9"/>
      <c r="G37" s="8"/>
      <c r="H37" s="8"/>
      <c r="I37" s="10"/>
    </row>
    <row r="38" spans="1:11" x14ac:dyDescent="0.35">
      <c r="A38" s="8" t="s">
        <v>45</v>
      </c>
      <c r="B38" s="9" t="s">
        <v>34</v>
      </c>
      <c r="C38" s="9"/>
      <c r="D38" s="9"/>
      <c r="E38" s="9"/>
      <c r="F38" s="9"/>
      <c r="G38" s="8"/>
      <c r="H38" s="8"/>
      <c r="I38" s="10"/>
    </row>
    <row r="39" spans="1:11" x14ac:dyDescent="0.35">
      <c r="A39" s="8" t="s">
        <v>46</v>
      </c>
      <c r="B39" s="9"/>
      <c r="C39" s="9"/>
      <c r="D39" s="9"/>
      <c r="E39" s="9"/>
      <c r="F39" s="9"/>
      <c r="G39" s="8"/>
      <c r="H39" s="8"/>
      <c r="I39" s="10"/>
    </row>
    <row r="40" spans="1:11" ht="15.5" x14ac:dyDescent="0.35">
      <c r="A40" s="8" t="s">
        <v>64</v>
      </c>
      <c r="B40" s="9">
        <v>1.5</v>
      </c>
      <c r="C40" s="9">
        <v>52</v>
      </c>
      <c r="D40" s="9">
        <f>+B40*C40</f>
        <v>78</v>
      </c>
      <c r="E40" s="9">
        <v>13</v>
      </c>
      <c r="F40" s="9">
        <f>+D40*E40</f>
        <v>1014</v>
      </c>
      <c r="G40" s="22">
        <f>+F40*0.05</f>
        <v>50.7</v>
      </c>
      <c r="H40" s="22">
        <f>+F40*0.1</f>
        <v>101.4</v>
      </c>
      <c r="I40" s="17">
        <f>+$F$2*F40+$G$2*G40+$H$2*H40</f>
        <v>140005.51499999998</v>
      </c>
    </row>
    <row r="41" spans="1:11" ht="15.5" x14ac:dyDescent="0.35">
      <c r="A41" s="8" t="s">
        <v>66</v>
      </c>
      <c r="B41" s="9">
        <v>3</v>
      </c>
      <c r="C41" s="9">
        <v>1</v>
      </c>
      <c r="D41" s="9">
        <f t="shared" ref="D41:D43" si="8">+B41*C41</f>
        <v>3</v>
      </c>
      <c r="E41" s="9">
        <v>6</v>
      </c>
      <c r="F41" s="9">
        <f t="shared" ref="F41:F43" si="9">+D41*E41</f>
        <v>18</v>
      </c>
      <c r="G41" s="9">
        <f t="shared" ref="G41:G43" si="10">+F41*0.05</f>
        <v>0.9</v>
      </c>
      <c r="H41" s="9">
        <f t="shared" ref="H41:H43" si="11">+F41*0.1</f>
        <v>1.8</v>
      </c>
      <c r="I41" s="17">
        <f t="shared" ref="I41:I43" si="12">+$F$2*F41+$G$2*G41+$H$2*H41</f>
        <v>2485.3050000000003</v>
      </c>
    </row>
    <row r="42" spans="1:11" ht="15.5" x14ac:dyDescent="0.35">
      <c r="A42" s="8" t="s">
        <v>67</v>
      </c>
      <c r="B42" s="9">
        <v>3</v>
      </c>
      <c r="C42" s="9">
        <v>1</v>
      </c>
      <c r="D42" s="9">
        <f t="shared" si="8"/>
        <v>3</v>
      </c>
      <c r="E42" s="9">
        <v>9</v>
      </c>
      <c r="F42" s="9">
        <f t="shared" si="9"/>
        <v>27</v>
      </c>
      <c r="G42" s="9">
        <f t="shared" si="10"/>
        <v>1.35</v>
      </c>
      <c r="H42" s="9">
        <f t="shared" si="11"/>
        <v>2.7</v>
      </c>
      <c r="I42" s="17">
        <f t="shared" si="12"/>
        <v>3727.9575000000004</v>
      </c>
    </row>
    <row r="43" spans="1:11" ht="15.5" x14ac:dyDescent="0.35">
      <c r="A43" s="8" t="s">
        <v>68</v>
      </c>
      <c r="B43" s="9">
        <v>5</v>
      </c>
      <c r="C43" s="9">
        <v>1</v>
      </c>
      <c r="D43" s="9">
        <f t="shared" si="8"/>
        <v>5</v>
      </c>
      <c r="E43" s="9">
        <v>3</v>
      </c>
      <c r="F43" s="9">
        <f t="shared" si="9"/>
        <v>15</v>
      </c>
      <c r="G43" s="9">
        <f t="shared" si="10"/>
        <v>0.75</v>
      </c>
      <c r="H43" s="9">
        <f t="shared" si="11"/>
        <v>1.5</v>
      </c>
      <c r="I43" s="17">
        <f t="shared" si="12"/>
        <v>2071.0875000000001</v>
      </c>
    </row>
    <row r="44" spans="1:11" x14ac:dyDescent="0.35">
      <c r="A44" s="8" t="s">
        <v>70</v>
      </c>
      <c r="B44" s="9" t="s">
        <v>32</v>
      </c>
      <c r="C44" s="9"/>
      <c r="D44" s="9"/>
      <c r="E44" s="9"/>
      <c r="F44" s="9"/>
      <c r="G44" s="8"/>
      <c r="H44" s="8"/>
      <c r="I44" s="10"/>
    </row>
    <row r="45" spans="1:11" x14ac:dyDescent="0.35">
      <c r="A45" s="8" t="s">
        <v>47</v>
      </c>
      <c r="B45" s="9" t="s">
        <v>32</v>
      </c>
      <c r="C45" s="9"/>
      <c r="D45" s="9"/>
      <c r="E45" s="9"/>
      <c r="F45" s="9"/>
      <c r="G45" s="8"/>
      <c r="H45" s="8"/>
      <c r="I45" s="10"/>
    </row>
    <row r="46" spans="1:11" x14ac:dyDescent="0.35">
      <c r="A46" s="8" t="s">
        <v>48</v>
      </c>
      <c r="B46" s="9" t="s">
        <v>12</v>
      </c>
      <c r="C46" s="9"/>
      <c r="D46" s="9"/>
      <c r="E46" s="9"/>
      <c r="F46" s="9"/>
      <c r="G46" s="8"/>
      <c r="H46" s="8"/>
      <c r="I46" s="10"/>
    </row>
    <row r="47" spans="1:11" x14ac:dyDescent="0.35">
      <c r="A47" s="5" t="s">
        <v>20</v>
      </c>
      <c r="B47" s="6"/>
      <c r="C47" s="6"/>
      <c r="D47" s="6"/>
      <c r="E47" s="6"/>
      <c r="F47" s="61">
        <f>+SUM(F34:H46)</f>
        <v>1235.1000000000001</v>
      </c>
      <c r="G47" s="62"/>
      <c r="H47" s="63"/>
      <c r="I47" s="14">
        <f>+SUM(I34:I46)</f>
        <v>148289.86499999996</v>
      </c>
    </row>
    <row r="48" spans="1:11" x14ac:dyDescent="0.35">
      <c r="A48" s="13" t="s">
        <v>71</v>
      </c>
      <c r="B48" s="6"/>
      <c r="C48" s="6"/>
      <c r="D48" s="6"/>
      <c r="E48" s="6"/>
      <c r="F48" s="61">
        <f>ROUND(F33+F47,-1)</f>
        <v>2200</v>
      </c>
      <c r="G48" s="62"/>
      <c r="H48" s="63"/>
      <c r="I48" s="14">
        <f>+ROUND(I33+I47,-3)</f>
        <v>264000</v>
      </c>
      <c r="K48" s="33">
        <f>F48</f>
        <v>2200</v>
      </c>
    </row>
    <row r="49" spans="1:12" x14ac:dyDescent="0.35">
      <c r="A49" s="13" t="s">
        <v>72</v>
      </c>
      <c r="B49" s="16"/>
      <c r="C49" s="16"/>
      <c r="D49" s="16"/>
      <c r="E49" s="16"/>
      <c r="F49" s="16"/>
      <c r="G49" s="16"/>
      <c r="H49" s="16"/>
      <c r="I49" s="14">
        <f>+'Capital and O&amp;M'!D10+'Capital and O&amp;M'!G10</f>
        <v>199000</v>
      </c>
      <c r="K49" s="32">
        <f>+F48/Responses!E10</f>
        <v>51.752528816748992</v>
      </c>
      <c r="L49" t="s">
        <v>116</v>
      </c>
    </row>
    <row r="50" spans="1:12" x14ac:dyDescent="0.35">
      <c r="A50" s="13" t="s">
        <v>73</v>
      </c>
      <c r="B50" s="16"/>
      <c r="C50" s="16"/>
      <c r="D50" s="16"/>
      <c r="E50" s="16"/>
      <c r="F50" s="16"/>
      <c r="G50" s="16"/>
      <c r="H50" s="16"/>
      <c r="I50" s="14">
        <f>+ROUND(I48+I49,-3)</f>
        <v>463000</v>
      </c>
    </row>
    <row r="52" spans="1:12" x14ac:dyDescent="0.35">
      <c r="A52" s="19" t="s">
        <v>49</v>
      </c>
    </row>
    <row r="53" spans="1:12" ht="36.65" customHeight="1" x14ac:dyDescent="0.35">
      <c r="A53" s="67" t="s">
        <v>155</v>
      </c>
      <c r="B53" s="67"/>
      <c r="C53" s="67"/>
      <c r="D53" s="67"/>
      <c r="E53" s="67"/>
      <c r="F53" s="67"/>
      <c r="G53" s="67"/>
      <c r="H53" s="67"/>
      <c r="I53" s="67"/>
    </row>
    <row r="54" spans="1:12" ht="52.5" customHeight="1" x14ac:dyDescent="0.35">
      <c r="A54" s="67" t="s">
        <v>170</v>
      </c>
      <c r="B54" s="67"/>
      <c r="C54" s="67"/>
      <c r="D54" s="67"/>
      <c r="E54" s="67"/>
      <c r="F54" s="67"/>
      <c r="G54" s="67"/>
      <c r="H54" s="67"/>
      <c r="I54" s="67"/>
      <c r="J54" s="50"/>
    </row>
    <row r="55" spans="1:12" x14ac:dyDescent="0.35">
      <c r="A55" s="24" t="s">
        <v>58</v>
      </c>
    </row>
    <row r="56" spans="1:12" x14ac:dyDescent="0.35">
      <c r="A56" s="20" t="s">
        <v>120</v>
      </c>
    </row>
    <row r="57" spans="1:12" x14ac:dyDescent="0.35">
      <c r="A57" s="24" t="s">
        <v>156</v>
      </c>
    </row>
    <row r="58" spans="1:12" x14ac:dyDescent="0.35">
      <c r="A58" s="24" t="s">
        <v>157</v>
      </c>
    </row>
    <row r="59" spans="1:12" x14ac:dyDescent="0.35">
      <c r="A59" s="24" t="s">
        <v>158</v>
      </c>
    </row>
    <row r="60" spans="1:12" x14ac:dyDescent="0.35">
      <c r="A60" s="24" t="s">
        <v>117</v>
      </c>
    </row>
    <row r="61" spans="1:12" x14ac:dyDescent="0.35">
      <c r="A61" s="24" t="s">
        <v>159</v>
      </c>
    </row>
    <row r="62" spans="1:12" x14ac:dyDescent="0.35">
      <c r="A62" s="24" t="s">
        <v>171</v>
      </c>
    </row>
    <row r="63" spans="1:12" x14ac:dyDescent="0.35">
      <c r="A63" s="20" t="s">
        <v>65</v>
      </c>
    </row>
    <row r="64" spans="1:12" x14ac:dyDescent="0.35">
      <c r="A64" s="20" t="s">
        <v>69</v>
      </c>
    </row>
    <row r="65" spans="1:1" x14ac:dyDescent="0.35">
      <c r="A65" s="20" t="s">
        <v>74</v>
      </c>
    </row>
    <row r="66" spans="1:1" x14ac:dyDescent="0.35">
      <c r="A66" s="20"/>
    </row>
  </sheetData>
  <mergeCells count="5">
    <mergeCell ref="F47:H47"/>
    <mergeCell ref="F48:H48"/>
    <mergeCell ref="F33:H33"/>
    <mergeCell ref="A54:I54"/>
    <mergeCell ref="A53:I5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opLeftCell="A14" zoomScale="90" zoomScaleNormal="90" workbookViewId="0">
      <selection activeCell="A35" sqref="A35"/>
    </sheetView>
  </sheetViews>
  <sheetFormatPr defaultRowHeight="14.5" x14ac:dyDescent="0.35"/>
  <cols>
    <col min="1" max="1" width="36.453125" customWidth="1"/>
    <col min="2" max="2" width="10" customWidth="1"/>
    <col min="3" max="3" width="11.81640625" customWidth="1"/>
    <col min="4" max="4" width="11" customWidth="1"/>
    <col min="5" max="5" width="10.7265625" customWidth="1"/>
    <col min="7" max="7" width="10.26953125" customWidth="1"/>
    <col min="8" max="8" width="10.453125" customWidth="1"/>
    <col min="9" max="9" width="12.26953125" customWidth="1"/>
  </cols>
  <sheetData>
    <row r="1" spans="1:9" x14ac:dyDescent="0.35">
      <c r="A1" s="53" t="s">
        <v>90</v>
      </c>
    </row>
    <row r="2" spans="1:9" x14ac:dyDescent="0.35">
      <c r="F2">
        <v>52.37</v>
      </c>
      <c r="G2">
        <v>70.56</v>
      </c>
      <c r="H2">
        <v>28.34</v>
      </c>
    </row>
    <row r="3" spans="1:9" ht="78" x14ac:dyDescent="0.35">
      <c r="A3" s="6" t="s">
        <v>75</v>
      </c>
      <c r="B3" s="6" t="s">
        <v>91</v>
      </c>
      <c r="C3" s="6" t="s">
        <v>174</v>
      </c>
      <c r="D3" s="6" t="s">
        <v>23</v>
      </c>
      <c r="E3" s="6" t="s">
        <v>29</v>
      </c>
      <c r="F3" s="6" t="s">
        <v>92</v>
      </c>
      <c r="G3" s="6" t="s">
        <v>24</v>
      </c>
      <c r="H3" s="6" t="s">
        <v>26</v>
      </c>
      <c r="I3" s="6" t="s">
        <v>93</v>
      </c>
    </row>
    <row r="4" spans="1:9" x14ac:dyDescent="0.35">
      <c r="A4" s="8" t="s">
        <v>36</v>
      </c>
      <c r="B4" s="9">
        <v>40</v>
      </c>
      <c r="C4" s="9">
        <v>1</v>
      </c>
      <c r="D4" s="9">
        <f>+B4*C4</f>
        <v>40</v>
      </c>
      <c r="E4" s="9">
        <v>0</v>
      </c>
      <c r="F4" s="11">
        <f>+D4*E4</f>
        <v>0</v>
      </c>
      <c r="G4" s="11">
        <f>+F4*0.05</f>
        <v>0</v>
      </c>
      <c r="H4" s="11">
        <f>+F4*0.1</f>
        <v>0</v>
      </c>
      <c r="I4" s="25">
        <f>+$F$2*F4+$G$2*G4+$H$2*H4</f>
        <v>0</v>
      </c>
    </row>
    <row r="5" spans="1:9" x14ac:dyDescent="0.35">
      <c r="A5" s="8" t="s">
        <v>76</v>
      </c>
      <c r="B5" s="9"/>
      <c r="C5" s="9"/>
      <c r="D5" s="9"/>
      <c r="E5" s="9"/>
      <c r="F5" s="11"/>
      <c r="G5" s="11"/>
      <c r="H5" s="11"/>
      <c r="I5" s="25"/>
    </row>
    <row r="6" spans="1:9" x14ac:dyDescent="0.35">
      <c r="A6" s="8" t="s">
        <v>77</v>
      </c>
      <c r="B6" s="9">
        <v>8</v>
      </c>
      <c r="C6" s="9">
        <v>1</v>
      </c>
      <c r="D6" s="9">
        <f t="shared" ref="D6:D25" si="0">+B6*C6</f>
        <v>8</v>
      </c>
      <c r="E6" s="9">
        <v>0</v>
      </c>
      <c r="F6" s="11">
        <f t="shared" ref="F6:F23" si="1">+D6*E6</f>
        <v>0</v>
      </c>
      <c r="G6" s="11">
        <f t="shared" ref="G6:G25" si="2">+F6*0.05</f>
        <v>0</v>
      </c>
      <c r="H6" s="11">
        <f t="shared" ref="H6:H25" si="3">+F6*0.1</f>
        <v>0</v>
      </c>
      <c r="I6" s="25">
        <f t="shared" ref="I6:I25" si="4">+$F$2*F6+$G$2*G6+$H$2*H6</f>
        <v>0</v>
      </c>
    </row>
    <row r="7" spans="1:9" x14ac:dyDescent="0.35">
      <c r="A7" s="8" t="s">
        <v>78</v>
      </c>
      <c r="B7" s="9">
        <v>40</v>
      </c>
      <c r="C7" s="9">
        <v>1</v>
      </c>
      <c r="D7" s="9">
        <f t="shared" si="0"/>
        <v>40</v>
      </c>
      <c r="E7" s="9">
        <v>0</v>
      </c>
      <c r="F7" s="11">
        <f t="shared" si="1"/>
        <v>0</v>
      </c>
      <c r="G7" s="11">
        <f t="shared" si="2"/>
        <v>0</v>
      </c>
      <c r="H7" s="11">
        <f t="shared" si="3"/>
        <v>0</v>
      </c>
      <c r="I7" s="25">
        <f t="shared" si="4"/>
        <v>0</v>
      </c>
    </row>
    <row r="8" spans="1:9" x14ac:dyDescent="0.35">
      <c r="A8" s="8" t="s">
        <v>79</v>
      </c>
      <c r="B8" s="9" t="s">
        <v>12</v>
      </c>
      <c r="C8" s="9"/>
      <c r="D8" s="9"/>
      <c r="E8" s="9"/>
      <c r="F8" s="11"/>
      <c r="G8" s="11"/>
      <c r="H8" s="11"/>
      <c r="I8" s="25"/>
    </row>
    <row r="9" spans="1:9" x14ac:dyDescent="0.35">
      <c r="A9" s="8" t="s">
        <v>80</v>
      </c>
      <c r="B9" s="9"/>
      <c r="C9" s="9"/>
      <c r="D9" s="9"/>
      <c r="E9" s="9"/>
      <c r="F9" s="11"/>
      <c r="G9" s="11"/>
      <c r="H9" s="11"/>
      <c r="I9" s="25"/>
    </row>
    <row r="10" spans="1:9" x14ac:dyDescent="0.35">
      <c r="A10" s="8" t="s">
        <v>81</v>
      </c>
      <c r="B10" s="9">
        <v>2</v>
      </c>
      <c r="C10" s="9">
        <v>1</v>
      </c>
      <c r="D10" s="9">
        <f t="shared" si="0"/>
        <v>2</v>
      </c>
      <c r="E10" s="9">
        <v>0</v>
      </c>
      <c r="F10" s="11">
        <f t="shared" si="1"/>
        <v>0</v>
      </c>
      <c r="G10" s="11">
        <f t="shared" si="2"/>
        <v>0</v>
      </c>
      <c r="H10" s="11">
        <f t="shared" si="3"/>
        <v>0</v>
      </c>
      <c r="I10" s="25">
        <f t="shared" si="4"/>
        <v>0</v>
      </c>
    </row>
    <row r="11" spans="1:9" x14ac:dyDescent="0.35">
      <c r="A11" s="8" t="s">
        <v>82</v>
      </c>
      <c r="B11" s="9" t="s">
        <v>12</v>
      </c>
      <c r="C11" s="9"/>
      <c r="D11" s="9"/>
      <c r="E11" s="9"/>
      <c r="F11" s="11"/>
      <c r="G11" s="11"/>
      <c r="H11" s="11"/>
      <c r="I11" s="25"/>
    </row>
    <row r="12" spans="1:9" x14ac:dyDescent="0.35">
      <c r="A12" s="8" t="s">
        <v>83</v>
      </c>
      <c r="B12" s="9" t="s">
        <v>12</v>
      </c>
      <c r="C12" s="9"/>
      <c r="D12" s="9"/>
      <c r="E12" s="9"/>
      <c r="F12" s="11"/>
      <c r="G12" s="11"/>
      <c r="H12" s="11"/>
      <c r="I12" s="25"/>
    </row>
    <row r="13" spans="1:9" x14ac:dyDescent="0.35">
      <c r="A13" s="8" t="s">
        <v>84</v>
      </c>
      <c r="B13" s="9" t="s">
        <v>12</v>
      </c>
      <c r="C13" s="9"/>
      <c r="D13" s="9"/>
      <c r="E13" s="9"/>
      <c r="F13" s="11"/>
      <c r="G13" s="11"/>
      <c r="H13" s="11"/>
      <c r="I13" s="25"/>
    </row>
    <row r="14" spans="1:9" ht="26" x14ac:dyDescent="0.35">
      <c r="A14" s="8" t="s">
        <v>85</v>
      </c>
      <c r="B14" s="9" t="s">
        <v>12</v>
      </c>
      <c r="C14" s="9"/>
      <c r="D14" s="9"/>
      <c r="E14" s="9"/>
      <c r="F14" s="11"/>
      <c r="G14" s="11"/>
      <c r="H14" s="11"/>
      <c r="I14" s="25"/>
    </row>
    <row r="15" spans="1:9" x14ac:dyDescent="0.35">
      <c r="A15" s="8" t="s">
        <v>86</v>
      </c>
      <c r="B15" s="9">
        <v>2</v>
      </c>
      <c r="C15" s="9">
        <v>1</v>
      </c>
      <c r="D15" s="9">
        <f t="shared" si="0"/>
        <v>2</v>
      </c>
      <c r="E15" s="9">
        <v>0</v>
      </c>
      <c r="F15" s="11">
        <f t="shared" si="1"/>
        <v>0</v>
      </c>
      <c r="G15" s="11">
        <f t="shared" si="2"/>
        <v>0</v>
      </c>
      <c r="H15" s="11">
        <f t="shared" si="3"/>
        <v>0</v>
      </c>
      <c r="I15" s="25">
        <f t="shared" si="4"/>
        <v>0</v>
      </c>
    </row>
    <row r="16" spans="1:9" x14ac:dyDescent="0.35">
      <c r="A16" s="8" t="s">
        <v>87</v>
      </c>
      <c r="B16" s="9">
        <v>2</v>
      </c>
      <c r="C16" s="9">
        <v>1</v>
      </c>
      <c r="D16" s="9">
        <f t="shared" si="0"/>
        <v>2</v>
      </c>
      <c r="E16" s="9">
        <v>0</v>
      </c>
      <c r="F16" s="11">
        <f t="shared" si="1"/>
        <v>0</v>
      </c>
      <c r="G16" s="11">
        <f t="shared" si="2"/>
        <v>0</v>
      </c>
      <c r="H16" s="11">
        <f t="shared" si="3"/>
        <v>0</v>
      </c>
      <c r="I16" s="25">
        <f t="shared" si="4"/>
        <v>0</v>
      </c>
    </row>
    <row r="17" spans="1:10" ht="15.5" x14ac:dyDescent="0.35">
      <c r="A17" s="8" t="s">
        <v>94</v>
      </c>
      <c r="B17" s="9">
        <v>20</v>
      </c>
      <c r="C17" s="9">
        <v>1</v>
      </c>
      <c r="D17" s="9">
        <f t="shared" si="0"/>
        <v>20</v>
      </c>
      <c r="E17" s="9">
        <v>3</v>
      </c>
      <c r="F17" s="11">
        <f t="shared" ref="F17" si="5">+D17*E17</f>
        <v>60</v>
      </c>
      <c r="G17" s="11">
        <f t="shared" si="2"/>
        <v>3</v>
      </c>
      <c r="H17" s="11">
        <f t="shared" ref="H17" si="6">+F17*0.1</f>
        <v>6</v>
      </c>
      <c r="I17" s="12">
        <f t="shared" ref="I17" si="7">+$F$2*F17+$G$2*G17+$H$2*H17</f>
        <v>3523.9199999999996</v>
      </c>
    </row>
    <row r="18" spans="1:10" x14ac:dyDescent="0.35">
      <c r="A18" s="8" t="s">
        <v>88</v>
      </c>
      <c r="B18" s="9">
        <v>40</v>
      </c>
      <c r="C18" s="9">
        <v>1</v>
      </c>
      <c r="D18" s="9">
        <f t="shared" si="0"/>
        <v>40</v>
      </c>
      <c r="E18" s="30">
        <f>'Table 1'!E12</f>
        <v>13</v>
      </c>
      <c r="F18" s="11">
        <f t="shared" si="1"/>
        <v>520</v>
      </c>
      <c r="G18" s="11">
        <f t="shared" si="2"/>
        <v>26</v>
      </c>
      <c r="H18" s="11">
        <f t="shared" si="3"/>
        <v>52</v>
      </c>
      <c r="I18" s="12">
        <f t="shared" si="4"/>
        <v>30540.639999999999</v>
      </c>
    </row>
    <row r="19" spans="1:10" ht="15.5" x14ac:dyDescent="0.35">
      <c r="A19" s="8" t="s">
        <v>95</v>
      </c>
      <c r="B19" s="9">
        <v>40</v>
      </c>
      <c r="C19" s="9">
        <v>1</v>
      </c>
      <c r="D19" s="9">
        <f t="shared" si="0"/>
        <v>40</v>
      </c>
      <c r="E19" s="30">
        <f>'Table 1'!E13</f>
        <v>0.91</v>
      </c>
      <c r="F19" s="11">
        <f t="shared" si="1"/>
        <v>36.4</v>
      </c>
      <c r="G19" s="11">
        <f t="shared" si="2"/>
        <v>1.82</v>
      </c>
      <c r="H19" s="11">
        <f t="shared" si="3"/>
        <v>3.64</v>
      </c>
      <c r="I19" s="12">
        <f t="shared" si="4"/>
        <v>2137.8447999999999</v>
      </c>
    </row>
    <row r="20" spans="1:10" ht="15.5" x14ac:dyDescent="0.35">
      <c r="A20" s="8" t="s">
        <v>96</v>
      </c>
      <c r="B20" s="9">
        <v>20</v>
      </c>
      <c r="C20" s="9">
        <v>4</v>
      </c>
      <c r="D20" s="9">
        <f t="shared" si="0"/>
        <v>80</v>
      </c>
      <c r="E20" s="30">
        <f>'Table 1'!E28</f>
        <v>1.3</v>
      </c>
      <c r="F20" s="11">
        <f t="shared" si="1"/>
        <v>104</v>
      </c>
      <c r="G20" s="11">
        <f t="shared" si="2"/>
        <v>5.2</v>
      </c>
      <c r="H20" s="11">
        <f t="shared" si="3"/>
        <v>10.4</v>
      </c>
      <c r="I20" s="12">
        <f t="shared" si="4"/>
        <v>6108.1279999999997</v>
      </c>
    </row>
    <row r="21" spans="1:10" ht="15.5" x14ac:dyDescent="0.35">
      <c r="A21" s="8" t="s">
        <v>98</v>
      </c>
      <c r="B21" s="9">
        <v>20</v>
      </c>
      <c r="C21" s="9">
        <v>2</v>
      </c>
      <c r="D21" s="9">
        <f t="shared" si="0"/>
        <v>40</v>
      </c>
      <c r="E21" s="30">
        <f>'Table 1'!E29</f>
        <v>11.700000000000001</v>
      </c>
      <c r="F21" s="11">
        <f t="shared" si="1"/>
        <v>468.00000000000006</v>
      </c>
      <c r="G21" s="11">
        <f t="shared" si="2"/>
        <v>23.400000000000006</v>
      </c>
      <c r="H21" s="11">
        <f t="shared" si="3"/>
        <v>46.800000000000011</v>
      </c>
      <c r="I21" s="12">
        <f t="shared" si="4"/>
        <v>27486.576000000005</v>
      </c>
    </row>
    <row r="22" spans="1:10" ht="15.5" x14ac:dyDescent="0.35">
      <c r="A22" s="8" t="s">
        <v>99</v>
      </c>
      <c r="B22" s="9">
        <v>10</v>
      </c>
      <c r="C22" s="9">
        <v>1</v>
      </c>
      <c r="D22" s="9">
        <f t="shared" si="0"/>
        <v>10</v>
      </c>
      <c r="E22" s="9">
        <v>0</v>
      </c>
      <c r="F22" s="11">
        <f t="shared" si="1"/>
        <v>0</v>
      </c>
      <c r="G22" s="11">
        <f t="shared" si="2"/>
        <v>0</v>
      </c>
      <c r="H22" s="11">
        <f t="shared" si="3"/>
        <v>0</v>
      </c>
      <c r="I22" s="25">
        <f t="shared" si="4"/>
        <v>0</v>
      </c>
    </row>
    <row r="23" spans="1:10" ht="28.5" x14ac:dyDescent="0.35">
      <c r="A23" s="8" t="s">
        <v>100</v>
      </c>
      <c r="B23" s="9">
        <v>8</v>
      </c>
      <c r="C23" s="9">
        <v>1</v>
      </c>
      <c r="D23" s="9">
        <f t="shared" si="0"/>
        <v>8</v>
      </c>
      <c r="E23" s="9">
        <v>0</v>
      </c>
      <c r="F23" s="11">
        <f t="shared" si="1"/>
        <v>0</v>
      </c>
      <c r="G23" s="11">
        <f t="shared" si="2"/>
        <v>0</v>
      </c>
      <c r="H23" s="11">
        <f t="shared" si="3"/>
        <v>0</v>
      </c>
      <c r="I23" s="25">
        <f t="shared" si="4"/>
        <v>0</v>
      </c>
    </row>
    <row r="24" spans="1:10" x14ac:dyDescent="0.35">
      <c r="A24" s="8" t="s">
        <v>89</v>
      </c>
      <c r="B24" s="9" t="s">
        <v>12</v>
      </c>
      <c r="C24" s="9"/>
      <c r="D24" s="9"/>
      <c r="E24" s="9"/>
      <c r="F24" s="11"/>
      <c r="G24" s="11"/>
      <c r="H24" s="11"/>
      <c r="I24" s="25"/>
    </row>
    <row r="25" spans="1:10" ht="15.5" x14ac:dyDescent="0.35">
      <c r="A25" s="8" t="s">
        <v>101</v>
      </c>
      <c r="B25" s="9">
        <v>20</v>
      </c>
      <c r="C25" s="9">
        <v>1</v>
      </c>
      <c r="D25" s="9">
        <f t="shared" si="0"/>
        <v>20</v>
      </c>
      <c r="E25" s="9">
        <v>0</v>
      </c>
      <c r="F25" s="11">
        <f>+D25*E25</f>
        <v>0</v>
      </c>
      <c r="G25" s="11">
        <f t="shared" si="2"/>
        <v>0</v>
      </c>
      <c r="H25" s="11">
        <f t="shared" si="3"/>
        <v>0</v>
      </c>
      <c r="I25" s="12">
        <f t="shared" si="4"/>
        <v>0</v>
      </c>
    </row>
    <row r="26" spans="1:10" ht="28" x14ac:dyDescent="0.35">
      <c r="A26" s="5" t="s">
        <v>105</v>
      </c>
      <c r="B26" s="5"/>
      <c r="C26" s="5"/>
      <c r="D26" s="5"/>
      <c r="E26" s="5"/>
      <c r="F26" s="61">
        <f>ROUND(SUM(F4:H25),-1)</f>
        <v>1370</v>
      </c>
      <c r="G26" s="62"/>
      <c r="H26" s="63"/>
      <c r="I26" s="26">
        <f>+ROUND(SUM(I4:I25),-2)</f>
        <v>69800</v>
      </c>
      <c r="J26" s="31"/>
    </row>
    <row r="28" spans="1:10" x14ac:dyDescent="0.35">
      <c r="A28" s="3" t="s">
        <v>49</v>
      </c>
    </row>
    <row r="29" spans="1:10" ht="41.25" customHeight="1" x14ac:dyDescent="0.35">
      <c r="A29" s="67" t="s">
        <v>155</v>
      </c>
      <c r="B29" s="67"/>
      <c r="C29" s="67"/>
      <c r="D29" s="67"/>
      <c r="E29" s="67"/>
      <c r="F29" s="67"/>
      <c r="G29" s="67"/>
      <c r="H29" s="67"/>
      <c r="I29" s="67"/>
    </row>
    <row r="30" spans="1:10" ht="38.5" customHeight="1" x14ac:dyDescent="0.35">
      <c r="A30" s="68" t="s">
        <v>119</v>
      </c>
      <c r="B30" s="68"/>
      <c r="C30" s="68"/>
      <c r="D30" s="68"/>
      <c r="E30" s="68"/>
      <c r="F30" s="68"/>
      <c r="G30" s="68"/>
      <c r="H30" s="68"/>
      <c r="I30" s="68"/>
    </row>
    <row r="31" spans="1:10" x14ac:dyDescent="0.35">
      <c r="A31" s="20" t="s">
        <v>104</v>
      </c>
    </row>
    <row r="32" spans="1:10" x14ac:dyDescent="0.35">
      <c r="A32" s="27" t="s">
        <v>102</v>
      </c>
    </row>
    <row r="33" spans="1:1" x14ac:dyDescent="0.35">
      <c r="A33" s="20" t="s">
        <v>97</v>
      </c>
    </row>
    <row r="34" spans="1:1" x14ac:dyDescent="0.35">
      <c r="A34" s="27" t="s">
        <v>103</v>
      </c>
    </row>
    <row r="35" spans="1:1" x14ac:dyDescent="0.35">
      <c r="A35" s="20" t="s">
        <v>175</v>
      </c>
    </row>
    <row r="36" spans="1:1" x14ac:dyDescent="0.35">
      <c r="A36" s="27" t="s">
        <v>118</v>
      </c>
    </row>
    <row r="37" spans="1:1" x14ac:dyDescent="0.35">
      <c r="A37" s="20" t="s">
        <v>106</v>
      </c>
    </row>
  </sheetData>
  <mergeCells count="3">
    <mergeCell ref="F26:H26"/>
    <mergeCell ref="A29:I29"/>
    <mergeCell ref="A30:I30"/>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workbookViewId="0">
      <selection activeCell="E10" sqref="E10"/>
    </sheetView>
  </sheetViews>
  <sheetFormatPr defaultRowHeight="14.5" x14ac:dyDescent="0.35"/>
  <cols>
    <col min="1" max="1" width="14.453125" customWidth="1"/>
    <col min="2" max="2" width="13.1796875" customWidth="1"/>
    <col min="3" max="3" width="11.453125" customWidth="1"/>
    <col min="4" max="4" width="15.26953125" customWidth="1"/>
    <col min="5" max="5" width="12" customWidth="1"/>
    <col min="6" max="6" width="13.81640625" customWidth="1"/>
    <col min="7" max="7" width="10.26953125" customWidth="1"/>
    <col min="13" max="13" width="16.7265625" customWidth="1"/>
    <col min="14" max="14" width="14" customWidth="1"/>
  </cols>
  <sheetData>
    <row r="1" spans="1:18" x14ac:dyDescent="0.35">
      <c r="M1" s="54" t="s">
        <v>173</v>
      </c>
      <c r="N1" s="55">
        <f>596.2/556.8</f>
        <v>1.0707614942528738</v>
      </c>
      <c r="O1" s="56"/>
      <c r="P1" s="56"/>
      <c r="Q1" s="56"/>
      <c r="R1" s="56"/>
    </row>
    <row r="2" spans="1:18" ht="15" x14ac:dyDescent="0.35">
      <c r="A2" s="70" t="s">
        <v>107</v>
      </c>
      <c r="B2" s="70"/>
      <c r="C2" s="70"/>
      <c r="D2" s="70"/>
      <c r="E2" s="70"/>
      <c r="F2" s="70"/>
      <c r="G2" s="70"/>
      <c r="M2" s="56" t="s">
        <v>160</v>
      </c>
      <c r="N2" s="56" t="s">
        <v>161</v>
      </c>
      <c r="O2" s="56"/>
      <c r="P2" s="56"/>
      <c r="Q2" s="56" t="s">
        <v>160</v>
      </c>
      <c r="R2" s="56" t="s">
        <v>161</v>
      </c>
    </row>
    <row r="3" spans="1:18" x14ac:dyDescent="0.35">
      <c r="A3" s="11" t="s">
        <v>3</v>
      </c>
      <c r="B3" s="11" t="s">
        <v>4</v>
      </c>
      <c r="C3" s="11" t="s">
        <v>5</v>
      </c>
      <c r="D3" s="11" t="s">
        <v>6</v>
      </c>
      <c r="E3" s="11" t="s">
        <v>7</v>
      </c>
      <c r="F3" s="11" t="s">
        <v>8</v>
      </c>
      <c r="G3" s="11" t="s">
        <v>9</v>
      </c>
      <c r="M3" s="57" t="s">
        <v>4</v>
      </c>
      <c r="N3" s="57" t="s">
        <v>4</v>
      </c>
      <c r="O3" s="56"/>
      <c r="P3" s="56"/>
      <c r="Q3" s="57" t="s">
        <v>7</v>
      </c>
      <c r="R3" s="57" t="s">
        <v>7</v>
      </c>
    </row>
    <row r="4" spans="1:18" ht="78" x14ac:dyDescent="0.35">
      <c r="A4" s="11" t="s">
        <v>108</v>
      </c>
      <c r="B4" s="11" t="s">
        <v>163</v>
      </c>
      <c r="C4" s="11" t="s">
        <v>110</v>
      </c>
      <c r="D4" s="11" t="s">
        <v>111</v>
      </c>
      <c r="E4" s="11" t="s">
        <v>164</v>
      </c>
      <c r="F4" s="11" t="s">
        <v>113</v>
      </c>
      <c r="G4" s="11" t="s">
        <v>151</v>
      </c>
      <c r="M4" s="57" t="s">
        <v>109</v>
      </c>
      <c r="N4" s="57" t="s">
        <v>109</v>
      </c>
      <c r="O4" s="56"/>
      <c r="P4" s="56"/>
      <c r="Q4" s="57" t="s">
        <v>112</v>
      </c>
      <c r="R4" s="57" t="s">
        <v>112</v>
      </c>
    </row>
    <row r="5" spans="1:18" ht="26" x14ac:dyDescent="0.35">
      <c r="A5" s="15" t="s">
        <v>114</v>
      </c>
      <c r="B5" s="51">
        <f>2700*$N$1</f>
        <v>2891.0560344827595</v>
      </c>
      <c r="C5" s="9">
        <v>0</v>
      </c>
      <c r="D5" s="28">
        <v>0</v>
      </c>
      <c r="E5" s="51">
        <f>886*$N$1</f>
        <v>948.69468390804616</v>
      </c>
      <c r="F5" s="9">
        <v>13</v>
      </c>
      <c r="G5" s="28">
        <f>+E5*F5</f>
        <v>12333.030890804601</v>
      </c>
      <c r="M5" s="58">
        <v>2700</v>
      </c>
      <c r="N5" s="58">
        <f>+M5*$N$1</f>
        <v>2891.0560344827595</v>
      </c>
      <c r="O5" s="59"/>
      <c r="P5" s="59"/>
      <c r="Q5" s="58">
        <v>886</v>
      </c>
      <c r="R5" s="58">
        <f>+Q5*$N$1</f>
        <v>948.69468390804616</v>
      </c>
    </row>
    <row r="6" spans="1:18" ht="15.5" x14ac:dyDescent="0.35">
      <c r="A6" s="15" t="s">
        <v>168</v>
      </c>
      <c r="B6" s="52">
        <v>0</v>
      </c>
      <c r="C6" s="11">
        <v>0</v>
      </c>
      <c r="D6" s="29">
        <v>0</v>
      </c>
      <c r="E6" s="52">
        <f>8000*$N$1</f>
        <v>8566.0919540229897</v>
      </c>
      <c r="F6" s="11">
        <v>6</v>
      </c>
      <c r="G6" s="28">
        <f t="shared" ref="G6:G7" si="0">+E6*F6</f>
        <v>51396.551724137942</v>
      </c>
      <c r="M6" s="58">
        <v>0</v>
      </c>
      <c r="N6" s="58">
        <f t="shared" ref="N6:N9" si="1">+M6*$N$1</f>
        <v>0</v>
      </c>
      <c r="O6" s="59"/>
      <c r="P6" s="59"/>
      <c r="Q6" s="58">
        <v>8000</v>
      </c>
      <c r="R6" s="58">
        <f>+Q6*$N$1</f>
        <v>8566.0919540229897</v>
      </c>
    </row>
    <row r="7" spans="1:18" ht="15.5" x14ac:dyDescent="0.35">
      <c r="A7" s="15" t="s">
        <v>169</v>
      </c>
      <c r="B7" s="52">
        <v>0</v>
      </c>
      <c r="C7" s="11">
        <v>0</v>
      </c>
      <c r="D7" s="29">
        <v>0</v>
      </c>
      <c r="E7" s="52">
        <f>5600*$N$1</f>
        <v>5996.264367816093</v>
      </c>
      <c r="F7" s="11">
        <v>9</v>
      </c>
      <c r="G7" s="28">
        <f t="shared" si="0"/>
        <v>53966.379310344841</v>
      </c>
      <c r="M7" s="58">
        <v>0</v>
      </c>
      <c r="N7" s="58">
        <f t="shared" si="1"/>
        <v>0</v>
      </c>
      <c r="O7" s="59"/>
      <c r="P7" s="59"/>
      <c r="Q7" s="58">
        <v>5600</v>
      </c>
      <c r="R7" s="58">
        <f>+Q7*$N$1</f>
        <v>5996.264367816093</v>
      </c>
    </row>
    <row r="8" spans="1:18" ht="28.5" x14ac:dyDescent="0.35">
      <c r="A8" s="15" t="s">
        <v>167</v>
      </c>
      <c r="B8" s="52">
        <v>0</v>
      </c>
      <c r="C8" s="11">
        <v>0</v>
      </c>
      <c r="D8" s="29">
        <v>0</v>
      </c>
      <c r="E8" s="52">
        <f>2000*$N$1</f>
        <v>2141.5229885057474</v>
      </c>
      <c r="F8" s="11">
        <v>23</v>
      </c>
      <c r="G8" s="28">
        <f t="shared" ref="G8:G9" si="2">+E8*F8</f>
        <v>49255.028735632193</v>
      </c>
      <c r="M8" s="58">
        <v>0</v>
      </c>
      <c r="N8" s="58">
        <f t="shared" si="1"/>
        <v>0</v>
      </c>
      <c r="O8" s="59"/>
      <c r="P8" s="59"/>
      <c r="Q8" s="58">
        <v>2000</v>
      </c>
      <c r="R8" s="58">
        <f>+Q8*$N$1</f>
        <v>2141.5229885057474</v>
      </c>
    </row>
    <row r="9" spans="1:18" ht="15.5" x14ac:dyDescent="0.35">
      <c r="A9" s="15" t="s">
        <v>166</v>
      </c>
      <c r="B9" s="52">
        <f>25200*$N$1</f>
        <v>26983.18965517242</v>
      </c>
      <c r="C9" s="11">
        <v>0</v>
      </c>
      <c r="D9" s="29">
        <v>0</v>
      </c>
      <c r="E9" s="52">
        <f>9900*$N$1</f>
        <v>10600.538793103451</v>
      </c>
      <c r="F9" s="11">
        <v>3</v>
      </c>
      <c r="G9" s="28">
        <f t="shared" si="2"/>
        <v>31801.616379310355</v>
      </c>
      <c r="H9" s="4"/>
      <c r="M9" s="58">
        <v>25200</v>
      </c>
      <c r="N9" s="58">
        <f t="shared" si="1"/>
        <v>26983.18965517242</v>
      </c>
      <c r="O9" s="59"/>
      <c r="P9" s="59"/>
      <c r="Q9" s="58">
        <v>9900</v>
      </c>
      <c r="R9" s="58">
        <f>+Q9*$N$1</f>
        <v>10600.538793103451</v>
      </c>
    </row>
    <row r="10" spans="1:18" ht="15" x14ac:dyDescent="0.35">
      <c r="A10" s="48" t="s">
        <v>165</v>
      </c>
      <c r="B10" s="49"/>
      <c r="C10" s="45"/>
      <c r="D10" s="49">
        <f>SUM(D5:D9)</f>
        <v>0</v>
      </c>
      <c r="E10" s="29"/>
      <c r="F10" s="11"/>
      <c r="G10" s="47">
        <f>+ROUND(SUM(G5:G9),-3)</f>
        <v>199000</v>
      </c>
    </row>
    <row r="11" spans="1:18" ht="14.5" customHeight="1" x14ac:dyDescent="0.35">
      <c r="A11" s="71" t="s">
        <v>147</v>
      </c>
      <c r="B11" s="71"/>
      <c r="C11" s="71"/>
      <c r="D11" s="71"/>
      <c r="E11" s="71"/>
      <c r="F11" s="71"/>
      <c r="G11" s="71"/>
    </row>
    <row r="12" spans="1:18" ht="14.5" customHeight="1" x14ac:dyDescent="0.35">
      <c r="A12" s="72" t="s">
        <v>148</v>
      </c>
      <c r="B12" s="72"/>
      <c r="C12" s="72"/>
      <c r="D12" s="72"/>
      <c r="E12" s="72"/>
      <c r="F12" s="72"/>
      <c r="G12" s="72"/>
    </row>
    <row r="13" spans="1:18" ht="14.5" customHeight="1" x14ac:dyDescent="0.35">
      <c r="A13" s="69" t="s">
        <v>149</v>
      </c>
      <c r="B13" s="69"/>
      <c r="C13" s="69"/>
      <c r="D13" s="69"/>
      <c r="E13" s="69"/>
      <c r="F13" s="69"/>
      <c r="G13" s="69"/>
    </row>
    <row r="14" spans="1:18" ht="14.5" customHeight="1" x14ac:dyDescent="0.35">
      <c r="A14" s="69" t="s">
        <v>150</v>
      </c>
      <c r="B14" s="69"/>
      <c r="C14" s="69"/>
      <c r="D14" s="69"/>
      <c r="E14" s="69"/>
      <c r="F14" s="69"/>
      <c r="G14" s="69"/>
    </row>
    <row r="15" spans="1:18" ht="14.5" customHeight="1" x14ac:dyDescent="0.35">
      <c r="A15" s="69" t="s">
        <v>172</v>
      </c>
      <c r="B15" s="69"/>
      <c r="C15" s="69"/>
      <c r="D15" s="69"/>
      <c r="E15" s="69"/>
      <c r="F15" s="69"/>
      <c r="G15" s="69"/>
    </row>
    <row r="16" spans="1:18" x14ac:dyDescent="0.35">
      <c r="A16" s="69" t="s">
        <v>162</v>
      </c>
      <c r="B16" s="69"/>
      <c r="C16" s="69"/>
      <c r="D16" s="69"/>
      <c r="E16" s="69"/>
      <c r="F16" s="69"/>
      <c r="G16" s="69"/>
    </row>
  </sheetData>
  <mergeCells count="7">
    <mergeCell ref="A16:G16"/>
    <mergeCell ref="A15:G15"/>
    <mergeCell ref="A2:G2"/>
    <mergeCell ref="A11:G11"/>
    <mergeCell ref="A12:G12"/>
    <mergeCell ref="A13:G13"/>
    <mergeCell ref="A14:G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B223-3C7E-42D1-9A02-59DB08F7E5DD}">
  <dimension ref="A1:F11"/>
  <sheetViews>
    <sheetView zoomScale="80" zoomScaleNormal="80" workbookViewId="0">
      <selection activeCell="B4" sqref="B4"/>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35" customFormat="1" ht="15" x14ac:dyDescent="0.3">
      <c r="A1" s="70" t="s">
        <v>127</v>
      </c>
      <c r="B1" s="70"/>
      <c r="C1" s="70"/>
      <c r="D1" s="70"/>
      <c r="E1" s="70"/>
    </row>
    <row r="2" spans="1:6" s="35" customFormat="1" ht="13" x14ac:dyDescent="0.3">
      <c r="A2" s="11" t="s">
        <v>3</v>
      </c>
      <c r="B2" s="11" t="s">
        <v>4</v>
      </c>
      <c r="C2" s="11" t="s">
        <v>5</v>
      </c>
      <c r="D2" s="11" t="s">
        <v>6</v>
      </c>
      <c r="E2" s="11" t="s">
        <v>7</v>
      </c>
    </row>
    <row r="3" spans="1:6" s="35" customFormat="1" ht="104" x14ac:dyDescent="0.3">
      <c r="A3" s="11" t="s">
        <v>129</v>
      </c>
      <c r="B3" s="11" t="s">
        <v>123</v>
      </c>
      <c r="C3" s="11" t="s">
        <v>130</v>
      </c>
      <c r="D3" s="11" t="s">
        <v>131</v>
      </c>
      <c r="E3" s="11" t="s">
        <v>132</v>
      </c>
    </row>
    <row r="4" spans="1:6" s="35" customFormat="1" ht="32.5" customHeight="1" x14ac:dyDescent="0.3">
      <c r="A4" s="36" t="s">
        <v>145</v>
      </c>
      <c r="B4" s="9">
        <v>0</v>
      </c>
      <c r="C4" s="9">
        <v>0</v>
      </c>
      <c r="D4" s="9">
        <v>0</v>
      </c>
      <c r="E4" s="9">
        <f>(B4*C4)+D4</f>
        <v>0</v>
      </c>
    </row>
    <row r="5" spans="1:6" s="35" customFormat="1" ht="26" x14ac:dyDescent="0.3">
      <c r="A5" s="36" t="s">
        <v>154</v>
      </c>
      <c r="B5" s="9">
        <v>0</v>
      </c>
      <c r="C5" s="9">
        <v>0</v>
      </c>
      <c r="D5" s="9">
        <v>0</v>
      </c>
      <c r="E5" s="9">
        <f t="shared" ref="E5:E8" si="0">(B5*C5)+D5</f>
        <v>0</v>
      </c>
    </row>
    <row r="6" spans="1:6" s="35" customFormat="1" ht="26" x14ac:dyDescent="0.3">
      <c r="A6" s="36" t="s">
        <v>133</v>
      </c>
      <c r="B6" s="9">
        <v>0</v>
      </c>
      <c r="C6" s="9">
        <v>0</v>
      </c>
      <c r="D6" s="9">
        <v>0</v>
      </c>
      <c r="E6" s="9">
        <f t="shared" si="0"/>
        <v>0</v>
      </c>
    </row>
    <row r="7" spans="1:6" s="35" customFormat="1" ht="26" x14ac:dyDescent="0.3">
      <c r="A7" s="36" t="s">
        <v>153</v>
      </c>
      <c r="B7" s="22">
        <f>'Table 1'!E12+'Table 1'!E13</f>
        <v>13.91</v>
      </c>
      <c r="C7" s="9">
        <v>1</v>
      </c>
      <c r="D7" s="9">
        <v>0</v>
      </c>
      <c r="E7" s="22">
        <f t="shared" si="0"/>
        <v>13.91</v>
      </c>
    </row>
    <row r="8" spans="1:6" s="35" customFormat="1" ht="26" x14ac:dyDescent="0.3">
      <c r="A8" s="36" t="s">
        <v>146</v>
      </c>
      <c r="B8" s="9">
        <f>'Table 1'!E28</f>
        <v>1.3</v>
      </c>
      <c r="C8" s="9">
        <v>4</v>
      </c>
      <c r="D8" s="9">
        <v>0</v>
      </c>
      <c r="E8" s="9">
        <f t="shared" si="0"/>
        <v>5.2</v>
      </c>
      <c r="F8" s="37"/>
    </row>
    <row r="9" spans="1:6" s="35" customFormat="1" ht="26" x14ac:dyDescent="0.3">
      <c r="A9" s="38" t="s">
        <v>152</v>
      </c>
      <c r="B9" s="22">
        <f>'Table 1'!E29</f>
        <v>11.700000000000001</v>
      </c>
      <c r="C9" s="9">
        <v>2</v>
      </c>
      <c r="D9" s="9" t="s">
        <v>12</v>
      </c>
      <c r="E9" s="9">
        <f>(B9*C9)</f>
        <v>23.400000000000002</v>
      </c>
    </row>
    <row r="10" spans="1:6" s="35" customFormat="1" ht="13" x14ac:dyDescent="0.3">
      <c r="A10" s="8"/>
      <c r="B10" s="9"/>
      <c r="C10" s="9"/>
      <c r="D10" s="6" t="s">
        <v>10</v>
      </c>
      <c r="E10" s="39">
        <f>SUM(E4:E9)</f>
        <v>42.510000000000005</v>
      </c>
    </row>
    <row r="11" spans="1:6" s="35" customFormat="1" ht="13" x14ac:dyDescent="0.3">
      <c r="A11" s="40"/>
      <c r="B11" s="41"/>
      <c r="C11" s="41"/>
      <c r="D11" s="42"/>
      <c r="E11" s="43"/>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E9AE-463B-4209-A449-9A5DE74C1896}">
  <dimension ref="A1:F9"/>
  <sheetViews>
    <sheetView zoomScale="80" zoomScaleNormal="80" workbookViewId="0">
      <selection activeCell="F8" sqref="F8"/>
    </sheetView>
  </sheetViews>
  <sheetFormatPr defaultColWidth="17.7265625" defaultRowHeight="31.9" customHeight="1" x14ac:dyDescent="0.35"/>
  <cols>
    <col min="1" max="1" width="11.26953125" customWidth="1"/>
    <col min="2" max="2" width="13.7265625" customWidth="1"/>
    <col min="3" max="3" width="15.7265625" customWidth="1"/>
    <col min="4" max="4" width="22.54296875" customWidth="1"/>
    <col min="5" max="5" width="17.81640625" customWidth="1"/>
    <col min="6" max="6" width="15.81640625" customWidth="1"/>
  </cols>
  <sheetData>
    <row r="1" spans="1:6" s="35" customFormat="1" ht="31.9" customHeight="1" x14ac:dyDescent="0.3">
      <c r="A1" s="70" t="s">
        <v>123</v>
      </c>
      <c r="B1" s="70"/>
      <c r="C1" s="70"/>
      <c r="D1" s="70"/>
      <c r="E1" s="70"/>
      <c r="F1" s="70"/>
    </row>
    <row r="2" spans="1:6" s="35" customFormat="1" ht="31.9" customHeight="1" x14ac:dyDescent="0.3">
      <c r="A2" s="44"/>
      <c r="B2" s="73" t="s">
        <v>134</v>
      </c>
      <c r="C2" s="73"/>
      <c r="D2" s="44" t="s">
        <v>135</v>
      </c>
      <c r="E2" s="73"/>
      <c r="F2" s="73"/>
    </row>
    <row r="3" spans="1:6" s="35" customFormat="1" ht="31.9" customHeight="1" x14ac:dyDescent="0.3">
      <c r="A3" s="44"/>
      <c r="B3" s="45" t="s">
        <v>3</v>
      </c>
      <c r="C3" s="45" t="s">
        <v>4</v>
      </c>
      <c r="D3" s="45" t="s">
        <v>5</v>
      </c>
      <c r="E3" s="45" t="s">
        <v>6</v>
      </c>
      <c r="F3" s="45" t="s">
        <v>7</v>
      </c>
    </row>
    <row r="4" spans="1:6" s="35" customFormat="1" ht="70.900000000000006" customHeight="1" x14ac:dyDescent="0.3">
      <c r="A4" s="45" t="s">
        <v>136</v>
      </c>
      <c r="B4" s="44" t="s">
        <v>137</v>
      </c>
      <c r="C4" s="44" t="s">
        <v>138</v>
      </c>
      <c r="D4" s="44" t="s">
        <v>139</v>
      </c>
      <c r="E4" s="44" t="s">
        <v>140</v>
      </c>
      <c r="F4" s="44" t="s">
        <v>141</v>
      </c>
    </row>
    <row r="5" spans="1:6" s="35" customFormat="1" ht="31.9" customHeight="1" x14ac:dyDescent="0.3">
      <c r="A5" s="11">
        <v>1</v>
      </c>
      <c r="B5" s="9">
        <v>0</v>
      </c>
      <c r="C5" s="9">
        <v>13</v>
      </c>
      <c r="D5" s="9">
        <v>0</v>
      </c>
      <c r="E5" s="9">
        <v>0</v>
      </c>
      <c r="F5" s="9">
        <f>B5+C5+D5-E5</f>
        <v>13</v>
      </c>
    </row>
    <row r="6" spans="1:6" s="35" customFormat="1" ht="31.9" customHeight="1" x14ac:dyDescent="0.3">
      <c r="A6" s="11">
        <v>2</v>
      </c>
      <c r="B6" s="9">
        <v>0</v>
      </c>
      <c r="C6" s="9">
        <v>13</v>
      </c>
      <c r="D6" s="9">
        <v>0</v>
      </c>
      <c r="E6" s="9">
        <v>0</v>
      </c>
      <c r="F6" s="9">
        <f>B6+C6+D6-E6</f>
        <v>13</v>
      </c>
    </row>
    <row r="7" spans="1:6" s="35" customFormat="1" ht="31.9" customHeight="1" x14ac:dyDescent="0.3">
      <c r="A7" s="11">
        <v>3</v>
      </c>
      <c r="B7" s="9">
        <v>0</v>
      </c>
      <c r="C7" s="9">
        <v>13</v>
      </c>
      <c r="D7" s="9">
        <v>0</v>
      </c>
      <c r="E7" s="9">
        <v>0</v>
      </c>
      <c r="F7" s="9">
        <f>B7+C7+D7-E7</f>
        <v>13</v>
      </c>
    </row>
    <row r="8" spans="1:6" s="35" customFormat="1" ht="31.9" customHeight="1" x14ac:dyDescent="0.3">
      <c r="A8" s="11" t="s">
        <v>142</v>
      </c>
      <c r="B8" s="9">
        <f>AVERAGE(B5:B7)</f>
        <v>0</v>
      </c>
      <c r="C8" s="9">
        <f>AVERAGE(C5:C7)</f>
        <v>13</v>
      </c>
      <c r="D8" s="9">
        <f>AVERAGE(D5:D7)</f>
        <v>0</v>
      </c>
      <c r="E8" s="9">
        <f>AVERAGE(E5:E7)</f>
        <v>0</v>
      </c>
      <c r="F8" s="6">
        <f>AVERAGE(F5:F7)</f>
        <v>13</v>
      </c>
    </row>
    <row r="9" spans="1:6" s="35" customFormat="1" ht="20.5" customHeight="1" x14ac:dyDescent="0.3">
      <c r="A9" s="46" t="s">
        <v>143</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and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2016-03-23T14:41:37Z</dcterms:created>
  <dcterms:modified xsi:type="dcterms:W3CDTF">2022-11-22T17:14:53Z</dcterms:modified>
</cp:coreProperties>
</file>