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CB20687C-40A5-44E7-AEAB-1B4BB3B206D2}" xr6:coauthVersionLast="47" xr6:coauthVersionMax="47" xr10:uidLastSave="{00000000-0000-0000-0000-000000000000}"/>
  <bookViews>
    <workbookView xWindow="-110" yWindow="-110" windowWidth="19420" windowHeight="10420" xr2:uid="{00000000-000D-0000-FFFF-FFFF00000000}"/>
  </bookViews>
  <sheets>
    <sheet name="Summary" sheetId="6" r:id="rId1"/>
    <sheet name="Table 1" sheetId="4" r:id="rId2"/>
    <sheet name="Table 2" sheetId="5" r:id="rId3"/>
    <sheet name="Capital O&amp;M" sheetId="1" r:id="rId4"/>
    <sheet name="Responses" sheetId="3" r:id="rId5"/>
    <sheet name="Respondents" sheetId="2" r:id="rId6"/>
    <sheet name="Test Cost Input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1" l="1"/>
  <c r="G6" i="1"/>
  <c r="B6" i="1"/>
  <c r="D25" i="7"/>
  <c r="E16" i="3"/>
  <c r="E15" i="3"/>
  <c r="B15" i="3"/>
  <c r="G35" i="7"/>
  <c r="E9" i="1" s="1"/>
  <c r="G8" i="1"/>
  <c r="E8" i="1"/>
  <c r="H35" i="7"/>
  <c r="D35" i="7"/>
  <c r="E35" i="7"/>
  <c r="F35" i="7"/>
  <c r="C35" i="7"/>
  <c r="E7" i="1"/>
  <c r="G7" i="1" s="1"/>
  <c r="H34" i="7"/>
  <c r="G34" i="7"/>
  <c r="G9" i="1" s="1"/>
  <c r="D9" i="1"/>
  <c r="D8" i="1"/>
  <c r="D7" i="1"/>
  <c r="H26" i="7"/>
  <c r="H27" i="7"/>
  <c r="H28" i="7"/>
  <c r="H29" i="7"/>
  <c r="H30" i="7"/>
  <c r="H31" i="7"/>
  <c r="H32" i="7"/>
  <c r="H33" i="7"/>
  <c r="H25" i="7"/>
  <c r="G31" i="7" l="1"/>
  <c r="G32" i="7"/>
  <c r="G33" i="7"/>
  <c r="G26" i="7"/>
  <c r="G25" i="7"/>
  <c r="E34" i="7"/>
  <c r="D34" i="7"/>
  <c r="E33" i="7"/>
  <c r="E32" i="7"/>
  <c r="E31" i="7"/>
  <c r="E30" i="7"/>
  <c r="E29" i="7"/>
  <c r="E28" i="7"/>
  <c r="E27" i="7"/>
  <c r="E26" i="7"/>
  <c r="E25" i="7"/>
  <c r="D33" i="7"/>
  <c r="D32" i="7"/>
  <c r="D28" i="7"/>
  <c r="D31" i="7"/>
  <c r="D30" i="7"/>
  <c r="D29" i="7"/>
  <c r="D27" i="7"/>
  <c r="D26" i="7"/>
  <c r="F34" i="7"/>
  <c r="C34" i="7"/>
  <c r="E14" i="3"/>
  <c r="C14" i="3"/>
  <c r="B14" i="3"/>
  <c r="I19" i="5"/>
  <c r="D21" i="5" l="1"/>
  <c r="D20" i="5" l="1"/>
  <c r="D19" i="5"/>
  <c r="D18" i="5"/>
  <c r="F18" i="5" s="1"/>
  <c r="D17" i="5"/>
  <c r="F17" i="5" s="1"/>
  <c r="G17" i="5" s="1"/>
  <c r="D16" i="5"/>
  <c r="D15" i="5"/>
  <c r="F15" i="5" s="1"/>
  <c r="D14" i="5"/>
  <c r="F14" i="5" s="1"/>
  <c r="D13" i="5"/>
  <c r="F13" i="5" s="1"/>
  <c r="H13" i="5" s="1"/>
  <c r="D12" i="5"/>
  <c r="F12" i="5" s="1"/>
  <c r="G12" i="5" s="1"/>
  <c r="D11" i="5"/>
  <c r="F11" i="5" s="1"/>
  <c r="D10" i="5"/>
  <c r="F10" i="5" s="1"/>
  <c r="D7" i="5"/>
  <c r="F7" i="5" s="1"/>
  <c r="D5" i="5"/>
  <c r="F5" i="5" s="1"/>
  <c r="H15" i="5" l="1"/>
  <c r="H18" i="5"/>
  <c r="G18" i="5"/>
  <c r="I18" i="5" s="1"/>
  <c r="H7" i="5"/>
  <c r="H11" i="5"/>
  <c r="G11" i="5"/>
  <c r="G10" i="5"/>
  <c r="G14" i="5"/>
  <c r="H14" i="5"/>
  <c r="G5" i="5"/>
  <c r="H5" i="5"/>
  <c r="H17" i="5"/>
  <c r="I17" i="5" s="1"/>
  <c r="H12" i="5"/>
  <c r="I12" i="5" s="1"/>
  <c r="H10" i="5"/>
  <c r="G13" i="5"/>
  <c r="I13" i="5" s="1"/>
  <c r="G15" i="5"/>
  <c r="G7" i="5"/>
  <c r="D34" i="4"/>
  <c r="D33" i="4"/>
  <c r="D25" i="4"/>
  <c r="D24" i="4"/>
  <c r="D23" i="4"/>
  <c r="D21" i="4"/>
  <c r="F21" i="4" s="1"/>
  <c r="D20" i="4"/>
  <c r="F20" i="4" s="1"/>
  <c r="G20" i="4" s="1"/>
  <c r="D19" i="4"/>
  <c r="F19" i="4" s="1"/>
  <c r="G19" i="4" s="1"/>
  <c r="D18" i="4"/>
  <c r="F18" i="4" s="1"/>
  <c r="D17" i="4"/>
  <c r="F17" i="4" s="1"/>
  <c r="D16" i="4"/>
  <c r="F16" i="4" s="1"/>
  <c r="D15" i="4"/>
  <c r="F15" i="4" s="1"/>
  <c r="H15" i="4" s="1"/>
  <c r="D11" i="4"/>
  <c r="F11" i="4" s="1"/>
  <c r="D10" i="4"/>
  <c r="F10" i="4" s="1"/>
  <c r="G10" i="4" s="1"/>
  <c r="D9" i="4"/>
  <c r="F9" i="4" s="1"/>
  <c r="D7" i="4"/>
  <c r="I7" i="5" l="1"/>
  <c r="I11" i="5"/>
  <c r="I15" i="5"/>
  <c r="I14" i="5"/>
  <c r="I10" i="5"/>
  <c r="I5" i="5"/>
  <c r="H19" i="4"/>
  <c r="I19" i="4" s="1"/>
  <c r="G16" i="4"/>
  <c r="H16" i="4"/>
  <c r="I16" i="4" s="1"/>
  <c r="H21" i="4"/>
  <c r="H17" i="4"/>
  <c r="H11" i="4"/>
  <c r="G11" i="4"/>
  <c r="I11" i="4" s="1"/>
  <c r="H18" i="4"/>
  <c r="H9" i="4"/>
  <c r="G9" i="4"/>
  <c r="H10" i="4"/>
  <c r="I10" i="4" s="1"/>
  <c r="G15" i="4"/>
  <c r="I15" i="4" s="1"/>
  <c r="H20" i="4"/>
  <c r="I20" i="4" s="1"/>
  <c r="G17" i="4"/>
  <c r="G18" i="4"/>
  <c r="G21" i="4"/>
  <c r="E7" i="3"/>
  <c r="E8" i="3"/>
  <c r="E9" i="3"/>
  <c r="E10" i="3"/>
  <c r="E11" i="3"/>
  <c r="E6" i="3"/>
  <c r="D6" i="1"/>
  <c r="D10" i="1" s="1"/>
  <c r="B10" i="2"/>
  <c r="C10" i="2"/>
  <c r="D10" i="2"/>
  <c r="E10" i="2"/>
  <c r="F9" i="2"/>
  <c r="F8" i="2"/>
  <c r="F10" i="2" s="1"/>
  <c r="F7" i="2"/>
  <c r="E7" i="4" l="1"/>
  <c r="E23" i="4"/>
  <c r="F23" i="4" s="1"/>
  <c r="B3" i="6"/>
  <c r="I17" i="4"/>
  <c r="I21" i="4"/>
  <c r="I18" i="4"/>
  <c r="E21" i="5"/>
  <c r="F21" i="5" s="1"/>
  <c r="B13" i="3"/>
  <c r="E13" i="3" s="1"/>
  <c r="E33" i="4"/>
  <c r="F33" i="4" s="1"/>
  <c r="F6" i="1"/>
  <c r="G10" i="1" s="1"/>
  <c r="E19" i="5"/>
  <c r="F19" i="5" s="1"/>
  <c r="B12" i="3"/>
  <c r="E12" i="3" s="1"/>
  <c r="B7" i="6" s="1"/>
  <c r="E24" i="4"/>
  <c r="F24" i="4" s="1"/>
  <c r="E20" i="5"/>
  <c r="F20" i="5" s="1"/>
  <c r="E34" i="4"/>
  <c r="F34" i="4" s="1"/>
  <c r="I9" i="4"/>
  <c r="F37" i="4" l="1"/>
  <c r="F7" i="4"/>
  <c r="E25" i="4"/>
  <c r="I39" i="4"/>
  <c r="B6" i="6"/>
  <c r="H20" i="5"/>
  <c r="G20" i="5"/>
  <c r="G19" i="5"/>
  <c r="H19" i="5"/>
  <c r="H23" i="4"/>
  <c r="G23" i="4"/>
  <c r="I23" i="4" s="1"/>
  <c r="H24" i="4"/>
  <c r="G24" i="4"/>
  <c r="G7" i="4"/>
  <c r="H7" i="4"/>
  <c r="G21" i="5"/>
  <c r="H21" i="5"/>
  <c r="H34" i="4"/>
  <c r="G34" i="4"/>
  <c r="I34" i="4" s="1"/>
  <c r="H33" i="4"/>
  <c r="G33" i="4"/>
  <c r="E16" i="5" l="1"/>
  <c r="F16" i="5" s="1"/>
  <c r="F25" i="4"/>
  <c r="I24" i="4"/>
  <c r="I7" i="4"/>
  <c r="I20" i="5"/>
  <c r="I33" i="4"/>
  <c r="I37" i="4" s="1"/>
  <c r="I21" i="5"/>
  <c r="G16" i="5" l="1"/>
  <c r="I16" i="5" s="1"/>
  <c r="I22" i="5" s="1"/>
  <c r="H16" i="5"/>
  <c r="G25" i="4"/>
  <c r="H25" i="4"/>
  <c r="I25" i="4"/>
  <c r="I26" i="4" s="1"/>
  <c r="I38" i="4" s="1"/>
  <c r="I40" i="4" s="1"/>
  <c r="B5" i="6" s="1"/>
  <c r="F22" i="5" l="1"/>
  <c r="F26" i="4"/>
  <c r="F38" i="4" s="1"/>
  <c r="K38" i="4" s="1"/>
  <c r="B2" i="6" s="1"/>
  <c r="B4" i="6" l="1"/>
</calcChain>
</file>

<file path=xl/sharedStrings.xml><?xml version="1.0" encoding="utf-8"?>
<sst xmlns="http://schemas.openxmlformats.org/spreadsheetml/2006/main" count="258" uniqueCount="215">
  <si>
    <t>Capital/Startup vs. Operation and Maintenance (O&amp;M) Costs</t>
  </si>
  <si>
    <t>(A)</t>
  </si>
  <si>
    <t>Continuous Monitoring Device</t>
  </si>
  <si>
    <t>(B)</t>
  </si>
  <si>
    <t>Capital/Startup Cost for One Respondent</t>
  </si>
  <si>
    <t>(C)</t>
  </si>
  <si>
    <t>Number of New Respondents</t>
  </si>
  <si>
    <t>(D)</t>
  </si>
  <si>
    <t>Total Capital/Startup Cost,  (B X C)</t>
  </si>
  <si>
    <t>(E)</t>
  </si>
  <si>
    <t>Annual O&amp;M Costs for One Respondent</t>
  </si>
  <si>
    <t>(F)</t>
  </si>
  <si>
    <t>Number of Respondents  with O&amp;M</t>
  </si>
  <si>
    <t>(G)</t>
  </si>
  <si>
    <t>Total O&amp;M,</t>
  </si>
  <si>
    <t>(E X F)</t>
  </si>
  <si>
    <t>Total</t>
  </si>
  <si>
    <t>Number of Respondents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</si>
  <si>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</si>
  <si>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</si>
  <si>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</si>
  <si>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</si>
  <si>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</si>
  <si>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</si>
  <si>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</si>
  <si>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Total Annual Responses</t>
  </si>
  <si>
    <t>Information Collection Activity</t>
  </si>
  <si>
    <t xml:space="preserve">Number of Respondents  </t>
  </si>
  <si>
    <t>Number of Responses</t>
  </si>
  <si>
    <t>Number of Existing Respondents That Keep Records But Do Not Submit Reports</t>
  </si>
  <si>
    <t xml:space="preserve">Total Annual  Responses </t>
  </si>
  <si>
    <t>E=(BxC)+D</t>
  </si>
  <si>
    <t>Notification of applicability</t>
  </si>
  <si>
    <t>Notification of construction/reconstruction</t>
  </si>
  <si>
    <t>Notification of actual startup</t>
  </si>
  <si>
    <t>Notification of special compliance requirements</t>
  </si>
  <si>
    <t>Notification of initial performance test</t>
  </si>
  <si>
    <t>Notification of compliance status</t>
  </si>
  <si>
    <t>Excess emissions report</t>
  </si>
  <si>
    <t>Report of no excess emissions</t>
  </si>
  <si>
    <t>Quality improvement plan</t>
  </si>
  <si>
    <t>Burden Items</t>
  </si>
  <si>
    <t>1. Applications</t>
  </si>
  <si>
    <t>N/A</t>
  </si>
  <si>
    <t>2. Survey and Studies</t>
  </si>
  <si>
    <t>B. Required Activities</t>
  </si>
  <si>
    <t>C. Create Information</t>
  </si>
  <si>
    <t>See 3B</t>
  </si>
  <si>
    <t>D. Gather Existing Information</t>
  </si>
  <si>
    <t>E. Write Reports</t>
  </si>
  <si>
    <t>Report of performance test</t>
  </si>
  <si>
    <t>Subtotal for Reporting</t>
  </si>
  <si>
    <t>4. Recordkeeping Requirements</t>
  </si>
  <si>
    <t>B. Plan Activities</t>
  </si>
  <si>
    <t>See 3E</t>
  </si>
  <si>
    <t>C. Implement Activities</t>
  </si>
  <si>
    <t>D. Develop Record System</t>
  </si>
  <si>
    <t>E. Time to Enter Information</t>
  </si>
  <si>
    <t>G. Time to Train Personnel</t>
  </si>
  <si>
    <t>H. Time for Audits</t>
  </si>
  <si>
    <t>Subtotal for Recordkeeping</t>
  </si>
  <si>
    <t>(A) Person hours per occurrence</t>
  </si>
  <si>
    <t>(B) Occurrences per respondent per year</t>
  </si>
  <si>
    <t>(C) Person hours per respondent per year (AxB)</t>
  </si>
  <si>
    <t>(E) Technical person hours per year (CxD)</t>
  </si>
  <si>
    <t>(F) Managerial person hours per year (Ex0.05)</t>
  </si>
  <si>
    <t xml:space="preserve">(G) Clerical person hours per year (Ex0.1) </t>
  </si>
  <si>
    <t>See 3A</t>
  </si>
  <si>
    <t>A. Familiarization with the regulatory requirements</t>
  </si>
  <si>
    <t>Activity</t>
  </si>
  <si>
    <t>(E) Technical Hours per Year (CxD)</t>
  </si>
  <si>
    <t>(F) Managerial Hours per Year (Ex0.05)</t>
  </si>
  <si>
    <t>(G) Clerical Hours per Year (Ex0.10)</t>
  </si>
  <si>
    <t>Initial performance tests</t>
  </si>
  <si>
    <t>New or modified facility</t>
  </si>
  <si>
    <t>Repeat performance tests</t>
  </si>
  <si>
    <t>Report review</t>
  </si>
  <si>
    <t>Notification of construction/ reconstruction</t>
  </si>
  <si>
    <t>Request for extension of compliance, adjustment to time periods, and changes in information</t>
  </si>
  <si>
    <r>
      <t xml:space="preserve">Quality improvement plan </t>
    </r>
    <r>
      <rPr>
        <vertAlign val="superscript"/>
        <sz val="10"/>
        <color rgb="FF000000"/>
        <rFont val="Times New Roman"/>
        <family val="1"/>
      </rPr>
      <t>d</t>
    </r>
  </si>
  <si>
    <t>Operations, maintenance, and monitoring plan</t>
  </si>
  <si>
    <t>(A) EPA Hours per occurrence</t>
  </si>
  <si>
    <t>(B) Number of occurrences per Year</t>
  </si>
  <si>
    <t>(C) EPA Hours per Year (AxB)</t>
  </si>
  <si>
    <t>hr per resp</t>
  </si>
  <si>
    <r>
      <t>Assumptions</t>
    </r>
    <r>
      <rPr>
        <sz val="10"/>
        <color rgb="FF000000"/>
        <rFont val="Times New Roman"/>
        <family val="1"/>
      </rPr>
      <t>:</t>
    </r>
  </si>
  <si>
    <r>
      <t>e</t>
    </r>
    <r>
      <rPr>
        <sz val="10"/>
        <color rgb="FF000000"/>
        <rFont val="Times New Roman"/>
        <family val="1"/>
      </rPr>
      <t xml:space="preserve">  We have assumed that 20% of respondents will have to repeat performance test due to failure.</t>
    </r>
  </si>
  <si>
    <r>
      <t xml:space="preserve">f </t>
    </r>
    <r>
      <rPr>
        <sz val="10"/>
        <color rgb="FF000000"/>
        <rFont val="Times New Roman"/>
        <family val="1"/>
      </rPr>
      <t xml:space="preserve"> We have assumed that each of the respondents will take 40 hours to prepare the operation, maintenance, and monitoring plan.</t>
    </r>
  </si>
  <si>
    <r>
      <t xml:space="preserve">A. Familiarization with the regulatory requirements </t>
    </r>
    <r>
      <rPr>
        <vertAlign val="superscript"/>
        <sz val="10"/>
        <color rgb="FF000000"/>
        <rFont val="Times New Roman"/>
        <family val="1"/>
      </rPr>
      <t>c</t>
    </r>
  </si>
  <si>
    <r>
      <t xml:space="preserve">c </t>
    </r>
    <r>
      <rPr>
        <sz val="10"/>
        <color rgb="FF000000"/>
        <rFont val="Times New Roman"/>
        <family val="1"/>
      </rPr>
      <t xml:space="preserve"> We have assumed that it will take each respondent 4 hours to familiarize with the regulatory requirements.</t>
    </r>
  </si>
  <si>
    <r>
      <t xml:space="preserve">(D) Respondents per year </t>
    </r>
    <r>
      <rPr>
        <b/>
        <vertAlign val="superscript"/>
        <sz val="10"/>
        <color rgb="FF000000"/>
        <rFont val="Times New Roman"/>
        <family val="1"/>
      </rPr>
      <t>a</t>
    </r>
  </si>
  <si>
    <r>
      <t xml:space="preserve">(H) Total Cost per year, $ </t>
    </r>
    <r>
      <rPr>
        <b/>
        <vertAlign val="superscript"/>
        <sz val="10"/>
        <color rgb="FF000000"/>
        <rFont val="Times New Roman"/>
        <family val="1"/>
      </rPr>
      <t>b</t>
    </r>
  </si>
  <si>
    <t>Assumptions:</t>
  </si>
  <si>
    <r>
      <t>c</t>
    </r>
    <r>
      <rPr>
        <sz val="10"/>
        <color rgb="FF000000"/>
        <rFont val="Times New Roman"/>
        <family val="1"/>
      </rPr>
      <t xml:space="preserve">  We have assumed that 20% of respondents will fail the performance test.</t>
    </r>
  </si>
  <si>
    <r>
      <t xml:space="preserve">(H) Total cost per year, $ </t>
    </r>
    <r>
      <rPr>
        <b/>
        <vertAlign val="superscript"/>
        <sz val="10"/>
        <color rgb="FF000000"/>
        <rFont val="Times New Roman"/>
        <family val="1"/>
      </rPr>
      <t>b</t>
    </r>
  </si>
  <si>
    <r>
      <t xml:space="preserve">(D) Plants per Year </t>
    </r>
    <r>
      <rPr>
        <b/>
        <vertAlign val="superscript"/>
        <sz val="10"/>
        <color rgb="FF000000"/>
        <rFont val="Times New Roman"/>
        <family val="1"/>
      </rPr>
      <t>a</t>
    </r>
  </si>
  <si>
    <r>
      <t>b</t>
    </r>
    <r>
      <rPr>
        <sz val="10"/>
        <color rgb="FF000000"/>
        <rFont val="Times New Roman"/>
        <family val="1"/>
      </rPr>
      <t xml:space="preserve">  This ICR uses the following labor rates: $147.40 for Managerial, $117.92 for Technical, and $57.02 for Clerical.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</si>
  <si>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 xml:space="preserve">Notification of applicability </t>
    </r>
    <r>
      <rPr>
        <vertAlign val="superscript"/>
        <sz val="10"/>
        <color rgb="FF000000"/>
        <rFont val="Times New Roman"/>
        <family val="1"/>
      </rPr>
      <t>g</t>
    </r>
  </si>
  <si>
    <r>
      <t xml:space="preserve">Notification of construction/  reconstruction  </t>
    </r>
    <r>
      <rPr>
        <vertAlign val="superscript"/>
        <sz val="10"/>
        <color rgb="FF000000"/>
        <rFont val="Times New Roman"/>
        <family val="1"/>
      </rPr>
      <t>g</t>
    </r>
  </si>
  <si>
    <r>
      <t xml:space="preserve">Notification of actual startup </t>
    </r>
    <r>
      <rPr>
        <vertAlign val="superscript"/>
        <sz val="10"/>
        <color rgb="FF000000"/>
        <rFont val="Times New Roman"/>
        <family val="1"/>
      </rPr>
      <t>g</t>
    </r>
  </si>
  <si>
    <r>
      <t xml:space="preserve">Notification of special compliance requirements  </t>
    </r>
    <r>
      <rPr>
        <vertAlign val="superscript"/>
        <sz val="10"/>
        <color rgb="FF000000"/>
        <rFont val="Times New Roman"/>
        <family val="1"/>
      </rPr>
      <t>g</t>
    </r>
  </si>
  <si>
    <r>
      <t xml:space="preserve">Notification of initial performance test  </t>
    </r>
    <r>
      <rPr>
        <vertAlign val="superscript"/>
        <sz val="10"/>
        <color rgb="FF000000"/>
        <rFont val="Times New Roman"/>
        <family val="1"/>
      </rPr>
      <t>g</t>
    </r>
  </si>
  <si>
    <r>
      <t>g</t>
    </r>
    <r>
      <rPr>
        <sz val="10"/>
        <color rgb="FF000000"/>
        <rFont val="Times New Roman"/>
        <family val="1"/>
      </rPr>
      <t xml:space="preserve"> We have assumed that each of the respondents will take 2 hours to write reports.</t>
    </r>
  </si>
  <si>
    <r>
      <t>d</t>
    </r>
    <r>
      <rPr>
        <sz val="10"/>
        <color rgb="FF000000"/>
        <rFont val="Times New Roman"/>
        <family val="1"/>
      </rPr>
      <t xml:space="preserve">  We have assumed that it will take 40 hours to review the quality improvement plan report.</t>
    </r>
  </si>
  <si>
    <r>
      <t xml:space="preserve">Excess emissions report </t>
    </r>
    <r>
      <rPr>
        <vertAlign val="superscript"/>
        <sz val="10"/>
        <color rgb="FF000000"/>
        <rFont val="Times New Roman"/>
        <family val="1"/>
      </rPr>
      <t>e</t>
    </r>
  </si>
  <si>
    <r>
      <t xml:space="preserve">Report of no excess emissions </t>
    </r>
    <r>
      <rPr>
        <vertAlign val="superscript"/>
        <sz val="10"/>
        <color rgb="FF000000"/>
        <rFont val="Times New Roman"/>
        <family val="1"/>
      </rPr>
      <t>f</t>
    </r>
  </si>
  <si>
    <r>
      <t xml:space="preserve">Review compliance test reports for COS for cupolas and formaldehyde, phenol, and methanol for collection/curing operations </t>
    </r>
    <r>
      <rPr>
        <vertAlign val="superscript"/>
        <sz val="10"/>
        <color rgb="FF000000"/>
        <rFont val="Times New Roman"/>
        <family val="1"/>
      </rPr>
      <t>g</t>
    </r>
  </si>
  <si>
    <r>
      <t xml:space="preserve">Total Labor Burden and Cost (rounded) </t>
    </r>
    <r>
      <rPr>
        <b/>
        <vertAlign val="superscript"/>
        <sz val="10"/>
        <color rgb="FF000000"/>
        <rFont val="Times New Roman"/>
        <family val="1"/>
      </rPr>
      <t>h</t>
    </r>
  </si>
  <si>
    <r>
      <t xml:space="preserve">h </t>
    </r>
    <r>
      <rPr>
        <sz val="10"/>
        <color rgb="FF000000"/>
        <rFont val="Times New Roman"/>
        <family val="1"/>
      </rPr>
      <t>Totals have been rounded to 3 significant figures. Figures may not add exactly due to rounding.</t>
    </r>
  </si>
  <si>
    <t xml:space="preserve">Report of performance test </t>
  </si>
  <si>
    <r>
      <t xml:space="preserve">Notification of compliance status </t>
    </r>
    <r>
      <rPr>
        <vertAlign val="superscript"/>
        <sz val="10"/>
        <rFont val="Times New Roman"/>
        <family val="1"/>
      </rPr>
      <t>g</t>
    </r>
  </si>
  <si>
    <r>
      <t xml:space="preserve">Request for extension of compliance adjustment to time periods, and changes in information </t>
    </r>
    <r>
      <rPr>
        <vertAlign val="superscript"/>
        <sz val="10"/>
        <rFont val="Times New Roman"/>
        <family val="1"/>
      </rPr>
      <t>g</t>
    </r>
  </si>
  <si>
    <r>
      <t xml:space="preserve">Excess emissions report </t>
    </r>
    <r>
      <rPr>
        <vertAlign val="superscript"/>
        <sz val="10"/>
        <rFont val="Times New Roman"/>
        <family val="1"/>
      </rPr>
      <t>h</t>
    </r>
  </si>
  <si>
    <r>
      <t xml:space="preserve">Report of no excess emission </t>
    </r>
    <r>
      <rPr>
        <vertAlign val="superscript"/>
        <sz val="10"/>
        <rFont val="Times New Roman"/>
        <family val="1"/>
      </rPr>
      <t>i</t>
    </r>
  </si>
  <si>
    <r>
      <t xml:space="preserve">Quality improvement plan </t>
    </r>
    <r>
      <rPr>
        <vertAlign val="superscript"/>
        <sz val="10"/>
        <rFont val="Times New Roman"/>
        <family val="1"/>
      </rPr>
      <t>j</t>
    </r>
  </si>
  <si>
    <r>
      <t xml:space="preserve">Records of operating parameters and emissions </t>
    </r>
    <r>
      <rPr>
        <vertAlign val="superscript"/>
        <sz val="10"/>
        <rFont val="Times New Roman"/>
        <family val="1"/>
      </rPr>
      <t>k</t>
    </r>
  </si>
  <si>
    <r>
      <t xml:space="preserve">F. Time to transmit or disclose information </t>
    </r>
    <r>
      <rPr>
        <vertAlign val="superscript"/>
        <sz val="10"/>
        <rFont val="Times New Roman"/>
        <family val="1"/>
      </rPr>
      <t>l</t>
    </r>
  </si>
  <si>
    <r>
      <t xml:space="preserve">Total Labor Burden and Cost (rounded) </t>
    </r>
    <r>
      <rPr>
        <b/>
        <vertAlign val="superscript"/>
        <sz val="10"/>
        <rFont val="Times New Roman"/>
        <family val="1"/>
      </rPr>
      <t>m</t>
    </r>
  </si>
  <si>
    <r>
      <t xml:space="preserve">Capital and O&amp;M Cost (see Section 6(b)(iii)): </t>
    </r>
    <r>
      <rPr>
        <b/>
        <vertAlign val="superscript"/>
        <sz val="10"/>
        <rFont val="Times New Roman"/>
        <family val="1"/>
      </rPr>
      <t>m</t>
    </r>
  </si>
  <si>
    <r>
      <t xml:space="preserve">TOTAL COST: </t>
    </r>
    <r>
      <rPr>
        <b/>
        <vertAlign val="superscript"/>
        <sz val="10"/>
        <rFont val="Times New Roman"/>
        <family val="1"/>
      </rPr>
      <t>m</t>
    </r>
  </si>
  <si>
    <r>
      <t xml:space="preserve">Initial performance test </t>
    </r>
    <r>
      <rPr>
        <vertAlign val="superscript"/>
        <sz val="10"/>
        <rFont val="Times New Roman"/>
        <family val="1"/>
      </rPr>
      <t>d</t>
    </r>
    <r>
      <rPr>
        <sz val="10"/>
        <rFont val="Times New Roman"/>
        <family val="1"/>
      </rPr>
      <t xml:space="preserve"> </t>
    </r>
  </si>
  <si>
    <r>
      <t xml:space="preserve">Repeat performance test </t>
    </r>
    <r>
      <rPr>
        <vertAlign val="superscript"/>
        <sz val="10"/>
        <rFont val="Times New Roman"/>
        <family val="1"/>
      </rPr>
      <t>d, e</t>
    </r>
  </si>
  <si>
    <r>
      <t xml:space="preserve">Operations, maintenance, and monitoring plan </t>
    </r>
    <r>
      <rPr>
        <vertAlign val="superscript"/>
        <sz val="10"/>
        <rFont val="Times New Roman"/>
        <family val="1"/>
      </rPr>
      <t>f</t>
    </r>
  </si>
  <si>
    <r>
      <t>h</t>
    </r>
    <r>
      <rPr>
        <sz val="10"/>
        <rFont val="Times New Roman"/>
        <family val="1"/>
      </rPr>
      <t xml:space="preserve">  We have assumed that 20% of respondents will each take 16 hours two times per year to write excess emission reports.</t>
    </r>
  </si>
  <si>
    <r>
      <t xml:space="preserve">i </t>
    </r>
    <r>
      <rPr>
        <sz val="10"/>
        <rFont val="Times New Roman"/>
        <family val="1"/>
      </rPr>
      <t xml:space="preserve"> We have assumed that 80% of respondents will take 8 hours two times per year to complete the report for no excess emissions.</t>
    </r>
  </si>
  <si>
    <r>
      <t>j</t>
    </r>
    <r>
      <rPr>
        <sz val="10"/>
        <rFont val="Times New Roman"/>
        <family val="1"/>
      </rPr>
      <t xml:space="preserve"> We have assumed that 10% of facilities are required to prepare a quality improvement plan each year.</t>
    </r>
  </si>
  <si>
    <r>
      <t xml:space="preserve">k </t>
    </r>
    <r>
      <rPr>
        <sz val="10"/>
        <rFont val="Times New Roman"/>
        <family val="1"/>
      </rPr>
      <t xml:space="preserve"> We have assumed that each respondent will take 4 hours 52 times per year to enter information.</t>
    </r>
  </si>
  <si>
    <r>
      <t xml:space="preserve">l  </t>
    </r>
    <r>
      <rPr>
        <sz val="10"/>
        <rFont val="Times New Roman"/>
        <family val="1"/>
      </rPr>
      <t>We have assumed that it will take each respondent 15 minutes (0.25 hours) two times per year to transmit of disclose information.</t>
    </r>
  </si>
  <si>
    <r>
      <t xml:space="preserve">m  </t>
    </r>
    <r>
      <rPr>
        <sz val="10"/>
        <rFont val="Times New Roman"/>
        <family val="1"/>
      </rPr>
      <t>Totals have been rounded to 3 significant figures. Figures may not add exactly due to rounding.</t>
    </r>
  </si>
  <si>
    <r>
      <t>e</t>
    </r>
    <r>
      <rPr>
        <sz val="10"/>
        <rFont val="Times New Roman"/>
        <family val="1"/>
      </rPr>
      <t xml:space="preserve">  We have assumed that 20% of respondents will submit the excess emissions report and it will take 20 hours to review.</t>
    </r>
  </si>
  <si>
    <r>
      <rPr>
        <vertAlign val="superscript"/>
        <sz val="10"/>
        <rFont val="Times New Roman"/>
        <family val="1"/>
      </rPr>
      <t>g</t>
    </r>
    <r>
      <rPr>
        <sz val="10"/>
        <rFont val="Times New Roman"/>
        <family val="1"/>
      </rPr>
      <t xml:space="preserve"> Assumes Agency will review all of the annual reports - including the new COS, phenol, and methanol emissions testing.</t>
    </r>
  </si>
  <si>
    <t xml:space="preserve">A. Familiarization with the regulatory requirements </t>
  </si>
  <si>
    <r>
      <t xml:space="preserve">3. Reporting Requirements </t>
    </r>
    <r>
      <rPr>
        <vertAlign val="superscript"/>
        <sz val="10"/>
        <color rgb="FF000000"/>
        <rFont val="Times New Roman"/>
        <family val="1"/>
      </rPr>
      <t>c</t>
    </r>
  </si>
  <si>
    <t>Hours per Response</t>
  </si>
  <si>
    <t>Total Estimated Burden Hours</t>
  </si>
  <si>
    <t>Total Estimated Costs</t>
  </si>
  <si>
    <t>Annualized Capital O&amp;M</t>
  </si>
  <si>
    <t>Form Number</t>
  </si>
  <si>
    <t>ICR Summary Information</t>
  </si>
  <si>
    <t>Not Applicable</t>
  </si>
  <si>
    <r>
      <t xml:space="preserve">b </t>
    </r>
    <r>
      <rPr>
        <sz val="10"/>
        <color rgb="FF000000"/>
        <rFont val="Times New Roman"/>
        <family val="1"/>
      </rPr>
      <t xml:space="preserve"> This ICR uses the following labor rates: $70.56 (GS-13, Step 5, $44.10 + 60%) for Managerial, $52.37 (GS-12, Step 1, $32.73 + 60%) for Technical, and $28.34 (GS-6, Step 3, $17.71 + 60%) for Clerical. These rates are from the Office of Personnel Management (OPM), 2022 General Schedule, which excludes locality rates of pay. The rates have been increased by 60 percent to account for the benefit packages available to government employees. </t>
    </r>
  </si>
  <si>
    <r>
      <t>a</t>
    </r>
    <r>
      <rPr>
        <sz val="10"/>
        <color rgb="FF000000"/>
        <rFont val="Times New Roman"/>
        <family val="1"/>
      </rPr>
      <t xml:space="preserve">   We have assumed that the average number of respondents potentially subject to this rule is 9.  There will be no additional new sources over the three-year period of this ICR.</t>
    </r>
  </si>
  <si>
    <r>
      <t>Performance test results for COS, HCl/HG, formaldehyde, phenol, and methanol</t>
    </r>
    <r>
      <rPr>
        <vertAlign val="superscript"/>
        <sz val="9"/>
        <color rgb="FF000000"/>
        <rFont val="Times New Roman"/>
        <family val="1"/>
      </rPr>
      <t xml:space="preserve"> 1</t>
    </r>
  </si>
  <si>
    <r>
      <rPr>
        <vertAlign val="superscript"/>
        <sz val="10"/>
        <color theme="1"/>
        <rFont val="Times New Roman"/>
        <family val="1"/>
      </rPr>
      <t xml:space="preserve">1 </t>
    </r>
    <r>
      <rPr>
        <sz val="10"/>
        <color theme="1"/>
        <rFont val="Times New Roman"/>
        <family val="1"/>
      </rPr>
      <t>Performance tests must be completed once every five years (1 report of performance test results/5 years = 0.2 reports per year per respondent).</t>
    </r>
  </si>
  <si>
    <t xml:space="preserve"> </t>
  </si>
  <si>
    <t>Combined Collection/Curing</t>
  </si>
  <si>
    <t>#</t>
  </si>
  <si>
    <t>Cupolas</t>
  </si>
  <si>
    <t>Annualized</t>
  </si>
  <si>
    <t>(New) COS</t>
  </si>
  <si>
    <t>(New) HCl/HF</t>
  </si>
  <si>
    <t># Bonded</t>
  </si>
  <si>
    <t>Lines</t>
  </si>
  <si>
    <t>(New) Testing</t>
  </si>
  <si>
    <t>Facility</t>
  </si>
  <si>
    <t>Location</t>
  </si>
  <si>
    <t>Total Facility Incremental Annualized (New) Costs</t>
  </si>
  <si>
    <t>Industrial Insulation Group (IIG)</t>
  </si>
  <si>
    <t>Phenix City, AL</t>
  </si>
  <si>
    <t>Thermafiber</t>
  </si>
  <si>
    <t>Wabash IN</t>
  </si>
  <si>
    <t>USG</t>
  </si>
  <si>
    <t>Interiors</t>
  </si>
  <si>
    <t>Red Wing, MN</t>
  </si>
  <si>
    <t>Walworth, WI</t>
  </si>
  <si>
    <t>Amerrock Products</t>
  </si>
  <si>
    <t>Nolanville, TX</t>
  </si>
  <si>
    <t>Isolatek Int’l</t>
  </si>
  <si>
    <t>Huntington, IN</t>
  </si>
  <si>
    <t>Rock Wool Mfg</t>
  </si>
  <si>
    <t>Leeds, AL</t>
  </si>
  <si>
    <t>Roxul USA</t>
  </si>
  <si>
    <t>Byhalia, MS</t>
  </si>
  <si>
    <t>SubTotal</t>
  </si>
  <si>
    <t>a – 8 of the 13 cupolas currently have (or will have) incineration/afterburner controls. None of the facilities are expected to have any additional equipment or material cost impacts to meet the proposed emission limits.</t>
  </si>
  <si>
    <t>b – Cupola testing costs reflect incremental (new) costs for COS, HF, and HCl testing; current test requirements for PM not included.</t>
  </si>
  <si>
    <t>c – Collection/curing costs reflect incremental costs for phenol and methanol testing; current test requirements for formaldehyde not included.</t>
  </si>
  <si>
    <t>1. Original Costs from EPA-HQ-OAR-2010-1041-0171</t>
  </si>
  <si>
    <t>2. Updates for ICR Renewal 1799.11</t>
  </si>
  <si>
    <t>Rockwool (formerly Roxul)</t>
  </si>
  <si>
    <t>Kearneysville, WV</t>
  </si>
  <si>
    <t>Thermafiber (Owens Corning)</t>
  </si>
  <si>
    <t>Joplin, MO</t>
  </si>
  <si>
    <t>Johns Manville (IIG)</t>
  </si>
  <si>
    <t>USG Interiors</t>
  </si>
  <si>
    <t>American Rockwool</t>
  </si>
  <si>
    <t>Isolatek</t>
  </si>
  <si>
    <r>
      <t>Cupolas</t>
    </r>
    <r>
      <rPr>
        <b/>
        <vertAlign val="superscript"/>
        <sz val="10"/>
        <color rgb="FF000000"/>
        <rFont val="Times New Roman"/>
        <family val="1"/>
      </rPr>
      <t>a</t>
    </r>
    <r>
      <rPr>
        <b/>
        <sz val="10"/>
        <color rgb="FF000000"/>
        <rFont val="Times New Roman"/>
        <family val="1"/>
      </rPr>
      <t xml:space="preserve"> </t>
    </r>
  </si>
  <si>
    <r>
      <t>Testing Cost</t>
    </r>
    <r>
      <rPr>
        <b/>
        <vertAlign val="superscript"/>
        <sz val="10"/>
        <color rgb="FF000000"/>
        <rFont val="Times New Roman"/>
        <family val="1"/>
      </rPr>
      <t>b</t>
    </r>
    <r>
      <rPr>
        <b/>
        <sz val="10"/>
        <color rgb="FF000000"/>
        <rFont val="Times New Roman"/>
        <family val="1"/>
      </rPr>
      <t xml:space="preserve"> </t>
    </r>
  </si>
  <si>
    <r>
      <t>Cost</t>
    </r>
    <r>
      <rPr>
        <b/>
        <vertAlign val="superscript"/>
        <sz val="10"/>
        <color rgb="FF000000"/>
        <rFont val="Times New Roman"/>
        <family val="1"/>
      </rPr>
      <t>c</t>
    </r>
    <r>
      <rPr>
        <b/>
        <sz val="10"/>
        <color rgb="FF000000"/>
        <rFont val="Times New Roman"/>
        <family val="1"/>
      </rPr>
      <t xml:space="preserve"> </t>
    </r>
  </si>
  <si>
    <r>
      <t xml:space="preserve">Facility </t>
    </r>
    <r>
      <rPr>
        <b/>
        <vertAlign val="superscript"/>
        <sz val="10"/>
        <color rgb="FF000000"/>
        <rFont val="Times New Roman"/>
        <family val="1"/>
      </rPr>
      <t>a</t>
    </r>
  </si>
  <si>
    <r>
      <rPr>
        <vertAlign val="superscript"/>
        <sz val="10"/>
        <color rgb="FF000000"/>
        <rFont val="Times New Roman"/>
        <family val="1"/>
      </rPr>
      <t>a</t>
    </r>
    <r>
      <rPr>
        <sz val="10"/>
        <color rgb="FF000000"/>
        <rFont val="Times New Roman"/>
        <family val="1"/>
      </rPr>
      <t xml:space="preserve"> The revised facility list was provided by the North American Insulation Manufacturers Association (NAIMA). The American Rockwool facility in TX is not operating but is expected to come back online within the next year; therefore, it is included in the average number of respondents per year (9 respondents) for the three-year period covered by this ICR. We have assumed that repairs made at the facility do not meet the definition of a reconstructed source.</t>
    </r>
  </si>
  <si>
    <r>
      <t xml:space="preserve"># Cupolas </t>
    </r>
    <r>
      <rPr>
        <b/>
        <vertAlign val="superscript"/>
        <sz val="10"/>
        <color rgb="FF000000"/>
        <rFont val="Times New Roman"/>
        <family val="1"/>
      </rPr>
      <t>b</t>
    </r>
  </si>
  <si>
    <r>
      <rPr>
        <vertAlign val="superscript"/>
        <sz val="10"/>
        <color rgb="FF000000"/>
        <rFont val="Times New Roman"/>
        <family val="1"/>
      </rPr>
      <t xml:space="preserve">b </t>
    </r>
    <r>
      <rPr>
        <sz val="10"/>
        <color rgb="FF000000"/>
        <rFont val="Times New Roman"/>
        <family val="1"/>
      </rPr>
      <t>We have assumed that the number of cupolas and bonded lines have not changed for existing facilities. We have assumed that the two facilities added to the list since the 2015 RTR each have 1 cupola and 1 bonded line.</t>
    </r>
  </si>
  <si>
    <r>
      <t xml:space="preserve"># Bonded Lines </t>
    </r>
    <r>
      <rPr>
        <b/>
        <vertAlign val="superscript"/>
        <sz val="10"/>
        <color rgb="FF000000"/>
        <rFont val="Times New Roman"/>
        <family val="1"/>
      </rPr>
      <t>b</t>
    </r>
  </si>
  <si>
    <r>
      <t xml:space="preserve">Annualized COS Testing Cost </t>
    </r>
    <r>
      <rPr>
        <b/>
        <vertAlign val="superscript"/>
        <sz val="10"/>
        <color rgb="FF000000"/>
        <rFont val="Times New Roman"/>
        <family val="1"/>
      </rPr>
      <t>c</t>
    </r>
  </si>
  <si>
    <t>Total Facility Annualized Costs</t>
  </si>
  <si>
    <r>
      <t xml:space="preserve">Annualized HCl/HF Testing Cost </t>
    </r>
    <r>
      <rPr>
        <b/>
        <vertAlign val="superscript"/>
        <sz val="10"/>
        <color rgb="FF000000"/>
        <rFont val="Times New Roman"/>
        <family val="1"/>
      </rPr>
      <t>c</t>
    </r>
  </si>
  <si>
    <r>
      <t xml:space="preserve">Annualized Methanol/Phenol/Formaldehyde Testing Cost </t>
    </r>
    <r>
      <rPr>
        <b/>
        <vertAlign val="superscript"/>
        <sz val="10"/>
        <color rgb="FF000000"/>
        <rFont val="Times New Roman"/>
        <family val="1"/>
      </rPr>
      <t>c</t>
    </r>
  </si>
  <si>
    <r>
      <rPr>
        <vertAlign val="superscript"/>
        <sz val="10"/>
        <color theme="1"/>
        <rFont val="Times New Roman"/>
        <family val="1"/>
      </rPr>
      <t xml:space="preserve">c </t>
    </r>
    <r>
      <rPr>
        <sz val="10"/>
        <color theme="1"/>
        <rFont val="Times New Roman"/>
        <family val="1"/>
      </rPr>
      <t>Costs per test are based on the estimates from EPA-HQ-OAR-2010-1041-0171 adjusted from 2011 to 2020 $ using the CEPCI Index. We have assumed that the previously estimated cost to test for phenol/methanol after adjustment to the 2020 $ year is representative of the cost to test for phenol/methanol/formaldehyde. Based on EPA's experience with the NESHAP program and recent cost estimates for similar source categories, we assume that these estimates are reasonable for testing for all three of these pollutants.</t>
    </r>
  </si>
  <si>
    <t>Annual Average for One Respondent</t>
  </si>
  <si>
    <r>
      <rPr>
        <vertAlign val="superscript"/>
        <sz val="10"/>
        <color theme="1"/>
        <rFont val="Times New Roman"/>
        <family val="1"/>
      </rPr>
      <t>b</t>
    </r>
    <r>
      <rPr>
        <sz val="10"/>
        <color theme="1"/>
        <rFont val="Times New Roman"/>
        <family val="1"/>
      </rPr>
      <t xml:space="preserve"> We have assumed there are an average of 1.56 cupolas and 0.67 bonded lines per respondent.</t>
    </r>
  </si>
  <si>
    <t>Table 1: Annual Respondent Burden and Cost – NESHAP for Mineral Wool Production (40 CFR Part 63, Subpart DDD) (Renewal)</t>
  </si>
  <si>
    <t>Table 2: Average Annual EPA Burden and Cost – NESHAP for Mineral Wool Production (40 CFR Part 63, Subpart DDD) (Renewal)</t>
  </si>
  <si>
    <r>
      <t>a</t>
    </r>
    <r>
      <rPr>
        <sz val="10"/>
        <rFont val="Times New Roman"/>
        <family val="1"/>
      </rPr>
      <t xml:space="preserve">   We have assumed that the average number of respondents potentially subject to this rule is 9.  There will be no additional new sources over the three-year period of this ICR.</t>
    </r>
  </si>
  <si>
    <r>
      <t xml:space="preserve">d </t>
    </r>
    <r>
      <rPr>
        <sz val="10"/>
        <rFont val="Times New Roman"/>
        <family val="1"/>
      </rPr>
      <t xml:space="preserve"> We have assumed that it will take 490 hours for each new respondent to complete an initial performance test based on the following: (1.56 cupolas plus 0.67  bonded lines = 2.23 sources per plant; 2.23 sources per plant x 130 hours per source +200 hours for calibration, retesting, sample analysis, etc) for a total of 490 hours.</t>
    </r>
  </si>
  <si>
    <r>
      <t>f</t>
    </r>
    <r>
      <rPr>
        <sz val="10"/>
        <rFont val="Times New Roman"/>
        <family val="1"/>
      </rPr>
      <t xml:space="preserve">   We have assumed that 80% of respondents will submit the report of no excess emissions and it will take take 2 hours to review.</t>
    </r>
  </si>
  <si>
    <r>
      <t>COS Testing</t>
    </r>
    <r>
      <rPr>
        <vertAlign val="superscript"/>
        <sz val="10"/>
        <rFont val="Times New Roman"/>
        <family val="1"/>
      </rPr>
      <t xml:space="preserve"> b, c</t>
    </r>
  </si>
  <si>
    <r>
      <t xml:space="preserve">HCl/HF Testing </t>
    </r>
    <r>
      <rPr>
        <vertAlign val="superscript"/>
        <sz val="10"/>
        <rFont val="Times New Roman"/>
        <family val="1"/>
      </rPr>
      <t>b, c</t>
    </r>
  </si>
  <si>
    <r>
      <t xml:space="preserve">Phenol, methanol, formaldehyde testing </t>
    </r>
    <r>
      <rPr>
        <vertAlign val="superscript"/>
        <sz val="10"/>
        <rFont val="Times New Roman"/>
        <family val="1"/>
      </rPr>
      <t>b, c</t>
    </r>
  </si>
  <si>
    <r>
      <t xml:space="preserve">Total </t>
    </r>
    <r>
      <rPr>
        <vertAlign val="superscript"/>
        <sz val="10"/>
        <color theme="1"/>
        <rFont val="Times New Roman"/>
        <family val="1"/>
      </rPr>
      <t>d</t>
    </r>
  </si>
  <si>
    <r>
      <t xml:space="preserve">Baghouse Leak Detection </t>
    </r>
    <r>
      <rPr>
        <vertAlign val="superscript"/>
        <sz val="10"/>
        <color theme="1"/>
        <rFont val="Times New Roman"/>
        <family val="1"/>
      </rPr>
      <t>a, b</t>
    </r>
  </si>
  <si>
    <r>
      <rPr>
        <vertAlign val="superscript"/>
        <sz val="10"/>
        <rFont val="Times New Roman"/>
        <family val="1"/>
      </rPr>
      <t xml:space="preserve">c </t>
    </r>
    <r>
      <rPr>
        <sz val="10"/>
        <rFont val="Times New Roman"/>
        <family val="1"/>
      </rPr>
      <t>Test costs are based on the estimates from EPA-HQ-OAR-2010-1041-0171 adjusted from 2011 to 2020 $ using the CEPCI Index. We have assumed that the previously estimated cost to test for phenol/methanol after adjustment to the 2020 $ year is representative of the cost to test for phenol/methanol/formaldehyde. Based on EPA's experience with the NESHAP program and recent cost estimates for similar source categories, we assume that these estimates are reasonable for testing for all three of these pollutants.</t>
    </r>
  </si>
  <si>
    <r>
      <t>d</t>
    </r>
    <r>
      <rPr>
        <sz val="10"/>
        <rFont val="Times New Roman"/>
        <family val="1"/>
      </rPr>
      <t xml:space="preserve"> Totals have been rounded to 3 significant figures. Figures may not add exactly due to rounding.</t>
    </r>
  </si>
  <si>
    <r>
      <rPr>
        <vertAlign val="superscript"/>
        <sz val="10"/>
        <rFont val="Times New Roman"/>
        <family val="1"/>
      </rPr>
      <t xml:space="preserve">a </t>
    </r>
    <r>
      <rPr>
        <sz val="10"/>
        <rFont val="Times New Roman"/>
        <family val="1"/>
      </rPr>
      <t>Capital/Startup and O&amp;M costs for baghouse leak detection are estimated as follows: $14,900 capital/startup cost per cupola x 1.56 cupolas per facility; and $500 O&amp;M per cupola x 1.56 cupolas per facility. These costs were adjusted from 2006 $ to 2020 $ using the CEPCI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</si>
</sst>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25" x14ac:knownFonts="1">
    <font>
      <sz val="11"/>
      <color theme="1"/>
      <name val="Calibri"/>
      <family val="2"/>
      <scheme val="minor"/>
    </font>
    <font>
      <sz val="11"/>
      <color rgb="FFFF0000"/>
      <name val="Calibri"/>
      <family val="2"/>
      <scheme val="minor"/>
    </font>
    <font>
      <sz val="10"/>
      <color theme="1"/>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sz val="8"/>
      <color rgb="FF000000"/>
      <name val="Times New Roman"/>
      <family val="1"/>
    </font>
    <font>
      <sz val="8"/>
      <color theme="1"/>
      <name val="Calibri"/>
      <family val="2"/>
      <scheme val="minor"/>
    </font>
    <font>
      <b/>
      <sz val="10"/>
      <color rgb="FF000000"/>
      <name val="Times New Roman"/>
      <family val="1"/>
    </font>
    <font>
      <b/>
      <sz val="11"/>
      <color theme="1"/>
      <name val="Calibri"/>
      <family val="2"/>
      <scheme val="minor"/>
    </font>
    <font>
      <b/>
      <vertAlign val="superscript"/>
      <sz val="10"/>
      <color rgb="FF000000"/>
      <name val="Times New Roman"/>
      <family val="1"/>
    </font>
    <font>
      <b/>
      <i/>
      <sz val="10"/>
      <color rgb="FF000000"/>
      <name val="Times New Roman"/>
      <family val="1"/>
    </font>
    <font>
      <i/>
      <sz val="10"/>
      <color theme="1"/>
      <name val="Times New Roman"/>
      <family val="1"/>
    </font>
    <font>
      <vertAlign val="superscript"/>
      <sz val="10"/>
      <name val="Times New Roman"/>
      <family val="1"/>
    </font>
    <font>
      <sz val="10"/>
      <name val="Times New Roman"/>
      <family val="1"/>
    </font>
    <font>
      <b/>
      <i/>
      <sz val="10"/>
      <name val="Times New Roman"/>
      <family val="1"/>
    </font>
    <font>
      <b/>
      <sz val="10"/>
      <name val="Times New Roman"/>
      <family val="1"/>
    </font>
    <font>
      <b/>
      <vertAlign val="superscript"/>
      <sz val="10"/>
      <name val="Times New Roman"/>
      <family val="1"/>
    </font>
    <font>
      <vertAlign val="superscript"/>
      <sz val="9"/>
      <color rgb="FF000000"/>
      <name val="Times New Roman"/>
      <family val="1"/>
    </font>
    <font>
      <vertAlign val="superscript"/>
      <sz val="10"/>
      <color theme="1"/>
      <name val="Times New Roman"/>
      <family val="1"/>
    </font>
    <font>
      <sz val="11"/>
      <color theme="1"/>
      <name val="Times New Roman"/>
      <family val="1"/>
    </font>
    <font>
      <b/>
      <sz val="10"/>
      <color theme="1"/>
      <name val="Times New Roman"/>
      <family val="1"/>
    </font>
    <font>
      <b/>
      <sz val="11"/>
      <color rgb="FFFF0000"/>
      <name val="Calibri"/>
      <family val="2"/>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xf numFmtId="0" fontId="5"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0" fillId="0" borderId="3" xfId="0" applyBorder="1" applyAlignment="1">
      <alignment vertical="top" wrapText="1"/>
    </xf>
    <xf numFmtId="0" fontId="4" fillId="0" borderId="3" xfId="0" applyFont="1" applyBorder="1" applyAlignment="1">
      <alignment horizontal="center" vertical="center" wrapText="1"/>
    </xf>
    <xf numFmtId="0" fontId="5" fillId="0" borderId="2" xfId="0" applyFont="1" applyBorder="1" applyAlignment="1">
      <alignment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horizontal="center" vertical="center" wrapText="1"/>
    </xf>
    <xf numFmtId="0" fontId="9" fillId="0" borderId="3" xfId="0" applyFont="1"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8" fontId="4" fillId="0" borderId="1" xfId="0" applyNumberFormat="1" applyFont="1" applyBorder="1" applyAlignment="1">
      <alignment horizontal="right" vertical="center"/>
    </xf>
    <xf numFmtId="0" fontId="10" fillId="0" borderId="1" xfId="0" applyFont="1" applyBorder="1" applyAlignment="1">
      <alignment vertical="center"/>
    </xf>
    <xf numFmtId="6" fontId="10" fillId="0" borderId="1" xfId="0" applyNumberFormat="1" applyFont="1" applyBorder="1" applyAlignment="1">
      <alignment horizontal="right" vertical="center"/>
    </xf>
    <xf numFmtId="0" fontId="2" fillId="0" borderId="1" xfId="0" applyFont="1" applyBorder="1" applyAlignment="1"/>
    <xf numFmtId="0" fontId="2" fillId="0" borderId="1" xfId="0" applyFont="1" applyBorder="1" applyAlignment="1">
      <alignment horizontal="center"/>
    </xf>
    <xf numFmtId="0" fontId="0" fillId="0" borderId="0" xfId="0" applyAlignment="1">
      <alignment wrapText="1"/>
    </xf>
    <xf numFmtId="0" fontId="14" fillId="0" borderId="1" xfId="0" applyFont="1" applyBorder="1" applyAlignment="1"/>
    <xf numFmtId="8" fontId="13" fillId="0" borderId="1" xfId="0" applyNumberFormat="1" applyFont="1" applyBorder="1" applyAlignment="1">
      <alignment horizontal="right" vertical="center"/>
    </xf>
    <xf numFmtId="0" fontId="0" fillId="0" borderId="1" xfId="0" applyBorder="1"/>
    <xf numFmtId="0" fontId="2" fillId="0" borderId="0" xfId="0" applyFont="1"/>
    <xf numFmtId="0" fontId="4" fillId="0" borderId="0" xfId="0" applyFont="1" applyAlignment="1">
      <alignment vertical="center" wrapText="1"/>
    </xf>
    <xf numFmtId="0" fontId="11" fillId="0" borderId="0" xfId="0" applyFont="1" applyAlignment="1">
      <alignment horizontal="center" vertical="center"/>
    </xf>
    <xf numFmtId="0" fontId="10" fillId="0" borderId="1" xfId="0" applyFont="1" applyBorder="1" applyAlignment="1">
      <alignment horizontal="center" vertical="center" wrapText="1"/>
    </xf>
    <xf numFmtId="6" fontId="4" fillId="0" borderId="1" xfId="0" applyNumberFormat="1" applyFont="1" applyBorder="1" applyAlignment="1">
      <alignment horizontal="right" vertical="center"/>
    </xf>
    <xf numFmtId="0" fontId="2" fillId="0" borderId="1" xfId="0" applyFont="1" applyBorder="1"/>
    <xf numFmtId="1" fontId="0" fillId="0" borderId="0" xfId="0" applyNumberFormat="1"/>
    <xf numFmtId="0" fontId="10" fillId="0" borderId="0" xfId="0" applyFont="1" applyAlignment="1">
      <alignment vertical="center" wrapText="1"/>
    </xf>
    <xf numFmtId="0" fontId="4" fillId="0" borderId="1" xfId="0" applyFont="1" applyBorder="1" applyAlignment="1">
      <alignment horizontal="right" vertical="center"/>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 fillId="0" borderId="0" xfId="0" applyFont="1" applyFill="1"/>
    <xf numFmtId="8" fontId="0" fillId="0" borderId="0" xfId="0" applyNumberFormat="1"/>
    <xf numFmtId="3" fontId="0" fillId="0" borderId="0" xfId="0" applyNumberFormat="1"/>
    <xf numFmtId="6" fontId="0" fillId="0" borderId="0" xfId="0" applyNumberFormat="1"/>
    <xf numFmtId="0" fontId="22" fillId="0" borderId="0" xfId="0" applyFont="1" applyAlignment="1">
      <alignment vertical="center"/>
    </xf>
    <xf numFmtId="0" fontId="23" fillId="0" borderId="0" xfId="0" applyFont="1"/>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2" fillId="0" borderId="4" xfId="0" applyFont="1" applyBorder="1" applyAlignment="1"/>
    <xf numFmtId="0" fontId="2" fillId="0" borderId="4" xfId="0" applyFont="1" applyBorder="1" applyAlignment="1">
      <alignment vertical="center"/>
    </xf>
    <xf numFmtId="0" fontId="10" fillId="0" borderId="4" xfId="0" applyFont="1" applyBorder="1" applyAlignment="1">
      <alignment vertical="center" wrapText="1"/>
    </xf>
    <xf numFmtId="0" fontId="4" fillId="0" borderId="9"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6" fontId="4" fillId="0" borderId="4" xfId="0" applyNumberFormat="1" applyFont="1" applyBorder="1" applyAlignment="1">
      <alignment horizontal="left" vertical="center"/>
    </xf>
    <xf numFmtId="0" fontId="4" fillId="0" borderId="10" xfId="0" applyFont="1" applyBorder="1" applyAlignment="1">
      <alignment vertical="center"/>
    </xf>
    <xf numFmtId="6" fontId="4" fillId="0" borderId="4" xfId="0" applyNumberFormat="1" applyFont="1" applyBorder="1" applyAlignment="1">
      <alignment horizontal="center" vertical="center"/>
    </xf>
    <xf numFmtId="6" fontId="10" fillId="0" borderId="4" xfId="0" applyNumberFormat="1" applyFont="1" applyBorder="1" applyAlignment="1">
      <alignment horizontal="right" vertical="center"/>
    </xf>
    <xf numFmtId="0" fontId="4" fillId="0" borderId="0" xfId="0" applyFont="1" applyAlignment="1">
      <alignment vertical="center"/>
    </xf>
    <xf numFmtId="0" fontId="10" fillId="0" borderId="0" xfId="0" applyFont="1" applyAlignment="1">
      <alignment vertical="center"/>
    </xf>
    <xf numFmtId="0" fontId="10" fillId="0" borderId="17"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4" fillId="0" borderId="17" xfId="0" applyFont="1" applyBorder="1" applyAlignment="1">
      <alignment vertical="center"/>
    </xf>
    <xf numFmtId="0" fontId="4" fillId="0" borderId="17" xfId="0" applyFont="1" applyBorder="1" applyAlignment="1">
      <alignment horizontal="center" vertical="center"/>
    </xf>
    <xf numFmtId="3" fontId="4" fillId="0" borderId="17" xfId="0" applyNumberFormat="1" applyFont="1" applyBorder="1" applyAlignment="1">
      <alignment horizontal="center" vertical="center"/>
    </xf>
    <xf numFmtId="0" fontId="4" fillId="0" borderId="0" xfId="0" applyFont="1" applyFill="1" applyBorder="1" applyAlignment="1">
      <alignment horizontal="left" vertical="center" wrapText="1"/>
    </xf>
    <xf numFmtId="164" fontId="4" fillId="0" borderId="4" xfId="0" applyNumberFormat="1" applyFont="1" applyBorder="1" applyAlignment="1">
      <alignment horizontal="center" vertical="center"/>
    </xf>
    <xf numFmtId="164" fontId="4" fillId="0" borderId="17" xfId="0" applyNumberFormat="1" applyFont="1" applyBorder="1" applyAlignment="1">
      <alignment horizontal="center" vertical="center"/>
    </xf>
    <xf numFmtId="0" fontId="4" fillId="0" borderId="13" xfId="0" applyFont="1" applyBorder="1" applyAlignment="1">
      <alignment vertical="center"/>
    </xf>
    <xf numFmtId="0" fontId="23" fillId="0" borderId="14" xfId="0" applyFont="1" applyBorder="1" applyAlignment="1">
      <alignment horizontal="center"/>
    </xf>
    <xf numFmtId="164" fontId="23" fillId="0" borderId="14" xfId="0" applyNumberFormat="1" applyFont="1" applyBorder="1" applyAlignment="1">
      <alignment horizontal="center"/>
    </xf>
    <xf numFmtId="0" fontId="23" fillId="0" borderId="18" xfId="0" applyFont="1" applyBorder="1" applyAlignment="1">
      <alignment horizontal="center" wrapText="1"/>
    </xf>
    <xf numFmtId="2" fontId="23" fillId="0" borderId="18" xfId="0" applyNumberFormat="1" applyFont="1" applyBorder="1" applyAlignment="1">
      <alignment horizontal="center"/>
    </xf>
    <xf numFmtId="4" fontId="23" fillId="0" borderId="18" xfId="0" applyNumberFormat="1" applyFont="1" applyBorder="1" applyAlignment="1">
      <alignment horizontal="center"/>
    </xf>
    <xf numFmtId="164" fontId="23" fillId="0" borderId="18" xfId="0" applyNumberFormat="1" applyFont="1" applyBorder="1" applyAlignment="1">
      <alignment horizontal="center"/>
    </xf>
    <xf numFmtId="164" fontId="23" fillId="0" borderId="19" xfId="0" applyNumberFormat="1" applyFont="1" applyBorder="1" applyAlignment="1">
      <alignment horizontal="center"/>
    </xf>
    <xf numFmtId="0" fontId="3" fillId="0" borderId="0" xfId="0" applyFont="1" applyAlignment="1">
      <alignment vertical="center"/>
    </xf>
    <xf numFmtId="0" fontId="4" fillId="0" borderId="1" xfId="0" applyFont="1" applyFill="1" applyBorder="1" applyAlignment="1">
      <alignment horizontal="center" vertical="center"/>
    </xf>
    <xf numFmtId="0" fontId="24" fillId="0" borderId="0" xfId="0" applyFont="1"/>
    <xf numFmtId="0" fontId="5" fillId="0" borderId="1" xfId="0" applyFont="1" applyFill="1" applyBorder="1" applyAlignment="1">
      <alignment horizontal="center" vertical="center" wrapText="1"/>
    </xf>
    <xf numFmtId="0" fontId="0" fillId="0" borderId="0" xfId="0" applyAlignment="1">
      <alignment horizontal="center"/>
    </xf>
    <xf numFmtId="0" fontId="15" fillId="0" borderId="0" xfId="0" applyFont="1" applyAlignment="1">
      <alignment vertical="center" wrapText="1"/>
    </xf>
    <xf numFmtId="0" fontId="15" fillId="0" borderId="0" xfId="0" applyFont="1" applyFill="1" applyAlignment="1">
      <alignment vertical="center" wrapText="1"/>
    </xf>
    <xf numFmtId="1"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6" fillId="0" borderId="0" xfId="0" applyFont="1" applyAlignment="1">
      <alignment vertical="center" wrapText="1"/>
    </xf>
    <xf numFmtId="0" fontId="15" fillId="0" borderId="0" xfId="0" applyFont="1" applyAlignment="1">
      <alignment horizontal="left" vertical="center"/>
    </xf>
    <xf numFmtId="0" fontId="15" fillId="0" borderId="0" xfId="0" applyFont="1" applyFill="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xf>
    <xf numFmtId="1" fontId="10" fillId="0" borderId="1" xfId="0" applyNumberFormat="1" applyFont="1" applyBorder="1" applyAlignment="1">
      <alignment horizontal="center" vertical="center"/>
    </xf>
    <xf numFmtId="0" fontId="6" fillId="0" borderId="0" xfId="0" applyFont="1" applyAlignment="1">
      <alignment horizontal="left" vertical="center" wrapText="1"/>
    </xf>
    <xf numFmtId="0" fontId="3" fillId="0" borderId="1" xfId="0" applyFont="1" applyBorder="1" applyAlignment="1">
      <alignment horizontal="center" vertical="center" wrapText="1"/>
    </xf>
    <xf numFmtId="0" fontId="16" fillId="0" borderId="0" xfId="0" applyFont="1" applyFill="1" applyBorder="1" applyAlignment="1">
      <alignment horizontal="left" vertical="center" wrapText="1"/>
    </xf>
    <xf numFmtId="0" fontId="2" fillId="0" borderId="0" xfId="0" applyFont="1" applyAlignment="1">
      <alignment horizontal="left"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4"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22" fillId="0" borderId="0" xfId="0" applyFont="1" applyAlignment="1">
      <alignment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6" fontId="4" fillId="0" borderId="14" xfId="0" applyNumberFormat="1" applyFont="1" applyBorder="1" applyAlignment="1">
      <alignment horizontal="left" vertical="center"/>
    </xf>
    <xf numFmtId="6" fontId="4" fillId="0" borderId="9" xfId="0" applyNumberFormat="1" applyFont="1" applyBorder="1" applyAlignment="1">
      <alignment horizontal="left" vertical="center"/>
    </xf>
    <xf numFmtId="0" fontId="22" fillId="0" borderId="12" xfId="0" applyFont="1" applyBorder="1" applyAlignment="1">
      <alignment vertical="center"/>
    </xf>
    <xf numFmtId="0" fontId="4" fillId="0" borderId="14" xfId="0" applyFont="1" applyBorder="1" applyAlignment="1">
      <alignment vertical="center"/>
    </xf>
    <xf numFmtId="0" fontId="4" fillId="0" borderId="9" xfId="0" applyFont="1" applyBorder="1" applyAlignment="1">
      <alignment vertical="center"/>
    </xf>
    <xf numFmtId="3" fontId="4" fillId="0" borderId="14" xfId="0" applyNumberFormat="1" applyFont="1" applyBorder="1" applyAlignment="1">
      <alignment horizontal="center" vertical="center"/>
    </xf>
    <xf numFmtId="3" fontId="4" fillId="0" borderId="9" xfId="0" applyNumberFormat="1" applyFont="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2" fillId="0" borderId="0" xfId="0" applyFont="1" applyFill="1" applyBorder="1" applyAlignment="1">
      <alignment horizontal="left" vertical="center" wrapText="1"/>
    </xf>
    <xf numFmtId="0" fontId="4" fillId="0" borderId="15" xfId="0" applyFont="1" applyBorder="1" applyAlignment="1">
      <alignment horizontal="right" vertical="center"/>
    </xf>
    <xf numFmtId="0" fontId="4" fillId="0" borderId="16"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91A46-699F-4CCF-9CBA-2545C957BC4E}">
  <dimension ref="A1:B8"/>
  <sheetViews>
    <sheetView tabSelected="1" workbookViewId="0">
      <selection activeCell="G11" sqref="G11"/>
    </sheetView>
  </sheetViews>
  <sheetFormatPr defaultRowHeight="14.5" x14ac:dyDescent="0.35"/>
  <cols>
    <col min="1" max="1" width="27.7265625" bestFit="1" customWidth="1"/>
    <col min="2" max="2" width="14.26953125" bestFit="1" customWidth="1"/>
  </cols>
  <sheetData>
    <row r="1" spans="1:2" x14ac:dyDescent="0.35">
      <c r="A1" s="86" t="s">
        <v>138</v>
      </c>
      <c r="B1" s="86"/>
    </row>
    <row r="2" spans="1:2" x14ac:dyDescent="0.35">
      <c r="A2" t="s">
        <v>133</v>
      </c>
      <c r="B2" s="36">
        <f>'Table 1'!K38</f>
        <v>117.30769230769231</v>
      </c>
    </row>
    <row r="3" spans="1:2" x14ac:dyDescent="0.35">
      <c r="A3" t="s">
        <v>17</v>
      </c>
      <c r="B3">
        <f>Respondents!F10</f>
        <v>9</v>
      </c>
    </row>
    <row r="4" spans="1:2" x14ac:dyDescent="0.35">
      <c r="A4" t="s">
        <v>134</v>
      </c>
      <c r="B4" s="45">
        <f>'Table 1'!F38</f>
        <v>2440</v>
      </c>
    </row>
    <row r="5" spans="1:2" x14ac:dyDescent="0.35">
      <c r="A5" t="s">
        <v>135</v>
      </c>
      <c r="B5" s="46">
        <f>'Table 1'!I40</f>
        <v>368000</v>
      </c>
    </row>
    <row r="6" spans="1:2" x14ac:dyDescent="0.35">
      <c r="A6" t="s">
        <v>136</v>
      </c>
      <c r="B6" s="46">
        <f>'Capital O&amp;M'!G10</f>
        <v>75400</v>
      </c>
    </row>
    <row r="7" spans="1:2" x14ac:dyDescent="0.35">
      <c r="A7" t="s">
        <v>25</v>
      </c>
      <c r="B7">
        <f>Responses!E16</f>
        <v>20.8</v>
      </c>
    </row>
    <row r="8" spans="1:2" x14ac:dyDescent="0.35">
      <c r="A8" t="s">
        <v>137</v>
      </c>
      <c r="B8" t="s">
        <v>139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5"/>
  <sheetViews>
    <sheetView workbookViewId="0">
      <selection activeCell="A53" sqref="A53:I53"/>
    </sheetView>
  </sheetViews>
  <sheetFormatPr defaultRowHeight="14.5" x14ac:dyDescent="0.35"/>
  <cols>
    <col min="1" max="1" width="44.26953125" style="26" customWidth="1"/>
    <col min="3" max="3" width="10.81640625" customWidth="1"/>
    <col min="9" max="9" width="12.26953125" customWidth="1"/>
    <col min="10" max="10" width="11.81640625" bestFit="1" customWidth="1"/>
  </cols>
  <sheetData>
    <row r="1" spans="1:11" ht="15" x14ac:dyDescent="0.35">
      <c r="A1" s="82" t="s">
        <v>202</v>
      </c>
    </row>
    <row r="2" spans="1:11" x14ac:dyDescent="0.35">
      <c r="F2">
        <v>123.94</v>
      </c>
      <c r="G2">
        <v>157.61000000000001</v>
      </c>
      <c r="H2">
        <v>62.52</v>
      </c>
    </row>
    <row r="3" spans="1:11" ht="78" x14ac:dyDescent="0.35">
      <c r="A3" s="33" t="s">
        <v>41</v>
      </c>
      <c r="B3" s="33" t="s">
        <v>61</v>
      </c>
      <c r="C3" s="33" t="s">
        <v>62</v>
      </c>
      <c r="D3" s="33" t="s">
        <v>63</v>
      </c>
      <c r="E3" s="33" t="s">
        <v>90</v>
      </c>
      <c r="F3" s="33" t="s">
        <v>64</v>
      </c>
      <c r="G3" s="33" t="s">
        <v>65</v>
      </c>
      <c r="H3" s="33" t="s">
        <v>66</v>
      </c>
      <c r="I3" s="33" t="s">
        <v>91</v>
      </c>
    </row>
    <row r="4" spans="1:11" x14ac:dyDescent="0.35">
      <c r="A4" s="18" t="s">
        <v>42</v>
      </c>
      <c r="B4" s="19" t="s">
        <v>43</v>
      </c>
      <c r="C4" s="20"/>
      <c r="D4" s="20"/>
      <c r="E4" s="20"/>
      <c r="F4" s="20"/>
      <c r="G4" s="20"/>
      <c r="H4" s="20"/>
      <c r="I4" s="20"/>
    </row>
    <row r="5" spans="1:11" x14ac:dyDescent="0.35">
      <c r="A5" s="18" t="s">
        <v>44</v>
      </c>
      <c r="B5" s="19" t="s">
        <v>43</v>
      </c>
      <c r="C5" s="20"/>
      <c r="D5" s="20"/>
      <c r="E5" s="20"/>
      <c r="F5" s="20"/>
      <c r="G5" s="20"/>
      <c r="H5" s="20"/>
      <c r="I5" s="20"/>
    </row>
    <row r="6" spans="1:11" ht="15.5" x14ac:dyDescent="0.35">
      <c r="A6" s="18" t="s">
        <v>132</v>
      </c>
      <c r="B6" s="20"/>
      <c r="C6" s="20"/>
      <c r="D6" s="20"/>
      <c r="E6" s="20"/>
      <c r="F6" s="20"/>
      <c r="G6" s="20"/>
      <c r="H6" s="20"/>
      <c r="I6" s="20"/>
    </row>
    <row r="7" spans="1:11" x14ac:dyDescent="0.35">
      <c r="A7" s="18" t="s">
        <v>131</v>
      </c>
      <c r="B7" s="19">
        <v>4</v>
      </c>
      <c r="C7" s="19">
        <v>1</v>
      </c>
      <c r="D7" s="19">
        <f>B7*C7</f>
        <v>4</v>
      </c>
      <c r="E7" s="19">
        <f>Respondents!F10</f>
        <v>9</v>
      </c>
      <c r="F7" s="19">
        <f>D7*E7</f>
        <v>36</v>
      </c>
      <c r="G7" s="19">
        <f>F7*0.05</f>
        <v>1.8</v>
      </c>
      <c r="H7" s="19">
        <f>F7*0.1</f>
        <v>3.6</v>
      </c>
      <c r="I7" s="21">
        <f>F7*F$2+G7*G$2+H7*H$2</f>
        <v>4970.6100000000006</v>
      </c>
      <c r="K7" s="1"/>
    </row>
    <row r="8" spans="1:11" x14ac:dyDescent="0.35">
      <c r="A8" s="39" t="s">
        <v>45</v>
      </c>
      <c r="B8" s="25"/>
      <c r="C8" s="25"/>
      <c r="D8" s="25"/>
      <c r="E8" s="25"/>
      <c r="F8" s="25"/>
      <c r="G8" s="25"/>
      <c r="H8" s="25"/>
      <c r="I8" s="38"/>
    </row>
    <row r="9" spans="1:11" ht="15.5" x14ac:dyDescent="0.35">
      <c r="A9" s="39" t="s">
        <v>120</v>
      </c>
      <c r="B9" s="19">
        <v>490</v>
      </c>
      <c r="C9" s="19">
        <v>1</v>
      </c>
      <c r="D9" s="19">
        <f t="shared" ref="D9:D11" si="0">B9*C9</f>
        <v>490</v>
      </c>
      <c r="E9" s="19">
        <v>0</v>
      </c>
      <c r="F9" s="19">
        <f t="shared" ref="F9:F11" si="1">D9*E9</f>
        <v>0</v>
      </c>
      <c r="G9" s="19">
        <f t="shared" ref="G9:G11" si="2">F9*0.05</f>
        <v>0</v>
      </c>
      <c r="H9" s="19">
        <f t="shared" ref="H9:H11" si="3">F9*0.1</f>
        <v>0</v>
      </c>
      <c r="I9" s="34">
        <f t="shared" ref="I9:I10" si="4">F9*F$2+G9*G$2+H9*H$2</f>
        <v>0</v>
      </c>
    </row>
    <row r="10" spans="1:11" ht="15.5" x14ac:dyDescent="0.35">
      <c r="A10" s="39" t="s">
        <v>121</v>
      </c>
      <c r="B10" s="19">
        <v>490</v>
      </c>
      <c r="C10" s="19">
        <v>0.2</v>
      </c>
      <c r="D10" s="19">
        <f t="shared" si="0"/>
        <v>98</v>
      </c>
      <c r="E10" s="19">
        <v>0</v>
      </c>
      <c r="F10" s="19">
        <f t="shared" si="1"/>
        <v>0</v>
      </c>
      <c r="G10" s="19">
        <f t="shared" si="2"/>
        <v>0</v>
      </c>
      <c r="H10" s="19">
        <f t="shared" si="3"/>
        <v>0</v>
      </c>
      <c r="I10" s="34">
        <f t="shared" si="4"/>
        <v>0</v>
      </c>
    </row>
    <row r="11" spans="1:11" ht="15.5" x14ac:dyDescent="0.35">
      <c r="A11" s="39" t="s">
        <v>122</v>
      </c>
      <c r="B11" s="19">
        <v>40</v>
      </c>
      <c r="C11" s="19">
        <v>1</v>
      </c>
      <c r="D11" s="19">
        <f t="shared" si="0"/>
        <v>40</v>
      </c>
      <c r="E11" s="19">
        <v>0</v>
      </c>
      <c r="F11" s="19">
        <f t="shared" si="1"/>
        <v>0</v>
      </c>
      <c r="G11" s="19">
        <f t="shared" si="2"/>
        <v>0</v>
      </c>
      <c r="H11" s="19">
        <f t="shared" si="3"/>
        <v>0</v>
      </c>
      <c r="I11" s="34">
        <f>F11*F$2+G11*G$2+H11*H$2</f>
        <v>0</v>
      </c>
    </row>
    <row r="12" spans="1:11" x14ac:dyDescent="0.35">
      <c r="A12" s="39" t="s">
        <v>46</v>
      </c>
      <c r="B12" s="19" t="s">
        <v>47</v>
      </c>
      <c r="C12" s="25"/>
      <c r="D12" s="25"/>
      <c r="E12" s="25"/>
      <c r="F12" s="25"/>
      <c r="G12" s="25"/>
      <c r="H12" s="25"/>
      <c r="I12" s="38"/>
    </row>
    <row r="13" spans="1:11" x14ac:dyDescent="0.35">
      <c r="A13" s="18" t="s">
        <v>48</v>
      </c>
      <c r="B13" s="19" t="s">
        <v>47</v>
      </c>
      <c r="C13" s="25"/>
      <c r="D13" s="25"/>
      <c r="E13" s="25"/>
      <c r="F13" s="25"/>
      <c r="G13" s="25"/>
      <c r="H13" s="25"/>
      <c r="I13" s="38"/>
      <c r="J13" s="44"/>
    </row>
    <row r="14" spans="1:11" x14ac:dyDescent="0.35">
      <c r="A14" s="18" t="s">
        <v>49</v>
      </c>
      <c r="B14" s="25"/>
      <c r="C14" s="25"/>
      <c r="D14" s="25"/>
      <c r="E14" s="25"/>
      <c r="F14" s="25"/>
      <c r="G14" s="25"/>
      <c r="H14" s="25"/>
      <c r="I14" s="38"/>
    </row>
    <row r="15" spans="1:11" ht="15.5" x14ac:dyDescent="0.35">
      <c r="A15" s="18" t="s">
        <v>97</v>
      </c>
      <c r="B15" s="19">
        <v>2</v>
      </c>
      <c r="C15" s="19">
        <v>1</v>
      </c>
      <c r="D15" s="19">
        <f t="shared" ref="D15:D21" si="5">B15*C15</f>
        <v>2</v>
      </c>
      <c r="E15" s="19">
        <v>0</v>
      </c>
      <c r="F15" s="19">
        <f t="shared" ref="F15:F21" si="6">D15*E15</f>
        <v>0</v>
      </c>
      <c r="G15" s="19">
        <f t="shared" ref="G15:G21" si="7">F15*0.05</f>
        <v>0</v>
      </c>
      <c r="H15" s="19">
        <f t="shared" ref="H15:H21" si="8">F15*0.1</f>
        <v>0</v>
      </c>
      <c r="I15" s="34">
        <f t="shared" ref="I15:I21" si="9">F15*F$2+G15*G$2+H15*H$2</f>
        <v>0</v>
      </c>
    </row>
    <row r="16" spans="1:11" ht="15.5" x14ac:dyDescent="0.35">
      <c r="A16" s="18" t="s">
        <v>98</v>
      </c>
      <c r="B16" s="19">
        <v>2</v>
      </c>
      <c r="C16" s="19">
        <v>1</v>
      </c>
      <c r="D16" s="19">
        <f t="shared" si="5"/>
        <v>2</v>
      </c>
      <c r="E16" s="19">
        <v>0</v>
      </c>
      <c r="F16" s="19">
        <f t="shared" si="6"/>
        <v>0</v>
      </c>
      <c r="G16" s="19">
        <f t="shared" si="7"/>
        <v>0</v>
      </c>
      <c r="H16" s="19">
        <f t="shared" si="8"/>
        <v>0</v>
      </c>
      <c r="I16" s="34">
        <f t="shared" si="9"/>
        <v>0</v>
      </c>
    </row>
    <row r="17" spans="1:9" ht="15.5" x14ac:dyDescent="0.35">
      <c r="A17" s="18" t="s">
        <v>99</v>
      </c>
      <c r="B17" s="19">
        <v>2</v>
      </c>
      <c r="C17" s="19">
        <v>1</v>
      </c>
      <c r="D17" s="19">
        <f t="shared" si="5"/>
        <v>2</v>
      </c>
      <c r="E17" s="19">
        <v>0</v>
      </c>
      <c r="F17" s="19">
        <f t="shared" si="6"/>
        <v>0</v>
      </c>
      <c r="G17" s="19">
        <f t="shared" si="7"/>
        <v>0</v>
      </c>
      <c r="H17" s="19">
        <f t="shared" si="8"/>
        <v>0</v>
      </c>
      <c r="I17" s="34">
        <f t="shared" si="9"/>
        <v>0</v>
      </c>
    </row>
    <row r="18" spans="1:9" ht="15.5" x14ac:dyDescent="0.35">
      <c r="A18" s="18" t="s">
        <v>100</v>
      </c>
      <c r="B18" s="19">
        <v>2</v>
      </c>
      <c r="C18" s="19">
        <v>1</v>
      </c>
      <c r="D18" s="19">
        <f t="shared" si="5"/>
        <v>2</v>
      </c>
      <c r="E18" s="19">
        <v>0</v>
      </c>
      <c r="F18" s="19">
        <f t="shared" si="6"/>
        <v>0</v>
      </c>
      <c r="G18" s="19">
        <f t="shared" si="7"/>
        <v>0</v>
      </c>
      <c r="H18" s="19">
        <f t="shared" si="8"/>
        <v>0</v>
      </c>
      <c r="I18" s="34">
        <f t="shared" si="9"/>
        <v>0</v>
      </c>
    </row>
    <row r="19" spans="1:9" ht="15.5" x14ac:dyDescent="0.35">
      <c r="A19" s="18" t="s">
        <v>101</v>
      </c>
      <c r="B19" s="19">
        <v>2</v>
      </c>
      <c r="C19" s="19">
        <v>1</v>
      </c>
      <c r="D19" s="19">
        <f t="shared" si="5"/>
        <v>2</v>
      </c>
      <c r="E19" s="19">
        <v>0</v>
      </c>
      <c r="F19" s="19">
        <f t="shared" si="6"/>
        <v>0</v>
      </c>
      <c r="G19" s="19">
        <f t="shared" si="7"/>
        <v>0</v>
      </c>
      <c r="H19" s="19">
        <f t="shared" si="8"/>
        <v>0</v>
      </c>
      <c r="I19" s="34">
        <f t="shared" si="9"/>
        <v>0</v>
      </c>
    </row>
    <row r="20" spans="1:9" ht="15.5" x14ac:dyDescent="0.35">
      <c r="A20" s="39" t="s">
        <v>110</v>
      </c>
      <c r="B20" s="19">
        <v>2</v>
      </c>
      <c r="C20" s="19">
        <v>1</v>
      </c>
      <c r="D20" s="19">
        <f t="shared" si="5"/>
        <v>2</v>
      </c>
      <c r="E20" s="19">
        <v>0</v>
      </c>
      <c r="F20" s="19">
        <f t="shared" si="6"/>
        <v>0</v>
      </c>
      <c r="G20" s="19">
        <f t="shared" si="7"/>
        <v>0</v>
      </c>
      <c r="H20" s="19">
        <f t="shared" si="8"/>
        <v>0</v>
      </c>
      <c r="I20" s="34">
        <f t="shared" si="9"/>
        <v>0</v>
      </c>
    </row>
    <row r="21" spans="1:9" ht="28.5" x14ac:dyDescent="0.35">
      <c r="A21" s="40" t="s">
        <v>111</v>
      </c>
      <c r="B21" s="19">
        <v>2</v>
      </c>
      <c r="C21" s="19">
        <v>1</v>
      </c>
      <c r="D21" s="19">
        <f t="shared" si="5"/>
        <v>2</v>
      </c>
      <c r="E21" s="19">
        <v>0</v>
      </c>
      <c r="F21" s="19">
        <f t="shared" si="6"/>
        <v>0</v>
      </c>
      <c r="G21" s="19">
        <f t="shared" si="7"/>
        <v>0</v>
      </c>
      <c r="H21" s="19">
        <f t="shared" si="8"/>
        <v>0</v>
      </c>
      <c r="I21" s="34">
        <f t="shared" si="9"/>
        <v>0</v>
      </c>
    </row>
    <row r="22" spans="1:9" x14ac:dyDescent="0.35">
      <c r="A22" s="40" t="s">
        <v>109</v>
      </c>
      <c r="B22" s="19" t="s">
        <v>47</v>
      </c>
      <c r="C22" s="25"/>
      <c r="D22" s="25"/>
      <c r="E22" s="25"/>
      <c r="F22" s="25"/>
      <c r="G22" s="25"/>
      <c r="H22" s="25"/>
      <c r="I22" s="38"/>
    </row>
    <row r="23" spans="1:9" ht="15.5" x14ac:dyDescent="0.35">
      <c r="A23" s="40" t="s">
        <v>112</v>
      </c>
      <c r="B23" s="19">
        <v>16</v>
      </c>
      <c r="C23" s="19">
        <v>2</v>
      </c>
      <c r="D23" s="19">
        <f t="shared" ref="D23:D25" si="10">B23*C23</f>
        <v>32</v>
      </c>
      <c r="E23" s="19">
        <f>Respondents!F10*0.2</f>
        <v>1.8</v>
      </c>
      <c r="F23" s="19">
        <f t="shared" ref="F23:F25" si="11">D23*E23</f>
        <v>57.6</v>
      </c>
      <c r="G23" s="19">
        <f t="shared" ref="G23:G25" si="12">F23*0.05</f>
        <v>2.8800000000000003</v>
      </c>
      <c r="H23" s="19">
        <f t="shared" ref="H23:H25" si="13">F23*0.1</f>
        <v>5.7600000000000007</v>
      </c>
      <c r="I23" s="21">
        <f t="shared" ref="I23:I25" si="14">F23*F$2+G23*G$2+H23*H$2</f>
        <v>7952.9760000000006</v>
      </c>
    </row>
    <row r="24" spans="1:9" ht="15.5" x14ac:dyDescent="0.35">
      <c r="A24" s="40" t="s">
        <v>113</v>
      </c>
      <c r="B24" s="19">
        <v>8</v>
      </c>
      <c r="C24" s="19">
        <v>2</v>
      </c>
      <c r="D24" s="19">
        <f t="shared" si="10"/>
        <v>16</v>
      </c>
      <c r="E24" s="19">
        <f>Respondents!F10*0.8</f>
        <v>7.2</v>
      </c>
      <c r="F24" s="19">
        <f t="shared" si="11"/>
        <v>115.2</v>
      </c>
      <c r="G24" s="19">
        <f t="shared" si="12"/>
        <v>5.7600000000000007</v>
      </c>
      <c r="H24" s="19">
        <f t="shared" si="13"/>
        <v>11.520000000000001</v>
      </c>
      <c r="I24" s="21">
        <f t="shared" si="14"/>
        <v>15905.952000000001</v>
      </c>
    </row>
    <row r="25" spans="1:9" ht="15.5" x14ac:dyDescent="0.35">
      <c r="A25" s="40" t="s">
        <v>114</v>
      </c>
      <c r="B25" s="19">
        <v>40</v>
      </c>
      <c r="C25" s="19">
        <v>1</v>
      </c>
      <c r="D25" s="19">
        <f t="shared" si="10"/>
        <v>40</v>
      </c>
      <c r="E25" s="83">
        <f>ROUND(0.1*E7,0)</f>
        <v>1</v>
      </c>
      <c r="F25" s="19">
        <f t="shared" si="11"/>
        <v>40</v>
      </c>
      <c r="G25" s="19">
        <f t="shared" si="12"/>
        <v>2</v>
      </c>
      <c r="H25" s="19">
        <f t="shared" si="13"/>
        <v>4</v>
      </c>
      <c r="I25" s="34">
        <f t="shared" si="14"/>
        <v>5522.9000000000005</v>
      </c>
    </row>
    <row r="26" spans="1:9" x14ac:dyDescent="0.35">
      <c r="A26" s="41" t="s">
        <v>51</v>
      </c>
      <c r="B26" s="27"/>
      <c r="C26" s="27"/>
      <c r="D26" s="27"/>
      <c r="E26" s="27"/>
      <c r="F26" s="89">
        <f>SUM(F4:H25)</f>
        <v>286.12</v>
      </c>
      <c r="G26" s="89"/>
      <c r="H26" s="89"/>
      <c r="I26" s="28">
        <f>SUM(I4:I25)</f>
        <v>34352.438000000002</v>
      </c>
    </row>
    <row r="27" spans="1:9" x14ac:dyDescent="0.35">
      <c r="A27" s="39" t="s">
        <v>52</v>
      </c>
      <c r="B27" s="24"/>
      <c r="C27" s="24"/>
      <c r="D27" s="24"/>
      <c r="E27" s="24"/>
      <c r="F27" s="24"/>
      <c r="G27" s="24"/>
      <c r="H27" s="24"/>
      <c r="I27" s="20"/>
    </row>
    <row r="28" spans="1:9" x14ac:dyDescent="0.35">
      <c r="A28" s="39" t="s">
        <v>68</v>
      </c>
      <c r="B28" s="19" t="s">
        <v>67</v>
      </c>
      <c r="C28" s="19"/>
      <c r="D28" s="19"/>
      <c r="E28" s="19"/>
      <c r="F28" s="19"/>
      <c r="G28" s="19"/>
      <c r="H28" s="19"/>
      <c r="I28" s="21"/>
    </row>
    <row r="29" spans="1:9" x14ac:dyDescent="0.35">
      <c r="A29" s="39" t="s">
        <v>53</v>
      </c>
      <c r="B29" s="19" t="s">
        <v>54</v>
      </c>
      <c r="C29" s="24"/>
      <c r="D29" s="24"/>
      <c r="E29" s="24"/>
      <c r="F29" s="24"/>
      <c r="G29" s="24"/>
      <c r="H29" s="24"/>
      <c r="I29" s="20"/>
    </row>
    <row r="30" spans="1:9" x14ac:dyDescent="0.35">
      <c r="A30" s="39" t="s">
        <v>55</v>
      </c>
      <c r="B30" s="19" t="s">
        <v>54</v>
      </c>
      <c r="C30" s="24"/>
      <c r="D30" s="24"/>
      <c r="E30" s="24"/>
      <c r="F30" s="24"/>
      <c r="G30" s="24"/>
      <c r="H30" s="24"/>
      <c r="I30" s="20"/>
    </row>
    <row r="31" spans="1:9" x14ac:dyDescent="0.35">
      <c r="A31" s="39" t="s">
        <v>56</v>
      </c>
      <c r="B31" s="19" t="s">
        <v>54</v>
      </c>
      <c r="C31" s="24"/>
      <c r="D31" s="24"/>
      <c r="E31" s="24"/>
      <c r="F31" s="24"/>
      <c r="G31" s="24"/>
      <c r="H31" s="24"/>
      <c r="I31" s="20"/>
    </row>
    <row r="32" spans="1:9" x14ac:dyDescent="0.35">
      <c r="A32" s="39" t="s">
        <v>57</v>
      </c>
      <c r="B32" s="24"/>
      <c r="C32" s="24"/>
      <c r="D32" s="24"/>
      <c r="E32" s="24"/>
      <c r="F32" s="24"/>
      <c r="G32" s="24"/>
      <c r="H32" s="24"/>
      <c r="I32" s="20"/>
    </row>
    <row r="33" spans="1:12" ht="15.5" x14ac:dyDescent="0.35">
      <c r="A33" s="40" t="s">
        <v>115</v>
      </c>
      <c r="B33" s="19">
        <v>4</v>
      </c>
      <c r="C33" s="19">
        <v>52</v>
      </c>
      <c r="D33" s="19">
        <f t="shared" ref="D33:D34" si="15">B33*C33</f>
        <v>208</v>
      </c>
      <c r="E33" s="19">
        <f>Respondents!F10</f>
        <v>9</v>
      </c>
      <c r="F33" s="19">
        <f t="shared" ref="F33:F34" si="16">D33*E33</f>
        <v>1872</v>
      </c>
      <c r="G33" s="19">
        <f t="shared" ref="G33:G34" si="17">F33*0.05</f>
        <v>93.600000000000009</v>
      </c>
      <c r="H33" s="19">
        <f t="shared" ref="H33:H34" si="18">F33*0.1</f>
        <v>187.20000000000002</v>
      </c>
      <c r="I33" s="21">
        <f>F33*F$2+G33*G$2+H33*H$2</f>
        <v>258471.72</v>
      </c>
    </row>
    <row r="34" spans="1:12" ht="15.5" x14ac:dyDescent="0.35">
      <c r="A34" s="40" t="s">
        <v>116</v>
      </c>
      <c r="B34" s="19">
        <v>0.25</v>
      </c>
      <c r="C34" s="19">
        <v>2</v>
      </c>
      <c r="D34" s="19">
        <f t="shared" si="15"/>
        <v>0.5</v>
      </c>
      <c r="E34" s="19">
        <f>Respondents!F10</f>
        <v>9</v>
      </c>
      <c r="F34" s="19">
        <f t="shared" si="16"/>
        <v>4.5</v>
      </c>
      <c r="G34" s="19">
        <f t="shared" si="17"/>
        <v>0.22500000000000001</v>
      </c>
      <c r="H34" s="19">
        <f t="shared" si="18"/>
        <v>0.45</v>
      </c>
      <c r="I34" s="21">
        <f t="shared" ref="I34" si="19">F34*F$2+G34*G$2+H34*H$2</f>
        <v>621.32625000000007</v>
      </c>
      <c r="K34" s="1"/>
    </row>
    <row r="35" spans="1:12" x14ac:dyDescent="0.35">
      <c r="A35" s="39" t="s">
        <v>58</v>
      </c>
      <c r="B35" s="19" t="s">
        <v>43</v>
      </c>
      <c r="C35" s="24"/>
      <c r="D35" s="24"/>
      <c r="E35" s="24"/>
      <c r="F35" s="24"/>
      <c r="G35" s="24"/>
      <c r="H35" s="24"/>
      <c r="I35" s="20"/>
    </row>
    <row r="36" spans="1:12" x14ac:dyDescent="0.35">
      <c r="A36" s="39" t="s">
        <v>59</v>
      </c>
      <c r="B36" s="19" t="s">
        <v>43</v>
      </c>
      <c r="C36" s="24"/>
      <c r="D36" s="24"/>
      <c r="E36" s="24"/>
      <c r="F36" s="24"/>
      <c r="G36" s="24"/>
      <c r="H36" s="24"/>
      <c r="I36" s="20"/>
    </row>
    <row r="37" spans="1:12" x14ac:dyDescent="0.35">
      <c r="A37" s="41" t="s">
        <v>60</v>
      </c>
      <c r="B37" s="27"/>
      <c r="C37" s="27"/>
      <c r="D37" s="27"/>
      <c r="E37" s="27"/>
      <c r="F37" s="90">
        <f>SUM(F27:H36)</f>
        <v>2157.9749999999995</v>
      </c>
      <c r="G37" s="90"/>
      <c r="H37" s="90"/>
      <c r="I37" s="28">
        <f>SUM(I27:I36)</f>
        <v>259093.04625000001</v>
      </c>
    </row>
    <row r="38" spans="1:12" ht="15" x14ac:dyDescent="0.35">
      <c r="A38" s="42" t="s">
        <v>117</v>
      </c>
      <c r="B38" s="22"/>
      <c r="C38" s="22"/>
      <c r="D38" s="22"/>
      <c r="E38" s="22"/>
      <c r="F38" s="91">
        <f>ROUND(F37+F26,-1)</f>
        <v>2440</v>
      </c>
      <c r="G38" s="91"/>
      <c r="H38" s="91"/>
      <c r="I38" s="23">
        <f>ROUND(I37+I26,-3)</f>
        <v>293000</v>
      </c>
      <c r="K38" s="36">
        <f>F38/Responses!E16</f>
        <v>117.30769230769231</v>
      </c>
      <c r="L38" t="s">
        <v>84</v>
      </c>
    </row>
    <row r="39" spans="1:12" ht="15" x14ac:dyDescent="0.35">
      <c r="A39" s="42" t="s">
        <v>118</v>
      </c>
      <c r="B39" s="29"/>
      <c r="C39" s="29"/>
      <c r="D39" s="29"/>
      <c r="E39" s="29"/>
      <c r="F39" s="29"/>
      <c r="G39" s="29"/>
      <c r="H39" s="29"/>
      <c r="I39" s="23">
        <f>'Capital O&amp;M'!G10+'Capital O&amp;M'!D10</f>
        <v>75400</v>
      </c>
    </row>
    <row r="40" spans="1:12" ht="15" x14ac:dyDescent="0.35">
      <c r="A40" s="42" t="s">
        <v>119</v>
      </c>
      <c r="B40" s="29"/>
      <c r="C40" s="29"/>
      <c r="D40" s="29"/>
      <c r="E40" s="29"/>
      <c r="F40" s="29"/>
      <c r="G40" s="29"/>
      <c r="H40" s="29"/>
      <c r="I40" s="23">
        <f>ROUND(I39+I38,-3)</f>
        <v>368000</v>
      </c>
    </row>
    <row r="42" spans="1:12" x14ac:dyDescent="0.35">
      <c r="A42" s="37" t="s">
        <v>85</v>
      </c>
      <c r="B42" s="30"/>
      <c r="C42" s="30"/>
      <c r="D42" s="30"/>
      <c r="E42" s="30"/>
      <c r="F42" s="30"/>
      <c r="G42" s="30"/>
      <c r="H42" s="30"/>
      <c r="I42" s="30"/>
    </row>
    <row r="43" spans="1:12" ht="28.5" customHeight="1" x14ac:dyDescent="0.35">
      <c r="A43" s="88" t="s">
        <v>204</v>
      </c>
      <c r="B43" s="88"/>
      <c r="C43" s="88"/>
      <c r="D43" s="88"/>
      <c r="E43" s="88"/>
      <c r="F43" s="88"/>
      <c r="G43" s="88"/>
      <c r="H43" s="88"/>
      <c r="I43" s="88"/>
    </row>
    <row r="44" spans="1:12" ht="48.75" customHeight="1" x14ac:dyDescent="0.35">
      <c r="A44" s="92" t="s">
        <v>96</v>
      </c>
      <c r="B44" s="92"/>
      <c r="C44" s="92"/>
      <c r="D44" s="92"/>
      <c r="E44" s="92"/>
      <c r="F44" s="92"/>
      <c r="G44" s="92"/>
      <c r="H44" s="92"/>
      <c r="I44" s="92"/>
    </row>
    <row r="45" spans="1:12" ht="15.75" customHeight="1" x14ac:dyDescent="0.35">
      <c r="A45" s="92" t="s">
        <v>89</v>
      </c>
      <c r="B45" s="92"/>
      <c r="C45" s="92"/>
      <c r="D45" s="92"/>
      <c r="E45" s="92"/>
      <c r="F45" s="92"/>
      <c r="G45" s="92"/>
      <c r="H45" s="92"/>
      <c r="I45" s="92"/>
    </row>
    <row r="46" spans="1:12" ht="39.75" customHeight="1" x14ac:dyDescent="0.35">
      <c r="A46" s="88" t="s">
        <v>205</v>
      </c>
      <c r="B46" s="88"/>
      <c r="C46" s="88"/>
      <c r="D46" s="88"/>
      <c r="E46" s="88"/>
      <c r="F46" s="88"/>
      <c r="G46" s="88"/>
      <c r="H46" s="88"/>
      <c r="I46" s="88"/>
      <c r="J46" s="1"/>
    </row>
    <row r="47" spans="1:12" ht="15.75" customHeight="1" x14ac:dyDescent="0.35">
      <c r="A47" s="92" t="s">
        <v>86</v>
      </c>
      <c r="B47" s="92"/>
      <c r="C47" s="92"/>
      <c r="D47" s="92"/>
      <c r="E47" s="92"/>
      <c r="F47" s="92"/>
      <c r="G47" s="92"/>
      <c r="H47" s="92"/>
      <c r="I47" s="92"/>
      <c r="J47" s="84"/>
    </row>
    <row r="48" spans="1:12" ht="15.75" customHeight="1" x14ac:dyDescent="0.35">
      <c r="A48" s="92" t="s">
        <v>87</v>
      </c>
      <c r="B48" s="92"/>
      <c r="C48" s="92"/>
      <c r="D48" s="92"/>
      <c r="E48" s="92"/>
      <c r="F48" s="92"/>
      <c r="G48" s="92"/>
      <c r="H48" s="92"/>
      <c r="I48" s="92"/>
    </row>
    <row r="49" spans="1:10" ht="15.75" customHeight="1" x14ac:dyDescent="0.35">
      <c r="A49" s="92" t="s">
        <v>102</v>
      </c>
      <c r="B49" s="92"/>
      <c r="C49" s="92"/>
      <c r="D49" s="92"/>
      <c r="E49" s="92"/>
      <c r="F49" s="92"/>
      <c r="G49" s="92"/>
      <c r="H49" s="92"/>
      <c r="I49" s="92"/>
    </row>
    <row r="50" spans="1:10" ht="15.75" customHeight="1" x14ac:dyDescent="0.35">
      <c r="A50" s="87" t="s">
        <v>123</v>
      </c>
      <c r="B50" s="87"/>
      <c r="C50" s="87"/>
      <c r="D50" s="87"/>
      <c r="E50" s="87"/>
      <c r="F50" s="87"/>
      <c r="G50" s="87"/>
      <c r="H50" s="87"/>
      <c r="I50" s="87"/>
    </row>
    <row r="51" spans="1:10" ht="15.75" customHeight="1" x14ac:dyDescent="0.35">
      <c r="A51" s="87" t="s">
        <v>124</v>
      </c>
      <c r="B51" s="87"/>
      <c r="C51" s="87"/>
      <c r="D51" s="87"/>
      <c r="E51" s="87"/>
      <c r="F51" s="87"/>
      <c r="G51" s="87"/>
      <c r="H51" s="87"/>
      <c r="I51" s="87"/>
    </row>
    <row r="52" spans="1:10" ht="15.75" customHeight="1" x14ac:dyDescent="0.35">
      <c r="A52" s="88" t="s">
        <v>125</v>
      </c>
      <c r="B52" s="88"/>
      <c r="C52" s="88"/>
      <c r="D52" s="88"/>
      <c r="E52" s="88"/>
      <c r="F52" s="88"/>
      <c r="G52" s="88"/>
      <c r="H52" s="88"/>
      <c r="I52" s="88"/>
      <c r="J52" s="1"/>
    </row>
    <row r="53" spans="1:10" ht="15.75" customHeight="1" x14ac:dyDescent="0.35">
      <c r="A53" s="87" t="s">
        <v>126</v>
      </c>
      <c r="B53" s="87"/>
      <c r="C53" s="87"/>
      <c r="D53" s="87"/>
      <c r="E53" s="87"/>
      <c r="F53" s="87"/>
      <c r="G53" s="87"/>
      <c r="H53" s="87"/>
      <c r="I53" s="87"/>
    </row>
    <row r="54" spans="1:10" ht="15.75" customHeight="1" x14ac:dyDescent="0.35">
      <c r="A54" s="87" t="s">
        <v>127</v>
      </c>
      <c r="B54" s="87"/>
      <c r="C54" s="87"/>
      <c r="D54" s="87"/>
      <c r="E54" s="87"/>
      <c r="F54" s="87"/>
      <c r="G54" s="87"/>
      <c r="H54" s="87"/>
      <c r="I54" s="87"/>
    </row>
    <row r="55" spans="1:10" ht="15.5" x14ac:dyDescent="0.35">
      <c r="A55" s="87" t="s">
        <v>128</v>
      </c>
      <c r="B55" s="87"/>
      <c r="C55" s="87"/>
      <c r="D55" s="87"/>
      <c r="E55" s="87"/>
      <c r="F55" s="87"/>
      <c r="G55" s="87"/>
      <c r="H55" s="87"/>
      <c r="I55" s="87"/>
    </row>
  </sheetData>
  <mergeCells count="16">
    <mergeCell ref="A49:I49"/>
    <mergeCell ref="A45:I45"/>
    <mergeCell ref="A46:I46"/>
    <mergeCell ref="A47:I47"/>
    <mergeCell ref="A48:I48"/>
    <mergeCell ref="F26:H26"/>
    <mergeCell ref="F37:H37"/>
    <mergeCell ref="F38:H38"/>
    <mergeCell ref="A43:I43"/>
    <mergeCell ref="A44:I44"/>
    <mergeCell ref="A55:I55"/>
    <mergeCell ref="A50:I50"/>
    <mergeCell ref="A51:I51"/>
    <mergeCell ref="A52:I52"/>
    <mergeCell ref="A53:I53"/>
    <mergeCell ref="A54:I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3" workbookViewId="0">
      <selection activeCell="E16" sqref="E16"/>
    </sheetView>
  </sheetViews>
  <sheetFormatPr defaultRowHeight="14.5" x14ac:dyDescent="0.35"/>
  <cols>
    <col min="1" max="1" width="42.26953125" customWidth="1"/>
    <col min="9" max="9" width="11.54296875" customWidth="1"/>
  </cols>
  <sheetData>
    <row r="1" spans="1:11" ht="15" x14ac:dyDescent="0.35">
      <c r="A1" s="82" t="s">
        <v>203</v>
      </c>
    </row>
    <row r="2" spans="1:11" x14ac:dyDescent="0.35">
      <c r="F2">
        <v>52.37</v>
      </c>
      <c r="G2">
        <v>70.56</v>
      </c>
      <c r="H2">
        <v>28.34</v>
      </c>
    </row>
    <row r="3" spans="1:11" s="32" customFormat="1" ht="78" x14ac:dyDescent="0.35">
      <c r="A3" s="33" t="s">
        <v>69</v>
      </c>
      <c r="B3" s="33" t="s">
        <v>81</v>
      </c>
      <c r="C3" s="33" t="s">
        <v>82</v>
      </c>
      <c r="D3" s="33" t="s">
        <v>83</v>
      </c>
      <c r="E3" s="33" t="s">
        <v>95</v>
      </c>
      <c r="F3" s="33" t="s">
        <v>70</v>
      </c>
      <c r="G3" s="33" t="s">
        <v>71</v>
      </c>
      <c r="H3" s="33" t="s">
        <v>72</v>
      </c>
      <c r="I3" s="33" t="s">
        <v>94</v>
      </c>
    </row>
    <row r="4" spans="1:11" x14ac:dyDescent="0.35">
      <c r="A4" s="20" t="s">
        <v>73</v>
      </c>
      <c r="B4" s="20"/>
      <c r="C4" s="20"/>
      <c r="D4" s="20"/>
      <c r="E4" s="20"/>
      <c r="F4" s="20"/>
      <c r="G4" s="20"/>
      <c r="H4" s="20"/>
      <c r="I4" s="20"/>
      <c r="K4" s="1"/>
    </row>
    <row r="5" spans="1:11" x14ac:dyDescent="0.35">
      <c r="A5" s="20" t="s">
        <v>74</v>
      </c>
      <c r="B5" s="19">
        <v>40</v>
      </c>
      <c r="C5" s="19">
        <v>1</v>
      </c>
      <c r="D5" s="19">
        <f>B5*C5</f>
        <v>40</v>
      </c>
      <c r="E5" s="19">
        <v>0</v>
      </c>
      <c r="F5" s="19">
        <f>D5*E5</f>
        <v>0</v>
      </c>
      <c r="G5" s="19">
        <f>F5*0.05</f>
        <v>0</v>
      </c>
      <c r="H5" s="19">
        <f>F5*0.1</f>
        <v>0</v>
      </c>
      <c r="I5" s="34">
        <f>F5*F$2+G5*G$2+H5*H$2</f>
        <v>0</v>
      </c>
    </row>
    <row r="6" spans="1:11" x14ac:dyDescent="0.35">
      <c r="A6" s="20" t="s">
        <v>75</v>
      </c>
      <c r="B6" s="35"/>
      <c r="C6" s="35"/>
      <c r="D6" s="35"/>
      <c r="E6" s="35"/>
      <c r="F6" s="35"/>
      <c r="G6" s="35"/>
      <c r="H6" s="35"/>
      <c r="I6" s="20"/>
      <c r="K6" s="1"/>
    </row>
    <row r="7" spans="1:11" ht="15.5" x14ac:dyDescent="0.35">
      <c r="A7" s="20" t="s">
        <v>88</v>
      </c>
      <c r="B7" s="19">
        <v>40</v>
      </c>
      <c r="C7" s="19">
        <v>0.2</v>
      </c>
      <c r="D7" s="19">
        <f>B7*C7</f>
        <v>8</v>
      </c>
      <c r="E7" s="19">
        <v>0</v>
      </c>
      <c r="F7" s="19">
        <f>D7*E7</f>
        <v>0</v>
      </c>
      <c r="G7" s="19">
        <f>F7*0.05</f>
        <v>0</v>
      </c>
      <c r="H7" s="19">
        <f>F7*0.1</f>
        <v>0</v>
      </c>
      <c r="I7" s="34">
        <f>F7*F$2+G7*G$2+H7*H$2</f>
        <v>0</v>
      </c>
    </row>
    <row r="8" spans="1:11" x14ac:dyDescent="0.35">
      <c r="A8" s="20" t="s">
        <v>76</v>
      </c>
      <c r="B8" s="35"/>
      <c r="C8" s="35"/>
      <c r="D8" s="35"/>
      <c r="E8" s="35"/>
      <c r="F8" s="35"/>
      <c r="G8" s="35"/>
      <c r="H8" s="35"/>
      <c r="I8" s="20"/>
    </row>
    <row r="9" spans="1:11" x14ac:dyDescent="0.35">
      <c r="A9" s="20" t="s">
        <v>32</v>
      </c>
      <c r="B9" s="19">
        <v>2</v>
      </c>
      <c r="C9" s="19">
        <v>1</v>
      </c>
      <c r="D9" s="35"/>
      <c r="E9" s="19">
        <v>0</v>
      </c>
      <c r="F9" s="35"/>
      <c r="G9" s="35"/>
      <c r="H9" s="35"/>
      <c r="I9" s="20"/>
    </row>
    <row r="10" spans="1:11" x14ac:dyDescent="0.35">
      <c r="A10" s="20" t="s">
        <v>77</v>
      </c>
      <c r="B10" s="19">
        <v>2</v>
      </c>
      <c r="C10" s="19">
        <v>1</v>
      </c>
      <c r="D10" s="19">
        <f t="shared" ref="D10:D21" si="0">B10*C10</f>
        <v>2</v>
      </c>
      <c r="E10" s="19">
        <v>0</v>
      </c>
      <c r="F10" s="19">
        <f t="shared" ref="F10:F20" si="1">D10*E10</f>
        <v>0</v>
      </c>
      <c r="G10" s="19">
        <f t="shared" ref="G10:G20" si="2">F10*0.05</f>
        <v>0</v>
      </c>
      <c r="H10" s="19">
        <f t="shared" ref="H10:H20" si="3">F10*0.1</f>
        <v>0</v>
      </c>
      <c r="I10" s="34">
        <f t="shared" ref="I10:I20" si="4">F10*F$2+G10*G$2+H10*H$2</f>
        <v>0</v>
      </c>
    </row>
    <row r="11" spans="1:11" x14ac:dyDescent="0.35">
      <c r="A11" s="20" t="s">
        <v>34</v>
      </c>
      <c r="B11" s="19">
        <v>2</v>
      </c>
      <c r="C11" s="19">
        <v>1</v>
      </c>
      <c r="D11" s="19">
        <f t="shared" si="0"/>
        <v>2</v>
      </c>
      <c r="E11" s="19">
        <v>0</v>
      </c>
      <c r="F11" s="19">
        <f t="shared" si="1"/>
        <v>0</v>
      </c>
      <c r="G11" s="19">
        <f t="shared" si="2"/>
        <v>0</v>
      </c>
      <c r="H11" s="19">
        <f t="shared" si="3"/>
        <v>0</v>
      </c>
      <c r="I11" s="34">
        <f t="shared" si="4"/>
        <v>0</v>
      </c>
    </row>
    <row r="12" spans="1:11" x14ac:dyDescent="0.35">
      <c r="A12" s="20" t="s">
        <v>35</v>
      </c>
      <c r="B12" s="19">
        <v>1</v>
      </c>
      <c r="C12" s="19">
        <v>1</v>
      </c>
      <c r="D12" s="19">
        <f t="shared" si="0"/>
        <v>1</v>
      </c>
      <c r="E12" s="19">
        <v>0</v>
      </c>
      <c r="F12" s="19">
        <f t="shared" si="1"/>
        <v>0</v>
      </c>
      <c r="G12" s="19">
        <f t="shared" si="2"/>
        <v>0</v>
      </c>
      <c r="H12" s="19">
        <f t="shared" si="3"/>
        <v>0</v>
      </c>
      <c r="I12" s="34">
        <f t="shared" si="4"/>
        <v>0</v>
      </c>
    </row>
    <row r="13" spans="1:11" x14ac:dyDescent="0.35">
      <c r="A13" s="20" t="s">
        <v>36</v>
      </c>
      <c r="B13" s="19">
        <v>2</v>
      </c>
      <c r="C13" s="19">
        <v>1</v>
      </c>
      <c r="D13" s="19">
        <f t="shared" si="0"/>
        <v>2</v>
      </c>
      <c r="E13" s="19">
        <v>0</v>
      </c>
      <c r="F13" s="19">
        <f t="shared" si="1"/>
        <v>0</v>
      </c>
      <c r="G13" s="19">
        <f t="shared" si="2"/>
        <v>0</v>
      </c>
      <c r="H13" s="19">
        <f t="shared" si="3"/>
        <v>0</v>
      </c>
      <c r="I13" s="34">
        <f t="shared" si="4"/>
        <v>0</v>
      </c>
    </row>
    <row r="14" spans="1:11" x14ac:dyDescent="0.35">
      <c r="A14" s="20" t="s">
        <v>37</v>
      </c>
      <c r="B14" s="19">
        <v>2</v>
      </c>
      <c r="C14" s="19">
        <v>1</v>
      </c>
      <c r="D14" s="19">
        <f t="shared" si="0"/>
        <v>2</v>
      </c>
      <c r="E14" s="19">
        <v>0</v>
      </c>
      <c r="F14" s="19">
        <f t="shared" si="1"/>
        <v>0</v>
      </c>
      <c r="G14" s="19">
        <f t="shared" si="2"/>
        <v>0</v>
      </c>
      <c r="H14" s="19">
        <f t="shared" si="3"/>
        <v>0</v>
      </c>
      <c r="I14" s="34">
        <f t="shared" si="4"/>
        <v>0</v>
      </c>
    </row>
    <row r="15" spans="1:11" x14ac:dyDescent="0.35">
      <c r="A15" s="20" t="s">
        <v>78</v>
      </c>
      <c r="B15" s="19">
        <v>2</v>
      </c>
      <c r="C15" s="19">
        <v>1</v>
      </c>
      <c r="D15" s="19">
        <f t="shared" si="0"/>
        <v>2</v>
      </c>
      <c r="E15" s="19">
        <v>0</v>
      </c>
      <c r="F15" s="19">
        <f t="shared" si="1"/>
        <v>0</v>
      </c>
      <c r="G15" s="19">
        <f t="shared" si="2"/>
        <v>0</v>
      </c>
      <c r="H15" s="19">
        <f t="shared" si="3"/>
        <v>0</v>
      </c>
      <c r="I15" s="34">
        <f t="shared" si="4"/>
        <v>0</v>
      </c>
    </row>
    <row r="16" spans="1:11" ht="15.5" x14ac:dyDescent="0.35">
      <c r="A16" s="20" t="s">
        <v>79</v>
      </c>
      <c r="B16" s="19">
        <v>40</v>
      </c>
      <c r="C16" s="19">
        <v>1</v>
      </c>
      <c r="D16" s="19">
        <f t="shared" si="0"/>
        <v>40</v>
      </c>
      <c r="E16" s="19">
        <f>'Table 1'!E25</f>
        <v>1</v>
      </c>
      <c r="F16" s="19">
        <f t="shared" si="1"/>
        <v>40</v>
      </c>
      <c r="G16" s="19">
        <f t="shared" si="2"/>
        <v>2</v>
      </c>
      <c r="H16" s="19">
        <f t="shared" si="3"/>
        <v>4</v>
      </c>
      <c r="I16" s="34">
        <f t="shared" si="4"/>
        <v>2349.2799999999997</v>
      </c>
    </row>
    <row r="17" spans="1:9" x14ac:dyDescent="0.35">
      <c r="A17" s="20" t="s">
        <v>80</v>
      </c>
      <c r="B17" s="19">
        <v>40</v>
      </c>
      <c r="C17" s="19">
        <v>1</v>
      </c>
      <c r="D17" s="19">
        <f t="shared" si="0"/>
        <v>40</v>
      </c>
      <c r="E17" s="19">
        <v>0</v>
      </c>
      <c r="F17" s="19">
        <f t="shared" si="1"/>
        <v>0</v>
      </c>
      <c r="G17" s="19">
        <f t="shared" si="2"/>
        <v>0</v>
      </c>
      <c r="H17" s="19">
        <f t="shared" si="3"/>
        <v>0</v>
      </c>
      <c r="I17" s="34">
        <f t="shared" si="4"/>
        <v>0</v>
      </c>
    </row>
    <row r="18" spans="1:9" x14ac:dyDescent="0.35">
      <c r="A18" s="20" t="s">
        <v>50</v>
      </c>
      <c r="B18" s="19">
        <v>40</v>
      </c>
      <c r="C18" s="19">
        <v>1</v>
      </c>
      <c r="D18" s="19">
        <f t="shared" si="0"/>
        <v>40</v>
      </c>
      <c r="E18" s="19">
        <v>0</v>
      </c>
      <c r="F18" s="19">
        <f t="shared" si="1"/>
        <v>0</v>
      </c>
      <c r="G18" s="19">
        <f t="shared" si="2"/>
        <v>0</v>
      </c>
      <c r="H18" s="19">
        <f t="shared" si="3"/>
        <v>0</v>
      </c>
      <c r="I18" s="34">
        <f t="shared" si="4"/>
        <v>0</v>
      </c>
    </row>
    <row r="19" spans="1:9" ht="15.5" x14ac:dyDescent="0.35">
      <c r="A19" s="20" t="s">
        <v>104</v>
      </c>
      <c r="B19" s="19">
        <v>20</v>
      </c>
      <c r="C19" s="19">
        <v>2</v>
      </c>
      <c r="D19" s="19">
        <f t="shared" si="0"/>
        <v>40</v>
      </c>
      <c r="E19" s="19">
        <f>0.2*Respondents!F10</f>
        <v>1.8</v>
      </c>
      <c r="F19" s="19">
        <f t="shared" si="1"/>
        <v>72</v>
      </c>
      <c r="G19" s="19">
        <f t="shared" si="2"/>
        <v>3.6</v>
      </c>
      <c r="H19" s="19">
        <f t="shared" si="3"/>
        <v>7.2</v>
      </c>
      <c r="I19" s="21">
        <f>F19*F$2+G19*G$2+H19*H$2</f>
        <v>4228.7039999999997</v>
      </c>
    </row>
    <row r="20" spans="1:9" ht="15.5" x14ac:dyDescent="0.35">
      <c r="A20" s="20" t="s">
        <v>105</v>
      </c>
      <c r="B20" s="19">
        <v>2</v>
      </c>
      <c r="C20" s="19">
        <v>2</v>
      </c>
      <c r="D20" s="19">
        <f t="shared" si="0"/>
        <v>4</v>
      </c>
      <c r="E20" s="19">
        <f>0.8*Respondents!F10</f>
        <v>7.2</v>
      </c>
      <c r="F20" s="19">
        <f t="shared" si="1"/>
        <v>28.8</v>
      </c>
      <c r="G20" s="19">
        <f t="shared" si="2"/>
        <v>1.4400000000000002</v>
      </c>
      <c r="H20" s="19">
        <f t="shared" si="3"/>
        <v>2.8800000000000003</v>
      </c>
      <c r="I20" s="21">
        <f t="shared" si="4"/>
        <v>1691.4816000000001</v>
      </c>
    </row>
    <row r="21" spans="1:9" ht="41.5" x14ac:dyDescent="0.35">
      <c r="A21" s="18" t="s">
        <v>106</v>
      </c>
      <c r="B21" s="19">
        <v>8</v>
      </c>
      <c r="C21" s="19">
        <v>1</v>
      </c>
      <c r="D21" s="19">
        <f t="shared" si="0"/>
        <v>8</v>
      </c>
      <c r="E21" s="19">
        <f>Respondents!F10</f>
        <v>9</v>
      </c>
      <c r="F21" s="19">
        <f t="shared" ref="F21" si="5">D21*E21</f>
        <v>72</v>
      </c>
      <c r="G21" s="19">
        <f t="shared" ref="G21" si="6">F21*0.05</f>
        <v>3.6</v>
      </c>
      <c r="H21" s="19">
        <f t="shared" ref="H21" si="7">F21*0.1</f>
        <v>7.2</v>
      </c>
      <c r="I21" s="21">
        <f t="shared" ref="I21" si="8">F21*F$2+G21*G$2+H21*H$2</f>
        <v>4228.7039999999997</v>
      </c>
    </row>
    <row r="22" spans="1:9" ht="15" x14ac:dyDescent="0.35">
      <c r="A22" s="22" t="s">
        <v>107</v>
      </c>
      <c r="B22" s="22"/>
      <c r="C22" s="22"/>
      <c r="D22" s="22"/>
      <c r="E22" s="22"/>
      <c r="F22" s="97">
        <f>SUM(F4:H21)</f>
        <v>244.71999999999997</v>
      </c>
      <c r="G22" s="97"/>
      <c r="H22" s="97"/>
      <c r="I22" s="23">
        <f>ROUND(SUM(I4:I21),-2)</f>
        <v>12500</v>
      </c>
    </row>
    <row r="24" spans="1:9" x14ac:dyDescent="0.35">
      <c r="A24" s="31" t="s">
        <v>92</v>
      </c>
      <c r="B24" s="30"/>
      <c r="C24" s="30"/>
      <c r="D24" s="30"/>
      <c r="E24" s="30"/>
      <c r="F24" s="30"/>
      <c r="G24" s="30"/>
      <c r="H24" s="30"/>
      <c r="I24" s="30"/>
    </row>
    <row r="25" spans="1:9" ht="28.5" customHeight="1" x14ac:dyDescent="0.35">
      <c r="A25" s="98" t="s">
        <v>141</v>
      </c>
      <c r="B25" s="98"/>
      <c r="C25" s="98"/>
      <c r="D25" s="98"/>
      <c r="E25" s="98"/>
      <c r="F25" s="98"/>
      <c r="G25" s="98"/>
      <c r="H25" s="98"/>
      <c r="I25" s="98"/>
    </row>
    <row r="26" spans="1:9" ht="46.5" customHeight="1" x14ac:dyDescent="0.35">
      <c r="A26" s="98" t="s">
        <v>140</v>
      </c>
      <c r="B26" s="98"/>
      <c r="C26" s="98"/>
      <c r="D26" s="98"/>
      <c r="E26" s="98"/>
      <c r="F26" s="98"/>
      <c r="G26" s="98"/>
      <c r="H26" s="98"/>
      <c r="I26" s="98"/>
    </row>
    <row r="27" spans="1:9" ht="15.75" customHeight="1" x14ac:dyDescent="0.35">
      <c r="A27" s="96" t="s">
        <v>93</v>
      </c>
      <c r="B27" s="96"/>
      <c r="C27" s="96"/>
      <c r="D27" s="96"/>
      <c r="E27" s="96"/>
      <c r="F27" s="96"/>
      <c r="G27" s="96"/>
      <c r="H27" s="96"/>
      <c r="I27" s="96"/>
    </row>
    <row r="28" spans="1:9" ht="15.75" customHeight="1" x14ac:dyDescent="0.35">
      <c r="A28" s="96" t="s">
        <v>103</v>
      </c>
      <c r="B28" s="96"/>
      <c r="C28" s="96"/>
      <c r="D28" s="96"/>
      <c r="E28" s="96"/>
      <c r="F28" s="96"/>
      <c r="G28" s="96"/>
      <c r="H28" s="96"/>
      <c r="I28" s="96"/>
    </row>
    <row r="29" spans="1:9" ht="15.75" customHeight="1" x14ac:dyDescent="0.35">
      <c r="A29" s="93" t="s">
        <v>129</v>
      </c>
      <c r="B29" s="93"/>
      <c r="C29" s="93"/>
      <c r="D29" s="93"/>
      <c r="E29" s="93"/>
      <c r="F29" s="93"/>
      <c r="G29" s="93"/>
      <c r="H29" s="93"/>
      <c r="I29" s="93"/>
    </row>
    <row r="30" spans="1:9" ht="15.75" customHeight="1" x14ac:dyDescent="0.35">
      <c r="A30" s="94" t="s">
        <v>206</v>
      </c>
      <c r="B30" s="94"/>
      <c r="C30" s="94"/>
      <c r="D30" s="94"/>
      <c r="E30" s="94"/>
      <c r="F30" s="94"/>
      <c r="G30" s="94"/>
      <c r="H30" s="94"/>
      <c r="I30" s="94"/>
    </row>
    <row r="31" spans="1:9" ht="15.75" customHeight="1" x14ac:dyDescent="0.35">
      <c r="A31" s="95" t="s">
        <v>130</v>
      </c>
      <c r="B31" s="95"/>
      <c r="C31" s="95"/>
      <c r="D31" s="95"/>
      <c r="E31" s="95"/>
      <c r="F31" s="95"/>
      <c r="G31" s="95"/>
      <c r="H31" s="95"/>
      <c r="I31" s="95"/>
    </row>
    <row r="32" spans="1:9" ht="15.75" customHeight="1" x14ac:dyDescent="0.35">
      <c r="A32" s="96" t="s">
        <v>108</v>
      </c>
      <c r="B32" s="96"/>
      <c r="C32" s="96"/>
      <c r="D32" s="96"/>
      <c r="E32" s="96"/>
      <c r="F32" s="96"/>
      <c r="G32" s="96"/>
      <c r="H32" s="96"/>
      <c r="I32" s="96"/>
    </row>
  </sheetData>
  <mergeCells count="9">
    <mergeCell ref="A29:I29"/>
    <mergeCell ref="A30:I30"/>
    <mergeCell ref="A31:I31"/>
    <mergeCell ref="A32:I32"/>
    <mergeCell ref="F22:H22"/>
    <mergeCell ref="A26:I26"/>
    <mergeCell ref="A25:I25"/>
    <mergeCell ref="A27:I27"/>
    <mergeCell ref="A28:I2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5"/>
  <sheetViews>
    <sheetView topLeftCell="A4" workbookViewId="0">
      <selection activeCell="A12" sqref="A12:G12"/>
    </sheetView>
  </sheetViews>
  <sheetFormatPr defaultRowHeight="14.5" x14ac:dyDescent="0.35"/>
  <cols>
    <col min="1" max="1" width="19.54296875" customWidth="1"/>
  </cols>
  <sheetData>
    <row r="2" spans="1:9" ht="15" x14ac:dyDescent="0.35">
      <c r="A2" s="99" t="s">
        <v>0</v>
      </c>
      <c r="B2" s="99"/>
      <c r="C2" s="99"/>
      <c r="D2" s="99"/>
      <c r="E2" s="99"/>
      <c r="F2" s="99"/>
      <c r="G2" s="99"/>
    </row>
    <row r="3" spans="1:9" x14ac:dyDescent="0.35">
      <c r="A3" s="4" t="s">
        <v>1</v>
      </c>
      <c r="B3" s="4" t="s">
        <v>3</v>
      </c>
      <c r="C3" s="4" t="s">
        <v>5</v>
      </c>
      <c r="D3" s="4" t="s">
        <v>7</v>
      </c>
      <c r="E3" s="4" t="s">
        <v>9</v>
      </c>
      <c r="F3" s="4" t="s">
        <v>11</v>
      </c>
      <c r="G3" s="4" t="s">
        <v>13</v>
      </c>
    </row>
    <row r="4" spans="1:9" ht="78" x14ac:dyDescent="0.35">
      <c r="A4" s="4" t="s">
        <v>2</v>
      </c>
      <c r="B4" s="4" t="s">
        <v>4</v>
      </c>
      <c r="C4" s="4" t="s">
        <v>6</v>
      </c>
      <c r="D4" s="4" t="s">
        <v>8</v>
      </c>
      <c r="E4" s="4" t="s">
        <v>10</v>
      </c>
      <c r="F4" s="4" t="s">
        <v>12</v>
      </c>
      <c r="G4" s="4" t="s">
        <v>14</v>
      </c>
    </row>
    <row r="5" spans="1:9" x14ac:dyDescent="0.35">
      <c r="A5" s="5"/>
      <c r="B5" s="5"/>
      <c r="C5" s="5"/>
      <c r="D5" s="5"/>
      <c r="E5" s="5"/>
      <c r="F5" s="5"/>
      <c r="G5" s="6" t="s">
        <v>15</v>
      </c>
    </row>
    <row r="6" spans="1:9" ht="28.5" x14ac:dyDescent="0.35">
      <c r="A6" s="8" t="s">
        <v>211</v>
      </c>
      <c r="B6" s="9">
        <f>14900*1.56*(596.2/499.6)</f>
        <v>27738.336269015213</v>
      </c>
      <c r="C6" s="10">
        <v>0</v>
      </c>
      <c r="D6" s="9">
        <f>B6*C6</f>
        <v>0</v>
      </c>
      <c r="E6" s="9">
        <f>500*1.56*(596.2/499.6)</f>
        <v>930.81665332265823</v>
      </c>
      <c r="F6" s="10">
        <f>Respondents!F10</f>
        <v>9</v>
      </c>
      <c r="G6" s="9">
        <f>E6*F6</f>
        <v>8377.3498799039244</v>
      </c>
      <c r="I6" s="43"/>
    </row>
    <row r="7" spans="1:9" ht="15.5" x14ac:dyDescent="0.35">
      <c r="A7" s="39" t="s">
        <v>207</v>
      </c>
      <c r="B7" s="9">
        <v>0</v>
      </c>
      <c r="C7" s="10">
        <v>0</v>
      </c>
      <c r="D7" s="9">
        <f>B7*C7</f>
        <v>0</v>
      </c>
      <c r="E7" s="9">
        <f>AVERAGE('Test Cost Inputs'!D25:D33)</f>
        <v>4207.4327016106081</v>
      </c>
      <c r="F7" s="10">
        <v>9</v>
      </c>
      <c r="G7" s="9">
        <f t="shared" ref="G7" si="0">E7*F7</f>
        <v>37866.894314495476</v>
      </c>
      <c r="I7" s="43"/>
    </row>
    <row r="8" spans="1:9" ht="15.5" x14ac:dyDescent="0.35">
      <c r="A8" s="39" t="s">
        <v>208</v>
      </c>
      <c r="B8" s="9">
        <v>0</v>
      </c>
      <c r="C8" s="10">
        <v>0</v>
      </c>
      <c r="D8" s="9">
        <f t="shared" ref="D8:D9" si="1">B8*C8</f>
        <v>0</v>
      </c>
      <c r="E8" s="9">
        <f>'Test Cost Inputs'!E35</f>
        <v>1266.75393166771</v>
      </c>
      <c r="F8" s="10">
        <v>9</v>
      </c>
      <c r="G8" s="9">
        <f>E8*F8</f>
        <v>11400.785385009391</v>
      </c>
      <c r="I8" s="43"/>
    </row>
    <row r="9" spans="1:9" ht="28.5" x14ac:dyDescent="0.35">
      <c r="A9" s="39" t="s">
        <v>209</v>
      </c>
      <c r="B9" s="9">
        <v>0</v>
      </c>
      <c r="C9" s="10">
        <v>0</v>
      </c>
      <c r="D9" s="9">
        <f t="shared" si="1"/>
        <v>0</v>
      </c>
      <c r="E9" s="9">
        <f>'Test Cost Inputs'!G35</f>
        <v>1967.9927152694784</v>
      </c>
      <c r="F9" s="10">
        <v>9</v>
      </c>
      <c r="G9" s="9">
        <f>'Test Cost Inputs'!G34</f>
        <v>17711.934437425305</v>
      </c>
      <c r="I9" s="43"/>
    </row>
    <row r="10" spans="1:9" ht="15.5" x14ac:dyDescent="0.35">
      <c r="A10" s="8" t="s">
        <v>210</v>
      </c>
      <c r="B10" s="11"/>
      <c r="C10" s="11"/>
      <c r="D10" s="9">
        <f>D6</f>
        <v>0</v>
      </c>
      <c r="E10" s="11"/>
      <c r="F10" s="11"/>
      <c r="G10" s="9">
        <f>ROUND(SUM(G6:G9),-2)</f>
        <v>75400</v>
      </c>
    </row>
    <row r="12" spans="1:9" ht="59.25" customHeight="1" x14ac:dyDescent="0.35">
      <c r="A12" s="100" t="s">
        <v>214</v>
      </c>
      <c r="B12" s="100"/>
      <c r="C12" s="100"/>
      <c r="D12" s="100"/>
      <c r="E12" s="100"/>
      <c r="F12" s="100"/>
      <c r="G12" s="100"/>
    </row>
    <row r="13" spans="1:9" x14ac:dyDescent="0.35">
      <c r="A13" s="101" t="s">
        <v>201</v>
      </c>
      <c r="B13" s="101"/>
      <c r="C13" s="101"/>
      <c r="D13" s="101"/>
      <c r="E13" s="101"/>
      <c r="F13" s="101"/>
      <c r="G13" s="101"/>
    </row>
    <row r="14" spans="1:9" ht="87" customHeight="1" x14ac:dyDescent="0.35">
      <c r="A14" s="100" t="s">
        <v>212</v>
      </c>
      <c r="B14" s="100"/>
      <c r="C14" s="100"/>
      <c r="D14" s="100"/>
      <c r="E14" s="100"/>
      <c r="F14" s="100"/>
      <c r="G14" s="100"/>
    </row>
    <row r="15" spans="1:9" ht="27" customHeight="1" x14ac:dyDescent="0.35">
      <c r="A15" s="102" t="s">
        <v>213</v>
      </c>
      <c r="B15" s="102"/>
      <c r="C15" s="102"/>
      <c r="D15" s="102"/>
      <c r="E15" s="102"/>
      <c r="F15" s="102"/>
      <c r="G15" s="102"/>
    </row>
  </sheetData>
  <mergeCells count="5">
    <mergeCell ref="A2:G2"/>
    <mergeCell ref="A14:G14"/>
    <mergeCell ref="A13:G13"/>
    <mergeCell ref="A15:G15"/>
    <mergeCell ref="A12:G1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8"/>
  <sheetViews>
    <sheetView workbookViewId="0">
      <selection activeCell="E19" sqref="E19"/>
    </sheetView>
  </sheetViews>
  <sheetFormatPr defaultRowHeight="14.5" x14ac:dyDescent="0.35"/>
  <cols>
    <col min="1" max="1" width="20.7265625" customWidth="1"/>
    <col min="2" max="5" width="18.81640625" customWidth="1"/>
  </cols>
  <sheetData>
    <row r="2" spans="1:6" ht="15" x14ac:dyDescent="0.35">
      <c r="A2" s="99" t="s">
        <v>25</v>
      </c>
      <c r="B2" s="99"/>
      <c r="C2" s="99"/>
      <c r="D2" s="99"/>
      <c r="E2" s="99"/>
    </row>
    <row r="3" spans="1:6" x14ac:dyDescent="0.35">
      <c r="A3" s="14" t="s">
        <v>1</v>
      </c>
      <c r="B3" s="14" t="s">
        <v>3</v>
      </c>
      <c r="C3" s="14" t="s">
        <v>5</v>
      </c>
      <c r="D3" s="14" t="s">
        <v>7</v>
      </c>
      <c r="E3" s="14" t="s">
        <v>9</v>
      </c>
    </row>
    <row r="4" spans="1:6" ht="31.5" x14ac:dyDescent="0.35">
      <c r="A4" s="14"/>
      <c r="B4" s="14"/>
      <c r="C4" s="14"/>
      <c r="D4" s="15" t="s">
        <v>29</v>
      </c>
      <c r="E4" s="14" t="s">
        <v>30</v>
      </c>
    </row>
    <row r="5" spans="1:6" x14ac:dyDescent="0.35">
      <c r="A5" s="16" t="s">
        <v>26</v>
      </c>
      <c r="B5" s="16" t="s">
        <v>27</v>
      </c>
      <c r="C5" s="16" t="s">
        <v>28</v>
      </c>
      <c r="D5" s="17"/>
      <c r="E5" s="16" t="s">
        <v>31</v>
      </c>
    </row>
    <row r="6" spans="1:6" x14ac:dyDescent="0.35">
      <c r="A6" s="12" t="s">
        <v>32</v>
      </c>
      <c r="B6" s="2">
        <v>0</v>
      </c>
      <c r="C6" s="2">
        <v>1</v>
      </c>
      <c r="D6" s="2">
        <v>0</v>
      </c>
      <c r="E6" s="2">
        <f>B6*C6</f>
        <v>0</v>
      </c>
    </row>
    <row r="7" spans="1:6" ht="23" x14ac:dyDescent="0.35">
      <c r="A7" s="12" t="s">
        <v>33</v>
      </c>
      <c r="B7" s="2">
        <v>0</v>
      </c>
      <c r="C7" s="2">
        <v>1</v>
      </c>
      <c r="D7" s="2">
        <v>0</v>
      </c>
      <c r="E7" s="2">
        <f t="shared" ref="E7:E14" si="0">B7*C7</f>
        <v>0</v>
      </c>
    </row>
    <row r="8" spans="1:6" x14ac:dyDescent="0.35">
      <c r="A8" s="12" t="s">
        <v>34</v>
      </c>
      <c r="B8" s="2">
        <v>0</v>
      </c>
      <c r="C8" s="2">
        <v>1</v>
      </c>
      <c r="D8" s="2">
        <v>0</v>
      </c>
      <c r="E8" s="2">
        <f t="shared" si="0"/>
        <v>0</v>
      </c>
    </row>
    <row r="9" spans="1:6" ht="23" x14ac:dyDescent="0.35">
      <c r="A9" s="12" t="s">
        <v>35</v>
      </c>
      <c r="B9" s="2">
        <v>0</v>
      </c>
      <c r="C9" s="2">
        <v>1</v>
      </c>
      <c r="D9" s="2">
        <v>0</v>
      </c>
      <c r="E9" s="2">
        <f t="shared" si="0"/>
        <v>0</v>
      </c>
    </row>
    <row r="10" spans="1:6" ht="23" x14ac:dyDescent="0.35">
      <c r="A10" s="12" t="s">
        <v>36</v>
      </c>
      <c r="B10" s="2">
        <v>0</v>
      </c>
      <c r="C10" s="2">
        <v>1</v>
      </c>
      <c r="D10" s="2">
        <v>0</v>
      </c>
      <c r="E10" s="2">
        <f t="shared" si="0"/>
        <v>0</v>
      </c>
    </row>
    <row r="11" spans="1:6" ht="23" x14ac:dyDescent="0.35">
      <c r="A11" s="12" t="s">
        <v>37</v>
      </c>
      <c r="B11" s="2">
        <v>0</v>
      </c>
      <c r="C11" s="2">
        <v>1</v>
      </c>
      <c r="D11" s="2">
        <v>0</v>
      </c>
      <c r="E11" s="2">
        <f t="shared" si="0"/>
        <v>0</v>
      </c>
    </row>
    <row r="12" spans="1:6" x14ac:dyDescent="0.35">
      <c r="A12" s="12" t="s">
        <v>38</v>
      </c>
      <c r="B12" s="2">
        <f>0.2*Respondents!F10</f>
        <v>1.8</v>
      </c>
      <c r="C12" s="2">
        <v>2</v>
      </c>
      <c r="D12" s="2">
        <v>0</v>
      </c>
      <c r="E12" s="2">
        <f t="shared" si="0"/>
        <v>3.6</v>
      </c>
    </row>
    <row r="13" spans="1:6" x14ac:dyDescent="0.35">
      <c r="A13" s="12" t="s">
        <v>39</v>
      </c>
      <c r="B13" s="2">
        <f>0.8*Respondents!F10</f>
        <v>7.2</v>
      </c>
      <c r="C13" s="2">
        <v>2</v>
      </c>
      <c r="D13" s="2">
        <v>0</v>
      </c>
      <c r="E13" s="2">
        <f t="shared" si="0"/>
        <v>14.4</v>
      </c>
    </row>
    <row r="14" spans="1:6" ht="48.5" x14ac:dyDescent="0.35">
      <c r="A14" s="12" t="s">
        <v>142</v>
      </c>
      <c r="B14" s="2">
        <f>Respondents!F10</f>
        <v>9</v>
      </c>
      <c r="C14" s="2">
        <f>1/5</f>
        <v>0.2</v>
      </c>
      <c r="D14" s="2">
        <v>0</v>
      </c>
      <c r="E14" s="2">
        <f t="shared" si="0"/>
        <v>1.8</v>
      </c>
    </row>
    <row r="15" spans="1:6" x14ac:dyDescent="0.35">
      <c r="A15" s="12" t="s">
        <v>40</v>
      </c>
      <c r="B15" s="85">
        <f>'Table 1'!E25</f>
        <v>1</v>
      </c>
      <c r="C15" s="2">
        <v>1</v>
      </c>
      <c r="D15" s="2">
        <v>0</v>
      </c>
      <c r="E15" s="2">
        <f>B15*C15</f>
        <v>1</v>
      </c>
      <c r="F15" s="1"/>
    </row>
    <row r="16" spans="1:6" x14ac:dyDescent="0.35">
      <c r="A16" s="12"/>
      <c r="B16" s="2"/>
      <c r="C16" s="2"/>
      <c r="D16" s="2" t="s">
        <v>16</v>
      </c>
      <c r="E16" s="13">
        <f>SUM(E6:E15)</f>
        <v>20.8</v>
      </c>
    </row>
    <row r="18" spans="1:5" ht="37.5" customHeight="1" x14ac:dyDescent="0.35">
      <c r="A18" s="103" t="s">
        <v>143</v>
      </c>
      <c r="B18" s="103"/>
      <c r="C18" s="103"/>
      <c r="D18" s="103"/>
      <c r="E18" s="103"/>
    </row>
  </sheetData>
  <mergeCells count="2">
    <mergeCell ref="A2:E2"/>
    <mergeCell ref="A18:E18"/>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
  <sheetViews>
    <sheetView workbookViewId="0">
      <selection activeCell="H27" sqref="H27"/>
    </sheetView>
  </sheetViews>
  <sheetFormatPr defaultRowHeight="14.5" x14ac:dyDescent="0.35"/>
  <sheetData>
    <row r="2" spans="1:8" ht="15" x14ac:dyDescent="0.35">
      <c r="A2" s="99" t="s">
        <v>17</v>
      </c>
      <c r="B2" s="99"/>
      <c r="C2" s="99"/>
      <c r="D2" s="99"/>
      <c r="E2" s="99"/>
      <c r="F2" s="99"/>
    </row>
    <row r="3" spans="1:8" x14ac:dyDescent="0.35">
      <c r="A3" s="7"/>
      <c r="B3" s="4"/>
      <c r="C3" s="4"/>
      <c r="D3" s="4"/>
      <c r="E3" s="4"/>
      <c r="F3" s="4"/>
    </row>
    <row r="4" spans="1:8" x14ac:dyDescent="0.35">
      <c r="A4" s="3"/>
      <c r="B4" s="4" t="s">
        <v>1</v>
      </c>
      <c r="C4" s="4" t="s">
        <v>3</v>
      </c>
      <c r="D4" s="4" t="s">
        <v>5</v>
      </c>
      <c r="E4" s="4" t="s">
        <v>7</v>
      </c>
      <c r="F4" s="4" t="s">
        <v>9</v>
      </c>
    </row>
    <row r="5" spans="1:8" ht="117" x14ac:dyDescent="0.35">
      <c r="A5" s="4" t="s">
        <v>18</v>
      </c>
      <c r="B5" s="4" t="s">
        <v>19</v>
      </c>
      <c r="C5" s="4" t="s">
        <v>20</v>
      </c>
      <c r="D5" s="4" t="s">
        <v>21</v>
      </c>
      <c r="E5" s="4" t="s">
        <v>22</v>
      </c>
      <c r="F5" s="4" t="s">
        <v>17</v>
      </c>
    </row>
    <row r="6" spans="1:8" ht="26" x14ac:dyDescent="0.35">
      <c r="A6" s="5"/>
      <c r="B6" s="5"/>
      <c r="C6" s="5"/>
      <c r="D6" s="5"/>
      <c r="E6" s="5"/>
      <c r="F6" s="6" t="s">
        <v>23</v>
      </c>
    </row>
    <row r="7" spans="1:8" x14ac:dyDescent="0.35">
      <c r="A7" s="2">
        <v>1</v>
      </c>
      <c r="B7" s="2">
        <v>0</v>
      </c>
      <c r="C7" s="2">
        <v>9</v>
      </c>
      <c r="D7" s="2">
        <v>0</v>
      </c>
      <c r="E7" s="2">
        <v>0</v>
      </c>
      <c r="F7" s="2">
        <f>B7+C7+D7-E7</f>
        <v>9</v>
      </c>
      <c r="H7" s="1"/>
    </row>
    <row r="8" spans="1:8" x14ac:dyDescent="0.35">
      <c r="A8" s="2">
        <v>2</v>
      </c>
      <c r="B8" s="2">
        <v>0</v>
      </c>
      <c r="C8" s="2">
        <v>9</v>
      </c>
      <c r="D8" s="2">
        <v>0</v>
      </c>
      <c r="E8" s="2">
        <v>0</v>
      </c>
      <c r="F8" s="2">
        <f>B8+C8+D8-E8</f>
        <v>9</v>
      </c>
    </row>
    <row r="9" spans="1:8" x14ac:dyDescent="0.35">
      <c r="A9" s="2">
        <v>3</v>
      </c>
      <c r="B9" s="2">
        <v>0</v>
      </c>
      <c r="C9" s="2">
        <v>9</v>
      </c>
      <c r="D9" s="2">
        <v>0</v>
      </c>
      <c r="E9" s="2">
        <v>0</v>
      </c>
      <c r="F9" s="2">
        <f>B9+C9+D9-E9</f>
        <v>9</v>
      </c>
    </row>
    <row r="10" spans="1:8" x14ac:dyDescent="0.35">
      <c r="A10" s="2" t="s">
        <v>24</v>
      </c>
      <c r="B10" s="2">
        <f t="shared" ref="B10:E10" si="0">AVERAGE(B7:B9)</f>
        <v>0</v>
      </c>
      <c r="C10" s="2">
        <f t="shared" si="0"/>
        <v>9</v>
      </c>
      <c r="D10" s="2">
        <f t="shared" si="0"/>
        <v>0</v>
      </c>
      <c r="E10" s="2">
        <f t="shared" si="0"/>
        <v>0</v>
      </c>
      <c r="F10" s="2">
        <f>AVERAGE(F7:F9)</f>
        <v>9</v>
      </c>
    </row>
  </sheetData>
  <mergeCells count="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16A6-E4B7-4041-8BAC-D614FF302644}">
  <dimension ref="A1:I51"/>
  <sheetViews>
    <sheetView topLeftCell="A21" workbookViewId="0">
      <selection activeCell="N27" sqref="N27"/>
    </sheetView>
  </sheetViews>
  <sheetFormatPr defaultRowHeight="14.5" x14ac:dyDescent="0.35"/>
  <cols>
    <col min="1" max="1" width="29.453125" bestFit="1" customWidth="1"/>
    <col min="2" max="2" width="17.453125" bestFit="1" customWidth="1"/>
    <col min="3" max="3" width="11.7265625" customWidth="1"/>
    <col min="4" max="4" width="12.54296875" bestFit="1" customWidth="1"/>
    <col min="5" max="5" width="13.26953125" bestFit="1" customWidth="1"/>
    <col min="7" max="7" width="14.54296875" customWidth="1"/>
    <col min="8" max="8" width="21.54296875" customWidth="1"/>
  </cols>
  <sheetData>
    <row r="1" spans="1:9" ht="15" thickBot="1" x14ac:dyDescent="0.4">
      <c r="A1" s="48" t="s">
        <v>177</v>
      </c>
      <c r="B1" s="30"/>
      <c r="C1" s="30"/>
      <c r="D1" s="30"/>
      <c r="E1" s="30"/>
      <c r="F1" s="30"/>
      <c r="G1" s="30"/>
      <c r="H1" s="30"/>
    </row>
    <row r="2" spans="1:9" ht="30" customHeight="1" thickBot="1" x14ac:dyDescent="0.4">
      <c r="A2" s="104" t="s">
        <v>144</v>
      </c>
      <c r="B2" s="105"/>
      <c r="C2" s="108" t="s">
        <v>187</v>
      </c>
      <c r="D2" s="109"/>
      <c r="E2" s="110"/>
      <c r="F2" s="108" t="s">
        <v>145</v>
      </c>
      <c r="G2" s="110"/>
      <c r="H2" s="111" t="s">
        <v>144</v>
      </c>
      <c r="I2" s="47"/>
    </row>
    <row r="3" spans="1:9" x14ac:dyDescent="0.35">
      <c r="A3" s="104"/>
      <c r="B3" s="105"/>
      <c r="C3" s="49" t="s">
        <v>146</v>
      </c>
      <c r="D3" s="49" t="s">
        <v>148</v>
      </c>
      <c r="E3" s="49" t="s">
        <v>148</v>
      </c>
      <c r="F3" s="49" t="s">
        <v>151</v>
      </c>
      <c r="G3" s="49" t="s">
        <v>148</v>
      </c>
      <c r="H3" s="111"/>
      <c r="I3" s="113"/>
    </row>
    <row r="4" spans="1:9" ht="15" thickBot="1" x14ac:dyDescent="0.4">
      <c r="A4" s="106"/>
      <c r="B4" s="107"/>
      <c r="C4" s="49" t="s">
        <v>147</v>
      </c>
      <c r="D4" s="49" t="s">
        <v>149</v>
      </c>
      <c r="E4" s="49" t="s">
        <v>150</v>
      </c>
      <c r="F4" s="49" t="s">
        <v>152</v>
      </c>
      <c r="G4" s="49" t="s">
        <v>153</v>
      </c>
      <c r="H4" s="112"/>
      <c r="I4" s="113"/>
    </row>
    <row r="5" spans="1:9" ht="26.5" thickBot="1" x14ac:dyDescent="0.4">
      <c r="A5" s="50" t="s">
        <v>154</v>
      </c>
      <c r="B5" s="51" t="s">
        <v>155</v>
      </c>
      <c r="C5" s="52"/>
      <c r="D5" s="51" t="s">
        <v>188</v>
      </c>
      <c r="E5" s="51" t="s">
        <v>188</v>
      </c>
      <c r="F5" s="53"/>
      <c r="G5" s="51" t="s">
        <v>189</v>
      </c>
      <c r="H5" s="54" t="s">
        <v>156</v>
      </c>
      <c r="I5" s="47"/>
    </row>
    <row r="6" spans="1:9" ht="15" thickBot="1" x14ac:dyDescent="0.4">
      <c r="A6" s="55" t="s">
        <v>157</v>
      </c>
      <c r="B6" s="56" t="s">
        <v>158</v>
      </c>
      <c r="C6" s="57">
        <v>1</v>
      </c>
      <c r="D6" s="58">
        <v>2800</v>
      </c>
      <c r="E6" s="57">
        <v>800</v>
      </c>
      <c r="F6" s="57">
        <v>1</v>
      </c>
      <c r="G6" s="58">
        <v>3000</v>
      </c>
      <c r="H6" s="59">
        <v>6600</v>
      </c>
      <c r="I6" s="47"/>
    </row>
    <row r="7" spans="1:9" ht="15" thickBot="1" x14ac:dyDescent="0.4">
      <c r="A7" s="55" t="s">
        <v>159</v>
      </c>
      <c r="B7" s="56" t="s">
        <v>160</v>
      </c>
      <c r="C7" s="57">
        <v>2</v>
      </c>
      <c r="D7" s="58">
        <v>5200</v>
      </c>
      <c r="E7" s="58">
        <v>1600</v>
      </c>
      <c r="F7" s="57">
        <v>1</v>
      </c>
      <c r="G7" s="58">
        <v>3000</v>
      </c>
      <c r="H7" s="59">
        <v>9800</v>
      </c>
      <c r="I7" s="47"/>
    </row>
    <row r="8" spans="1:9" ht="29.25" customHeight="1" x14ac:dyDescent="0.35">
      <c r="A8" s="60" t="s">
        <v>161</v>
      </c>
      <c r="B8" s="119" t="s">
        <v>163</v>
      </c>
      <c r="C8" s="114">
        <v>2</v>
      </c>
      <c r="D8" s="121">
        <v>5200</v>
      </c>
      <c r="E8" s="121">
        <v>1600</v>
      </c>
      <c r="F8" s="114">
        <v>0</v>
      </c>
      <c r="G8" s="114">
        <v>0</v>
      </c>
      <c r="H8" s="116">
        <v>6800</v>
      </c>
      <c r="I8" s="118"/>
    </row>
    <row r="9" spans="1:9" ht="15" thickBot="1" x14ac:dyDescent="0.4">
      <c r="A9" s="55" t="s">
        <v>162</v>
      </c>
      <c r="B9" s="120"/>
      <c r="C9" s="115"/>
      <c r="D9" s="122"/>
      <c r="E9" s="122"/>
      <c r="F9" s="115"/>
      <c r="G9" s="115"/>
      <c r="H9" s="117"/>
      <c r="I9" s="118"/>
    </row>
    <row r="10" spans="1:9" x14ac:dyDescent="0.35">
      <c r="A10" s="60" t="s">
        <v>161</v>
      </c>
      <c r="B10" s="119" t="s">
        <v>164</v>
      </c>
      <c r="C10" s="114">
        <v>1</v>
      </c>
      <c r="D10" s="121">
        <v>2800</v>
      </c>
      <c r="E10" s="114">
        <v>800</v>
      </c>
      <c r="F10" s="114">
        <v>0</v>
      </c>
      <c r="G10" s="114">
        <v>0</v>
      </c>
      <c r="H10" s="116">
        <v>3600</v>
      </c>
      <c r="I10" s="118"/>
    </row>
    <row r="11" spans="1:9" ht="15" thickBot="1" x14ac:dyDescent="0.4">
      <c r="A11" s="55" t="s">
        <v>162</v>
      </c>
      <c r="B11" s="120"/>
      <c r="C11" s="115"/>
      <c r="D11" s="122"/>
      <c r="E11" s="115"/>
      <c r="F11" s="115"/>
      <c r="G11" s="115"/>
      <c r="H11" s="117"/>
      <c r="I11" s="118"/>
    </row>
    <row r="12" spans="1:9" ht="15" thickBot="1" x14ac:dyDescent="0.4">
      <c r="A12" s="55" t="s">
        <v>165</v>
      </c>
      <c r="B12" s="56" t="s">
        <v>166</v>
      </c>
      <c r="C12" s="57">
        <v>2</v>
      </c>
      <c r="D12" s="58">
        <v>5200</v>
      </c>
      <c r="E12" s="58">
        <v>1600</v>
      </c>
      <c r="F12" s="57">
        <v>0</v>
      </c>
      <c r="G12" s="57">
        <v>0</v>
      </c>
      <c r="H12" s="59">
        <v>6800</v>
      </c>
      <c r="I12" s="47"/>
    </row>
    <row r="13" spans="1:9" ht="15" thickBot="1" x14ac:dyDescent="0.4">
      <c r="A13" s="55" t="s">
        <v>167</v>
      </c>
      <c r="B13" s="56" t="s">
        <v>168</v>
      </c>
      <c r="C13" s="57">
        <v>2</v>
      </c>
      <c r="D13" s="58">
        <v>5200</v>
      </c>
      <c r="E13" s="58">
        <v>1600</v>
      </c>
      <c r="F13" s="57">
        <v>0</v>
      </c>
      <c r="G13" s="57">
        <v>0</v>
      </c>
      <c r="H13" s="59">
        <v>6800</v>
      </c>
      <c r="I13" s="47"/>
    </row>
    <row r="14" spans="1:9" ht="15" thickBot="1" x14ac:dyDescent="0.4">
      <c r="A14" s="55" t="s">
        <v>169</v>
      </c>
      <c r="B14" s="56" t="s">
        <v>170</v>
      </c>
      <c r="C14" s="57">
        <v>1</v>
      </c>
      <c r="D14" s="58">
        <v>2800</v>
      </c>
      <c r="E14" s="57">
        <v>800</v>
      </c>
      <c r="F14" s="57">
        <v>1</v>
      </c>
      <c r="G14" s="58">
        <v>3000</v>
      </c>
      <c r="H14" s="59">
        <v>6600</v>
      </c>
      <c r="I14" s="47"/>
    </row>
    <row r="15" spans="1:9" ht="15" thickBot="1" x14ac:dyDescent="0.4">
      <c r="A15" s="55" t="s">
        <v>171</v>
      </c>
      <c r="B15" s="56" t="s">
        <v>172</v>
      </c>
      <c r="C15" s="57">
        <v>2</v>
      </c>
      <c r="D15" s="58">
        <v>5200</v>
      </c>
      <c r="E15" s="58">
        <v>1600</v>
      </c>
      <c r="F15" s="57">
        <v>2</v>
      </c>
      <c r="G15" s="58">
        <v>5400</v>
      </c>
      <c r="H15" s="59">
        <v>12200</v>
      </c>
      <c r="I15" s="47"/>
    </row>
    <row r="16" spans="1:9" ht="15" thickBot="1" x14ac:dyDescent="0.4">
      <c r="A16" s="126" t="s">
        <v>173</v>
      </c>
      <c r="B16" s="127"/>
      <c r="C16" s="57">
        <v>13</v>
      </c>
      <c r="D16" s="61">
        <v>34400</v>
      </c>
      <c r="E16" s="61">
        <v>10400</v>
      </c>
      <c r="F16" s="57">
        <v>5</v>
      </c>
      <c r="G16" s="61">
        <v>14400</v>
      </c>
      <c r="H16" s="62">
        <v>59200</v>
      </c>
      <c r="I16" s="47"/>
    </row>
    <row r="17" spans="1:8" x14ac:dyDescent="0.35">
      <c r="A17" s="30"/>
      <c r="B17" s="30"/>
      <c r="C17" s="30"/>
      <c r="D17" s="30"/>
      <c r="E17" s="30"/>
      <c r="F17" s="30"/>
      <c r="G17" s="30"/>
      <c r="H17" s="30"/>
    </row>
    <row r="18" spans="1:8" x14ac:dyDescent="0.35">
      <c r="A18" s="63" t="s">
        <v>174</v>
      </c>
      <c r="B18" s="30"/>
      <c r="C18" s="30"/>
      <c r="D18" s="30"/>
      <c r="E18" s="30"/>
      <c r="F18" s="30"/>
      <c r="G18" s="30"/>
      <c r="H18" s="30"/>
    </row>
    <row r="19" spans="1:8" x14ac:dyDescent="0.35">
      <c r="A19" s="63" t="s">
        <v>175</v>
      </c>
      <c r="B19" s="30"/>
      <c r="C19" s="30"/>
      <c r="D19" s="30"/>
      <c r="E19" s="30"/>
      <c r="F19" s="30"/>
      <c r="G19" s="30"/>
      <c r="H19" s="30"/>
    </row>
    <row r="20" spans="1:8" x14ac:dyDescent="0.35">
      <c r="A20" s="63" t="s">
        <v>176</v>
      </c>
      <c r="B20" s="30"/>
      <c r="C20" s="30"/>
      <c r="D20" s="30"/>
      <c r="E20" s="30"/>
      <c r="F20" s="30"/>
      <c r="G20" s="30"/>
      <c r="H20" s="30"/>
    </row>
    <row r="21" spans="1:8" x14ac:dyDescent="0.35">
      <c r="A21" s="30"/>
      <c r="B21" s="30"/>
      <c r="C21" s="30"/>
      <c r="D21" s="30"/>
      <c r="E21" s="30"/>
      <c r="F21" s="30"/>
      <c r="G21" s="30"/>
      <c r="H21" s="30"/>
    </row>
    <row r="22" spans="1:8" x14ac:dyDescent="0.35">
      <c r="A22" s="30"/>
      <c r="B22" s="30"/>
      <c r="C22" s="30"/>
      <c r="D22" s="30"/>
      <c r="E22" s="30"/>
      <c r="F22" s="30"/>
      <c r="G22" s="30"/>
      <c r="H22" s="30"/>
    </row>
    <row r="23" spans="1:8" ht="15" thickBot="1" x14ac:dyDescent="0.4">
      <c r="A23" s="64" t="s">
        <v>178</v>
      </c>
      <c r="B23" s="30"/>
      <c r="C23" s="30"/>
      <c r="D23" s="30"/>
      <c r="E23" s="30"/>
      <c r="F23" s="30"/>
      <c r="G23" s="30"/>
      <c r="H23" s="30"/>
    </row>
    <row r="24" spans="1:8" ht="54.5" thickBot="1" x14ac:dyDescent="0.4">
      <c r="A24" s="65" t="s">
        <v>190</v>
      </c>
      <c r="B24" s="66" t="s">
        <v>155</v>
      </c>
      <c r="C24" s="66" t="s">
        <v>192</v>
      </c>
      <c r="D24" s="67" t="s">
        <v>195</v>
      </c>
      <c r="E24" s="67" t="s">
        <v>197</v>
      </c>
      <c r="F24" s="67" t="s">
        <v>194</v>
      </c>
      <c r="G24" s="67" t="s">
        <v>198</v>
      </c>
      <c r="H24" s="67" t="s">
        <v>196</v>
      </c>
    </row>
    <row r="25" spans="1:8" ht="15" thickBot="1" x14ac:dyDescent="0.4">
      <c r="A25" s="55" t="s">
        <v>183</v>
      </c>
      <c r="B25" s="56" t="s">
        <v>158</v>
      </c>
      <c r="C25" s="57">
        <v>1</v>
      </c>
      <c r="D25" s="72">
        <f>2800*(596.2/585.7)</f>
        <v>2850.1963462523477</v>
      </c>
      <c r="E25" s="72">
        <f>800*(596.2/585.7)</f>
        <v>814.34181321495646</v>
      </c>
      <c r="F25" s="57">
        <v>1</v>
      </c>
      <c r="G25" s="58">
        <f>3000*(596.2/585.7)</f>
        <v>3053.7817995560868</v>
      </c>
      <c r="H25" s="61">
        <f>D25+E25+G25</f>
        <v>6718.3199590233908</v>
      </c>
    </row>
    <row r="26" spans="1:8" ht="15" thickBot="1" x14ac:dyDescent="0.4">
      <c r="A26" s="68" t="s">
        <v>181</v>
      </c>
      <c r="B26" s="68" t="s">
        <v>160</v>
      </c>
      <c r="C26" s="69">
        <v>2</v>
      </c>
      <c r="D26" s="73">
        <f>(2800*(596.2/585.7))+(2400*(596.2/585.7))</f>
        <v>5293.2217858972172</v>
      </c>
      <c r="E26" s="73">
        <f>1600*(596.2/585.7)</f>
        <v>1628.6836264299129</v>
      </c>
      <c r="F26" s="69">
        <v>1</v>
      </c>
      <c r="G26" s="58">
        <f>3000*(596.2/585.7)</f>
        <v>3053.7817995560868</v>
      </c>
      <c r="H26" s="61">
        <f t="shared" ref="H26:H33" si="0">D26+E26+G26</f>
        <v>9975.6872118832162</v>
      </c>
    </row>
    <row r="27" spans="1:8" ht="15" thickBot="1" x14ac:dyDescent="0.4">
      <c r="A27" s="68" t="s">
        <v>184</v>
      </c>
      <c r="B27" s="68" t="s">
        <v>163</v>
      </c>
      <c r="C27" s="69">
        <v>2</v>
      </c>
      <c r="D27" s="73">
        <f>(2800*(596.2/585.7))+(2400*(596.2/585.7))</f>
        <v>5293.2217858972172</v>
      </c>
      <c r="E27" s="73">
        <f>1600*(596.2/585.7)</f>
        <v>1628.6836264299129</v>
      </c>
      <c r="F27" s="69">
        <v>0</v>
      </c>
      <c r="G27" s="69">
        <v>0</v>
      </c>
      <c r="H27" s="61">
        <f t="shared" si="0"/>
        <v>6921.9054123271299</v>
      </c>
    </row>
    <row r="28" spans="1:8" ht="15" thickBot="1" x14ac:dyDescent="0.4">
      <c r="A28" s="68" t="s">
        <v>184</v>
      </c>
      <c r="B28" s="68" t="s">
        <v>164</v>
      </c>
      <c r="C28" s="69">
        <v>1</v>
      </c>
      <c r="D28" s="72">
        <f>2800*(596.2/585.7)</f>
        <v>2850.1963462523477</v>
      </c>
      <c r="E28" s="73">
        <f>800*(596.2/585.7)</f>
        <v>814.34181321495646</v>
      </c>
      <c r="F28" s="69">
        <v>0</v>
      </c>
      <c r="G28" s="69">
        <v>0</v>
      </c>
      <c r="H28" s="61">
        <f t="shared" si="0"/>
        <v>3664.538159467304</v>
      </c>
    </row>
    <row r="29" spans="1:8" ht="15" thickBot="1" x14ac:dyDescent="0.4">
      <c r="A29" s="68" t="s">
        <v>185</v>
      </c>
      <c r="B29" s="68" t="s">
        <v>166</v>
      </c>
      <c r="C29" s="69">
        <v>2</v>
      </c>
      <c r="D29" s="73">
        <f>(2800*(596.2/585.7))+(2400*(596.2/585.7))</f>
        <v>5293.2217858972172</v>
      </c>
      <c r="E29" s="73">
        <f>1600*(596.2/585.7)</f>
        <v>1628.6836264299129</v>
      </c>
      <c r="F29" s="69">
        <v>0</v>
      </c>
      <c r="G29" s="69">
        <v>0</v>
      </c>
      <c r="H29" s="61">
        <f t="shared" si="0"/>
        <v>6921.9054123271299</v>
      </c>
    </row>
    <row r="30" spans="1:8" ht="15" thickBot="1" x14ac:dyDescent="0.4">
      <c r="A30" s="55" t="s">
        <v>186</v>
      </c>
      <c r="B30" s="56" t="s">
        <v>168</v>
      </c>
      <c r="C30" s="57">
        <v>2</v>
      </c>
      <c r="D30" s="73">
        <f>(2800*(596.2/585.7))+(2400*(596.2/585.7))</f>
        <v>5293.2217858972172</v>
      </c>
      <c r="E30" s="72">
        <f>1600*(596.2/585.7)</f>
        <v>1628.6836264299129</v>
      </c>
      <c r="F30" s="57">
        <v>0</v>
      </c>
      <c r="G30" s="57">
        <v>0</v>
      </c>
      <c r="H30" s="61">
        <f t="shared" si="0"/>
        <v>6921.9054123271299</v>
      </c>
    </row>
    <row r="31" spans="1:8" ht="15" thickBot="1" x14ac:dyDescent="0.4">
      <c r="A31" s="55" t="s">
        <v>171</v>
      </c>
      <c r="B31" s="56" t="s">
        <v>172</v>
      </c>
      <c r="C31" s="57">
        <v>2</v>
      </c>
      <c r="D31" s="73">
        <f>(2800*(596.2/585.7))+(2400*(596.2/585.7))</f>
        <v>5293.2217858972172</v>
      </c>
      <c r="E31" s="72">
        <f>1600*(596.2/585.7)</f>
        <v>1628.6836264299129</v>
      </c>
      <c r="F31" s="57">
        <v>2</v>
      </c>
      <c r="G31" s="58">
        <f>(3000*(596.2/585.7))+(2400*(596.2/585.7))</f>
        <v>5496.8072392009562</v>
      </c>
      <c r="H31" s="61">
        <f t="shared" si="0"/>
        <v>12418.712651528087</v>
      </c>
    </row>
    <row r="32" spans="1:8" ht="15" thickBot="1" x14ac:dyDescent="0.4">
      <c r="A32" s="55" t="s">
        <v>179</v>
      </c>
      <c r="B32" s="56" t="s">
        <v>180</v>
      </c>
      <c r="C32" s="57">
        <v>1</v>
      </c>
      <c r="D32" s="72">
        <f>2800*(596.2/585.7)</f>
        <v>2850.1963462523477</v>
      </c>
      <c r="E32" s="72">
        <f>800*(596.2/585.7)</f>
        <v>814.34181321495646</v>
      </c>
      <c r="F32" s="57">
        <v>1</v>
      </c>
      <c r="G32" s="58">
        <f>3000*(596.2/585.7)</f>
        <v>3053.7817995560868</v>
      </c>
      <c r="H32" s="61">
        <f t="shared" si="0"/>
        <v>6718.3199590233908</v>
      </c>
    </row>
    <row r="33" spans="1:8" ht="15" thickBot="1" x14ac:dyDescent="0.4">
      <c r="A33" s="74" t="s">
        <v>181</v>
      </c>
      <c r="B33" s="68" t="s">
        <v>182</v>
      </c>
      <c r="C33" s="69">
        <v>1</v>
      </c>
      <c r="D33" s="73">
        <f>2800*(596.2/585.7)</f>
        <v>2850.1963462523477</v>
      </c>
      <c r="E33" s="73">
        <f>800*(596.2/585.7)</f>
        <v>814.34181321495646</v>
      </c>
      <c r="F33" s="69">
        <v>1</v>
      </c>
      <c r="G33" s="70">
        <f>3000*(596.2/585.7)</f>
        <v>3053.7817995560868</v>
      </c>
      <c r="H33" s="61">
        <f t="shared" si="0"/>
        <v>6718.3199590233908</v>
      </c>
    </row>
    <row r="34" spans="1:8" ht="15" thickBot="1" x14ac:dyDescent="0.4">
      <c r="A34" s="30"/>
      <c r="B34" s="75" t="s">
        <v>16</v>
      </c>
      <c r="C34" s="75">
        <f>SUM(C25:C33)</f>
        <v>14</v>
      </c>
      <c r="D34" s="76">
        <f>SUM(D25:D33)</f>
        <v>37866.894314495476</v>
      </c>
      <c r="E34" s="76">
        <f>SUM(E25:E33)</f>
        <v>11400.785385009391</v>
      </c>
      <c r="F34" s="75">
        <f t="shared" ref="F34" si="1">SUM(F25:F33)</f>
        <v>6</v>
      </c>
      <c r="G34" s="76">
        <f>SUM(G25:G33)</f>
        <v>17711.934437425305</v>
      </c>
      <c r="H34" s="76">
        <f>SUM(H25:H33)</f>
        <v>66979.614136930177</v>
      </c>
    </row>
    <row r="35" spans="1:8" ht="27" thickBot="1" x14ac:dyDescent="0.4">
      <c r="A35" s="30"/>
      <c r="B35" s="77" t="s">
        <v>200</v>
      </c>
      <c r="C35" s="78">
        <f>AVERAGE(C25:C33)</f>
        <v>1.5555555555555556</v>
      </c>
      <c r="D35" s="80">
        <f t="shared" ref="D35:F35" si="2">AVERAGE(D25:D33)</f>
        <v>4207.4327016106081</v>
      </c>
      <c r="E35" s="80">
        <f t="shared" si="2"/>
        <v>1266.75393166771</v>
      </c>
      <c r="F35" s="79">
        <f t="shared" si="2"/>
        <v>0.66666666666666663</v>
      </c>
      <c r="G35" s="80">
        <f>AVERAGE(G25:G33)</f>
        <v>1967.9927152694784</v>
      </c>
      <c r="H35" s="81">
        <f>AVERAGE(H25:H33)</f>
        <v>7442.1793485477974</v>
      </c>
    </row>
    <row r="36" spans="1:8" ht="43.5" customHeight="1" x14ac:dyDescent="0.35">
      <c r="A36" s="124" t="s">
        <v>191</v>
      </c>
      <c r="B36" s="124"/>
      <c r="C36" s="124"/>
      <c r="D36" s="124"/>
      <c r="E36" s="124"/>
      <c r="F36" s="124"/>
      <c r="G36" s="124"/>
      <c r="H36" s="124"/>
    </row>
    <row r="37" spans="1:8" ht="28.5" customHeight="1" x14ac:dyDescent="0.35">
      <c r="A37" s="123" t="s">
        <v>193</v>
      </c>
      <c r="B37" s="123"/>
      <c r="C37" s="123"/>
      <c r="D37" s="123"/>
      <c r="E37" s="123"/>
      <c r="F37" s="123"/>
      <c r="G37" s="123"/>
      <c r="H37" s="123"/>
    </row>
    <row r="38" spans="1:8" ht="60" customHeight="1" x14ac:dyDescent="0.35">
      <c r="A38" s="125" t="s">
        <v>199</v>
      </c>
      <c r="B38" s="123"/>
      <c r="C38" s="123"/>
      <c r="D38" s="123"/>
      <c r="E38" s="123"/>
      <c r="F38" s="123"/>
      <c r="G38" s="123"/>
      <c r="H38" s="123"/>
    </row>
    <row r="39" spans="1:8" x14ac:dyDescent="0.35">
      <c r="A39" s="71"/>
    </row>
    <row r="40" spans="1:8" x14ac:dyDescent="0.35">
      <c r="A40" s="71"/>
    </row>
    <row r="41" spans="1:8" x14ac:dyDescent="0.35">
      <c r="A41" s="71"/>
    </row>
    <row r="42" spans="1:8" x14ac:dyDescent="0.35">
      <c r="A42" s="71"/>
    </row>
    <row r="43" spans="1:8" x14ac:dyDescent="0.35">
      <c r="A43" s="71"/>
    </row>
    <row r="44" spans="1:8" x14ac:dyDescent="0.35">
      <c r="A44" s="71"/>
    </row>
    <row r="45" spans="1:8" x14ac:dyDescent="0.35">
      <c r="A45" s="71"/>
    </row>
    <row r="46" spans="1:8" x14ac:dyDescent="0.35">
      <c r="A46" s="71"/>
    </row>
    <row r="47" spans="1:8" x14ac:dyDescent="0.35">
      <c r="A47" s="71"/>
    </row>
    <row r="48" spans="1:8" x14ac:dyDescent="0.35">
      <c r="A48" s="71"/>
    </row>
    <row r="49" spans="1:1" x14ac:dyDescent="0.35">
      <c r="A49" s="71"/>
    </row>
    <row r="50" spans="1:1" x14ac:dyDescent="0.35">
      <c r="A50" s="71"/>
    </row>
    <row r="51" spans="1:1" x14ac:dyDescent="0.35">
      <c r="A51" s="71"/>
    </row>
  </sheetData>
  <mergeCells count="25">
    <mergeCell ref="A37:H37"/>
    <mergeCell ref="A36:H36"/>
    <mergeCell ref="A38:H38"/>
    <mergeCell ref="I10:I11"/>
    <mergeCell ref="A16:B16"/>
    <mergeCell ref="G8:G9"/>
    <mergeCell ref="H8:H9"/>
    <mergeCell ref="I8:I9"/>
    <mergeCell ref="B10:B11"/>
    <mergeCell ref="C10:C11"/>
    <mergeCell ref="D10:D11"/>
    <mergeCell ref="E10:E11"/>
    <mergeCell ref="F10:F11"/>
    <mergeCell ref="G10:G11"/>
    <mergeCell ref="H10:H11"/>
    <mergeCell ref="B8:B9"/>
    <mergeCell ref="C8:C9"/>
    <mergeCell ref="D8:D9"/>
    <mergeCell ref="E8:E9"/>
    <mergeCell ref="F8:F9"/>
    <mergeCell ref="A2:B4"/>
    <mergeCell ref="C2:E2"/>
    <mergeCell ref="F2:G2"/>
    <mergeCell ref="H2:H4"/>
    <mergeCell ref="I3:I4"/>
  </mergeCells>
  <pageMargins left="0.7" right="0.7" top="0.75" bottom="0.75" header="0.3" footer="0.3"/>
  <pageSetup orientation="portrait" horizontalDpi="4294967293" verticalDpi="0" r:id="rId1"/>
  <ignoredErrors>
    <ignoredError sqref="D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Table 1</vt:lpstr>
      <vt:lpstr>Table 2</vt:lpstr>
      <vt:lpstr>Capital O&amp;M</vt:lpstr>
      <vt:lpstr>Responses</vt:lpstr>
      <vt:lpstr>Respondents</vt:lpstr>
      <vt:lpstr>Test Cost 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2016-04-07T17:41:31Z</dcterms:created>
  <dcterms:modified xsi:type="dcterms:W3CDTF">2022-12-01T14:37:12Z</dcterms:modified>
</cp:coreProperties>
</file>