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23F741AF-2563-454C-9280-0E0210043BD5}" xr6:coauthVersionLast="47" xr6:coauthVersionMax="47" xr10:uidLastSave="{00000000-0000-0000-0000-000000000000}"/>
  <bookViews>
    <workbookView xWindow="-110" yWindow="-110" windowWidth="19420" windowHeight="10300" xr2:uid="{00000000-000D-0000-FFFF-FFFF00000000}"/>
  </bookViews>
  <sheets>
    <sheet name="Summary" sheetId="7" r:id="rId1"/>
    <sheet name="Table 1" sheetId="1" r:id="rId2"/>
    <sheet name="Table 2" sheetId="2" r:id="rId3"/>
    <sheet name="Capital O&amp;M" sheetId="6" r:id="rId4"/>
    <sheet name="Respondents" sheetId="4" r:id="rId5"/>
    <sheet name="Responses" sheetId="5" r:id="rId6"/>
  </sheets>
  <definedNames>
    <definedName name="_Hlk111804737" localSheetId="2">'Table 2'!$L$13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6" l="1"/>
  <c r="K26" i="1" l="1"/>
  <c r="B4" i="7"/>
  <c r="K24" i="1"/>
  <c r="B9" i="5" l="1"/>
  <c r="E9" i="5" s="1"/>
  <c r="B8" i="5"/>
  <c r="E8" i="5" s="1"/>
  <c r="E11" i="5" s="1"/>
  <c r="E18" i="5" s="1"/>
  <c r="D12" i="4"/>
  <c r="E12" i="4"/>
  <c r="B12" i="4"/>
  <c r="B23" i="4" s="1"/>
  <c r="F9" i="4"/>
  <c r="I10" i="2"/>
  <c r="F10" i="2"/>
  <c r="E8" i="2"/>
  <c r="E6" i="2"/>
  <c r="F24" i="1"/>
  <c r="E22" i="1"/>
  <c r="E21" i="1"/>
  <c r="I15" i="1"/>
  <c r="F15" i="1"/>
  <c r="E11" i="1"/>
  <c r="E10" i="1"/>
  <c r="E8" i="1"/>
  <c r="C10" i="4" l="1"/>
  <c r="K25" i="1"/>
  <c r="B7" i="7"/>
  <c r="G9" i="6"/>
  <c r="D9" i="6"/>
  <c r="G8" i="6"/>
  <c r="D8" i="6"/>
  <c r="G7" i="6"/>
  <c r="D7" i="6"/>
  <c r="G6" i="6"/>
  <c r="D6" i="6"/>
  <c r="G10" i="6" l="1"/>
  <c r="B6" i="7" s="1"/>
  <c r="D10" i="6"/>
  <c r="F10" i="4"/>
  <c r="I7" i="2"/>
  <c r="I26" i="1" l="1"/>
  <c r="C11" i="4"/>
  <c r="I9" i="2"/>
  <c r="F11" i="4" l="1"/>
  <c r="F12" i="4" s="1"/>
  <c r="F23" i="4" s="1"/>
  <c r="B3" i="7" s="1"/>
  <c r="C12" i="4"/>
  <c r="C23" i="4" s="1"/>
  <c r="D6" i="2"/>
  <c r="F6" i="2" s="1"/>
  <c r="D8" i="2"/>
  <c r="F8" i="2" s="1"/>
  <c r="D4" i="2"/>
  <c r="F4" i="2" s="1"/>
  <c r="D10" i="1"/>
  <c r="F10" i="1" s="1"/>
  <c r="G10" i="1" s="1"/>
  <c r="D11" i="1"/>
  <c r="F11" i="1" s="1"/>
  <c r="G11" i="1" s="1"/>
  <c r="D20" i="1"/>
  <c r="F20" i="1" s="1"/>
  <c r="D21" i="1"/>
  <c r="F21" i="1" s="1"/>
  <c r="D22" i="1"/>
  <c r="F22" i="1" s="1"/>
  <c r="D8" i="1"/>
  <c r="F8" i="1" s="1"/>
  <c r="H4" i="2" l="1"/>
  <c r="G4" i="2"/>
  <c r="H8" i="2"/>
  <c r="G8" i="2"/>
  <c r="I8" i="2" s="1"/>
  <c r="G6" i="2"/>
  <c r="H6" i="2"/>
  <c r="H21" i="1"/>
  <c r="G21" i="1"/>
  <c r="H22" i="1"/>
  <c r="G22" i="1"/>
  <c r="H8" i="1"/>
  <c r="G8" i="1"/>
  <c r="G20" i="1"/>
  <c r="H20" i="1"/>
  <c r="I20" i="1" s="1"/>
  <c r="H11" i="1"/>
  <c r="I11" i="1" s="1"/>
  <c r="H10" i="1"/>
  <c r="I6" i="2" l="1"/>
  <c r="F25" i="1"/>
  <c r="B2" i="7" s="1"/>
  <c r="I22" i="1"/>
  <c r="I8" i="1"/>
  <c r="I4" i="2"/>
  <c r="I21" i="1"/>
  <c r="I10" i="1"/>
  <c r="I24" i="1" l="1"/>
  <c r="I25" i="1" s="1"/>
  <c r="I27" i="1" s="1"/>
  <c r="B5" i="7" s="1"/>
</calcChain>
</file>

<file path=xl/sharedStrings.xml><?xml version="1.0" encoding="utf-8"?>
<sst xmlns="http://schemas.openxmlformats.org/spreadsheetml/2006/main" count="174" uniqueCount="134">
  <si>
    <t>Table 1: Annual Respondent Burden and Cost – NESHAP for Clay Ceramics Manufacturing, Glass Manufacturing, and Secondary Nonferrous Metals Processing (40 CFR Part 63, Subparts RRRRRR, SSSSSS, and TTTTTT) (Renewal)</t>
  </si>
  <si>
    <t>Burden Item</t>
  </si>
  <si>
    <t>1.  Applications</t>
  </si>
  <si>
    <t>N/A</t>
  </si>
  <si>
    <t>2.  Surveys and Studies</t>
  </si>
  <si>
    <t>3.  Acquisition, installation, and utilization of   technology  and systems</t>
  </si>
  <si>
    <t>4.  Reporting Requirements</t>
  </si>
  <si>
    <t>B.  Required activities</t>
  </si>
  <si>
    <r>
      <t xml:space="preserve">Initial notification of applicability </t>
    </r>
    <r>
      <rPr>
        <vertAlign val="superscript"/>
        <sz val="10"/>
        <color theme="1"/>
        <rFont val="Times New Roman"/>
        <family val="1"/>
      </rPr>
      <t>c</t>
    </r>
  </si>
  <si>
    <r>
      <t xml:space="preserve">Notification of compliance status </t>
    </r>
    <r>
      <rPr>
        <vertAlign val="superscript"/>
        <sz val="10"/>
        <color theme="1"/>
        <rFont val="Times New Roman"/>
        <family val="1"/>
      </rPr>
      <t>d</t>
    </r>
  </si>
  <si>
    <t>C.  Create information</t>
  </si>
  <si>
    <t>See 4B</t>
  </si>
  <si>
    <t>D.  Gather existing information</t>
  </si>
  <si>
    <t>E.  Write report</t>
  </si>
  <si>
    <t>Subtotal for Reporting Requirements</t>
  </si>
  <si>
    <t xml:space="preserve">5.  Recordkeeping Requirements </t>
  </si>
  <si>
    <t>B.  Plan activities</t>
  </si>
  <si>
    <t>See 5E</t>
  </si>
  <si>
    <t>C.  Implement activities</t>
  </si>
  <si>
    <t>Subtotal for Recordkeeping Requirements</t>
  </si>
  <si>
    <t xml:space="preserve">(A) 
Respondent Hours per Occurrence  </t>
  </si>
  <si>
    <t>(B) 
Number of Occurrences per Respondent per Year</t>
  </si>
  <si>
    <t xml:space="preserve">(C) 
Hours per Respondent per Year
(C=AxB)          </t>
  </si>
  <si>
    <t xml:space="preserve">(E)
Technical Hours per Year 
(E=CxD)        </t>
  </si>
  <si>
    <t xml:space="preserve">(F)
Management Hours per Year
(F=Ex0.05)        </t>
  </si>
  <si>
    <t xml:space="preserve">(G)
Clerical Hours per Year
(G=Ex0.1)        </t>
  </si>
  <si>
    <t>See 4A</t>
  </si>
  <si>
    <t>Assumptions:</t>
  </si>
  <si>
    <t>Table 2: Average Annual EPA Burden and Cost – NESHAP for Clay Ceramics Manufacturing, Glass Manufacturing, and Secondary Nonferrous Metals Processing (40 CFR Part 63, Subparts RRRRRR, SSSSSS, and TTTTTT) (Renewal)</t>
  </si>
  <si>
    <r>
      <t xml:space="preserve">Attend performance test </t>
    </r>
    <r>
      <rPr>
        <vertAlign val="superscript"/>
        <sz val="10"/>
        <color theme="1"/>
        <rFont val="Times New Roman"/>
        <family val="1"/>
      </rPr>
      <t>b</t>
    </r>
  </si>
  <si>
    <t>Report review:</t>
  </si>
  <si>
    <r>
      <t xml:space="preserve">Notification of performance test </t>
    </r>
    <r>
      <rPr>
        <vertAlign val="superscript"/>
        <sz val="10"/>
        <color theme="1"/>
        <rFont val="Times New Roman"/>
        <family val="1"/>
      </rPr>
      <t>d</t>
    </r>
  </si>
  <si>
    <r>
      <t xml:space="preserve">Notification of compliance status </t>
    </r>
    <r>
      <rPr>
        <vertAlign val="superscript"/>
        <sz val="10"/>
        <color theme="1"/>
        <rFont val="Times New Roman"/>
        <family val="1"/>
      </rPr>
      <t>e</t>
    </r>
  </si>
  <si>
    <t xml:space="preserve">(A)
EPA Hours per Occurrence  </t>
  </si>
  <si>
    <t>(B)
Number of Occurrences per Plant per Year</t>
  </si>
  <si>
    <t xml:space="preserve">(C)
EPA Hours per Year
(C=AxB)          </t>
  </si>
  <si>
    <r>
      <t>(D)
Plants per Year</t>
    </r>
    <r>
      <rPr>
        <b/>
        <vertAlign val="superscript"/>
        <sz val="10"/>
        <color theme="1"/>
        <rFont val="Times New Roman"/>
        <family val="1"/>
      </rPr>
      <t xml:space="preserve">    </t>
    </r>
    <r>
      <rPr>
        <b/>
        <sz val="10"/>
        <color theme="1"/>
        <rFont val="Times New Roman"/>
        <family val="1"/>
      </rPr>
      <t xml:space="preserve">             </t>
    </r>
  </si>
  <si>
    <t xml:space="preserve">(E)
Technical Hours per Year
(E=CxD)        </t>
  </si>
  <si>
    <t xml:space="preserve">(G)
Clerical Hours per Year 
(G=Ex0.1)        </t>
  </si>
  <si>
    <r>
      <t xml:space="preserve"> (H)
Costs per Year </t>
    </r>
    <r>
      <rPr>
        <b/>
        <vertAlign val="superscript"/>
        <sz val="10"/>
        <color theme="1"/>
        <rFont val="Times New Roman"/>
        <family val="1"/>
      </rPr>
      <t>a</t>
    </r>
    <r>
      <rPr>
        <b/>
        <sz val="10"/>
        <color theme="1"/>
        <rFont val="Times New Roman"/>
        <family val="1"/>
      </rPr>
      <t xml:space="preserve">                              </t>
    </r>
  </si>
  <si>
    <r>
      <t>f</t>
    </r>
    <r>
      <rPr>
        <sz val="10"/>
        <color theme="1"/>
        <rFont val="Times New Roman"/>
        <family val="1"/>
      </rPr>
      <t xml:space="preserve">  Assumes Agency personnel (1 person) will spend 2 days per plant, at $50 per diem per day, and $400 transportation expense per round trip to attend performance tests.</t>
    </r>
  </si>
  <si>
    <r>
      <t xml:space="preserve">g  </t>
    </r>
    <r>
      <rPr>
        <sz val="10"/>
        <color theme="1"/>
        <rFont val="Times New Roman"/>
        <family val="1"/>
      </rPr>
      <t xml:space="preserve">Totals have been rounded to 3 significant figures. Figures may not add exactly due to rounding. </t>
    </r>
  </si>
  <si>
    <t>hr/response</t>
  </si>
  <si>
    <r>
      <t xml:space="preserve">Travel expenses for tests attended </t>
    </r>
    <r>
      <rPr>
        <vertAlign val="superscript"/>
        <sz val="10"/>
        <color rgb="FF000000"/>
        <rFont val="Times New Roman"/>
        <family val="1"/>
      </rPr>
      <t>f</t>
    </r>
  </si>
  <si>
    <t>Labor Rates:</t>
  </si>
  <si>
    <t>Management</t>
  </si>
  <si>
    <t>Technical</t>
  </si>
  <si>
    <t>Clerical</t>
  </si>
  <si>
    <r>
      <t xml:space="preserve">(D)
Number of Respondents per Year </t>
    </r>
    <r>
      <rPr>
        <b/>
        <vertAlign val="superscript"/>
        <sz val="10"/>
        <color theme="1"/>
        <rFont val="Times New Roman"/>
        <family val="1"/>
      </rPr>
      <t>a</t>
    </r>
    <r>
      <rPr>
        <b/>
        <sz val="10"/>
        <color theme="1"/>
        <rFont val="Times New Roman"/>
        <family val="1"/>
      </rPr>
      <t xml:space="preserve">                 </t>
    </r>
  </si>
  <si>
    <r>
      <t xml:space="preserve">(H)
Total Labor Costs per Year  </t>
    </r>
    <r>
      <rPr>
        <b/>
        <vertAlign val="superscript"/>
        <sz val="10"/>
        <color theme="1"/>
        <rFont val="Times New Roman"/>
        <family val="1"/>
      </rPr>
      <t>b</t>
    </r>
  </si>
  <si>
    <r>
      <t xml:space="preserve">A.  Familiarize with regulatory requirements </t>
    </r>
    <r>
      <rPr>
        <vertAlign val="superscript"/>
        <sz val="10"/>
        <color theme="1"/>
        <rFont val="Times New Roman"/>
        <family val="1"/>
      </rPr>
      <t>a</t>
    </r>
  </si>
  <si>
    <r>
      <t xml:space="preserve">TOTAL (rounded) </t>
    </r>
    <r>
      <rPr>
        <b/>
        <vertAlign val="superscript"/>
        <sz val="10"/>
        <color theme="1"/>
        <rFont val="Times New Roman"/>
        <family val="1"/>
      </rPr>
      <t>g</t>
    </r>
  </si>
  <si>
    <t>Capital/Startup vs. Operation and Maintenance (O&amp;M) Costs</t>
  </si>
  <si>
    <t>(A)</t>
  </si>
  <si>
    <t>Continuous Monitoring Device</t>
  </si>
  <si>
    <t>(B)</t>
  </si>
  <si>
    <t>(C)</t>
  </si>
  <si>
    <t>Number of New Respondents</t>
  </si>
  <si>
    <t>(D)</t>
  </si>
  <si>
    <t>(E)</t>
  </si>
  <si>
    <t>Annual O&amp;M Costs for One Respondent</t>
  </si>
  <si>
    <t>(F)</t>
  </si>
  <si>
    <t>Number of Respondents with O&amp;M</t>
  </si>
  <si>
    <t>(G)</t>
  </si>
  <si>
    <t>Performance Tests</t>
  </si>
  <si>
    <t>Monitoring Equipment</t>
  </si>
  <si>
    <t>File Cabinets</t>
  </si>
  <si>
    <t>Total O&amp;M
(E X F)</t>
  </si>
  <si>
    <t>Number of Respondents</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</si>
  <si>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</si>
  <si>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</si>
  <si>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</si>
  <si>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</si>
  <si>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</si>
  <si>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</si>
  <si>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Clay Ceramics Manufacturing Area Sources (Subpart RRRRRR)</t>
  </si>
  <si>
    <t>Average</t>
  </si>
  <si>
    <t>Glass Manufacturing Area Sources (Subpart SSSSSS)</t>
  </si>
  <si>
    <t>Secondary Nonferrous Metals Processing Area Sources (Subpart TTTTTT)</t>
  </si>
  <si>
    <t>Average Total</t>
  </si>
  <si>
    <t>Number of Respondents
(E=A+B+C-D)</t>
  </si>
  <si>
    <t>Total Annual Responses</t>
  </si>
  <si>
    <t>Information Collection Activity</t>
  </si>
  <si>
    <t>Number of Responses</t>
  </si>
  <si>
    <t>Number of Existing Respondents That Keep Records But Do Not Submit Reports</t>
  </si>
  <si>
    <t>Keeps Records</t>
  </si>
  <si>
    <t>Total</t>
  </si>
  <si>
    <t>Total Annual Responses 
E=(BxC)+D</t>
  </si>
  <si>
    <r>
      <t>N/A</t>
    </r>
    <r>
      <rPr>
        <vertAlign val="superscript"/>
        <sz val="9"/>
        <color rgb="FF000000"/>
        <rFont val="Times New Roman"/>
        <family val="1"/>
      </rPr>
      <t>a</t>
    </r>
  </si>
  <si>
    <r>
      <t xml:space="preserve">14 </t>
    </r>
    <r>
      <rPr>
        <vertAlign val="superscript"/>
        <sz val="9"/>
        <color rgb="FF000000"/>
        <rFont val="Times New Roman"/>
        <family val="1"/>
      </rPr>
      <t>b</t>
    </r>
  </si>
  <si>
    <t># responses</t>
  </si>
  <si>
    <t xml:space="preserve">Capital/Startup Cost for One Respondent </t>
  </si>
  <si>
    <r>
      <t xml:space="preserve">Total Capital/Startup Cost </t>
    </r>
    <r>
      <rPr>
        <vertAlign val="superscript"/>
        <sz val="10"/>
        <color rgb="FF000000"/>
        <rFont val="Times New Roman"/>
        <family val="1"/>
      </rPr>
      <t>a</t>
    </r>
    <r>
      <rPr>
        <sz val="10"/>
        <color rgb="FF000000"/>
        <rFont val="Times New Roman"/>
        <family val="1"/>
      </rPr>
      <t xml:space="preserve">
(B X C)</t>
    </r>
  </si>
  <si>
    <r>
      <t xml:space="preserve">Inspection of Emission Control Systems </t>
    </r>
    <r>
      <rPr>
        <vertAlign val="superscript"/>
        <sz val="10"/>
        <color rgb="FF000000"/>
        <rFont val="Times New Roman"/>
        <family val="1"/>
      </rPr>
      <t>b</t>
    </r>
  </si>
  <si>
    <r>
      <t xml:space="preserve">Total </t>
    </r>
    <r>
      <rPr>
        <vertAlign val="superscript"/>
        <sz val="10"/>
        <color rgb="FF000000"/>
        <rFont val="Times New Roman"/>
        <family val="1"/>
      </rPr>
      <t>c</t>
    </r>
  </si>
  <si>
    <r>
      <t>c</t>
    </r>
    <r>
      <rPr>
        <sz val="10"/>
        <color theme="1"/>
        <rFont val="Times New Roman"/>
        <family val="1"/>
      </rPr>
      <t xml:space="preserve"> Totals have been rounded to 3 significant figures. Figures may not add exactly due to rounding.</t>
    </r>
  </si>
  <si>
    <r>
      <t>a</t>
    </r>
    <r>
      <rPr>
        <sz val="10"/>
        <color theme="1"/>
        <rFont val="Times New Roman"/>
        <family val="1"/>
      </rPr>
      <t xml:space="preserve"> No responses are required for this activity after the first three years</t>
    </r>
  </si>
  <si>
    <r>
      <t>b</t>
    </r>
    <r>
      <rPr>
        <sz val="10"/>
        <color theme="1"/>
        <rFont val="Times New Roman"/>
        <family val="1"/>
      </rPr>
      <t xml:space="preserve"> We estimate 21 glass manufacturing facilities with 27 affected furnaces. Of these, 14 furnaces have automatic monitoring and recording systems. </t>
    </r>
  </si>
  <si>
    <r>
      <t>b</t>
    </r>
    <r>
      <rPr>
        <sz val="10"/>
        <color theme="1"/>
        <rFont val="Times New Roman"/>
        <family val="1"/>
      </rPr>
      <t xml:space="preserve">   This testing requirement is the initial testing requirement and is applicable only to glass manufacturing area sources. We assume all glass manufacturing sources have fulfilled the initial testing requirement. There is no repeat testing requirement. </t>
    </r>
  </si>
  <si>
    <t xml:space="preserve">A.  Familiarize with regulatory requirements </t>
  </si>
  <si>
    <t xml:space="preserve">G.  Time for audits </t>
  </si>
  <si>
    <r>
      <t xml:space="preserve">h  </t>
    </r>
    <r>
      <rPr>
        <sz val="10"/>
        <color theme="1"/>
        <rFont val="Times New Roman"/>
        <family val="1"/>
      </rPr>
      <t>Totals have been rounded to 3 significant figures. Figures may not add exactly due to rounding.</t>
    </r>
  </si>
  <si>
    <r>
      <t xml:space="preserve">GRAND TOTAL (rounded) </t>
    </r>
    <r>
      <rPr>
        <b/>
        <vertAlign val="superscript"/>
        <sz val="10"/>
        <color theme="1"/>
        <rFont val="Times New Roman"/>
        <family val="1"/>
      </rPr>
      <t>h</t>
    </r>
  </si>
  <si>
    <r>
      <t xml:space="preserve">Total Capital and O&amp;M Cost (rounded) </t>
    </r>
    <r>
      <rPr>
        <b/>
        <vertAlign val="superscript"/>
        <sz val="10"/>
        <color theme="1"/>
        <rFont val="Times New Roman"/>
        <family val="1"/>
      </rPr>
      <t>h</t>
    </r>
  </si>
  <si>
    <r>
      <t xml:space="preserve">Total Labor Burden and Cost (rounded) </t>
    </r>
    <r>
      <rPr>
        <b/>
        <vertAlign val="superscript"/>
        <sz val="10"/>
        <color theme="1"/>
        <rFont val="Times New Roman"/>
        <family val="1"/>
      </rPr>
      <t>h</t>
    </r>
  </si>
  <si>
    <r>
      <t xml:space="preserve">Number of New Respondents </t>
    </r>
    <r>
      <rPr>
        <vertAlign val="superscript"/>
        <sz val="10"/>
        <color rgb="FF000000"/>
        <rFont val="Times New Roman"/>
        <family val="1"/>
      </rPr>
      <t>a</t>
    </r>
  </si>
  <si>
    <r>
      <t>a</t>
    </r>
    <r>
      <rPr>
        <sz val="12"/>
        <color rgb="FF000000"/>
        <rFont val="Times New Roman"/>
        <family val="1"/>
      </rPr>
      <t xml:space="preserve"> </t>
    </r>
    <r>
      <rPr>
        <sz val="10"/>
        <color rgb="FF000000"/>
        <rFont val="Times New Roman"/>
        <family val="1"/>
      </rPr>
      <t>New respondents include sources with constructed, reconstructed and modified affected facilities.</t>
    </r>
  </si>
  <si>
    <r>
      <t xml:space="preserve">D.  Record notifications and data </t>
    </r>
    <r>
      <rPr>
        <vertAlign val="superscript"/>
        <sz val="10"/>
        <color theme="1"/>
        <rFont val="Times New Roman"/>
        <family val="1"/>
      </rPr>
      <t>e</t>
    </r>
  </si>
  <si>
    <r>
      <t xml:space="preserve">E.  Time to transmit or disclose information </t>
    </r>
    <r>
      <rPr>
        <vertAlign val="superscript"/>
        <sz val="10"/>
        <color theme="1"/>
        <rFont val="Times New Roman"/>
        <family val="1"/>
      </rPr>
      <t xml:space="preserve">f </t>
    </r>
  </si>
  <si>
    <r>
      <t xml:space="preserve">F.  Time to train personnel </t>
    </r>
    <r>
      <rPr>
        <vertAlign val="superscript"/>
        <sz val="10"/>
        <color theme="1"/>
        <rFont val="Times New Roman"/>
        <family val="1"/>
      </rPr>
      <t>g</t>
    </r>
  </si>
  <si>
    <r>
      <t>b</t>
    </r>
    <r>
      <rPr>
        <sz val="10"/>
        <color theme="1"/>
        <rFont val="Times New Roman"/>
        <family val="1"/>
      </rPr>
      <t xml:space="preserve">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</si>
  <si>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color theme="1"/>
        <rFont val="Times New Roman"/>
        <family val="1"/>
      </rPr>
      <t xml:space="preserve">  We assume 1 new facility will submit an initial notification during the three-year period of this ICR (1 facility/3 years = 0.33 average facilities per year).</t>
    </r>
  </si>
  <si>
    <r>
      <t>d</t>
    </r>
    <r>
      <rPr>
        <sz val="10"/>
        <color theme="1"/>
        <rFont val="Times New Roman"/>
        <family val="1"/>
      </rPr>
      <t xml:space="preserve">  We assume 1 new facility will submit a notification of compliance during the three-year period of this ICR (1 facility/3 years = 0.33 average facilities per year). Notifications of Compliance Status.</t>
    </r>
  </si>
  <si>
    <r>
      <t>g</t>
    </r>
    <r>
      <rPr>
        <sz val="10"/>
        <color theme="1"/>
        <rFont val="Times New Roman"/>
        <family val="1"/>
      </rPr>
      <t xml:space="preserve">  We assume one new facility will need to train employees during the three-year period of this ICR (1 facility/3 years = average of 0.33 facilities per year).</t>
    </r>
  </si>
  <si>
    <r>
      <t>f</t>
    </r>
    <r>
      <rPr>
        <sz val="10"/>
        <color theme="1"/>
        <rFont val="Times New Roman"/>
        <family val="1"/>
      </rPr>
      <t xml:space="preserve">  We assume one new facility will submit the Initial Notification and Notification of Compliance Status during the three-year period of this ICR (1 facility/3 years = average of 0.33 facilities per year)</t>
    </r>
    <r>
      <rPr>
        <vertAlign val="superscript"/>
        <sz val="10"/>
        <color theme="1"/>
        <rFont val="Times New Roman"/>
        <family val="1"/>
      </rPr>
      <t>.</t>
    </r>
  </si>
  <si>
    <r>
      <t>a</t>
    </r>
    <r>
      <rPr>
        <sz val="10"/>
        <color theme="1"/>
        <rFont val="Times New Roman"/>
        <family val="1"/>
      </rPr>
      <t xml:space="preserve">  There are an estimated 21 existing glass manufacturing facilities, 55 existing clay manufacturing facilities, and 10 existing secondary nonferrous metals processing facilities that use HAP metals.  One new clay manufacturing facility is expected during the three-year period of this ICR (1 facility/3 years = average of 0.33 new facilities per year). We assume all 87 facilities will have to familiarize with the regulatory requirements each year.</t>
    </r>
  </si>
  <si>
    <r>
      <t>e</t>
    </r>
    <r>
      <rPr>
        <sz val="10"/>
        <color theme="1"/>
        <rFont val="Times New Roman"/>
        <family val="1"/>
      </rPr>
      <t xml:space="preserve">  We assume 1 new facility will submit a Notification of Compliance Status during the three-year period of this ICR (1 facility/3 years = 0.33 average facilities per year).</t>
    </r>
  </si>
  <si>
    <r>
      <t>a</t>
    </r>
    <r>
      <rPr>
        <sz val="10"/>
        <color rgb="FF000000"/>
        <rFont val="Times New Roman"/>
        <family val="1"/>
      </rPr>
      <t xml:space="preserve"> All existing sources have fully implemented capital costs to comply with the current standards, and we assume the new clay manufacturing facility will use the compliant material option. Therefore, no additional capital/start-up costs are expected.</t>
    </r>
  </si>
  <si>
    <r>
      <t>c</t>
    </r>
    <r>
      <rPr>
        <sz val="10"/>
        <color theme="1"/>
        <rFont val="Times New Roman"/>
        <family val="1"/>
      </rPr>
      <t xml:space="preserve">  We assume 1 new facility will submit an Initial Notification during the three-year period of this ICR (1 facility/3 years = 0.33 average facilities per year).</t>
    </r>
  </si>
  <si>
    <r>
      <t>d</t>
    </r>
    <r>
      <rPr>
        <sz val="10"/>
        <color theme="1"/>
        <rFont val="Times New Roman"/>
        <family val="1"/>
      </rPr>
      <t xml:space="preserve">  We assume 1 new facility will submit a Notification of Compliance Status during the three-year period of this ICR (1 facility/3 years = 0.33 average facilities per year).</t>
    </r>
  </si>
  <si>
    <r>
      <t xml:space="preserve">Total Responses for All Area Sources (rounded) </t>
    </r>
    <r>
      <rPr>
        <vertAlign val="superscript"/>
        <sz val="9"/>
        <color rgb="FF000000"/>
        <rFont val="Times New Roman"/>
        <family val="1"/>
      </rPr>
      <t>e</t>
    </r>
  </si>
  <si>
    <r>
      <rPr>
        <vertAlign val="superscript"/>
        <sz val="10"/>
        <color theme="1"/>
        <rFont val="Times New Roman"/>
        <family val="1"/>
      </rPr>
      <t>e</t>
    </r>
    <r>
      <rPr>
        <sz val="10"/>
        <color theme="1"/>
        <rFont val="Times New Roman"/>
        <family val="1"/>
      </rPr>
      <t xml:space="preserve"> Total of 14.67 is rounded to 15 responses per year.</t>
    </r>
  </si>
  <si>
    <t>ICR Summary Information</t>
  </si>
  <si>
    <t>Hours per Response</t>
  </si>
  <si>
    <t>Total Estimated Burden Hours</t>
  </si>
  <si>
    <t>Total Estimated Costs</t>
  </si>
  <si>
    <t>Annualized Capital O&amp;M</t>
  </si>
  <si>
    <t>Form Number</t>
  </si>
  <si>
    <t>total labor hours</t>
  </si>
  <si>
    <r>
      <t>e</t>
    </r>
    <r>
      <rPr>
        <sz val="10"/>
        <rFont val="Times New Roman"/>
        <family val="1"/>
      </rPr>
      <t xml:space="preserve">  We estimate 21 glass manufacturing facilities with 27 affected furnaces. It is assumed that 13 of the 27 affected furnaces can meet the emission limit without installation of a control device.  It is assumed that each of the remaining 14 affected furnaces have automatic monitoring and recording systems and would be required to record data. It is assumed that the data from these systems is recorded 3 times per day. (3 x 365 = 1,095).  Existing permit requirements already require clay ceramics manufacturing and secondary nonferrous metals processing facilities to collect data. We assume the permit for the new facility will require the facility to collect</t>
    </r>
    <r>
      <rPr>
        <sz val="10"/>
        <color rgb="FFFF0000"/>
        <rFont val="Times New Roman"/>
        <family val="1"/>
      </rPr>
      <t xml:space="preserve"> </t>
    </r>
    <r>
      <rPr>
        <sz val="10"/>
        <rFont val="Times New Roman"/>
        <family val="1"/>
      </rPr>
      <t>data</t>
    </r>
    <r>
      <rPr>
        <sz val="10"/>
        <color rgb="FFFF0000"/>
        <rFont val="Times New Roman"/>
        <family val="1"/>
      </rPr>
      <t>.</t>
    </r>
    <r>
      <rPr>
        <sz val="10"/>
        <rFont val="Times New Roman"/>
        <family val="1"/>
      </rPr>
      <t xml:space="preserve"> Therefore, there are no costs or burden associated with these information collection activities for clay ceramics manufacturing and secondary nonferrous metals processing.</t>
    </r>
  </si>
  <si>
    <r>
      <t>d</t>
    </r>
    <r>
      <rPr>
        <sz val="10"/>
        <color theme="1"/>
        <rFont val="Times New Roman"/>
        <family val="1"/>
      </rPr>
      <t xml:space="preserve">  Not required for existing facilities </t>
    </r>
    <r>
      <rPr>
        <sz val="10"/>
        <rFont val="Times New Roman"/>
        <family val="1"/>
      </rPr>
      <t>or the new clay manufacturing facility.</t>
    </r>
  </si>
  <si>
    <r>
      <t>b</t>
    </r>
    <r>
      <rPr>
        <sz val="10"/>
        <color rgb="FF000000"/>
        <rFont val="Times New Roman"/>
        <family val="1"/>
      </rPr>
      <t xml:space="preserve"> We estimate 21 glass manufacturing facilities with 27 affected furnaces. We assume that 13 of the 27 furnaces can meet the emission limit without installation of a control device. We assume that each of the remaining 14 affected furnaces have automated monitoring and recording systems. We assume that annual inspections of emission control systems will require 8 hours per inspection at the current labor rate for technical personnel ($</t>
    </r>
    <r>
      <rPr>
        <sz val="10"/>
        <rFont val="Times New Roman"/>
        <family val="1"/>
      </rPr>
      <t>123.94</t>
    </r>
    <r>
      <rPr>
        <sz val="10"/>
        <color rgb="FF000000"/>
        <rFont val="Times New Roman"/>
        <family val="1"/>
      </rPr>
      <t>/hr) for each of the 14 affected furnaces with a control device (</t>
    </r>
    <r>
      <rPr>
        <sz val="10"/>
        <rFont val="Times New Roman"/>
        <family val="1"/>
      </rPr>
      <t xml:space="preserve">$123.94 x 8 = $992 </t>
    </r>
    <r>
      <rPr>
        <sz val="10"/>
        <color rgb="FF000000"/>
        <rFont val="Times New Roman"/>
        <family val="1"/>
      </rPr>
      <t>(rounded)).</t>
    </r>
  </si>
  <si>
    <t>Not Applicable</t>
  </si>
  <si>
    <r>
      <t>a</t>
    </r>
    <r>
      <rPr>
        <sz val="10"/>
        <color theme="1"/>
        <rFont val="Times New Roman"/>
        <family val="1"/>
      </rPr>
      <t xml:space="preserve">  These rates are from the Office of Personnel Management (OPM), 2022 General Schedule, which excludes locality rates of pay. The rates have been increased by 60 percent to account for the benefit packages available to government employees.This cost is based on the following labor rates which incorporates a 1.6 benefits multiplication factor to account for government overhead expenses:  Managerial rate of $70.56 (GS-13, Step 5, $44.10 + 60%), Technical rate of $52.37 (GS-12, Step 1, $32.73 + 60%), and Clerical rate of $28.34 (GS-6, Step 3, $17.71 + 60%).  These rates are from the Office of Personnel Management (OPM) “2022 General Schedule” which excludes locality rates of pay.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</si>
</sst>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1" formatCode="_(* #,##0_);_(* \(#,##0\);_(* &quot;-&quot;_);_(@_)"/>
    <numFmt numFmtId="164" formatCode="0.0"/>
    <numFmt numFmtId="165" formatCode="&quot;$&quot;#,##0.00"/>
    <numFmt numFmtId="166" formatCode="0.0000"/>
  </numFmts>
  <fonts count="24"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9"/>
      <color rgb="FF000000"/>
      <name val="Times New Roman"/>
      <family val="1"/>
    </font>
    <font>
      <vertAlign val="superscript"/>
      <sz val="9"/>
      <color rgb="FF000000"/>
      <name val="Times New Roman"/>
      <family val="1"/>
    </font>
    <font>
      <b/>
      <sz val="11"/>
      <color theme="1"/>
      <name val="Times New Roman"/>
      <family val="1"/>
    </font>
    <font>
      <sz val="11"/>
      <color theme="1"/>
      <name val="Times New Roman"/>
      <family val="1"/>
    </font>
    <font>
      <sz val="10"/>
      <color rgb="FF000000"/>
      <name val="Times New Roman"/>
      <family val="1"/>
    </font>
    <font>
      <vertAlign val="superscript"/>
      <sz val="10"/>
      <color rgb="FF000000"/>
      <name val="Times New Roman"/>
      <family val="1"/>
    </font>
    <font>
      <i/>
      <sz val="10"/>
      <color theme="1"/>
      <name val="Times New Roman"/>
      <family val="1"/>
    </font>
    <font>
      <sz val="10"/>
      <name val="Times New Roman"/>
      <family val="1"/>
    </font>
    <font>
      <sz val="10"/>
      <color rgb="FFFF0000"/>
      <name val="Times New Roman"/>
      <family val="1"/>
    </font>
    <font>
      <sz val="12"/>
      <color rgb="FF000000"/>
      <name val="Times New Roman"/>
      <family val="1"/>
    </font>
    <font>
      <b/>
      <sz val="12"/>
      <color rgb="FF000000"/>
      <name val="Times New Roman"/>
      <family val="1"/>
    </font>
    <font>
      <sz val="9"/>
      <color theme="1"/>
      <name val="Times New Roman"/>
      <family val="1"/>
    </font>
    <font>
      <b/>
      <sz val="10"/>
      <color rgb="FF000000"/>
      <name val="Times New Roman"/>
      <family val="1"/>
    </font>
    <font>
      <vertAlign val="superscript"/>
      <sz val="12"/>
      <color rgb="FF000000"/>
      <name val="Times New Roman"/>
      <family val="1"/>
    </font>
    <font>
      <b/>
      <sz val="9"/>
      <color rgb="FF000000"/>
      <name val="Times New Roman"/>
      <family val="1"/>
    </font>
    <font>
      <sz val="11"/>
      <color rgb="FFFF0000"/>
      <name val="Times New Roman"/>
      <family val="1"/>
    </font>
    <font>
      <vertAlign val="superscript"/>
      <sz val="10"/>
      <name val="Times New Roman"/>
      <family val="1"/>
    </font>
    <font>
      <sz val="11"/>
      <color rgb="FF00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99">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indent="1"/>
    </xf>
    <xf numFmtId="6" fontId="1" fillId="0" borderId="1" xfId="0" applyNumberFormat="1" applyFont="1" applyBorder="1" applyAlignment="1">
      <alignment horizontal="right" vertical="center" wrapText="1"/>
    </xf>
    <xf numFmtId="0" fontId="2" fillId="0" borderId="1" xfId="0" applyFont="1" applyBorder="1" applyAlignment="1">
      <alignment vertical="center" wrapText="1"/>
    </xf>
    <xf numFmtId="6" fontId="2" fillId="0" borderId="1"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0" xfId="0" applyFont="1" applyAlignment="1">
      <alignment vertical="center"/>
    </xf>
    <xf numFmtId="2" fontId="1" fillId="0" borderId="1" xfId="0" applyNumberFormat="1" applyFont="1" applyBorder="1" applyAlignment="1">
      <alignment horizontal="center" vertical="center" wrapText="1"/>
    </xf>
    <xf numFmtId="0" fontId="9" fillId="0" borderId="0" xfId="0" applyFont="1"/>
    <xf numFmtId="0" fontId="1" fillId="0" borderId="0" xfId="0" applyFont="1"/>
    <xf numFmtId="0" fontId="10" fillId="0" borderId="1" xfId="0" applyFont="1" applyBorder="1" applyAlignment="1">
      <alignment vertical="center" wrapText="1"/>
    </xf>
    <xf numFmtId="1" fontId="1" fillId="0" borderId="0" xfId="0" applyNumberFormat="1" applyFont="1"/>
    <xf numFmtId="0" fontId="13" fillId="0" borderId="1" xfId="0" applyFont="1" applyBorder="1"/>
    <xf numFmtId="165" fontId="1" fillId="0" borderId="1" xfId="0" applyNumberFormat="1" applyFont="1" applyBorder="1"/>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6" fillId="0" borderId="1" xfId="0" applyFont="1" applyBorder="1" applyAlignment="1">
      <alignment vertical="center" wrapText="1"/>
    </xf>
    <xf numFmtId="0" fontId="20" fillId="0" borderId="1" xfId="0" applyFont="1" applyBorder="1" applyAlignment="1">
      <alignment horizontal="center" vertical="center" wrapText="1"/>
    </xf>
    <xf numFmtId="0" fontId="14" fillId="0" borderId="0" xfId="0" applyFont="1"/>
    <xf numFmtId="0" fontId="21" fillId="0" borderId="0" xfId="0" applyFont="1"/>
    <xf numFmtId="0" fontId="13" fillId="0" borderId="1" xfId="0" applyFont="1" applyFill="1" applyBorder="1" applyAlignment="1">
      <alignment horizontal="center" vertical="center" wrapText="1"/>
    </xf>
    <xf numFmtId="0" fontId="1" fillId="0" borderId="1" xfId="0" applyFont="1" applyFill="1" applyBorder="1" applyAlignment="1">
      <alignment horizontal="left" vertical="center" wrapText="1" indent="1"/>
    </xf>
    <xf numFmtId="166" fontId="1" fillId="0" borderId="0" xfId="0" applyNumberFormat="1" applyFont="1"/>
    <xf numFmtId="0" fontId="1" fillId="0" borderId="1" xfId="0" applyFont="1" applyFill="1" applyBorder="1" applyAlignment="1">
      <alignment horizontal="center" vertical="center" wrapText="1"/>
    </xf>
    <xf numFmtId="0" fontId="6" fillId="0" borderId="1" xfId="0" applyFont="1" applyBorder="1" applyAlignment="1">
      <alignment vertical="center" wrapText="1"/>
    </xf>
    <xf numFmtId="0" fontId="10" fillId="0" borderId="1" xfId="0" applyFont="1" applyBorder="1" applyAlignment="1">
      <alignment vertical="center" wrapText="1"/>
    </xf>
    <xf numFmtId="0" fontId="23" fillId="0" borderId="0" xfId="0" applyFont="1"/>
    <xf numFmtId="0" fontId="15" fillId="0" borderId="0" xfId="0" applyFont="1"/>
    <xf numFmtId="165" fontId="1" fillId="0" borderId="0" xfId="0" applyNumberFormat="1" applyFont="1"/>
    <xf numFmtId="0" fontId="4" fillId="0" borderId="0" xfId="0" applyFont="1" applyFill="1" applyAlignment="1">
      <alignment vertical="top" wrapText="1"/>
    </xf>
    <xf numFmtId="0" fontId="4" fillId="0" borderId="0" xfId="0" applyFont="1" applyFill="1" applyAlignment="1">
      <alignment vertical="top"/>
    </xf>
    <xf numFmtId="0" fontId="1" fillId="0" borderId="0" xfId="0" applyFont="1" applyFill="1"/>
    <xf numFmtId="0" fontId="0" fillId="0" borderId="0" xfId="0" applyFill="1"/>
    <xf numFmtId="41" fontId="0" fillId="0" borderId="0" xfId="0" applyNumberFormat="1" applyAlignment="1">
      <alignment vertical="top"/>
    </xf>
    <xf numFmtId="0" fontId="0" fillId="0" borderId="0" xfId="0" applyAlignment="1">
      <alignment vertical="top"/>
    </xf>
    <xf numFmtId="3" fontId="0" fillId="0" borderId="0" xfId="0" applyNumberFormat="1" applyAlignment="1">
      <alignment vertical="top"/>
    </xf>
    <xf numFmtId="6" fontId="0" fillId="0" borderId="0" xfId="0" applyNumberFormat="1" applyAlignment="1">
      <alignment vertical="top"/>
    </xf>
    <xf numFmtId="6" fontId="0" fillId="0" borderId="0" xfId="0" applyNumberFormat="1"/>
    <xf numFmtId="1" fontId="0" fillId="0" borderId="0" xfId="0" applyNumberFormat="1" applyAlignment="1">
      <alignment vertical="top"/>
    </xf>
    <xf numFmtId="3" fontId="1" fillId="0" borderId="0" xfId="0" applyNumberFormat="1" applyFont="1"/>
    <xf numFmtId="0" fontId="1" fillId="0" borderId="1" xfId="0" applyFont="1" applyFill="1" applyBorder="1" applyAlignment="1">
      <alignment vertical="center" wrapText="1"/>
    </xf>
    <xf numFmtId="8" fontId="1" fillId="0" borderId="1" xfId="0" applyNumberFormat="1" applyFont="1" applyFill="1" applyBorder="1" applyAlignment="1">
      <alignment horizontal="right" vertical="center" wrapText="1"/>
    </xf>
    <xf numFmtId="6"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indent="3"/>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6" fontId="5" fillId="0" borderId="1" xfId="0" applyNumberFormat="1" applyFont="1" applyFill="1" applyBorder="1" applyAlignment="1">
      <alignment horizontal="right" vertical="center" wrapText="1"/>
    </xf>
    <xf numFmtId="3"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6"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9" fillId="0" borderId="0" xfId="0" applyFont="1" applyFill="1"/>
    <xf numFmtId="0" fontId="10" fillId="0" borderId="1" xfId="0" applyFont="1" applyFill="1" applyBorder="1" applyAlignment="1">
      <alignment vertical="center" wrapText="1"/>
    </xf>
    <xf numFmtId="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Alignment="1">
      <alignment vertical="center"/>
    </xf>
    <xf numFmtId="0" fontId="0" fillId="0" borderId="1" xfId="0" applyFill="1" applyBorder="1" applyAlignment="1">
      <alignment vertical="top" wrapText="1"/>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19" fillId="0" borderId="0" xfId="0" applyFont="1" applyFill="1" applyAlignment="1">
      <alignment vertical="center"/>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4" fillId="0" borderId="0" xfId="0" applyFont="1" applyFill="1" applyAlignment="1">
      <alignment horizontal="left" vertical="top"/>
    </xf>
    <xf numFmtId="0" fontId="0" fillId="0" borderId="0" xfId="0" applyAlignment="1">
      <alignment horizontal="center"/>
    </xf>
    <xf numFmtId="0" fontId="8" fillId="0" borderId="0" xfId="0" applyFont="1" applyAlignment="1">
      <alignment horizontal="left" vertical="top" wrapText="1"/>
    </xf>
    <xf numFmtId="0" fontId="4" fillId="0" borderId="0" xfId="0" applyFont="1" applyFill="1" applyAlignment="1">
      <alignment horizontal="left" vertical="top" wrapText="1"/>
    </xf>
    <xf numFmtId="0" fontId="22" fillId="0" borderId="0" xfId="0" applyFont="1" applyFill="1" applyAlignment="1">
      <alignment horizontal="left" vertical="top" wrapText="1"/>
    </xf>
    <xf numFmtId="0" fontId="13" fillId="0" borderId="1" xfId="0" applyFont="1" applyBorder="1" applyAlignment="1">
      <alignment horizontal="center" vertical="top"/>
    </xf>
    <xf numFmtId="1"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4" fillId="0" borderId="0" xfId="0" applyFont="1" applyFill="1" applyAlignment="1">
      <alignment horizontal="left" vertical="top"/>
    </xf>
    <xf numFmtId="0" fontId="4" fillId="0" borderId="0" xfId="0" applyFont="1" applyAlignment="1">
      <alignment horizontal="left" vertical="top"/>
    </xf>
    <xf numFmtId="2" fontId="2" fillId="0" borderId="1" xfId="0" applyNumberFormat="1" applyFont="1" applyBorder="1" applyAlignment="1">
      <alignment horizontal="center" vertical="center" wrapText="1"/>
    </xf>
    <xf numFmtId="0" fontId="4" fillId="0" borderId="0" xfId="0" applyFont="1" applyAlignment="1">
      <alignment horizontal="left" vertical="top" wrapText="1"/>
    </xf>
    <xf numFmtId="0" fontId="16" fillId="0" borderId="1" xfId="0" applyFont="1" applyBorder="1" applyAlignment="1">
      <alignment horizontal="center" vertical="center" wrapText="1"/>
    </xf>
    <xf numFmtId="0" fontId="11" fillId="0" borderId="6" xfId="0" applyFont="1" applyFill="1" applyBorder="1" applyAlignment="1">
      <alignment horizontal="left" vertical="center" wrapText="1"/>
    </xf>
    <xf numFmtId="0" fontId="11" fillId="0" borderId="0" xfId="0" applyFont="1" applyFill="1" applyAlignment="1">
      <alignment horizontal="left" vertical="center" wrapText="1"/>
    </xf>
    <xf numFmtId="0" fontId="17"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1" fillId="0" borderId="0" xfId="0" applyFont="1" applyFill="1" applyAlignment="1">
      <alignment horizontal="left"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5"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368F-DB1E-41C0-9FA2-EA614D92EB86}">
  <dimension ref="A1:B8"/>
  <sheetViews>
    <sheetView tabSelected="1" workbookViewId="0">
      <selection activeCell="B16" sqref="B16"/>
    </sheetView>
  </sheetViews>
  <sheetFormatPr defaultRowHeight="14.5" x14ac:dyDescent="0.35"/>
  <cols>
    <col min="1" max="1" width="27.7265625" bestFit="1" customWidth="1"/>
    <col min="2" max="2" width="14.26953125" bestFit="1" customWidth="1"/>
  </cols>
  <sheetData>
    <row r="1" spans="1:2" x14ac:dyDescent="0.35">
      <c r="A1" s="76" t="s">
        <v>122</v>
      </c>
      <c r="B1" s="76"/>
    </row>
    <row r="2" spans="1:2" x14ac:dyDescent="0.35">
      <c r="A2" t="s">
        <v>123</v>
      </c>
      <c r="B2" s="37">
        <f>'Table 1'!K26</f>
        <v>131.33333333333334</v>
      </c>
    </row>
    <row r="3" spans="1:2" x14ac:dyDescent="0.35">
      <c r="A3" t="s">
        <v>68</v>
      </c>
      <c r="B3" s="38">
        <f>Respondents!F23</f>
        <v>87</v>
      </c>
    </row>
    <row r="4" spans="1:2" x14ac:dyDescent="0.35">
      <c r="A4" t="s">
        <v>124</v>
      </c>
      <c r="B4" s="39">
        <f>'Table 1'!K24</f>
        <v>1970</v>
      </c>
    </row>
    <row r="5" spans="1:2" x14ac:dyDescent="0.35">
      <c r="A5" t="s">
        <v>125</v>
      </c>
      <c r="B5" s="40">
        <f>'Table 1'!I27</f>
        <v>250000</v>
      </c>
    </row>
    <row r="6" spans="1:2" x14ac:dyDescent="0.35">
      <c r="A6" t="s">
        <v>126</v>
      </c>
      <c r="B6" s="41">
        <f>'Capital O&amp;M'!G10</f>
        <v>13900</v>
      </c>
    </row>
    <row r="7" spans="1:2" x14ac:dyDescent="0.35">
      <c r="A7" t="s">
        <v>81</v>
      </c>
      <c r="B7" s="42">
        <f>Responses!E18</f>
        <v>15</v>
      </c>
    </row>
    <row r="8" spans="1:2" x14ac:dyDescent="0.35">
      <c r="A8" t="s">
        <v>127</v>
      </c>
      <c r="B8" s="38" t="s">
        <v>132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workbookViewId="0">
      <selection activeCell="N11" sqref="N11"/>
    </sheetView>
  </sheetViews>
  <sheetFormatPr defaultColWidth="9.1796875" defaultRowHeight="14" x14ac:dyDescent="0.3"/>
  <cols>
    <col min="1" max="1" width="40.54296875" style="11" customWidth="1"/>
    <col min="2" max="2" width="10.26953125" style="11" customWidth="1"/>
    <col min="3" max="3" width="11.1796875" style="11" customWidth="1"/>
    <col min="4" max="4" width="9.7265625" style="11" customWidth="1"/>
    <col min="5" max="5" width="10.7265625" style="11" customWidth="1"/>
    <col min="6" max="6" width="9.1796875" style="11"/>
    <col min="7" max="7" width="10.81640625" style="11" customWidth="1"/>
    <col min="8" max="8" width="9.1796875" style="11"/>
    <col min="9" max="9" width="13.453125" style="11" customWidth="1"/>
    <col min="10" max="10" width="9.1796875" style="11"/>
    <col min="11" max="11" width="11" style="11" bestFit="1" customWidth="1"/>
    <col min="12" max="16384" width="9.1796875" style="11"/>
  </cols>
  <sheetData>
    <row r="1" spans="1:12" ht="30" customHeight="1" x14ac:dyDescent="0.3">
      <c r="A1" s="77" t="s">
        <v>0</v>
      </c>
      <c r="B1" s="77"/>
      <c r="C1" s="77"/>
      <c r="D1" s="77"/>
      <c r="E1" s="77"/>
      <c r="F1" s="77"/>
      <c r="G1" s="77"/>
      <c r="H1" s="77"/>
      <c r="I1" s="77"/>
    </row>
    <row r="2" spans="1:12" x14ac:dyDescent="0.3">
      <c r="A2" s="12"/>
      <c r="B2" s="12"/>
      <c r="C2" s="12"/>
      <c r="D2" s="12"/>
      <c r="E2" s="12"/>
      <c r="I2" s="12"/>
      <c r="J2" s="12"/>
      <c r="K2" s="12"/>
      <c r="L2" s="12"/>
    </row>
    <row r="3" spans="1:12" ht="78" x14ac:dyDescent="0.3">
      <c r="A3" s="8" t="s">
        <v>1</v>
      </c>
      <c r="B3" s="8" t="s">
        <v>20</v>
      </c>
      <c r="C3" s="1" t="s">
        <v>21</v>
      </c>
      <c r="D3" s="8" t="s">
        <v>22</v>
      </c>
      <c r="E3" s="8" t="s">
        <v>48</v>
      </c>
      <c r="F3" s="8" t="s">
        <v>23</v>
      </c>
      <c r="G3" s="8" t="s">
        <v>24</v>
      </c>
      <c r="H3" s="8" t="s">
        <v>25</v>
      </c>
      <c r="I3" s="1" t="s">
        <v>49</v>
      </c>
      <c r="J3" s="12"/>
      <c r="K3" s="12"/>
      <c r="L3" s="12"/>
    </row>
    <row r="4" spans="1:12" x14ac:dyDescent="0.3">
      <c r="A4" s="2" t="s">
        <v>2</v>
      </c>
      <c r="B4" s="3" t="s">
        <v>3</v>
      </c>
      <c r="C4" s="3"/>
      <c r="D4" s="3"/>
      <c r="E4" s="3"/>
      <c r="F4" s="3"/>
      <c r="G4" s="3"/>
      <c r="H4" s="3"/>
      <c r="I4" s="3"/>
      <c r="J4" s="12"/>
      <c r="K4" s="80" t="s">
        <v>44</v>
      </c>
      <c r="L4" s="80"/>
    </row>
    <row r="5" spans="1:12" x14ac:dyDescent="0.3">
      <c r="A5" s="2" t="s">
        <v>4</v>
      </c>
      <c r="B5" s="3" t="s">
        <v>3</v>
      </c>
      <c r="C5" s="3"/>
      <c r="D5" s="3"/>
      <c r="E5" s="3"/>
      <c r="F5" s="3"/>
      <c r="G5" s="3"/>
      <c r="H5" s="3"/>
      <c r="I5" s="3"/>
      <c r="J5" s="12"/>
      <c r="K5" s="15" t="s">
        <v>45</v>
      </c>
      <c r="L5" s="16">
        <v>156.91</v>
      </c>
    </row>
    <row r="6" spans="1:12" ht="26" x14ac:dyDescent="0.3">
      <c r="A6" s="44" t="s">
        <v>5</v>
      </c>
      <c r="B6" s="27" t="s">
        <v>3</v>
      </c>
      <c r="C6" s="27"/>
      <c r="D6" s="27"/>
      <c r="E6" s="27"/>
      <c r="F6" s="27"/>
      <c r="G6" s="27"/>
      <c r="H6" s="27"/>
      <c r="I6" s="27"/>
      <c r="J6" s="12"/>
      <c r="K6" s="15" t="s">
        <v>46</v>
      </c>
      <c r="L6" s="16">
        <v>123.94</v>
      </c>
    </row>
    <row r="7" spans="1:12" x14ac:dyDescent="0.3">
      <c r="A7" s="44" t="s">
        <v>6</v>
      </c>
      <c r="B7" s="27"/>
      <c r="C7" s="27"/>
      <c r="D7" s="27"/>
      <c r="E7" s="27"/>
      <c r="F7" s="27"/>
      <c r="G7" s="27"/>
      <c r="H7" s="27"/>
      <c r="I7" s="27"/>
      <c r="J7" s="12"/>
      <c r="K7" s="15" t="s">
        <v>47</v>
      </c>
      <c r="L7" s="16">
        <v>62.52</v>
      </c>
    </row>
    <row r="8" spans="1:12" ht="15.5" x14ac:dyDescent="0.3">
      <c r="A8" s="25" t="s">
        <v>50</v>
      </c>
      <c r="B8" s="27">
        <v>2</v>
      </c>
      <c r="C8" s="27">
        <v>1</v>
      </c>
      <c r="D8" s="27">
        <f>B8*C8</f>
        <v>2</v>
      </c>
      <c r="E8" s="24">
        <f>21+56+10</f>
        <v>87</v>
      </c>
      <c r="F8" s="27">
        <f>D8*E8</f>
        <v>174</v>
      </c>
      <c r="G8" s="27">
        <f>F8*0.05</f>
        <v>8.7000000000000011</v>
      </c>
      <c r="H8" s="27">
        <f>F8*0.1</f>
        <v>17.400000000000002</v>
      </c>
      <c r="I8" s="45">
        <f>$L$6*F8+$L$5*G8+$L$7*H8</f>
        <v>24018.525000000005</v>
      </c>
      <c r="J8" s="22"/>
      <c r="K8" s="12"/>
      <c r="L8" s="12"/>
    </row>
    <row r="9" spans="1:12" x14ac:dyDescent="0.3">
      <c r="A9" s="25" t="s">
        <v>7</v>
      </c>
      <c r="B9" s="27"/>
      <c r="C9" s="27"/>
      <c r="D9" s="27"/>
      <c r="E9" s="27"/>
      <c r="F9" s="27"/>
      <c r="G9" s="27"/>
      <c r="H9" s="27"/>
      <c r="I9" s="46"/>
      <c r="J9" s="12"/>
      <c r="K9" s="12"/>
      <c r="L9" s="12"/>
    </row>
    <row r="10" spans="1:12" ht="15.5" x14ac:dyDescent="0.3">
      <c r="A10" s="47" t="s">
        <v>8</v>
      </c>
      <c r="B10" s="27">
        <v>2</v>
      </c>
      <c r="C10" s="27">
        <v>1</v>
      </c>
      <c r="D10" s="27">
        <f t="shared" ref="D10:D22" si="0">B10*C10</f>
        <v>2</v>
      </c>
      <c r="E10" s="48">
        <f>1/3</f>
        <v>0.33333333333333331</v>
      </c>
      <c r="F10" s="48">
        <f t="shared" ref="F10:F11" si="1">D10*E10</f>
        <v>0.66666666666666663</v>
      </c>
      <c r="G10" s="48">
        <f t="shared" ref="G10:G11" si="2">F10*0.05</f>
        <v>3.3333333333333333E-2</v>
      </c>
      <c r="H10" s="48">
        <f t="shared" ref="H10:H11" si="3">F10*0.1</f>
        <v>6.6666666666666666E-2</v>
      </c>
      <c r="I10" s="46">
        <f>$L$6*F10+$L$5*G10+$L$7*H10</f>
        <v>92.025000000000006</v>
      </c>
      <c r="J10" s="12"/>
      <c r="K10" s="22"/>
      <c r="L10" s="12"/>
    </row>
    <row r="11" spans="1:12" ht="15.5" x14ac:dyDescent="0.3">
      <c r="A11" s="47" t="s">
        <v>9</v>
      </c>
      <c r="B11" s="27">
        <v>4</v>
      </c>
      <c r="C11" s="27">
        <v>1</v>
      </c>
      <c r="D11" s="27">
        <f t="shared" si="0"/>
        <v>4</v>
      </c>
      <c r="E11" s="48">
        <f>1/3</f>
        <v>0.33333333333333331</v>
      </c>
      <c r="F11" s="48">
        <f t="shared" si="1"/>
        <v>1.3333333333333333</v>
      </c>
      <c r="G11" s="48">
        <f t="shared" si="2"/>
        <v>6.6666666666666666E-2</v>
      </c>
      <c r="H11" s="48">
        <f t="shared" si="3"/>
        <v>0.13333333333333333</v>
      </c>
      <c r="I11" s="46">
        <f>$L$6*F11+$L$5*G11+$L$7*H11</f>
        <v>184.05</v>
      </c>
      <c r="J11" s="12"/>
      <c r="K11" s="22"/>
      <c r="L11" s="12"/>
    </row>
    <row r="12" spans="1:12" x14ac:dyDescent="0.3">
      <c r="A12" s="25" t="s">
        <v>10</v>
      </c>
      <c r="B12" s="27" t="s">
        <v>11</v>
      </c>
      <c r="C12" s="27"/>
      <c r="D12" s="27"/>
      <c r="E12" s="27"/>
      <c r="F12" s="27"/>
      <c r="G12" s="27"/>
      <c r="H12" s="27"/>
      <c r="I12" s="49"/>
      <c r="J12" s="12"/>
      <c r="K12" s="22"/>
      <c r="L12" s="12"/>
    </row>
    <row r="13" spans="1:12" x14ac:dyDescent="0.3">
      <c r="A13" s="25" t="s">
        <v>12</v>
      </c>
      <c r="B13" s="27" t="s">
        <v>11</v>
      </c>
      <c r="C13" s="27"/>
      <c r="D13" s="27"/>
      <c r="E13" s="27"/>
      <c r="F13" s="27"/>
      <c r="G13" s="27"/>
      <c r="H13" s="27"/>
      <c r="I13" s="49"/>
      <c r="J13" s="12"/>
      <c r="K13" s="22"/>
      <c r="L13" s="32"/>
    </row>
    <row r="14" spans="1:12" x14ac:dyDescent="0.3">
      <c r="A14" s="25" t="s">
        <v>13</v>
      </c>
      <c r="B14" s="27" t="s">
        <v>11</v>
      </c>
      <c r="C14" s="27"/>
      <c r="D14" s="27"/>
      <c r="E14" s="27"/>
      <c r="F14" s="27"/>
      <c r="G14" s="27"/>
      <c r="H14" s="27"/>
      <c r="I14" s="49"/>
      <c r="J14" s="12"/>
      <c r="K14" s="22"/>
      <c r="L14" s="12"/>
    </row>
    <row r="15" spans="1:12" x14ac:dyDescent="0.3">
      <c r="A15" s="50" t="s">
        <v>14</v>
      </c>
      <c r="B15" s="51"/>
      <c r="C15" s="51"/>
      <c r="D15" s="52"/>
      <c r="E15" s="51"/>
      <c r="F15" s="81">
        <f>SUM(F8:H14)</f>
        <v>202.39999999999998</v>
      </c>
      <c r="G15" s="81"/>
      <c r="H15" s="81"/>
      <c r="I15" s="53">
        <f>SUM(I8:I14)</f>
        <v>24294.600000000006</v>
      </c>
      <c r="J15" s="12"/>
      <c r="K15" s="12"/>
      <c r="L15" s="12"/>
    </row>
    <row r="16" spans="1:12" x14ac:dyDescent="0.3">
      <c r="A16" s="44" t="s">
        <v>15</v>
      </c>
      <c r="B16" s="27"/>
      <c r="C16" s="27"/>
      <c r="D16" s="27"/>
      <c r="E16" s="27"/>
      <c r="F16" s="27"/>
      <c r="G16" s="27"/>
      <c r="H16" s="27"/>
      <c r="I16" s="49"/>
      <c r="J16" s="12"/>
      <c r="K16" s="12"/>
      <c r="L16" s="12"/>
    </row>
    <row r="17" spans="1:12" x14ac:dyDescent="0.3">
      <c r="A17" s="25" t="s">
        <v>99</v>
      </c>
      <c r="B17" s="27" t="s">
        <v>26</v>
      </c>
      <c r="C17" s="27"/>
      <c r="D17" s="27"/>
      <c r="E17" s="27"/>
      <c r="F17" s="27"/>
      <c r="G17" s="27"/>
      <c r="H17" s="27"/>
      <c r="I17" s="46"/>
      <c r="J17" s="12"/>
      <c r="K17" s="12"/>
      <c r="L17" s="12"/>
    </row>
    <row r="18" spans="1:12" x14ac:dyDescent="0.3">
      <c r="A18" s="25" t="s">
        <v>16</v>
      </c>
      <c r="B18" s="27" t="s">
        <v>17</v>
      </c>
      <c r="C18" s="27"/>
      <c r="D18" s="27"/>
      <c r="E18" s="27"/>
      <c r="F18" s="27"/>
      <c r="G18" s="27"/>
      <c r="H18" s="27"/>
      <c r="I18" s="27"/>
      <c r="J18" s="12"/>
      <c r="K18" s="12"/>
      <c r="L18" s="12"/>
    </row>
    <row r="19" spans="1:12" x14ac:dyDescent="0.3">
      <c r="A19" s="25" t="s">
        <v>18</v>
      </c>
      <c r="B19" s="27" t="s">
        <v>17</v>
      </c>
      <c r="C19" s="27"/>
      <c r="D19" s="27"/>
      <c r="E19" s="27"/>
      <c r="F19" s="27"/>
      <c r="G19" s="27"/>
      <c r="H19" s="27"/>
      <c r="I19" s="27"/>
      <c r="J19" s="12"/>
      <c r="K19" s="12"/>
      <c r="L19" s="12"/>
    </row>
    <row r="20" spans="1:12" ht="15.5" x14ac:dyDescent="0.3">
      <c r="A20" s="25" t="s">
        <v>107</v>
      </c>
      <c r="B20" s="27">
        <v>0.1</v>
      </c>
      <c r="C20" s="54">
        <v>1095</v>
      </c>
      <c r="D20" s="27">
        <f t="shared" si="0"/>
        <v>109.5</v>
      </c>
      <c r="E20" s="27">
        <v>14</v>
      </c>
      <c r="F20" s="54">
        <f t="shared" ref="F20" si="4">D20*E20</f>
        <v>1533</v>
      </c>
      <c r="G20" s="27">
        <f t="shared" ref="G20:G22" si="5">F20*0.05</f>
        <v>76.650000000000006</v>
      </c>
      <c r="H20" s="55">
        <f t="shared" ref="H20" si="6">F20*0.1</f>
        <v>153.30000000000001</v>
      </c>
      <c r="I20" s="45">
        <f>$L$6*F20+$L$5*G20+$L$7*H20</f>
        <v>211611.48749999999</v>
      </c>
      <c r="J20" s="12"/>
      <c r="K20" s="12"/>
      <c r="L20" s="26"/>
    </row>
    <row r="21" spans="1:12" ht="15.5" x14ac:dyDescent="0.3">
      <c r="A21" s="25" t="s">
        <v>108</v>
      </c>
      <c r="B21" s="27">
        <v>0.25</v>
      </c>
      <c r="C21" s="27">
        <v>3.3</v>
      </c>
      <c r="D21" s="48">
        <f t="shared" si="0"/>
        <v>0.82499999999999996</v>
      </c>
      <c r="E21" s="48">
        <f>1/3</f>
        <v>0.33333333333333331</v>
      </c>
      <c r="F21" s="48">
        <f t="shared" ref="F21:F22" si="7">D21*E21</f>
        <v>0.27499999999999997</v>
      </c>
      <c r="G21" s="48">
        <f t="shared" si="5"/>
        <v>1.3749999999999998E-2</v>
      </c>
      <c r="H21" s="48">
        <f t="shared" ref="H21:H22" si="8">F21*0.1</f>
        <v>2.7499999999999997E-2</v>
      </c>
      <c r="I21" s="46">
        <f>$L$6*F21+$L$5*G21+$L$7*H21</f>
        <v>37.960312499999993</v>
      </c>
      <c r="J21" s="12"/>
      <c r="K21" s="12"/>
      <c r="L21" s="12"/>
    </row>
    <row r="22" spans="1:12" ht="15.5" x14ac:dyDescent="0.3">
      <c r="A22" s="25" t="s">
        <v>109</v>
      </c>
      <c r="B22" s="27">
        <v>12</v>
      </c>
      <c r="C22" s="27">
        <v>1</v>
      </c>
      <c r="D22" s="27">
        <f t="shared" si="0"/>
        <v>12</v>
      </c>
      <c r="E22" s="48">
        <f>1/3</f>
        <v>0.33333333333333331</v>
      </c>
      <c r="F22" s="27">
        <f t="shared" si="7"/>
        <v>4</v>
      </c>
      <c r="G22" s="27">
        <f t="shared" si="5"/>
        <v>0.2</v>
      </c>
      <c r="H22" s="27">
        <f t="shared" si="8"/>
        <v>0.4</v>
      </c>
      <c r="I22" s="46">
        <f>$L$6*F22+$L$5*G22+$L$7*H22</f>
        <v>552.15</v>
      </c>
      <c r="J22" s="12"/>
      <c r="K22" s="12"/>
      <c r="L22" s="12"/>
    </row>
    <row r="23" spans="1:12" x14ac:dyDescent="0.3">
      <c r="A23" s="25" t="s">
        <v>100</v>
      </c>
      <c r="B23" s="27" t="s">
        <v>3</v>
      </c>
      <c r="C23" s="27"/>
      <c r="D23" s="27"/>
      <c r="E23" s="27"/>
      <c r="F23" s="27"/>
      <c r="G23" s="27"/>
      <c r="H23" s="27"/>
      <c r="I23" s="49"/>
      <c r="J23" s="12"/>
      <c r="K23" s="12"/>
      <c r="L23" s="12"/>
    </row>
    <row r="24" spans="1:12" x14ac:dyDescent="0.3">
      <c r="A24" s="50" t="s">
        <v>19</v>
      </c>
      <c r="B24" s="51"/>
      <c r="C24" s="51"/>
      <c r="D24" s="51"/>
      <c r="E24" s="51"/>
      <c r="F24" s="82">
        <f>SUM(F16:H23)</f>
        <v>1767.8662500000003</v>
      </c>
      <c r="G24" s="82"/>
      <c r="H24" s="82"/>
      <c r="I24" s="53">
        <f>SUM(I16:I23)</f>
        <v>212201.5978125</v>
      </c>
      <c r="J24" s="12"/>
      <c r="K24" s="43">
        <f>F25</f>
        <v>1970</v>
      </c>
      <c r="L24" s="12" t="s">
        <v>128</v>
      </c>
    </row>
    <row r="25" spans="1:12" ht="15.75" customHeight="1" x14ac:dyDescent="0.3">
      <c r="A25" s="56" t="s">
        <v>104</v>
      </c>
      <c r="B25" s="83"/>
      <c r="C25" s="83"/>
      <c r="D25" s="83"/>
      <c r="E25" s="83"/>
      <c r="F25" s="84">
        <f>ROUND(F15+F24,-1)</f>
        <v>1970</v>
      </c>
      <c r="G25" s="84"/>
      <c r="H25" s="84"/>
      <c r="I25" s="57">
        <f>ROUND(I15+I24,-3)</f>
        <v>236000</v>
      </c>
      <c r="J25" s="12"/>
      <c r="K25" s="12">
        <f>Responses!E18</f>
        <v>15</v>
      </c>
      <c r="L25" s="12" t="s">
        <v>90</v>
      </c>
    </row>
    <row r="26" spans="1:12" ht="15.75" customHeight="1" x14ac:dyDescent="0.3">
      <c r="A26" s="56" t="s">
        <v>103</v>
      </c>
      <c r="B26" s="27"/>
      <c r="C26" s="27"/>
      <c r="D26" s="27"/>
      <c r="E26" s="27"/>
      <c r="F26" s="58"/>
      <c r="G26" s="58"/>
      <c r="H26" s="58"/>
      <c r="I26" s="57">
        <f>'Capital O&amp;M'!D10+'Capital O&amp;M'!G10</f>
        <v>13900</v>
      </c>
      <c r="J26" s="12"/>
      <c r="K26" s="14">
        <f>F25/K25</f>
        <v>131.33333333333334</v>
      </c>
      <c r="L26" s="12" t="s">
        <v>42</v>
      </c>
    </row>
    <row r="27" spans="1:12" ht="15.75" customHeight="1" x14ac:dyDescent="0.3">
      <c r="A27" s="56" t="s">
        <v>102</v>
      </c>
      <c r="B27" s="27"/>
      <c r="C27" s="27"/>
      <c r="D27" s="27"/>
      <c r="E27" s="27"/>
      <c r="F27" s="58"/>
      <c r="G27" s="58"/>
      <c r="H27" s="58"/>
      <c r="I27" s="57">
        <f>ROUND(I25+I26,-3)</f>
        <v>250000</v>
      </c>
      <c r="J27" s="12"/>
      <c r="K27" s="12"/>
      <c r="L27" s="12"/>
    </row>
    <row r="28" spans="1:12" x14ac:dyDescent="0.3">
      <c r="A28" s="35"/>
      <c r="B28" s="35"/>
      <c r="C28" s="35"/>
      <c r="D28" s="35"/>
      <c r="E28" s="35"/>
      <c r="F28" s="35"/>
      <c r="G28" s="35"/>
      <c r="H28" s="35"/>
      <c r="I28" s="35"/>
      <c r="J28" s="12"/>
      <c r="K28" s="12"/>
      <c r="L28" s="12"/>
    </row>
    <row r="29" spans="1:12" x14ac:dyDescent="0.3">
      <c r="A29" s="59" t="s">
        <v>27</v>
      </c>
      <c r="B29" s="35"/>
      <c r="C29" s="35"/>
      <c r="D29" s="35"/>
      <c r="E29" s="35"/>
      <c r="F29" s="35"/>
      <c r="G29" s="35"/>
      <c r="H29" s="35"/>
      <c r="I29" s="35"/>
      <c r="J29" s="12"/>
      <c r="K29" s="12"/>
      <c r="L29" s="12"/>
    </row>
    <row r="30" spans="1:12" ht="46.5" customHeight="1" x14ac:dyDescent="0.3">
      <c r="A30" s="78" t="s">
        <v>115</v>
      </c>
      <c r="B30" s="78"/>
      <c r="C30" s="78"/>
      <c r="D30" s="78"/>
      <c r="E30" s="78"/>
      <c r="F30" s="78"/>
      <c r="G30" s="78"/>
      <c r="H30" s="78"/>
      <c r="I30" s="78"/>
      <c r="J30" s="12"/>
      <c r="K30" s="12"/>
      <c r="L30" s="12"/>
    </row>
    <row r="31" spans="1:12" ht="57.75" customHeight="1" x14ac:dyDescent="0.35">
      <c r="A31" s="78" t="s">
        <v>110</v>
      </c>
      <c r="B31" s="78"/>
      <c r="C31" s="78"/>
      <c r="D31" s="78"/>
      <c r="E31" s="78"/>
      <c r="F31" s="78"/>
      <c r="G31" s="78"/>
      <c r="H31" s="78"/>
      <c r="I31" s="78"/>
      <c r="J31" s="12"/>
      <c r="K31" s="30"/>
      <c r="L31" s="12"/>
    </row>
    <row r="32" spans="1:12" ht="15.5" x14ac:dyDescent="0.3">
      <c r="A32" s="78" t="s">
        <v>111</v>
      </c>
      <c r="B32" s="78"/>
      <c r="C32" s="78"/>
      <c r="D32" s="78"/>
      <c r="E32" s="78"/>
      <c r="F32" s="78"/>
      <c r="G32" s="78"/>
      <c r="H32" s="78"/>
      <c r="I32" s="78"/>
      <c r="J32" s="12"/>
      <c r="K32" s="12"/>
      <c r="L32" s="12"/>
    </row>
    <row r="33" spans="1:12" ht="15.5" x14ac:dyDescent="0.3">
      <c r="A33" s="78" t="s">
        <v>112</v>
      </c>
      <c r="B33" s="78"/>
      <c r="C33" s="78"/>
      <c r="D33" s="78"/>
      <c r="E33" s="78"/>
      <c r="F33" s="78"/>
      <c r="G33" s="78"/>
      <c r="H33" s="78"/>
      <c r="I33" s="78"/>
      <c r="J33" s="12"/>
      <c r="K33" s="12"/>
      <c r="L33" s="12"/>
    </row>
    <row r="34" spans="1:12" ht="82.5" customHeight="1" x14ac:dyDescent="0.3">
      <c r="A34" s="79" t="s">
        <v>129</v>
      </c>
      <c r="B34" s="79"/>
      <c r="C34" s="79"/>
      <c r="D34" s="79"/>
      <c r="E34" s="79"/>
      <c r="F34" s="79"/>
      <c r="G34" s="79"/>
      <c r="H34" s="79"/>
      <c r="I34" s="79"/>
      <c r="J34" s="12"/>
      <c r="K34" s="12"/>
      <c r="L34" s="12"/>
    </row>
    <row r="35" spans="1:12" ht="31.5" customHeight="1" x14ac:dyDescent="0.3">
      <c r="A35" s="78" t="s">
        <v>114</v>
      </c>
      <c r="B35" s="78"/>
      <c r="C35" s="78"/>
      <c r="D35" s="78"/>
      <c r="E35" s="78"/>
      <c r="F35" s="78"/>
      <c r="G35" s="78"/>
      <c r="H35" s="78"/>
      <c r="I35" s="78"/>
      <c r="J35" s="12"/>
      <c r="K35" s="12"/>
      <c r="L35" s="12"/>
    </row>
    <row r="36" spans="1:12" ht="19.5" customHeight="1" x14ac:dyDescent="0.3">
      <c r="A36" s="78" t="s">
        <v>113</v>
      </c>
      <c r="B36" s="78"/>
      <c r="C36" s="78"/>
      <c r="D36" s="78"/>
      <c r="E36" s="78"/>
      <c r="F36" s="78"/>
      <c r="G36" s="78"/>
      <c r="H36" s="78"/>
      <c r="I36" s="78"/>
      <c r="J36" s="12"/>
      <c r="K36" s="12"/>
      <c r="L36" s="12"/>
    </row>
    <row r="37" spans="1:12" ht="15.5" x14ac:dyDescent="0.3">
      <c r="A37" s="78" t="s">
        <v>101</v>
      </c>
      <c r="B37" s="78"/>
      <c r="C37" s="78"/>
      <c r="D37" s="78"/>
      <c r="E37" s="78"/>
      <c r="F37" s="78"/>
      <c r="G37" s="78"/>
      <c r="H37" s="78"/>
      <c r="I37" s="78"/>
      <c r="J37" s="12"/>
      <c r="K37" s="12"/>
      <c r="L37" s="12"/>
    </row>
    <row r="38" spans="1:12" x14ac:dyDescent="0.3">
      <c r="A38" s="35"/>
      <c r="B38" s="35"/>
      <c r="C38" s="35"/>
      <c r="D38" s="35"/>
      <c r="E38" s="35"/>
      <c r="F38" s="35"/>
      <c r="G38" s="35"/>
      <c r="H38" s="35"/>
      <c r="I38" s="35"/>
      <c r="J38" s="12"/>
      <c r="K38" s="12"/>
      <c r="L38" s="12"/>
    </row>
    <row r="39" spans="1:12" x14ac:dyDescent="0.3">
      <c r="A39" s="60"/>
      <c r="B39" s="60"/>
      <c r="C39" s="60"/>
      <c r="D39" s="60"/>
      <c r="E39" s="60"/>
      <c r="F39" s="60"/>
      <c r="G39" s="60"/>
      <c r="H39" s="60"/>
      <c r="I39" s="60"/>
    </row>
    <row r="40" spans="1:12" x14ac:dyDescent="0.3">
      <c r="A40" s="60"/>
      <c r="B40" s="60"/>
      <c r="C40" s="60"/>
      <c r="D40" s="60"/>
      <c r="E40" s="60"/>
      <c r="F40" s="60"/>
      <c r="G40" s="60"/>
      <c r="H40" s="60"/>
      <c r="I40" s="60"/>
    </row>
    <row r="41" spans="1:12" x14ac:dyDescent="0.3">
      <c r="A41" s="60"/>
      <c r="B41" s="60"/>
      <c r="C41" s="60"/>
      <c r="D41" s="60"/>
      <c r="E41" s="60"/>
      <c r="F41" s="60"/>
      <c r="G41" s="60"/>
      <c r="H41" s="60"/>
      <c r="I41" s="60"/>
    </row>
    <row r="42" spans="1:12" x14ac:dyDescent="0.3">
      <c r="A42" s="60"/>
      <c r="B42" s="60"/>
      <c r="C42" s="60"/>
      <c r="D42" s="60"/>
      <c r="E42" s="60"/>
      <c r="F42" s="60"/>
      <c r="G42" s="60"/>
      <c r="H42" s="60"/>
      <c r="I42" s="60"/>
    </row>
  </sheetData>
  <mergeCells count="14">
    <mergeCell ref="K4:L4"/>
    <mergeCell ref="A31:I31"/>
    <mergeCell ref="A30:I30"/>
    <mergeCell ref="A32:I32"/>
    <mergeCell ref="F15:H15"/>
    <mergeCell ref="F24:H24"/>
    <mergeCell ref="B25:E25"/>
    <mergeCell ref="F25:H25"/>
    <mergeCell ref="A1:I1"/>
    <mergeCell ref="A37:I37"/>
    <mergeCell ref="A34:I34"/>
    <mergeCell ref="A35:I35"/>
    <mergeCell ref="A36:I36"/>
    <mergeCell ref="A33:I3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
  <sheetViews>
    <sheetView topLeftCell="A7" workbookViewId="0">
      <selection activeCell="O13" sqref="O13"/>
    </sheetView>
  </sheetViews>
  <sheetFormatPr defaultColWidth="9.1796875" defaultRowHeight="14" x14ac:dyDescent="0.3"/>
  <cols>
    <col min="1" max="1" width="33.54296875" style="11" customWidth="1"/>
    <col min="2" max="2" width="10.26953125" style="11" customWidth="1"/>
    <col min="3" max="9" width="9.1796875" style="11"/>
    <col min="10" max="10" width="6.26953125" style="11" customWidth="1"/>
    <col min="11" max="11" width="5.453125" style="11" customWidth="1"/>
    <col min="12" max="12" width="11.81640625" style="11" customWidth="1"/>
    <col min="13" max="16384" width="9.1796875" style="11"/>
  </cols>
  <sheetData>
    <row r="1" spans="1:13" ht="49.5" customHeight="1" x14ac:dyDescent="0.3">
      <c r="A1" s="77" t="s">
        <v>28</v>
      </c>
      <c r="B1" s="77"/>
      <c r="C1" s="77"/>
      <c r="D1" s="77"/>
      <c r="E1" s="77"/>
      <c r="F1" s="77"/>
      <c r="G1" s="77"/>
      <c r="H1" s="77"/>
      <c r="I1" s="77"/>
    </row>
    <row r="2" spans="1:13" x14ac:dyDescent="0.3">
      <c r="A2" s="12"/>
      <c r="B2" s="12"/>
      <c r="C2" s="12"/>
      <c r="D2" s="12"/>
      <c r="E2" s="12"/>
      <c r="I2" s="12"/>
      <c r="J2" s="12"/>
    </row>
    <row r="3" spans="1:13" ht="78" x14ac:dyDescent="0.3">
      <c r="A3" s="1" t="s">
        <v>1</v>
      </c>
      <c r="B3" s="1" t="s">
        <v>33</v>
      </c>
      <c r="C3" s="1" t="s">
        <v>34</v>
      </c>
      <c r="D3" s="1" t="s">
        <v>35</v>
      </c>
      <c r="E3" s="1" t="s">
        <v>36</v>
      </c>
      <c r="F3" s="1" t="s">
        <v>37</v>
      </c>
      <c r="G3" s="1" t="s">
        <v>24</v>
      </c>
      <c r="H3" s="1" t="s">
        <v>38</v>
      </c>
      <c r="I3" s="1" t="s">
        <v>39</v>
      </c>
      <c r="J3" s="12"/>
    </row>
    <row r="4" spans="1:13" ht="15.5" x14ac:dyDescent="0.3">
      <c r="A4" s="2" t="s">
        <v>29</v>
      </c>
      <c r="B4" s="3">
        <v>16</v>
      </c>
      <c r="C4" s="3">
        <v>1</v>
      </c>
      <c r="D4" s="3">
        <f>B4*C4</f>
        <v>16</v>
      </c>
      <c r="E4" s="24">
        <v>0</v>
      </c>
      <c r="F4" s="3">
        <f>+D4*E4</f>
        <v>0</v>
      </c>
      <c r="G4" s="3">
        <f>F4*0.05</f>
        <v>0</v>
      </c>
      <c r="H4" s="3">
        <f>+F4*0.1</f>
        <v>0</v>
      </c>
      <c r="I4" s="5">
        <f>+$M$7*F4+$M$6*G4+$M$8*H4</f>
        <v>0</v>
      </c>
      <c r="J4" s="12"/>
      <c r="K4" s="23"/>
    </row>
    <row r="5" spans="1:13" x14ac:dyDescent="0.3">
      <c r="A5" s="2" t="s">
        <v>30</v>
      </c>
      <c r="B5" s="3"/>
      <c r="C5" s="3"/>
      <c r="D5" s="3"/>
      <c r="E5" s="27"/>
      <c r="F5" s="3"/>
      <c r="G5" s="3"/>
      <c r="H5" s="3"/>
      <c r="I5" s="5"/>
      <c r="J5" s="12"/>
      <c r="L5" s="80" t="s">
        <v>44</v>
      </c>
      <c r="M5" s="80"/>
    </row>
    <row r="6" spans="1:13" ht="15.5" x14ac:dyDescent="0.3">
      <c r="A6" s="4" t="s">
        <v>8</v>
      </c>
      <c r="B6" s="3">
        <v>2</v>
      </c>
      <c r="C6" s="3">
        <v>1</v>
      </c>
      <c r="D6" s="3">
        <f t="shared" ref="D6:D8" si="0">B6*C6</f>
        <v>2</v>
      </c>
      <c r="E6" s="48">
        <f>'Table 1'!E10</f>
        <v>0.33333333333333331</v>
      </c>
      <c r="F6" s="10">
        <f t="shared" ref="F6:F8" si="1">+D6*E6</f>
        <v>0.66666666666666663</v>
      </c>
      <c r="G6" s="10">
        <f t="shared" ref="G6:G8" si="2">F6*0.05</f>
        <v>3.3333333333333333E-2</v>
      </c>
      <c r="H6" s="10">
        <f t="shared" ref="H6:H8" si="3">+F6*0.1</f>
        <v>6.6666666666666666E-2</v>
      </c>
      <c r="I6" s="5">
        <f>+$M$7*F6+$M$6*G6+$M$8*H6</f>
        <v>39.154666666666657</v>
      </c>
      <c r="J6" s="12"/>
      <c r="L6" s="15" t="s">
        <v>45</v>
      </c>
      <c r="M6" s="16">
        <v>70.56</v>
      </c>
    </row>
    <row r="7" spans="1:13" ht="15.5" x14ac:dyDescent="0.3">
      <c r="A7" s="4" t="s">
        <v>31</v>
      </c>
      <c r="B7" s="3">
        <v>1</v>
      </c>
      <c r="C7" s="3">
        <v>1</v>
      </c>
      <c r="D7" s="3">
        <v>1</v>
      </c>
      <c r="E7" s="27">
        <v>0</v>
      </c>
      <c r="F7" s="3">
        <v>0</v>
      </c>
      <c r="G7" s="3">
        <v>0</v>
      </c>
      <c r="H7" s="3">
        <v>0</v>
      </c>
      <c r="I7" s="5">
        <f>+$M$7*F7+$M$6*G7+$M$8*H7</f>
        <v>0</v>
      </c>
      <c r="J7" s="12"/>
      <c r="K7" s="23"/>
      <c r="L7" s="15" t="s">
        <v>46</v>
      </c>
      <c r="M7" s="16">
        <v>52.37</v>
      </c>
    </row>
    <row r="8" spans="1:13" ht="15.5" x14ac:dyDescent="0.3">
      <c r="A8" s="4" t="s">
        <v>32</v>
      </c>
      <c r="B8" s="3">
        <v>4</v>
      </c>
      <c r="C8" s="3">
        <v>1</v>
      </c>
      <c r="D8" s="3">
        <f t="shared" si="0"/>
        <v>4</v>
      </c>
      <c r="E8" s="48">
        <f>'Table 1'!E11</f>
        <v>0.33333333333333331</v>
      </c>
      <c r="F8" s="10">
        <f t="shared" si="1"/>
        <v>1.3333333333333333</v>
      </c>
      <c r="G8" s="10">
        <f t="shared" si="2"/>
        <v>6.6666666666666666E-2</v>
      </c>
      <c r="H8" s="10">
        <f t="shared" si="3"/>
        <v>0.13333333333333333</v>
      </c>
      <c r="I8" s="5">
        <f>+$M$7*F8+$M$6*G8+$M$8*H8</f>
        <v>78.309333333333313</v>
      </c>
      <c r="J8" s="12"/>
      <c r="L8" s="15" t="s">
        <v>47</v>
      </c>
      <c r="M8" s="16">
        <v>28.34</v>
      </c>
    </row>
    <row r="9" spans="1:13" ht="15.5" x14ac:dyDescent="0.3">
      <c r="A9" s="13" t="s">
        <v>43</v>
      </c>
      <c r="B9" s="2"/>
      <c r="C9" s="2"/>
      <c r="D9" s="2"/>
      <c r="E9" s="24">
        <v>0</v>
      </c>
      <c r="F9" s="2"/>
      <c r="G9" s="2"/>
      <c r="H9" s="2"/>
      <c r="I9" s="5">
        <f>E4*500</f>
        <v>0</v>
      </c>
      <c r="J9" s="12"/>
      <c r="K9" s="23"/>
    </row>
    <row r="10" spans="1:13" ht="15" x14ac:dyDescent="0.3">
      <c r="A10" s="6" t="s">
        <v>51</v>
      </c>
      <c r="B10" s="2"/>
      <c r="C10" s="2"/>
      <c r="D10" s="2"/>
      <c r="E10" s="44"/>
      <c r="F10" s="87">
        <f>SUM(F4:H8)</f>
        <v>2.2999999999999998</v>
      </c>
      <c r="G10" s="87"/>
      <c r="H10" s="87"/>
      <c r="I10" s="7">
        <f>ROUND(+SUM(I4:I9),0)</f>
        <v>117</v>
      </c>
      <c r="J10" s="12"/>
    </row>
    <row r="11" spans="1:13" x14ac:dyDescent="0.3">
      <c r="A11" s="12"/>
      <c r="B11" s="12"/>
      <c r="C11" s="12"/>
      <c r="D11" s="12"/>
      <c r="E11" s="12"/>
      <c r="F11" s="12"/>
      <c r="G11" s="12"/>
      <c r="H11" s="12"/>
      <c r="I11" s="12"/>
      <c r="J11" s="12"/>
    </row>
    <row r="12" spans="1:13" x14ac:dyDescent="0.3">
      <c r="A12" s="9" t="s">
        <v>27</v>
      </c>
      <c r="B12" s="12"/>
      <c r="C12" s="12"/>
      <c r="D12" s="12"/>
      <c r="E12" s="12"/>
      <c r="F12" s="12"/>
      <c r="G12" s="12"/>
      <c r="H12" s="12"/>
      <c r="I12" s="12"/>
      <c r="J12" s="12"/>
    </row>
    <row r="13" spans="1:13" ht="72.650000000000006" customHeight="1" x14ac:dyDescent="0.35">
      <c r="A13" s="88" t="s">
        <v>133</v>
      </c>
      <c r="B13" s="88"/>
      <c r="C13" s="88"/>
      <c r="D13" s="88"/>
      <c r="E13" s="88"/>
      <c r="F13" s="88"/>
      <c r="G13" s="88"/>
      <c r="H13" s="88"/>
      <c r="I13" s="88"/>
      <c r="J13" s="12"/>
      <c r="L13" s="31"/>
    </row>
    <row r="14" spans="1:13" ht="32.25" customHeight="1" x14ac:dyDescent="0.3">
      <c r="A14" s="88" t="s">
        <v>98</v>
      </c>
      <c r="B14" s="88"/>
      <c r="C14" s="88"/>
      <c r="D14" s="88"/>
      <c r="E14" s="88"/>
      <c r="F14" s="88"/>
      <c r="G14" s="88"/>
      <c r="H14" s="88"/>
      <c r="I14" s="88"/>
      <c r="J14" s="12"/>
      <c r="K14" s="23"/>
    </row>
    <row r="15" spans="1:13" ht="31.5" customHeight="1" x14ac:dyDescent="0.3">
      <c r="A15" s="78" t="s">
        <v>111</v>
      </c>
      <c r="B15" s="78"/>
      <c r="C15" s="78"/>
      <c r="D15" s="78"/>
      <c r="E15" s="78"/>
      <c r="F15" s="78"/>
      <c r="G15" s="78"/>
      <c r="H15" s="78"/>
      <c r="I15" s="78"/>
      <c r="J15" s="12"/>
    </row>
    <row r="16" spans="1:13" ht="15.75" customHeight="1" x14ac:dyDescent="0.3">
      <c r="A16" s="85" t="s">
        <v>130</v>
      </c>
      <c r="B16" s="85"/>
      <c r="C16" s="85"/>
      <c r="D16" s="85"/>
      <c r="E16" s="85"/>
      <c r="F16" s="85"/>
      <c r="G16" s="85"/>
      <c r="H16" s="85"/>
      <c r="I16" s="85"/>
      <c r="J16" s="12"/>
    </row>
    <row r="17" spans="1:11" ht="32.25" customHeight="1" x14ac:dyDescent="0.3">
      <c r="A17" s="78" t="s">
        <v>116</v>
      </c>
      <c r="B17" s="78"/>
      <c r="C17" s="78"/>
      <c r="D17" s="78"/>
      <c r="E17" s="78"/>
      <c r="F17" s="78"/>
      <c r="G17" s="78"/>
      <c r="H17" s="78"/>
      <c r="I17" s="78"/>
      <c r="J17" s="12"/>
    </row>
    <row r="18" spans="1:11" ht="31.5" customHeight="1" x14ac:dyDescent="0.3">
      <c r="A18" s="78" t="s">
        <v>40</v>
      </c>
      <c r="B18" s="78"/>
      <c r="C18" s="78"/>
      <c r="D18" s="78"/>
      <c r="E18" s="78"/>
      <c r="F18" s="78"/>
      <c r="G18" s="78"/>
      <c r="H18" s="78"/>
      <c r="I18" s="78"/>
      <c r="J18" s="12"/>
      <c r="K18" s="23"/>
    </row>
    <row r="19" spans="1:11" ht="15.5" x14ac:dyDescent="0.3">
      <c r="A19" s="86" t="s">
        <v>41</v>
      </c>
      <c r="B19" s="86"/>
      <c r="C19" s="86"/>
      <c r="D19" s="86"/>
      <c r="E19" s="86"/>
      <c r="F19" s="86"/>
      <c r="G19" s="86"/>
      <c r="H19" s="86"/>
      <c r="I19" s="86"/>
      <c r="J19" s="12"/>
    </row>
  </sheetData>
  <mergeCells count="10">
    <mergeCell ref="F10:H10"/>
    <mergeCell ref="A1:I1"/>
    <mergeCell ref="L5:M5"/>
    <mergeCell ref="A13:I13"/>
    <mergeCell ref="A14:I14"/>
    <mergeCell ref="A15:I15"/>
    <mergeCell ref="A16:I16"/>
    <mergeCell ref="A17:I17"/>
    <mergeCell ref="A18:I18"/>
    <mergeCell ref="A19:I1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8989-8758-4ECC-B309-51C792B1C481}">
  <dimension ref="A1:G19"/>
  <sheetViews>
    <sheetView topLeftCell="A3" workbookViewId="0">
      <selection activeCell="H12" sqref="H12"/>
    </sheetView>
  </sheetViews>
  <sheetFormatPr defaultColWidth="16.81640625" defaultRowHeight="14.5" x14ac:dyDescent="0.35"/>
  <sheetData>
    <row r="1" spans="1:7" ht="15" x14ac:dyDescent="0.35">
      <c r="A1" s="89" t="s">
        <v>52</v>
      </c>
      <c r="B1" s="89"/>
      <c r="C1" s="89"/>
      <c r="D1" s="89"/>
      <c r="E1" s="89"/>
      <c r="F1" s="89"/>
      <c r="G1" s="89"/>
    </row>
    <row r="2" spans="1:7" x14ac:dyDescent="0.35">
      <c r="A2" s="18"/>
      <c r="B2" s="17"/>
      <c r="C2" s="17"/>
      <c r="D2" s="17"/>
      <c r="E2" s="17"/>
      <c r="F2" s="17"/>
      <c r="G2" s="17"/>
    </row>
    <row r="3" spans="1:7" x14ac:dyDescent="0.35">
      <c r="A3" s="17" t="s">
        <v>53</v>
      </c>
      <c r="B3" s="17" t="s">
        <v>55</v>
      </c>
      <c r="C3" s="17" t="s">
        <v>56</v>
      </c>
      <c r="D3" s="17" t="s">
        <v>58</v>
      </c>
      <c r="E3" s="17" t="s">
        <v>59</v>
      </c>
      <c r="F3" s="17" t="s">
        <v>61</v>
      </c>
      <c r="G3" s="17" t="s">
        <v>63</v>
      </c>
    </row>
    <row r="4" spans="1:7" ht="41.5" x14ac:dyDescent="0.35">
      <c r="A4" s="17" t="s">
        <v>54</v>
      </c>
      <c r="B4" s="17" t="s">
        <v>91</v>
      </c>
      <c r="C4" s="17" t="s">
        <v>57</v>
      </c>
      <c r="D4" s="17" t="s">
        <v>92</v>
      </c>
      <c r="E4" s="17" t="s">
        <v>60</v>
      </c>
      <c r="F4" s="17" t="s">
        <v>62</v>
      </c>
      <c r="G4" s="17" t="s">
        <v>67</v>
      </c>
    </row>
    <row r="5" spans="1:7" x14ac:dyDescent="0.35">
      <c r="A5" s="2"/>
      <c r="B5" s="2"/>
      <c r="C5" s="2"/>
      <c r="D5" s="17"/>
      <c r="E5" s="2"/>
      <c r="F5" s="2"/>
      <c r="G5" s="17"/>
    </row>
    <row r="6" spans="1:7" x14ac:dyDescent="0.35">
      <c r="A6" s="61" t="s">
        <v>64</v>
      </c>
      <c r="B6" s="62">
        <v>8740</v>
      </c>
      <c r="C6" s="63">
        <v>0</v>
      </c>
      <c r="D6" s="62">
        <f>B6*C6</f>
        <v>0</v>
      </c>
      <c r="E6" s="62">
        <v>0</v>
      </c>
      <c r="F6" s="63">
        <v>0</v>
      </c>
      <c r="G6" s="62">
        <f>E6*F6</f>
        <v>0</v>
      </c>
    </row>
    <row r="7" spans="1:7" ht="26" x14ac:dyDescent="0.35">
      <c r="A7" s="61" t="s">
        <v>65</v>
      </c>
      <c r="B7" s="62">
        <v>5603</v>
      </c>
      <c r="C7" s="63">
        <v>0</v>
      </c>
      <c r="D7" s="62">
        <f t="shared" ref="D7:D9" si="0">B7*C7</f>
        <v>0</v>
      </c>
      <c r="E7" s="62">
        <v>0</v>
      </c>
      <c r="F7" s="63">
        <v>0</v>
      </c>
      <c r="G7" s="62">
        <f t="shared" ref="G7:G9" si="1">E7*F7</f>
        <v>0</v>
      </c>
    </row>
    <row r="8" spans="1:7" x14ac:dyDescent="0.35">
      <c r="A8" s="61" t="s">
        <v>66</v>
      </c>
      <c r="B8" s="62">
        <v>235</v>
      </c>
      <c r="C8" s="63">
        <v>0</v>
      </c>
      <c r="D8" s="62">
        <f t="shared" si="0"/>
        <v>0</v>
      </c>
      <c r="E8" s="62">
        <v>0</v>
      </c>
      <c r="F8" s="63">
        <v>0</v>
      </c>
      <c r="G8" s="62">
        <f t="shared" si="1"/>
        <v>0</v>
      </c>
    </row>
    <row r="9" spans="1:7" ht="41.5" x14ac:dyDescent="0.35">
      <c r="A9" s="61" t="s">
        <v>93</v>
      </c>
      <c r="B9" s="62">
        <v>0</v>
      </c>
      <c r="C9" s="63">
        <v>0</v>
      </c>
      <c r="D9" s="62">
        <f t="shared" si="0"/>
        <v>0</v>
      </c>
      <c r="E9" s="62">
        <f>ROUND(8*'Table 1'!L6,0)</f>
        <v>992</v>
      </c>
      <c r="F9" s="63">
        <v>14</v>
      </c>
      <c r="G9" s="62">
        <f t="shared" si="1"/>
        <v>13888</v>
      </c>
    </row>
    <row r="10" spans="1:7" ht="15.5" x14ac:dyDescent="0.35">
      <c r="A10" s="61" t="s">
        <v>94</v>
      </c>
      <c r="B10" s="61"/>
      <c r="C10" s="61"/>
      <c r="D10" s="62">
        <f>SUM(D6:D9)</f>
        <v>0</v>
      </c>
      <c r="E10" s="61"/>
      <c r="F10" s="61"/>
      <c r="G10" s="62">
        <f>ROUND(SUM(G6:G9),-2)</f>
        <v>13900</v>
      </c>
    </row>
    <row r="11" spans="1:7" ht="36" customHeight="1" x14ac:dyDescent="0.35">
      <c r="A11" s="90" t="s">
        <v>117</v>
      </c>
      <c r="B11" s="90"/>
      <c r="C11" s="90"/>
      <c r="D11" s="90"/>
      <c r="E11" s="90"/>
      <c r="F11" s="90"/>
      <c r="G11" s="90"/>
    </row>
    <row r="12" spans="1:7" ht="63.75" customHeight="1" x14ac:dyDescent="0.35">
      <c r="A12" s="91" t="s">
        <v>131</v>
      </c>
      <c r="B12" s="91"/>
      <c r="C12" s="91"/>
      <c r="D12" s="91"/>
      <c r="E12" s="91"/>
      <c r="F12" s="91"/>
      <c r="G12" s="91"/>
    </row>
    <row r="13" spans="1:7" ht="15.5" x14ac:dyDescent="0.35">
      <c r="A13" s="64" t="s">
        <v>95</v>
      </c>
      <c r="B13" s="35"/>
      <c r="C13" s="35"/>
      <c r="D13" s="35"/>
      <c r="E13" s="35"/>
      <c r="F13" s="35"/>
      <c r="G13" s="35"/>
    </row>
    <row r="14" spans="1:7" x14ac:dyDescent="0.35">
      <c r="A14" s="36"/>
      <c r="B14" s="36"/>
      <c r="C14" s="36"/>
      <c r="D14" s="36"/>
      <c r="E14" s="36"/>
      <c r="F14" s="36"/>
      <c r="G14" s="36"/>
    </row>
    <row r="15" spans="1:7" x14ac:dyDescent="0.35">
      <c r="A15" s="36"/>
      <c r="B15" s="36"/>
      <c r="C15" s="36"/>
      <c r="D15" s="36"/>
      <c r="E15" s="36"/>
      <c r="F15" s="36"/>
      <c r="G15" s="36"/>
    </row>
    <row r="16" spans="1:7" x14ac:dyDescent="0.35">
      <c r="A16" s="36"/>
      <c r="B16" s="36"/>
      <c r="C16" s="36"/>
      <c r="D16" s="36"/>
      <c r="E16" s="36"/>
      <c r="F16" s="36"/>
      <c r="G16" s="36"/>
    </row>
    <row r="17" spans="1:7" x14ac:dyDescent="0.35">
      <c r="A17" s="36"/>
      <c r="B17" s="36"/>
      <c r="C17" s="36"/>
      <c r="D17" s="36"/>
      <c r="E17" s="36"/>
      <c r="F17" s="36"/>
      <c r="G17" s="36"/>
    </row>
    <row r="18" spans="1:7" x14ac:dyDescent="0.35">
      <c r="A18" s="36"/>
      <c r="B18" s="36"/>
      <c r="C18" s="36"/>
      <c r="D18" s="36"/>
      <c r="E18" s="36"/>
      <c r="F18" s="36"/>
      <c r="G18" s="36"/>
    </row>
    <row r="19" spans="1:7" x14ac:dyDescent="0.35">
      <c r="A19" s="36"/>
      <c r="B19" s="36"/>
      <c r="C19" s="36"/>
      <c r="D19" s="36"/>
      <c r="E19" s="36"/>
      <c r="F19" s="36"/>
      <c r="G19" s="36"/>
    </row>
  </sheetData>
  <mergeCells count="3">
    <mergeCell ref="A1:G1"/>
    <mergeCell ref="A11:G11"/>
    <mergeCell ref="A12:G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DAB3-F695-402A-9D77-D56B6B514DCC}">
  <dimension ref="A1:G27"/>
  <sheetViews>
    <sheetView workbookViewId="0">
      <selection activeCell="I8" sqref="I8"/>
    </sheetView>
  </sheetViews>
  <sheetFormatPr defaultRowHeight="14.5" x14ac:dyDescent="0.35"/>
  <cols>
    <col min="1" max="6" width="17.7265625" customWidth="1"/>
  </cols>
  <sheetData>
    <row r="1" spans="1:7" ht="15" x14ac:dyDescent="0.35">
      <c r="A1" s="89" t="s">
        <v>68</v>
      </c>
      <c r="B1" s="89"/>
      <c r="C1" s="89"/>
      <c r="D1" s="89"/>
      <c r="E1" s="89"/>
      <c r="F1" s="89"/>
      <c r="G1" s="12"/>
    </row>
    <row r="2" spans="1:7" ht="15" x14ac:dyDescent="0.35">
      <c r="A2" s="20"/>
      <c r="B2" s="93"/>
      <c r="C2" s="93"/>
      <c r="D2" s="28"/>
      <c r="E2" s="28"/>
      <c r="F2" s="28"/>
      <c r="G2" s="12"/>
    </row>
    <row r="3" spans="1:7" ht="23" x14ac:dyDescent="0.35">
      <c r="A3" s="20"/>
      <c r="B3" s="93" t="s">
        <v>69</v>
      </c>
      <c r="C3" s="93"/>
      <c r="D3" s="28" t="s">
        <v>70</v>
      </c>
      <c r="E3" s="28"/>
      <c r="F3" s="28"/>
      <c r="G3" s="12"/>
    </row>
    <row r="4" spans="1:7" x14ac:dyDescent="0.35">
      <c r="A4" s="28"/>
      <c r="B4" s="29"/>
      <c r="C4" s="29"/>
      <c r="D4" s="29"/>
      <c r="E4" s="29"/>
      <c r="F4" s="29"/>
      <c r="G4" s="12"/>
    </row>
    <row r="5" spans="1:7" x14ac:dyDescent="0.35">
      <c r="A5" s="29"/>
      <c r="B5" s="17" t="s">
        <v>53</v>
      </c>
      <c r="C5" s="17" t="s">
        <v>55</v>
      </c>
      <c r="D5" s="17" t="s">
        <v>56</v>
      </c>
      <c r="E5" s="17" t="s">
        <v>58</v>
      </c>
      <c r="F5" s="17" t="s">
        <v>59</v>
      </c>
      <c r="G5" s="12"/>
    </row>
    <row r="6" spans="1:7" ht="52" x14ac:dyDescent="0.35">
      <c r="A6" s="63" t="s">
        <v>71</v>
      </c>
      <c r="B6" s="63" t="s">
        <v>105</v>
      </c>
      <c r="C6" s="63" t="s">
        <v>72</v>
      </c>
      <c r="D6" s="63" t="s">
        <v>73</v>
      </c>
      <c r="E6" s="63" t="s">
        <v>74</v>
      </c>
      <c r="F6" s="63" t="s">
        <v>80</v>
      </c>
      <c r="G6" s="12"/>
    </row>
    <row r="7" spans="1:7" x14ac:dyDescent="0.35">
      <c r="A7" s="65"/>
      <c r="B7" s="65"/>
      <c r="C7" s="65"/>
      <c r="D7" s="65"/>
      <c r="E7" s="65"/>
      <c r="F7" s="61"/>
      <c r="G7" s="12"/>
    </row>
    <row r="8" spans="1:7" x14ac:dyDescent="0.35">
      <c r="A8" s="94" t="s">
        <v>75</v>
      </c>
      <c r="B8" s="94"/>
      <c r="C8" s="94"/>
      <c r="D8" s="94"/>
      <c r="E8" s="94"/>
      <c r="F8" s="94"/>
      <c r="G8" s="12"/>
    </row>
    <row r="9" spans="1:7" x14ac:dyDescent="0.35">
      <c r="A9" s="66">
        <v>1</v>
      </c>
      <c r="B9" s="66">
        <v>1</v>
      </c>
      <c r="C9" s="66">
        <v>55</v>
      </c>
      <c r="D9" s="66">
        <v>0</v>
      </c>
      <c r="E9" s="66">
        <v>0</v>
      </c>
      <c r="F9" s="66">
        <f>B9+C9</f>
        <v>56</v>
      </c>
      <c r="G9" s="12"/>
    </row>
    <row r="10" spans="1:7" x14ac:dyDescent="0.35">
      <c r="A10" s="66">
        <v>2</v>
      </c>
      <c r="B10" s="66">
        <v>0</v>
      </c>
      <c r="C10" s="66">
        <f>F9+B10</f>
        <v>56</v>
      </c>
      <c r="D10" s="66">
        <v>0</v>
      </c>
      <c r="E10" s="66">
        <v>0</v>
      </c>
      <c r="F10" s="66">
        <f t="shared" ref="F10:F11" si="0">B10+C10</f>
        <v>56</v>
      </c>
      <c r="G10" s="12"/>
    </row>
    <row r="11" spans="1:7" x14ac:dyDescent="0.35">
      <c r="A11" s="66">
        <v>3</v>
      </c>
      <c r="B11" s="66">
        <v>0</v>
      </c>
      <c r="C11" s="66">
        <f>F10+B11</f>
        <v>56</v>
      </c>
      <c r="D11" s="66">
        <v>0</v>
      </c>
      <c r="E11" s="66">
        <v>0</v>
      </c>
      <c r="F11" s="66">
        <f t="shared" si="0"/>
        <v>56</v>
      </c>
      <c r="G11" s="12"/>
    </row>
    <row r="12" spans="1:7" x14ac:dyDescent="0.35">
      <c r="A12" s="66" t="s">
        <v>76</v>
      </c>
      <c r="B12" s="67">
        <f>AVERAGE(B9:B11)</f>
        <v>0.33333333333333331</v>
      </c>
      <c r="C12" s="68">
        <f t="shared" ref="C12:F12" si="1">AVERAGE(C9:C11)</f>
        <v>55.666666666666664</v>
      </c>
      <c r="D12" s="66">
        <f t="shared" si="1"/>
        <v>0</v>
      </c>
      <c r="E12" s="66">
        <f t="shared" si="1"/>
        <v>0</v>
      </c>
      <c r="F12" s="66">
        <f t="shared" si="1"/>
        <v>56</v>
      </c>
      <c r="G12" s="12"/>
    </row>
    <row r="13" spans="1:7" x14ac:dyDescent="0.35">
      <c r="A13" s="92" t="s">
        <v>77</v>
      </c>
      <c r="B13" s="92"/>
      <c r="C13" s="92"/>
      <c r="D13" s="92"/>
      <c r="E13" s="92"/>
      <c r="F13" s="92"/>
      <c r="G13" s="12"/>
    </row>
    <row r="14" spans="1:7" x14ac:dyDescent="0.35">
      <c r="A14" s="69">
        <v>1</v>
      </c>
      <c r="B14" s="69">
        <v>0</v>
      </c>
      <c r="C14" s="69">
        <v>21</v>
      </c>
      <c r="D14" s="69">
        <v>0</v>
      </c>
      <c r="E14" s="69">
        <v>0</v>
      </c>
      <c r="F14" s="69">
        <v>21</v>
      </c>
      <c r="G14" s="12"/>
    </row>
    <row r="15" spans="1:7" x14ac:dyDescent="0.35">
      <c r="A15" s="69">
        <v>2</v>
      </c>
      <c r="B15" s="69">
        <v>0</v>
      </c>
      <c r="C15" s="69">
        <v>21</v>
      </c>
      <c r="D15" s="69">
        <v>0</v>
      </c>
      <c r="E15" s="69">
        <v>0</v>
      </c>
      <c r="F15" s="69">
        <v>21</v>
      </c>
      <c r="G15" s="12"/>
    </row>
    <row r="16" spans="1:7" x14ac:dyDescent="0.35">
      <c r="A16" s="69">
        <v>3</v>
      </c>
      <c r="B16" s="69">
        <v>0</v>
      </c>
      <c r="C16" s="69">
        <v>21</v>
      </c>
      <c r="D16" s="69">
        <v>0</v>
      </c>
      <c r="E16" s="69">
        <v>0</v>
      </c>
      <c r="F16" s="69">
        <v>21</v>
      </c>
      <c r="G16" s="12"/>
    </row>
    <row r="17" spans="1:7" x14ac:dyDescent="0.35">
      <c r="A17" s="69" t="s">
        <v>76</v>
      </c>
      <c r="B17" s="69">
        <v>0</v>
      </c>
      <c r="C17" s="69">
        <v>21</v>
      </c>
      <c r="D17" s="69">
        <v>0</v>
      </c>
      <c r="E17" s="69">
        <v>0</v>
      </c>
      <c r="F17" s="69">
        <v>21</v>
      </c>
      <c r="G17" s="12"/>
    </row>
    <row r="18" spans="1:7" x14ac:dyDescent="0.35">
      <c r="A18" s="92" t="s">
        <v>78</v>
      </c>
      <c r="B18" s="92"/>
      <c r="C18" s="92"/>
      <c r="D18" s="92"/>
      <c r="E18" s="92"/>
      <c r="F18" s="92"/>
      <c r="G18" s="12"/>
    </row>
    <row r="19" spans="1:7" x14ac:dyDescent="0.35">
      <c r="A19" s="69">
        <v>1</v>
      </c>
      <c r="B19" s="69">
        <v>0</v>
      </c>
      <c r="C19" s="69">
        <v>10</v>
      </c>
      <c r="D19" s="69">
        <v>0</v>
      </c>
      <c r="E19" s="69">
        <v>0</v>
      </c>
      <c r="F19" s="69">
        <v>10</v>
      </c>
      <c r="G19" s="12"/>
    </row>
    <row r="20" spans="1:7" x14ac:dyDescent="0.35">
      <c r="A20" s="69">
        <v>2</v>
      </c>
      <c r="B20" s="69">
        <v>0</v>
      </c>
      <c r="C20" s="69">
        <v>10</v>
      </c>
      <c r="D20" s="69">
        <v>0</v>
      </c>
      <c r="E20" s="69">
        <v>0</v>
      </c>
      <c r="F20" s="69">
        <v>10</v>
      </c>
      <c r="G20" s="12"/>
    </row>
    <row r="21" spans="1:7" x14ac:dyDescent="0.35">
      <c r="A21" s="69">
        <v>3</v>
      </c>
      <c r="B21" s="69">
        <v>0</v>
      </c>
      <c r="C21" s="69">
        <v>10</v>
      </c>
      <c r="D21" s="69">
        <v>0</v>
      </c>
      <c r="E21" s="69">
        <v>0</v>
      </c>
      <c r="F21" s="69">
        <v>10</v>
      </c>
      <c r="G21" s="12"/>
    </row>
    <row r="22" spans="1:7" x14ac:dyDescent="0.35">
      <c r="A22" s="69" t="s">
        <v>76</v>
      </c>
      <c r="B22" s="69">
        <v>0</v>
      </c>
      <c r="C22" s="69">
        <v>10</v>
      </c>
      <c r="D22" s="69">
        <v>0</v>
      </c>
      <c r="E22" s="69">
        <v>0</v>
      </c>
      <c r="F22" s="69">
        <v>10</v>
      </c>
      <c r="G22" s="12"/>
    </row>
    <row r="23" spans="1:7" x14ac:dyDescent="0.35">
      <c r="A23" s="69" t="s">
        <v>79</v>
      </c>
      <c r="B23" s="70">
        <f>B12+B17+B22</f>
        <v>0.33333333333333331</v>
      </c>
      <c r="C23" s="71">
        <f>C12+C17+C22</f>
        <v>86.666666666666657</v>
      </c>
      <c r="D23" s="69">
        <v>0</v>
      </c>
      <c r="E23" s="69">
        <v>0</v>
      </c>
      <c r="F23" s="69">
        <f>F12+F17+F22</f>
        <v>87</v>
      </c>
      <c r="G23" s="12"/>
    </row>
    <row r="24" spans="1:7" ht="18.5" x14ac:dyDescent="0.35">
      <c r="A24" s="72" t="s">
        <v>106</v>
      </c>
      <c r="B24" s="36"/>
      <c r="C24" s="36"/>
      <c r="D24" s="36"/>
      <c r="E24" s="36"/>
      <c r="F24" s="36"/>
      <c r="G24" s="12"/>
    </row>
    <row r="25" spans="1:7" x14ac:dyDescent="0.35">
      <c r="A25" s="35"/>
      <c r="B25" s="35"/>
      <c r="C25" s="35"/>
      <c r="D25" s="35"/>
      <c r="E25" s="35"/>
      <c r="F25" s="35"/>
      <c r="G25" s="12"/>
    </row>
    <row r="26" spans="1:7" x14ac:dyDescent="0.35">
      <c r="A26" s="36"/>
      <c r="B26" s="36"/>
      <c r="C26" s="36"/>
      <c r="D26" s="36"/>
      <c r="E26" s="36"/>
      <c r="F26" s="36"/>
    </row>
    <row r="27" spans="1:7" x14ac:dyDescent="0.35">
      <c r="A27" s="36"/>
      <c r="B27" s="36"/>
      <c r="C27" s="36"/>
      <c r="D27" s="36"/>
      <c r="E27" s="36"/>
      <c r="F27" s="36"/>
    </row>
  </sheetData>
  <mergeCells count="6">
    <mergeCell ref="A18:F18"/>
    <mergeCell ref="A1:F1"/>
    <mergeCell ref="B2:C2"/>
    <mergeCell ref="B3:C3"/>
    <mergeCell ref="A8:F8"/>
    <mergeCell ref="A13: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A85E9-48D8-4620-9F11-BF09878B6299}">
  <dimension ref="A1:I31"/>
  <sheetViews>
    <sheetView topLeftCell="A7" workbookViewId="0">
      <selection activeCell="F28" sqref="F28"/>
    </sheetView>
  </sheetViews>
  <sheetFormatPr defaultRowHeight="14.5" x14ac:dyDescent="0.35"/>
  <cols>
    <col min="1" max="1" width="28.26953125" customWidth="1"/>
    <col min="2" max="5" width="17.7265625" customWidth="1"/>
  </cols>
  <sheetData>
    <row r="1" spans="1:7" ht="15.5" x14ac:dyDescent="0.35">
      <c r="A1" s="98"/>
      <c r="B1" s="98"/>
      <c r="C1" s="98"/>
      <c r="D1" s="98"/>
      <c r="E1" s="98"/>
      <c r="F1" s="12"/>
      <c r="G1" s="12"/>
    </row>
    <row r="2" spans="1:7" ht="15" x14ac:dyDescent="0.35">
      <c r="A2" s="89" t="s">
        <v>81</v>
      </c>
      <c r="B2" s="89"/>
      <c r="C2" s="89"/>
      <c r="D2" s="89"/>
      <c r="E2" s="89"/>
      <c r="F2" s="12"/>
      <c r="G2" s="12"/>
    </row>
    <row r="3" spans="1:7" x14ac:dyDescent="0.35">
      <c r="A3" s="21"/>
      <c r="B3" s="19"/>
      <c r="C3" s="19"/>
      <c r="D3" s="19"/>
      <c r="E3" s="19"/>
      <c r="F3" s="12"/>
      <c r="G3" s="12"/>
    </row>
    <row r="4" spans="1:7" x14ac:dyDescent="0.35">
      <c r="A4" s="19" t="s">
        <v>53</v>
      </c>
      <c r="B4" s="19" t="s">
        <v>55</v>
      </c>
      <c r="C4" s="19" t="s">
        <v>56</v>
      </c>
      <c r="D4" s="19" t="s">
        <v>58</v>
      </c>
      <c r="E4" s="19" t="s">
        <v>59</v>
      </c>
      <c r="F4" s="12"/>
      <c r="G4" s="12"/>
    </row>
    <row r="5" spans="1:7" ht="46" x14ac:dyDescent="0.35">
      <c r="A5" s="73" t="s">
        <v>82</v>
      </c>
      <c r="B5" s="73" t="s">
        <v>68</v>
      </c>
      <c r="C5" s="73" t="s">
        <v>83</v>
      </c>
      <c r="D5" s="73" t="s">
        <v>84</v>
      </c>
      <c r="E5" s="73" t="s">
        <v>87</v>
      </c>
      <c r="F5" s="12"/>
      <c r="G5" s="12"/>
    </row>
    <row r="6" spans="1:7" x14ac:dyDescent="0.35">
      <c r="A6" s="74"/>
      <c r="B6" s="74"/>
      <c r="C6" s="74"/>
      <c r="D6" s="74"/>
      <c r="E6" s="74"/>
      <c r="F6" s="12"/>
      <c r="G6" s="12"/>
    </row>
    <row r="7" spans="1:7" x14ac:dyDescent="0.35">
      <c r="A7" s="94" t="s">
        <v>75</v>
      </c>
      <c r="B7" s="94"/>
      <c r="C7" s="94"/>
      <c r="D7" s="94"/>
      <c r="E7" s="94"/>
      <c r="F7" s="12"/>
      <c r="G7" s="12"/>
    </row>
    <row r="8" spans="1:7" ht="15.5" x14ac:dyDescent="0.35">
      <c r="A8" s="73" t="s">
        <v>8</v>
      </c>
      <c r="B8" s="67">
        <f>'Table 1'!E10</f>
        <v>0.33333333333333331</v>
      </c>
      <c r="C8" s="66">
        <v>1</v>
      </c>
      <c r="D8" s="66">
        <v>0</v>
      </c>
      <c r="E8" s="67">
        <f>B8*C8+D8</f>
        <v>0.33333333333333331</v>
      </c>
      <c r="F8" s="12"/>
      <c r="G8" s="12"/>
    </row>
    <row r="9" spans="1:7" ht="15.5" x14ac:dyDescent="0.35">
      <c r="A9" s="73" t="s">
        <v>9</v>
      </c>
      <c r="B9" s="67">
        <f>'Table 1'!E11</f>
        <v>0.33333333333333331</v>
      </c>
      <c r="C9" s="66">
        <v>1</v>
      </c>
      <c r="D9" s="66">
        <v>0</v>
      </c>
      <c r="E9" s="67">
        <f>B9*C9+D9</f>
        <v>0.33333333333333331</v>
      </c>
      <c r="F9" s="12"/>
      <c r="G9" s="12"/>
    </row>
    <row r="10" spans="1:7" x14ac:dyDescent="0.35">
      <c r="A10" s="73" t="s">
        <v>85</v>
      </c>
      <c r="B10" s="66">
        <v>0</v>
      </c>
      <c r="C10" s="66">
        <v>0</v>
      </c>
      <c r="D10" s="66" t="s">
        <v>88</v>
      </c>
      <c r="E10" s="66">
        <v>0</v>
      </c>
      <c r="F10" s="12"/>
      <c r="G10" s="12"/>
    </row>
    <row r="11" spans="1:7" x14ac:dyDescent="0.35">
      <c r="A11" s="73" t="s">
        <v>86</v>
      </c>
      <c r="B11" s="66"/>
      <c r="C11" s="66"/>
      <c r="D11" s="66"/>
      <c r="E11" s="67">
        <f>E8+E9</f>
        <v>0.66666666666666663</v>
      </c>
      <c r="F11" s="12"/>
      <c r="G11" s="12"/>
    </row>
    <row r="12" spans="1:7" x14ac:dyDescent="0.35">
      <c r="A12" s="92" t="s">
        <v>77</v>
      </c>
      <c r="B12" s="92"/>
      <c r="C12" s="92"/>
      <c r="D12" s="92"/>
      <c r="E12" s="92"/>
      <c r="F12" s="12"/>
      <c r="G12" s="12"/>
    </row>
    <row r="13" spans="1:7" x14ac:dyDescent="0.35">
      <c r="A13" s="73" t="s">
        <v>85</v>
      </c>
      <c r="B13" s="66">
        <v>0</v>
      </c>
      <c r="C13" s="66">
        <v>0</v>
      </c>
      <c r="D13" s="66" t="s">
        <v>89</v>
      </c>
      <c r="E13" s="66">
        <v>14</v>
      </c>
      <c r="F13" s="12"/>
      <c r="G13" s="12"/>
    </row>
    <row r="14" spans="1:7" x14ac:dyDescent="0.35">
      <c r="A14" s="73" t="s">
        <v>86</v>
      </c>
      <c r="B14" s="66"/>
      <c r="C14" s="66"/>
      <c r="D14" s="66"/>
      <c r="E14" s="66">
        <v>14</v>
      </c>
      <c r="F14" s="12"/>
      <c r="G14" s="12"/>
    </row>
    <row r="15" spans="1:7" x14ac:dyDescent="0.35">
      <c r="A15" s="92" t="s">
        <v>78</v>
      </c>
      <c r="B15" s="92"/>
      <c r="C15" s="92"/>
      <c r="D15" s="92"/>
      <c r="E15" s="92"/>
      <c r="F15" s="12"/>
      <c r="G15" s="12"/>
    </row>
    <row r="16" spans="1:7" x14ac:dyDescent="0.35">
      <c r="A16" s="73" t="s">
        <v>85</v>
      </c>
      <c r="B16" s="66">
        <v>0</v>
      </c>
      <c r="C16" s="66">
        <v>0</v>
      </c>
      <c r="D16" s="66" t="s">
        <v>88</v>
      </c>
      <c r="E16" s="66">
        <v>0</v>
      </c>
      <c r="F16" s="12"/>
      <c r="G16" s="12"/>
    </row>
    <row r="17" spans="1:9" x14ac:dyDescent="0.35">
      <c r="A17" s="73" t="s">
        <v>86</v>
      </c>
      <c r="B17" s="66"/>
      <c r="C17" s="66"/>
      <c r="D17" s="66"/>
      <c r="E17" s="66">
        <v>0</v>
      </c>
      <c r="F17" s="12"/>
      <c r="G17" s="12"/>
    </row>
    <row r="18" spans="1:9" x14ac:dyDescent="0.35">
      <c r="A18" s="73"/>
      <c r="B18" s="66"/>
      <c r="C18" s="96" t="s">
        <v>120</v>
      </c>
      <c r="D18" s="97"/>
      <c r="E18" s="71">
        <f>ROUND(E11+E14+E17,0)</f>
        <v>15</v>
      </c>
      <c r="F18" s="12"/>
      <c r="G18" s="12"/>
    </row>
    <row r="19" spans="1:9" ht="15.5" x14ac:dyDescent="0.35">
      <c r="A19" s="75" t="s">
        <v>96</v>
      </c>
      <c r="B19" s="36"/>
      <c r="C19" s="36"/>
      <c r="D19" s="36"/>
      <c r="E19" s="36"/>
      <c r="F19" s="12"/>
      <c r="G19" s="12"/>
    </row>
    <row r="20" spans="1:9" ht="15.5" x14ac:dyDescent="0.35">
      <c r="A20" s="75" t="s">
        <v>97</v>
      </c>
      <c r="B20" s="36"/>
      <c r="C20" s="36"/>
      <c r="D20" s="36"/>
      <c r="E20" s="36"/>
      <c r="F20" s="12"/>
      <c r="G20" s="12"/>
    </row>
    <row r="21" spans="1:9" ht="30.75" customHeight="1" x14ac:dyDescent="0.35">
      <c r="A21" s="78" t="s">
        <v>118</v>
      </c>
      <c r="B21" s="78"/>
      <c r="C21" s="78"/>
      <c r="D21" s="78"/>
      <c r="E21" s="78"/>
      <c r="F21" s="33"/>
      <c r="G21" s="33"/>
      <c r="H21" s="33"/>
      <c r="I21" s="33"/>
    </row>
    <row r="22" spans="1:9" ht="37.5" customHeight="1" x14ac:dyDescent="0.35">
      <c r="A22" s="78" t="s">
        <v>119</v>
      </c>
      <c r="B22" s="78"/>
      <c r="C22" s="78"/>
      <c r="D22" s="78"/>
      <c r="E22" s="78"/>
      <c r="F22" s="34"/>
      <c r="G22" s="34"/>
      <c r="H22" s="34"/>
      <c r="I22" s="34"/>
    </row>
    <row r="23" spans="1:9" x14ac:dyDescent="0.35">
      <c r="A23" s="95" t="s">
        <v>121</v>
      </c>
      <c r="B23" s="95"/>
      <c r="C23" s="95"/>
      <c r="D23" s="95"/>
      <c r="E23" s="95"/>
      <c r="F23" s="35"/>
      <c r="G23" s="35"/>
      <c r="H23" s="36"/>
      <c r="I23" s="36"/>
    </row>
    <row r="24" spans="1:9" x14ac:dyDescent="0.35">
      <c r="A24" s="35"/>
      <c r="B24" s="35"/>
      <c r="C24" s="35"/>
      <c r="D24" s="35"/>
      <c r="E24" s="35"/>
      <c r="F24" s="35"/>
      <c r="G24" s="35"/>
      <c r="H24" s="36"/>
      <c r="I24" s="36"/>
    </row>
    <row r="25" spans="1:9" x14ac:dyDescent="0.35">
      <c r="A25" s="35"/>
      <c r="B25" s="35"/>
      <c r="C25" s="35"/>
      <c r="D25" s="35"/>
      <c r="E25" s="35"/>
      <c r="F25" s="35"/>
      <c r="G25" s="35"/>
      <c r="H25" s="36"/>
      <c r="I25" s="36"/>
    </row>
    <row r="26" spans="1:9" x14ac:dyDescent="0.35">
      <c r="A26" s="35"/>
      <c r="B26" s="35"/>
      <c r="C26" s="35"/>
      <c r="D26" s="35"/>
      <c r="E26" s="35"/>
      <c r="F26" s="35"/>
      <c r="G26" s="35"/>
      <c r="H26" s="36"/>
      <c r="I26" s="36"/>
    </row>
    <row r="27" spans="1:9" x14ac:dyDescent="0.35">
      <c r="A27" s="35"/>
      <c r="B27" s="35"/>
      <c r="C27" s="35"/>
      <c r="D27" s="35"/>
      <c r="E27" s="35"/>
      <c r="F27" s="12"/>
      <c r="G27" s="12"/>
    </row>
    <row r="28" spans="1:9" x14ac:dyDescent="0.35">
      <c r="A28" s="35"/>
      <c r="B28" s="35"/>
      <c r="C28" s="35"/>
      <c r="D28" s="35"/>
      <c r="E28" s="35"/>
      <c r="F28" s="12"/>
      <c r="G28" s="12"/>
    </row>
    <row r="29" spans="1:9" x14ac:dyDescent="0.35">
      <c r="A29" s="35"/>
      <c r="B29" s="35"/>
      <c r="C29" s="35"/>
      <c r="D29" s="35"/>
      <c r="E29" s="35"/>
      <c r="F29" s="12"/>
      <c r="G29" s="12"/>
    </row>
    <row r="30" spans="1:9" x14ac:dyDescent="0.35">
      <c r="A30" s="35"/>
      <c r="B30" s="35"/>
      <c r="C30" s="35"/>
      <c r="D30" s="35"/>
      <c r="E30" s="35"/>
      <c r="F30" s="12"/>
      <c r="G30" s="12"/>
    </row>
    <row r="31" spans="1:9" x14ac:dyDescent="0.35">
      <c r="A31" s="35"/>
      <c r="B31" s="35"/>
      <c r="C31" s="35"/>
      <c r="D31" s="35"/>
      <c r="E31" s="35"/>
      <c r="F31" s="12"/>
      <c r="G31" s="12"/>
    </row>
  </sheetData>
  <mergeCells count="9">
    <mergeCell ref="A22:E22"/>
    <mergeCell ref="A21:E21"/>
    <mergeCell ref="A23:E23"/>
    <mergeCell ref="C18:D18"/>
    <mergeCell ref="A1:E1"/>
    <mergeCell ref="A2:E2"/>
    <mergeCell ref="A7:E7"/>
    <mergeCell ref="A12:E12"/>
    <mergeCell ref="A15:E15"/>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Table 1</vt:lpstr>
      <vt:lpstr>Table 2</vt:lpstr>
      <vt:lpstr>Capital O&amp;M</vt:lpstr>
      <vt:lpstr>Respondents</vt:lpstr>
      <vt:lpstr>Responses</vt:lpstr>
      <vt:lpstr>'Table 2'!_Hlk111804737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2016-01-26T16:42:16Z</dcterms:created>
  <dcterms:modified xsi:type="dcterms:W3CDTF">2022-12-12T17:49:42Z</dcterms:modified>
</cp:coreProperties>
</file>