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D129DF1C-D946-46D1-AA83-DDA4C02BB042}" xr6:coauthVersionLast="47" xr6:coauthVersionMax="47" xr10:uidLastSave="{00000000-0000-0000-0000-000000000000}"/>
  <bookViews>
    <workbookView xWindow="28800" yWindow="990" windowWidth="29010" windowHeight="15210" xr2:uid="{00000000-000D-0000-FFFF-FFFF00000000}"/>
  </bookViews>
  <sheets>
    <sheet name="Table 1" sheetId="8" r:id="rId1"/>
    <sheet name="Table 2" sheetId="9" r:id="rId2"/>
    <sheet name="Text_Tables" sheetId="10" r:id="rId3"/>
    <sheet name="Lookups" sheetId="11" r:id="rId4"/>
  </sheets>
  <definedNames>
    <definedName name="_xlnm.Print_Area" localSheetId="3">Lookups!$A$21:$F$29</definedName>
    <definedName name="_xlnm.Print_Area" localSheetId="0">'Table 1'!$A$1:$I$80</definedName>
    <definedName name="_xlnm.Print_Area" localSheetId="1">'Table 2'!$A$1:$J$40</definedName>
    <definedName name="_xlnm.Print_Area" localSheetId="2">Text_Tables!$A$2:$G$54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0" l="1"/>
  <c r="G10" i="10"/>
  <c r="E51" i="8"/>
  <c r="F8" i="10"/>
  <c r="C11" i="10"/>
  <c r="E25" i="9" l="1"/>
  <c r="E20" i="9"/>
  <c r="E10" i="9"/>
  <c r="D4" i="9"/>
  <c r="D11" i="10"/>
  <c r="G9" i="10" l="1"/>
  <c r="E9" i="8"/>
  <c r="E41" i="8"/>
  <c r="E40" i="8"/>
  <c r="B50" i="10"/>
  <c r="B51" i="10" s="1"/>
  <c r="P42" i="8"/>
  <c r="P43" i="8"/>
  <c r="P44" i="8"/>
  <c r="P45" i="8"/>
  <c r="P46" i="8"/>
  <c r="P49" i="8"/>
  <c r="P50" i="8"/>
  <c r="P51" i="8"/>
  <c r="P27" i="8"/>
  <c r="P28" i="8"/>
  <c r="P30" i="8"/>
  <c r="P31" i="8"/>
  <c r="P32" i="8"/>
  <c r="P33" i="8"/>
  <c r="P34" i="8"/>
  <c r="P39" i="8"/>
  <c r="P15" i="8"/>
  <c r="P16" i="8"/>
  <c r="P17" i="8"/>
  <c r="P18" i="8"/>
  <c r="P19" i="8"/>
  <c r="P20" i="8"/>
  <c r="P22" i="8"/>
  <c r="P23" i="8"/>
  <c r="P25" i="8"/>
  <c r="P26" i="8"/>
  <c r="P14" i="8"/>
  <c r="P7" i="8"/>
  <c r="P54" i="8"/>
  <c r="P55" i="8"/>
  <c r="P56" i="8"/>
  <c r="P53" i="8"/>
  <c r="D9" i="8" l="1"/>
  <c r="F9" i="8" s="1"/>
  <c r="H9" i="8" l="1"/>
  <c r="G9" i="8"/>
  <c r="C57" i="11"/>
  <c r="E8" i="10" s="1"/>
  <c r="C56" i="11"/>
  <c r="B8" i="10" s="1"/>
  <c r="B32" i="11"/>
  <c r="B33" i="11" s="1"/>
  <c r="C28" i="11"/>
  <c r="B28" i="11"/>
  <c r="C25" i="10" s="1"/>
  <c r="F25" i="10" s="1"/>
  <c r="E27" i="11"/>
  <c r="E26" i="11"/>
  <c r="E24" i="11"/>
  <c r="C10" i="10" s="1"/>
  <c r="D10" i="10" s="1"/>
  <c r="E22" i="11"/>
  <c r="D18" i="11"/>
  <c r="H2" i="9" s="1"/>
  <c r="D17" i="11"/>
  <c r="F2" i="9" s="1"/>
  <c r="D16" i="11"/>
  <c r="G2" i="9" s="1"/>
  <c r="D9" i="11"/>
  <c r="F2" i="8" s="1"/>
  <c r="D8" i="11"/>
  <c r="H2" i="8" s="1"/>
  <c r="D7" i="11"/>
  <c r="E53" i="10"/>
  <c r="E49" i="10"/>
  <c r="E42" i="10"/>
  <c r="E26" i="10"/>
  <c r="E28" i="10" s="1"/>
  <c r="D26" i="10"/>
  <c r="D27" i="10" s="1"/>
  <c r="D25" i="9"/>
  <c r="F25" i="9" s="1"/>
  <c r="D24" i="9"/>
  <c r="D23" i="9"/>
  <c r="D22" i="9"/>
  <c r="D20" i="9"/>
  <c r="F20" i="9" s="1"/>
  <c r="D19" i="9"/>
  <c r="D18" i="9"/>
  <c r="D17" i="9"/>
  <c r="D15" i="9"/>
  <c r="D14" i="9"/>
  <c r="D12" i="9"/>
  <c r="D11" i="9"/>
  <c r="D10" i="9"/>
  <c r="F10" i="9" s="1"/>
  <c r="H10" i="9" s="1"/>
  <c r="D9" i="9"/>
  <c r="D8" i="9"/>
  <c r="D7" i="9"/>
  <c r="D6" i="9"/>
  <c r="D51" i="8"/>
  <c r="D50" i="8"/>
  <c r="D49" i="8"/>
  <c r="D46" i="8"/>
  <c r="D45" i="8"/>
  <c r="D44" i="8"/>
  <c r="D41" i="8"/>
  <c r="F41" i="8" s="1"/>
  <c r="D40" i="8"/>
  <c r="D39" i="8"/>
  <c r="D33" i="8"/>
  <c r="F33" i="8" s="1"/>
  <c r="D32" i="8"/>
  <c r="D31" i="8"/>
  <c r="D30" i="8"/>
  <c r="D28" i="8"/>
  <c r="F28" i="8" s="1"/>
  <c r="D27" i="8"/>
  <c r="D26" i="8"/>
  <c r="D25" i="8"/>
  <c r="D23" i="8"/>
  <c r="D22" i="8"/>
  <c r="D20" i="8"/>
  <c r="D19" i="8"/>
  <c r="D18" i="8"/>
  <c r="F18" i="8" s="1"/>
  <c r="D17" i="8"/>
  <c r="D16" i="8"/>
  <c r="D15" i="8"/>
  <c r="D14" i="8"/>
  <c r="D8" i="8"/>
  <c r="D7" i="8"/>
  <c r="E39" i="8" l="1"/>
  <c r="C9" i="10"/>
  <c r="C8" i="10"/>
  <c r="E50" i="8"/>
  <c r="F50" i="8" s="1"/>
  <c r="E8" i="8"/>
  <c r="E44" i="8"/>
  <c r="E46" i="8" s="1"/>
  <c r="F46" i="8" s="1"/>
  <c r="H46" i="8" s="1"/>
  <c r="B38" i="10"/>
  <c r="E14" i="8" s="1"/>
  <c r="E6" i="9" s="1"/>
  <c r="F6" i="9" s="1"/>
  <c r="E10" i="11"/>
  <c r="G2" i="8"/>
  <c r="F39" i="8"/>
  <c r="G39" i="8" s="1"/>
  <c r="B43" i="10"/>
  <c r="E19" i="8" s="1"/>
  <c r="E11" i="9" s="1"/>
  <c r="F11" i="9" s="1"/>
  <c r="D9" i="10"/>
  <c r="F40" i="8"/>
  <c r="H40" i="8" s="1"/>
  <c r="I9" i="8"/>
  <c r="F8" i="8"/>
  <c r="G8" i="8" s="1"/>
  <c r="D28" i="10"/>
  <c r="B28" i="10"/>
  <c r="B47" i="10" s="1"/>
  <c r="C26" i="10"/>
  <c r="E43" i="10"/>
  <c r="H20" i="9"/>
  <c r="G20" i="9"/>
  <c r="I20" i="9" s="1"/>
  <c r="G25" i="9"/>
  <c r="H25" i="9"/>
  <c r="G10" i="9"/>
  <c r="I10" i="9" s="1"/>
  <c r="H28" i="8"/>
  <c r="G28" i="8"/>
  <c r="H33" i="8"/>
  <c r="G33" i="8"/>
  <c r="H18" i="8"/>
  <c r="G18" i="8"/>
  <c r="H39" i="8"/>
  <c r="G41" i="8"/>
  <c r="H41" i="8"/>
  <c r="E15" i="8" l="1"/>
  <c r="E45" i="8"/>
  <c r="F45" i="8" s="1"/>
  <c r="G45" i="8" s="1"/>
  <c r="E38" i="10"/>
  <c r="F44" i="8"/>
  <c r="H44" i="8" s="1"/>
  <c r="G6" i="9"/>
  <c r="H6" i="9"/>
  <c r="G11" i="9"/>
  <c r="H11" i="9"/>
  <c r="I11" i="9" s="1"/>
  <c r="F19" i="8"/>
  <c r="H19" i="8" s="1"/>
  <c r="B46" i="10"/>
  <c r="E46" i="10" s="1"/>
  <c r="E4" i="9"/>
  <c r="F4" i="9" s="1"/>
  <c r="B44" i="10"/>
  <c r="F14" i="8"/>
  <c r="H14" i="8" s="1"/>
  <c r="E49" i="8"/>
  <c r="F49" i="8" s="1"/>
  <c r="H49" i="8" s="1"/>
  <c r="B39" i="10"/>
  <c r="I25" i="9"/>
  <c r="E16" i="8"/>
  <c r="E7" i="9"/>
  <c r="F7" i="9" s="1"/>
  <c r="D8" i="10"/>
  <c r="D12" i="10" s="1"/>
  <c r="H45" i="8"/>
  <c r="I45" i="8" s="1"/>
  <c r="X45" i="8" s="1"/>
  <c r="I39" i="8"/>
  <c r="G40" i="8"/>
  <c r="I40" i="8" s="1"/>
  <c r="G44" i="8"/>
  <c r="I44" i="8" s="1"/>
  <c r="X44" i="8" s="1"/>
  <c r="G19" i="8"/>
  <c r="I19" i="8" s="1"/>
  <c r="I28" i="8"/>
  <c r="F15" i="8"/>
  <c r="H8" i="8"/>
  <c r="I8" i="8" s="1"/>
  <c r="G46" i="8"/>
  <c r="I46" i="8" s="1"/>
  <c r="X46" i="8" s="1"/>
  <c r="I18" i="8"/>
  <c r="I41" i="8"/>
  <c r="E17" i="8"/>
  <c r="I33" i="8"/>
  <c r="E47" i="10"/>
  <c r="E25" i="8"/>
  <c r="B48" i="10"/>
  <c r="H50" i="8"/>
  <c r="G50" i="8"/>
  <c r="E20" i="8"/>
  <c r="E12" i="9" s="1"/>
  <c r="C27" i="10"/>
  <c r="F27" i="10" s="1"/>
  <c r="F26" i="10"/>
  <c r="I6" i="9" l="1"/>
  <c r="G14" i="8"/>
  <c r="I14" i="8" s="1"/>
  <c r="B40" i="10"/>
  <c r="E39" i="10"/>
  <c r="E23" i="8"/>
  <c r="F23" i="8" s="1"/>
  <c r="H23" i="8" s="1"/>
  <c r="H4" i="9"/>
  <c r="G4" i="9"/>
  <c r="I4" i="9"/>
  <c r="G49" i="8"/>
  <c r="I49" i="8" s="1"/>
  <c r="B45" i="10"/>
  <c r="E44" i="10"/>
  <c r="F17" i="8"/>
  <c r="G17" i="8" s="1"/>
  <c r="E9" i="9"/>
  <c r="F9" i="9" s="1"/>
  <c r="H7" i="9"/>
  <c r="G7" i="9"/>
  <c r="F16" i="8"/>
  <c r="E8" i="9"/>
  <c r="F8" i="9" s="1"/>
  <c r="F25" i="8"/>
  <c r="G25" i="8" s="1"/>
  <c r="E17" i="9"/>
  <c r="F17" i="9" s="1"/>
  <c r="F20" i="8"/>
  <c r="H20" i="8" s="1"/>
  <c r="F12" i="9"/>
  <c r="F28" i="10"/>
  <c r="F51" i="8" s="1"/>
  <c r="G15" i="8"/>
  <c r="H15" i="8"/>
  <c r="E48" i="10"/>
  <c r="E26" i="8"/>
  <c r="E18" i="9" s="1"/>
  <c r="F18" i="9" s="1"/>
  <c r="I50" i="8"/>
  <c r="C28" i="10"/>
  <c r="E15" i="9" l="1"/>
  <c r="F15" i="9" s="1"/>
  <c r="G23" i="8"/>
  <c r="I23" i="8" s="1"/>
  <c r="E45" i="10"/>
  <c r="E22" i="8"/>
  <c r="B41" i="10"/>
  <c r="E41" i="10" s="1"/>
  <c r="E40" i="10"/>
  <c r="H25" i="8"/>
  <c r="I25" i="8" s="1"/>
  <c r="H8" i="9"/>
  <c r="G8" i="9"/>
  <c r="H17" i="8"/>
  <c r="I17" i="8" s="1"/>
  <c r="G16" i="8"/>
  <c r="H16" i="8"/>
  <c r="H15" i="9"/>
  <c r="G15" i="9"/>
  <c r="H9" i="9"/>
  <c r="G9" i="9"/>
  <c r="I9" i="9" s="1"/>
  <c r="G20" i="8"/>
  <c r="I20" i="8" s="1"/>
  <c r="I7" i="9"/>
  <c r="H18" i="9"/>
  <c r="G18" i="9"/>
  <c r="G17" i="9"/>
  <c r="H17" i="9"/>
  <c r="E7" i="8"/>
  <c r="F7" i="8" s="1"/>
  <c r="H7" i="8" s="1"/>
  <c r="G12" i="9"/>
  <c r="H12" i="9"/>
  <c r="I15" i="8"/>
  <c r="G8" i="10"/>
  <c r="G12" i="10" s="1"/>
  <c r="H51" i="8"/>
  <c r="G51" i="8"/>
  <c r="E27" i="8"/>
  <c r="F26" i="8"/>
  <c r="I15" i="9" l="1"/>
  <c r="F22" i="8"/>
  <c r="E14" i="9"/>
  <c r="F14" i="9" s="1"/>
  <c r="I16" i="8"/>
  <c r="G7" i="8"/>
  <c r="I7" i="8" s="1"/>
  <c r="I17" i="9"/>
  <c r="G13" i="10"/>
  <c r="I55" i="8" s="1"/>
  <c r="Q55" i="8" s="1"/>
  <c r="I18" i="9"/>
  <c r="I8" i="9"/>
  <c r="F27" i="8"/>
  <c r="G27" i="8" s="1"/>
  <c r="E19" i="9"/>
  <c r="F19" i="9" s="1"/>
  <c r="I51" i="8"/>
  <c r="I53" i="8" s="1"/>
  <c r="Q53" i="8" s="1"/>
  <c r="I12" i="9"/>
  <c r="F19" i="10"/>
  <c r="F53" i="8"/>
  <c r="E50" i="10"/>
  <c r="E30" i="8"/>
  <c r="G26" i="8"/>
  <c r="H26" i="8"/>
  <c r="E31" i="8"/>
  <c r="E23" i="9" s="1"/>
  <c r="F23" i="9" s="1"/>
  <c r="H27" i="8"/>
  <c r="B52" i="10"/>
  <c r="E52" i="10" s="1"/>
  <c r="H14" i="9" l="1"/>
  <c r="G14" i="9"/>
  <c r="I14" i="9" s="1"/>
  <c r="G22" i="8"/>
  <c r="H22" i="8"/>
  <c r="G23" i="9"/>
  <c r="H23" i="9"/>
  <c r="F30" i="8"/>
  <c r="G30" i="8" s="1"/>
  <c r="E22" i="9"/>
  <c r="F22" i="9" s="1"/>
  <c r="H19" i="9"/>
  <c r="G19" i="9"/>
  <c r="E51" i="10"/>
  <c r="E54" i="10" s="1"/>
  <c r="I27" i="8"/>
  <c r="I26" i="8"/>
  <c r="E32" i="8"/>
  <c r="F31" i="8"/>
  <c r="I22" i="8" l="1"/>
  <c r="I23" i="9"/>
  <c r="H30" i="8"/>
  <c r="I30" i="8" s="1"/>
  <c r="F32" i="8"/>
  <c r="H32" i="8" s="1"/>
  <c r="E24" i="9"/>
  <c r="F24" i="9" s="1"/>
  <c r="H22" i="9"/>
  <c r="G22" i="9"/>
  <c r="I19" i="9"/>
  <c r="H31" i="8"/>
  <c r="G31" i="8"/>
  <c r="G32" i="8" l="1"/>
  <c r="F34" i="8" s="1"/>
  <c r="F54" i="8" s="1"/>
  <c r="G24" i="9"/>
  <c r="H24" i="9"/>
  <c r="I22" i="9"/>
  <c r="I31" i="8"/>
  <c r="I32" i="8" l="1"/>
  <c r="I24" i="9"/>
  <c r="I26" i="9" s="1"/>
  <c r="F26" i="9"/>
  <c r="I34" i="8"/>
  <c r="I54" i="8" s="1"/>
  <c r="I56" i="8" s="1"/>
  <c r="Q56" i="8" s="1"/>
  <c r="Q54" i="8" l="1"/>
</calcChain>
</file>

<file path=xl/sharedStrings.xml><?xml version="1.0" encoding="utf-8"?>
<sst xmlns="http://schemas.openxmlformats.org/spreadsheetml/2006/main" count="270" uniqueCount="238">
  <si>
    <t>Burden Item</t>
  </si>
  <si>
    <t>N/A</t>
  </si>
  <si>
    <t>See 3E</t>
  </si>
  <si>
    <t>Subtotal  for Reporting  Requirements</t>
  </si>
  <si>
    <t>See 3A</t>
  </si>
  <si>
    <t xml:space="preserve">Subtotal  for Recordkeeping Requirements  </t>
  </si>
  <si>
    <t>(A)
Person hours per occurrence</t>
  </si>
  <si>
    <t>(B)
No. of occurrences per respondent per year</t>
  </si>
  <si>
    <t>(C)
Person hours per respondent per year 
(C=AxB)</t>
  </si>
  <si>
    <t>(E)
Technical person- hours per year 
(E=CxD)</t>
  </si>
  <si>
    <t>(F)
Management person hours per year
(F=Ex0.05)</t>
  </si>
  <si>
    <t>(G)
Clerical person hours per year 
(G=Ex0.1)</t>
  </si>
  <si>
    <t>Assumptions:</t>
  </si>
  <si>
    <t>Activity</t>
  </si>
  <si>
    <t xml:space="preserve">(A)
EPA person- hours per occurrence
 </t>
  </si>
  <si>
    <t>(B)
No. of occurrences per plant per year</t>
  </si>
  <si>
    <t>(C)
EPA person- hours per plant per year
(C=AxB)</t>
  </si>
  <si>
    <r>
      <t xml:space="preserve">(D)
Plants per year  </t>
    </r>
    <r>
      <rPr>
        <b/>
        <vertAlign val="superscript"/>
        <sz val="10"/>
        <color rgb="FF000000"/>
        <rFont val="Times New Roman"/>
        <family val="1"/>
      </rPr>
      <t>a</t>
    </r>
  </si>
  <si>
    <t>(E) 
Technical person- hours per year 
(E=CxD)</t>
  </si>
  <si>
    <t>(F)
Management person-hours per year 
(F=Ex0.05)</t>
  </si>
  <si>
    <t>(G) 
Clerical person-hours per year 
(G=Ex0.1)</t>
  </si>
  <si>
    <r>
      <t xml:space="preserve">(H)
Total Cost per year, $ </t>
    </r>
    <r>
      <rPr>
        <b/>
        <vertAlign val="superscript"/>
        <sz val="10"/>
        <color rgb="FF000000"/>
        <rFont val="Times New Roman"/>
        <family val="1"/>
      </rPr>
      <t>b</t>
    </r>
  </si>
  <si>
    <t>H. Notification of compliance status</t>
  </si>
  <si>
    <t>J.  Review of semiannual compliance report</t>
  </si>
  <si>
    <r>
      <t>c</t>
    </r>
    <r>
      <rPr>
        <sz val="10"/>
        <color rgb="FF000000"/>
        <rFont val="Times New Roman"/>
        <family val="1"/>
      </rPr>
      <t xml:space="preserve">  We have assumed that all respondents will have to familiarize with the regulatory requirements each year.</t>
    </r>
  </si>
  <si>
    <r>
      <t xml:space="preserve">l  </t>
    </r>
    <r>
      <rPr>
        <sz val="10"/>
        <color rgb="FF000000"/>
        <rFont val="Times New Roman"/>
        <family val="1"/>
      </rPr>
      <t>Totals have been rounded to 3 significant figures. Figures may not add exactly due to rounding.</t>
    </r>
  </si>
  <si>
    <t>Labor rates:</t>
  </si>
  <si>
    <t>Table 2. Employer costs per hour worked for employee compensation and costs as a percent of total compensation:</t>
  </si>
  <si>
    <t>civilian workers, by occupational and industry group, September 2018</t>
  </si>
  <si>
    <t>Worker:</t>
  </si>
  <si>
    <t>Total Compensation</t>
  </si>
  <si>
    <t>X 2.1 (110%)</t>
  </si>
  <si>
    <t>%</t>
  </si>
  <si>
    <t>Management, business, and financial</t>
  </si>
  <si>
    <t>Office and administrative support</t>
  </si>
  <si>
    <t>Professional and related</t>
  </si>
  <si>
    <t>COMPOSITE RATE</t>
  </si>
  <si>
    <t>Technical</t>
  </si>
  <si>
    <t>Clerical</t>
  </si>
  <si>
    <t>Management</t>
  </si>
  <si>
    <t>ICR worker type</t>
  </si>
  <si>
    <t>EPA Pay Rates</t>
  </si>
  <si>
    <t>GS-13, step 5</t>
  </si>
  <si>
    <t>GS-12, step 1</t>
  </si>
  <si>
    <t>GS-6, step 3</t>
  </si>
  <si>
    <t>Gov't OH factor</t>
  </si>
  <si>
    <t>Base rate (2018)</t>
  </si>
  <si>
    <t>Total</t>
  </si>
  <si>
    <t>Capital/Startup vs. Operation and Maintenance (O&amp;M) Costs</t>
  </si>
  <si>
    <t>(A)</t>
  </si>
  <si>
    <t>(B)</t>
  </si>
  <si>
    <t>Capital/Startup Cost for One Respondent</t>
  </si>
  <si>
    <t>(C)</t>
  </si>
  <si>
    <t>Number of New Respondents</t>
  </si>
  <si>
    <t>(D)</t>
  </si>
  <si>
    <t>(E)</t>
  </si>
  <si>
    <t>Annual O&amp;M Costs for One Respondent</t>
  </si>
  <si>
    <t>(F)</t>
  </si>
  <si>
    <t>(G)</t>
  </si>
  <si>
    <t>Continuous monitoring system</t>
  </si>
  <si>
    <t>Totals</t>
  </si>
  <si>
    <t>Note: Totals have been rounded to 2 significant figures. Figures may not add exactly due to rounding.</t>
  </si>
  <si>
    <t>GDP Deflator</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</si>
  <si>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</si>
  <si>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</si>
  <si>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</si>
  <si>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</si>
  <si>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</si>
  <si>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</si>
  <si>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</si>
  <si>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</si>
  <si>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</si>
  <si>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</si>
  <si>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Total Annual Responses</t>
  </si>
  <si>
    <t>Information Collection Activity</t>
  </si>
  <si>
    <t>Number of Responses</t>
  </si>
  <si>
    <t>Number of Existing Respondents That Keep Records But Do Not Submit Reports</t>
  </si>
  <si>
    <t>E=(BxC)+D</t>
  </si>
  <si>
    <t>Notification of construction/reconstruction</t>
  </si>
  <si>
    <t>Notification of anticipated startup</t>
  </si>
  <si>
    <t>Notification of actual startup</t>
  </si>
  <si>
    <t>Emissions averaging plan</t>
  </si>
  <si>
    <t>Request for routing control system maintenance exemption</t>
  </si>
  <si>
    <t>Notification of compliance status with performance test</t>
  </si>
  <si>
    <t>Notification of compliance status without performance test</t>
  </si>
  <si>
    <t>Initial compliance report with no deviations</t>
  </si>
  <si>
    <t>Initial compliance report with deviations</t>
  </si>
  <si>
    <t>Initial compliance emissions averaging report</t>
  </si>
  <si>
    <t>Semiannual report with no deviations</t>
  </si>
  <si>
    <t>Semiannual report with deviations</t>
  </si>
  <si>
    <t>Semiannual control system maintenance report</t>
  </si>
  <si>
    <t>Semiannual emissions averaging report</t>
  </si>
  <si>
    <t>Total Number of Annual Responses</t>
  </si>
  <si>
    <t>No. PCWP mills</t>
  </si>
  <si>
    <t>Existing</t>
  </si>
  <si>
    <t>Projected over next 5 years</t>
  </si>
  <si>
    <t>Projected over 3-year ICR period</t>
  </si>
  <si>
    <t>Data source</t>
  </si>
  <si>
    <t>ICR</t>
  </si>
  <si>
    <t>New source projections memo</t>
  </si>
  <si>
    <t>No. sawmills with lumber kilns</t>
  </si>
  <si>
    <t>No. of major sources</t>
  </si>
  <si>
    <t>Projected bacth kilns added at existing sawmills</t>
  </si>
  <si>
    <t>Projected CDKs added at existing sawmills</t>
  </si>
  <si>
    <t xml:space="preserve">      PCWP mills also making lumber</t>
  </si>
  <si>
    <t>Projected PCWP lines added at exising mills</t>
  </si>
  <si>
    <t>2 new OSB mills are projected, assuming 2 RTOs each</t>
  </si>
  <si>
    <t>Projected line additions: MDF, PB, LVL, 2 SPW, 2 mills with SW veneer dryers. 7 RTOs projected.</t>
  </si>
  <si>
    <t>Notes</t>
  </si>
  <si>
    <t>CMS capital/startup</t>
  </si>
  <si>
    <t>2007 value in current ICR</t>
  </si>
  <si>
    <t>CMS annual O&amp;M (e.g., parts)</t>
  </si>
  <si>
    <t>Inflated to 2018 used GDP defaltor</t>
  </si>
  <si>
    <t>Under construction (existing for ICR purposes)</t>
  </si>
  <si>
    <t>No. of SW kilns</t>
  </si>
  <si>
    <t>No. lumber mills (existing + under construction + PCWP colocated)</t>
  </si>
  <si>
    <t>Difference from previous estimate due to correction in number of facilities</t>
  </si>
  <si>
    <t>No. SW kilns / mill</t>
  </si>
  <si>
    <t>Total O&amp;M, 
(E x F)</t>
  </si>
  <si>
    <t>Total Capital/ Startup Cost, (B x C)</t>
  </si>
  <si>
    <t>Notification of applicability of standard (initial notification)</t>
  </si>
  <si>
    <t>Last ICR (1984.06)</t>
  </si>
  <si>
    <t>Increase for this ICR</t>
  </si>
  <si>
    <r>
      <t>b</t>
    </r>
    <r>
      <rPr>
        <sz val="10"/>
        <color rgb="FF000000"/>
        <rFont val="Times New Roman"/>
        <family val="1"/>
      </rPr>
      <t xml:space="preserve">  This ICR uses the following labor rates:  $148.97 per hour for managerial labor; $119.03 per hour for technical labor, and $57.62 per hour for Clerical labor.  These rates are from the United States Department of Labor, Bureau of Labor Statistics, September 2018, Table 2. Civilian Workers, by Occupational and Industry group.  The rates are from column 1, Total Compensation.  The rates have been increased by 110 percent to account for the benefit packages available to those employed by private industry.</t>
    </r>
  </si>
  <si>
    <r>
      <t>g</t>
    </r>
    <r>
      <rPr>
        <sz val="10"/>
        <color rgb="FF000000"/>
        <rFont val="Times New Roman"/>
        <family val="1"/>
      </rPr>
      <t xml:space="preserve">  We have assumed that no additional existing facilities will choose to change to the emission averaging compliance option in the future. New facilities are not allowed to use emissions averaging.</t>
    </r>
  </si>
  <si>
    <r>
      <t>k</t>
    </r>
    <r>
      <rPr>
        <sz val="10"/>
        <color rgb="FF000000"/>
        <rFont val="Times New Roman"/>
        <family val="1"/>
      </rPr>
      <t xml:space="preserve">  We have assumed that the respondents’ compliance date is in the first half of the year, so respondents will submit one compliance report the first year that they start complying with the rule and two compliance reports the following year.</t>
    </r>
  </si>
  <si>
    <r>
      <t>m</t>
    </r>
    <r>
      <rPr>
        <sz val="10"/>
        <color rgb="FF000000"/>
        <rFont val="Times New Roman"/>
        <family val="1"/>
      </rPr>
      <t xml:space="preserve">  We have assumed that 10 percent of the new PCWP facilities will submit control device maintenance report.</t>
    </r>
  </si>
  <si>
    <r>
      <t>l</t>
    </r>
    <r>
      <rPr>
        <sz val="10"/>
        <color rgb="FF000000"/>
        <rFont val="Times New Roman"/>
        <family val="1"/>
      </rPr>
      <t xml:space="preserve">  We have assumed that 90 percent of new PCWP facilities submitting their initial compliance report will have no deviation, and 10 percent will have deviation. [0.9 x 2 new PCWP mills = 1] and [0.1 x 2 new PCWP mills = 0]</t>
    </r>
  </si>
  <si>
    <r>
      <t>p</t>
    </r>
    <r>
      <rPr>
        <sz val="10"/>
        <color rgb="FF000000"/>
        <rFont val="Times New Roman"/>
        <family val="1"/>
      </rPr>
      <t xml:space="preserve">  One existing PCWP facility uses the emissions averaging compliance option.</t>
    </r>
  </si>
  <si>
    <r>
      <t>h</t>
    </r>
    <r>
      <rPr>
        <sz val="10"/>
        <color rgb="FF000000"/>
        <rFont val="Times New Roman"/>
        <family val="1"/>
      </rPr>
      <t xml:space="preserve">  We have assumed that each new PCWP mill respondent will submit a request for routine control device maintenance exemption. Note, this is a one-time activity for each respondent. Two new PCWP mills and 5 new process lines are projected over the 3-year ICR period for an average of (2 + 5) / 3 = 2 new PCWP respondents per year. </t>
    </r>
  </si>
  <si>
    <r>
      <t>r</t>
    </r>
    <r>
      <rPr>
        <sz val="10"/>
        <color rgb="FF000000"/>
        <rFont val="Times New Roman"/>
        <family val="1"/>
      </rPr>
      <t xml:space="preserve">  Records of continuous compliance includes, records of CMS data for emission limitations and various records for work practice standards.</t>
    </r>
  </si>
  <si>
    <r>
      <t>s</t>
    </r>
    <r>
      <rPr>
        <sz val="10"/>
        <color rgb="FF000000"/>
        <rFont val="Times New Roman"/>
        <family val="1"/>
      </rPr>
      <t xml:space="preserve">  We have assumed that calibration of the CMS will require eight hours per year for each monitor, assuming two CMS per facility for a total of 16 hours per year.</t>
    </r>
  </si>
  <si>
    <r>
      <t xml:space="preserve">v  </t>
    </r>
    <r>
      <rPr>
        <sz val="10"/>
        <color rgb="FF000000"/>
        <rFont val="Times New Roman"/>
        <family val="1"/>
      </rPr>
      <t>Totals have been rounded to 3 significant figures. Figures may not add exactly due to rounding.</t>
    </r>
  </si>
  <si>
    <t>Cost Item</t>
  </si>
  <si>
    <t>Average capital/ startup + O&amp;M cost for 3-year period</t>
  </si>
  <si>
    <r>
      <t>b</t>
    </r>
    <r>
      <rPr>
        <sz val="10"/>
        <color rgb="FF000000"/>
        <rFont val="Times New Roman"/>
        <family val="1"/>
      </rPr>
      <t xml:space="preserve">  This cost is based on the following labor rates which incorporates a 1.6 benefits multiplication factor to account for government overhead expenses: $65.71 Managerial rate (GS-13, Step 5, $41.07 x 1.6), $48.75 Technical rate (GS-12, Step 1, $30.47 x 1.6), and $26.38 Clerical rate (GS-6, Step 3, $16.49 x 1.6).  These rates are from the Office of Personnel Management (OPM) 2018 General Schedule which excludes locality rates of pay.</t>
    </r>
  </si>
  <si>
    <t>2.  Report review</t>
  </si>
  <si>
    <r>
      <t>a</t>
    </r>
    <r>
      <rPr>
        <sz val="10"/>
        <color rgb="FF000000"/>
        <rFont val="Times New Roman"/>
        <family val="1"/>
      </rPr>
      <t xml:space="preserve">  The average number of respondents that will be subject to this rule over the next 3 years of this ICR is 244, including 243 existing respondents in years 1-3, plus 2 new respondents projected to become subject to the rule in year 3 for and average of 244 = [243 (yr 1)+ 243 (yr 2) + 245 (yr 3)]/3.  Although subject to the rule, lumber mills are only required to submit an initial notification.</t>
    </r>
  </si>
  <si>
    <r>
      <t>e</t>
    </r>
    <r>
      <rPr>
        <sz val="10"/>
        <color rgb="FF000000"/>
        <rFont val="Times New Roman"/>
        <family val="1"/>
      </rPr>
      <t xml:space="preserve">  We have assumed that no additional existing facilities will choose to change to the emission averaging compliance option in the future. New facilities are not allowed to use emissions averaging.</t>
    </r>
  </si>
  <si>
    <r>
      <t>f</t>
    </r>
    <r>
      <rPr>
        <sz val="10"/>
        <color rgb="FF000000"/>
        <rFont val="Times New Roman"/>
        <family val="1"/>
      </rPr>
      <t xml:space="preserve">  We have assumed that all new facilities will have submitted a request for routine control system maintenance exemption.</t>
    </r>
  </si>
  <si>
    <r>
      <t>j</t>
    </r>
    <r>
      <rPr>
        <sz val="10"/>
        <color rgb="FF000000"/>
        <rFont val="Times New Roman"/>
        <family val="1"/>
      </rPr>
      <t xml:space="preserve">  We have assumed that the facilities compliance date is in the first half of the year, so facilities will submit one compliance report the first year that they start complying with the rule and two compliance reports the years that follow.</t>
    </r>
  </si>
  <si>
    <r>
      <rPr>
        <vertAlign val="superscript"/>
        <sz val="10"/>
        <color rgb="FF000000"/>
        <rFont val="Times New Roman"/>
        <family val="1"/>
      </rPr>
      <t>k</t>
    </r>
    <r>
      <rPr>
        <sz val="10"/>
        <color rgb="FF000000"/>
        <rFont val="Times New Roman"/>
        <family val="1"/>
      </rPr>
      <t xml:space="preserve">  We have assumed that 90 percent of facilities will have no deviations, and 10 percent will have deviations</t>
    </r>
  </si>
  <si>
    <t>Notification of performance test</t>
  </si>
  <si>
    <r>
      <t>j</t>
    </r>
    <r>
      <rPr>
        <sz val="10"/>
        <color rgb="FF000000"/>
        <rFont val="Times New Roman"/>
        <family val="1"/>
      </rPr>
      <t xml:space="preserve">  We have assumed that it will take new PCWP respondents 60 hours to submit a notification of compliance status without performance test(s).</t>
    </r>
  </si>
  <si>
    <r>
      <rPr>
        <vertAlign val="superscript"/>
        <sz val="10"/>
        <color rgb="FF000000"/>
        <rFont val="Times New Roman"/>
        <family val="1"/>
      </rPr>
      <t>u</t>
    </r>
    <r>
      <rPr>
        <sz val="10"/>
        <color rgb="FF000000"/>
        <rFont val="Times New Roman"/>
        <family val="1"/>
      </rPr>
      <t xml:space="preserve">  We have assumed that it will take 16 hours for personnel to complete refresher training and that 20 percent of the existing PCWP facilities will participate [113 x 20% = 23].</t>
    </r>
  </si>
  <si>
    <r>
      <t>t</t>
    </r>
    <r>
      <rPr>
        <sz val="10"/>
        <color rgb="FF000000"/>
        <rFont val="Times New Roman"/>
        <family val="1"/>
      </rPr>
      <t xml:space="preserve">  We have assumed that it will take 40 hours for personnel at newly affected PCWP facilities to be trained. [(2 new mills + 5 new process lines) / 3 = 2]</t>
    </r>
  </si>
  <si>
    <r>
      <t>q</t>
    </r>
    <r>
      <rPr>
        <sz val="10"/>
        <color rgb="FF000000"/>
        <rFont val="Times New Roman"/>
        <family val="1"/>
      </rPr>
      <t xml:space="preserve">  We have assumed that it will take each new PCWP respondent 40 hours to develop a record system for recording parameter monitoring information. [(2 new mills + 5 new process lines) / 3 = 2]</t>
    </r>
  </si>
  <si>
    <r>
      <t>o</t>
    </r>
    <r>
      <rPr>
        <sz val="10"/>
        <color rgb="FF000000"/>
        <rFont val="Times New Roman"/>
        <family val="1"/>
      </rPr>
      <t xml:space="preserve">  We have assumed that 10 percent of the existing PCWP facilities will submit control device maintenance report. [0.1 x 113 PCWP mills = 11]</t>
    </r>
  </si>
  <si>
    <r>
      <t>n</t>
    </r>
    <r>
      <rPr>
        <sz val="10"/>
        <color rgb="FF000000"/>
        <rFont val="Times New Roman"/>
        <family val="1"/>
      </rPr>
      <t xml:space="preserve">  We have assumed that 90 percent of PCWP facilities submitting their semiannual compliance report will have no deviation, and 10 percent will have deviation. [0.9 x 113 existing PCWP mills = 102] and [0.1 x 113 existing PCWP mills = 11]</t>
    </r>
  </si>
  <si>
    <r>
      <t>i</t>
    </r>
    <r>
      <rPr>
        <sz val="10"/>
        <rFont val="Times New Roman"/>
        <family val="1"/>
      </rPr>
      <t xml:space="preserve">  We have assumed that each new and existing PCWP respondent will conduct initial or repeat performance test(s) during the 3-year period.  The notification of compliance status includes the report of the performance test(s). Lumber mills are not required to conduct performance tests.</t>
    </r>
  </si>
  <si>
    <r>
      <t xml:space="preserve">e </t>
    </r>
    <r>
      <rPr>
        <sz val="10"/>
        <color rgb="FF000000"/>
        <rFont val="Times New Roman"/>
        <family val="1"/>
      </rPr>
      <t>Zero hours are included for this one-time activity because lumber facilities do not have any new requirements in the amended rule. The average number of lumber mills per year over the ICR period is 43 mills [43 = 130 / 3]</t>
    </r>
  </si>
  <si>
    <r>
      <t xml:space="preserve">d  </t>
    </r>
    <r>
      <rPr>
        <sz val="10"/>
        <color rgb="FF000000"/>
        <rFont val="Times New Roman"/>
        <family val="1"/>
      </rPr>
      <t>Includes time for PCWP mills to become familiar with the amended rule for an average of 38 mills per year over the ICR period [38 = 113 existing + 2 new / 3]. (This one-time activity will discontinue in the next ICR renewal period.)</t>
    </r>
  </si>
  <si>
    <r>
      <t>1</t>
    </r>
    <r>
      <rPr>
        <sz val="10"/>
        <color rgb="FF000000"/>
        <rFont val="Times New Roman"/>
        <family val="1"/>
      </rPr>
      <t xml:space="preserve"> New respondents include sources that construct or reconstruct affected facilities during the ICR response period.</t>
    </r>
    <r>
      <rPr>
        <sz val="10"/>
        <color theme="1"/>
        <rFont val="Times New Roman"/>
        <family val="1"/>
      </rPr>
      <t xml:space="preserve"> </t>
    </r>
  </si>
  <si>
    <t>Initial tests at new mills (inlet/outlet)</t>
  </si>
  <si>
    <t>Initial tests on new process lines at existing mills (inlet/outlet)</t>
  </si>
  <si>
    <t>Repeat tests (inlet/outlet)</t>
  </si>
  <si>
    <r>
      <rPr>
        <vertAlign val="superscript"/>
        <sz val="10"/>
        <color theme="1"/>
        <rFont val="Times New Roman"/>
        <family val="1"/>
      </rPr>
      <t>1</t>
    </r>
    <r>
      <rPr>
        <sz val="10"/>
        <color theme="1"/>
        <rFont val="Times New Roman"/>
        <family val="1"/>
      </rPr>
      <t xml:space="preserve"> Based on average number of PCWP facility respondents over the 3-year period (113 + 113 + (113+2)) / 3 = 114.  Annual O&amp;M costs are not curently required in the rule for lumber mills. </t>
    </r>
  </si>
  <si>
    <r>
      <t>2</t>
    </r>
    <r>
      <rPr>
        <sz val="10"/>
        <color theme="1"/>
        <rFont val="Times New Roman"/>
        <family val="1"/>
      </rPr>
      <t xml:space="preserve"> Estimated based on a test cost of $30,000 for each inlet/outlet test for 2 emission points at each facility for a total of $60,000 per facility (except 1 emission point is assumed for new process lines at existing facilities for a testing cost of $30,000). Repeat tests are required every 2 years for processes controlled by biofilters and every 5 years for other HAP controls. </t>
    </r>
  </si>
  <si>
    <r>
      <t>3</t>
    </r>
    <r>
      <rPr>
        <sz val="10"/>
        <color theme="1"/>
        <rFont val="Times New Roman"/>
        <family val="1"/>
      </rPr>
      <t>Calculated as the column D total cost divided by 3 years plus the column G total annual cost.</t>
    </r>
  </si>
  <si>
    <r>
      <t>f</t>
    </r>
    <r>
      <rPr>
        <sz val="10"/>
        <color rgb="FF000000"/>
        <rFont val="Times New Roman"/>
        <family val="1"/>
      </rPr>
      <t xml:space="preserve">  One-time activity for new sources projected to commence construction over the 3-year ICR period, including new PCWP mills (2), new PCWP process lines (5), and new lumber kilns (39) for an average of 15 affected sources per year. [(2 + 5 + 39) /3 = 15]</t>
    </r>
  </si>
  <si>
    <r>
      <t>d</t>
    </r>
    <r>
      <rPr>
        <sz val="10"/>
        <color rgb="FF000000"/>
        <rFont val="Times New Roman"/>
        <family val="1"/>
      </rPr>
      <t xml:space="preserve">  One-time activity for new sources projected to commence construction over the 3-year ICR period, including new PCWP mills (2), new PCWP process lines (5), and new lumber kilns (39) for an average of 15 affected sources per year. [(2 + 5 + 39) /3 = 15]</t>
    </r>
  </si>
  <si>
    <t xml:space="preserve">3)  Control system maintenance report </t>
  </si>
  <si>
    <t>3)  Control system maintenance report</t>
  </si>
  <si>
    <r>
      <t>g</t>
    </r>
    <r>
      <rPr>
        <sz val="10"/>
        <color rgb="FF000000"/>
        <rFont val="Times New Roman"/>
        <family val="1"/>
      </rPr>
      <t xml:space="preserve">  We have assumed that it will take 1 hour to review the notification of performance test.</t>
    </r>
  </si>
  <si>
    <r>
      <rPr>
        <vertAlign val="superscript"/>
        <sz val="10"/>
        <color rgb="FF000000"/>
        <rFont val="Times New Roman"/>
        <family val="1"/>
      </rPr>
      <t>h</t>
    </r>
    <r>
      <rPr>
        <sz val="10"/>
        <color rgb="FF000000"/>
        <rFont val="Times New Roman"/>
        <family val="1"/>
      </rPr>
      <t xml:space="preserve">  We have assumed that each new and existing PCWP respondent will conduct initial or repeat performance test(s) during the 3-year period and submit a notification of compliance status that includes the report of the performance test(s). Lumber mills are not required to conduct performance tests.</t>
    </r>
  </si>
  <si>
    <r>
      <rPr>
        <vertAlign val="superscript"/>
        <sz val="10"/>
        <color rgb="FF000000"/>
        <rFont val="Times New Roman"/>
        <family val="1"/>
      </rPr>
      <t xml:space="preserve">c  </t>
    </r>
    <r>
      <rPr>
        <sz val="10"/>
        <color rgb="FF000000"/>
        <rFont val="Times New Roman"/>
        <family val="1"/>
      </rPr>
      <t>We estimate that it will take EPA personnel 24 hours to attend performance tests at 10% of facilities required to test (0.1 x 117 facilities/3 years = 4).</t>
    </r>
  </si>
  <si>
    <r>
      <t>i</t>
    </r>
    <r>
      <rPr>
        <sz val="10"/>
        <color rgb="FF000000"/>
        <rFont val="Times New Roman"/>
        <family val="1"/>
      </rPr>
      <t xml:space="preserve">  We have assumed that the average number of new affected sources per year will submit a notification of compliance status without performance test.</t>
    </r>
  </si>
  <si>
    <t>1. Applications</t>
  </si>
  <si>
    <t>2. Surveys and studies</t>
  </si>
  <si>
    <t>3. Reporting requirements</t>
  </si>
  <si>
    <t xml:space="preserve">B. Required activities </t>
  </si>
  <si>
    <t>C. Create information</t>
  </si>
  <si>
    <t>D. Gather existing information</t>
  </si>
  <si>
    <t>E. Write report</t>
  </si>
  <si>
    <t>a. No deviations</t>
  </si>
  <si>
    <t>b. Deviations</t>
  </si>
  <si>
    <t>4. Recordkeeping requirements</t>
  </si>
  <si>
    <t xml:space="preserve">A. Familiarize with regulatory requirements </t>
  </si>
  <si>
    <t>B. Plan activities</t>
  </si>
  <si>
    <t>C. Implement activities</t>
  </si>
  <si>
    <t>E. Time to enter information</t>
  </si>
  <si>
    <t>a. Record parameters/information</t>
  </si>
  <si>
    <t>b. Compile data</t>
  </si>
  <si>
    <t>c. Enter/verify information for semiannual reports</t>
  </si>
  <si>
    <t>I. Time for audits</t>
  </si>
  <si>
    <r>
      <t xml:space="preserve">1. Attend performance test </t>
    </r>
    <r>
      <rPr>
        <vertAlign val="superscript"/>
        <sz val="10"/>
        <rFont val="Times New Roman"/>
        <family val="1"/>
      </rPr>
      <t>c</t>
    </r>
  </si>
  <si>
    <r>
      <t xml:space="preserve">A.  Notification of construction/reconstruction </t>
    </r>
    <r>
      <rPr>
        <vertAlign val="superscript"/>
        <sz val="10"/>
        <rFont val="Times New Roman"/>
        <family val="1"/>
      </rPr>
      <t>d</t>
    </r>
  </si>
  <si>
    <r>
      <t xml:space="preserve">B.  Notification of anticipated startup </t>
    </r>
    <r>
      <rPr>
        <vertAlign val="superscript"/>
        <sz val="10"/>
        <rFont val="Times New Roman"/>
        <family val="1"/>
      </rPr>
      <t>d</t>
    </r>
  </si>
  <si>
    <r>
      <t>C.  Notification of actual startup</t>
    </r>
    <r>
      <rPr>
        <vertAlign val="superscript"/>
        <sz val="10"/>
        <rFont val="Times New Roman"/>
        <family val="1"/>
      </rPr>
      <t xml:space="preserve"> d</t>
    </r>
  </si>
  <si>
    <r>
      <t xml:space="preserve">D. Notification of applicability of standard (initial notification) </t>
    </r>
    <r>
      <rPr>
        <vertAlign val="superscript"/>
        <sz val="10"/>
        <rFont val="Times New Roman"/>
        <family val="1"/>
      </rPr>
      <t>d</t>
    </r>
  </si>
  <si>
    <r>
      <t xml:space="preserve">E.  Review of emissions averaging plan </t>
    </r>
    <r>
      <rPr>
        <vertAlign val="superscript"/>
        <sz val="10"/>
        <rFont val="Times New Roman"/>
        <family val="1"/>
      </rPr>
      <t>e</t>
    </r>
  </si>
  <si>
    <r>
      <t xml:space="preserve">F.  Review of request for routine control system maintenance exemption </t>
    </r>
    <r>
      <rPr>
        <vertAlign val="superscript"/>
        <sz val="10"/>
        <rFont val="Times New Roman"/>
        <family val="1"/>
      </rPr>
      <t>f</t>
    </r>
  </si>
  <si>
    <r>
      <t xml:space="preserve">G. Notification of performance test </t>
    </r>
    <r>
      <rPr>
        <vertAlign val="superscript"/>
        <sz val="10"/>
        <rFont val="Times New Roman"/>
        <family val="1"/>
      </rPr>
      <t>g</t>
    </r>
  </si>
  <si>
    <r>
      <t xml:space="preserve">1)  With performance test </t>
    </r>
    <r>
      <rPr>
        <vertAlign val="superscript"/>
        <sz val="10"/>
        <rFont val="Times New Roman"/>
        <family val="1"/>
      </rPr>
      <t>h</t>
    </r>
  </si>
  <si>
    <r>
      <t xml:space="preserve">2)  Without performance test </t>
    </r>
    <r>
      <rPr>
        <vertAlign val="superscript"/>
        <sz val="10"/>
        <rFont val="Times New Roman"/>
        <family val="1"/>
      </rPr>
      <t>i</t>
    </r>
  </si>
  <si>
    <r>
      <t xml:space="preserve">I.  Review of initial compliance report </t>
    </r>
    <r>
      <rPr>
        <vertAlign val="superscript"/>
        <sz val="10"/>
        <rFont val="Times New Roman"/>
        <family val="1"/>
      </rPr>
      <t>j</t>
    </r>
  </si>
  <si>
    <r>
      <t xml:space="preserve">1)  No deviations </t>
    </r>
    <r>
      <rPr>
        <vertAlign val="superscript"/>
        <sz val="10"/>
        <rFont val="Times New Roman"/>
        <family val="1"/>
      </rPr>
      <t>k</t>
    </r>
  </si>
  <si>
    <r>
      <t xml:space="preserve">2)  Deviations </t>
    </r>
    <r>
      <rPr>
        <vertAlign val="superscript"/>
        <sz val="10"/>
        <rFont val="Times New Roman"/>
        <family val="1"/>
      </rPr>
      <t>k</t>
    </r>
  </si>
  <si>
    <r>
      <t xml:space="preserve">4)  Emissions averaging report </t>
    </r>
    <r>
      <rPr>
        <vertAlign val="superscript"/>
        <sz val="10"/>
        <rFont val="Times New Roman"/>
        <family val="1"/>
      </rPr>
      <t>e</t>
    </r>
  </si>
  <si>
    <r>
      <t xml:space="preserve">TOTAL ANNUAL BURDEN AND COST(rounded) </t>
    </r>
    <r>
      <rPr>
        <b/>
        <vertAlign val="superscript"/>
        <sz val="10"/>
        <rFont val="Times New Roman"/>
        <family val="1"/>
      </rPr>
      <t>l</t>
    </r>
  </si>
  <si>
    <r>
      <t xml:space="preserve">(D)
Respondents per year  </t>
    </r>
    <r>
      <rPr>
        <b/>
        <vertAlign val="superscript"/>
        <sz val="12"/>
        <rFont val="Times New Roman"/>
        <family val="1"/>
      </rPr>
      <t>a</t>
    </r>
  </si>
  <si>
    <r>
      <t xml:space="preserve">(H)
Total Cost per year </t>
    </r>
    <r>
      <rPr>
        <b/>
        <vertAlign val="superscript"/>
        <sz val="10"/>
        <rFont val="Times New Roman"/>
        <family val="1"/>
      </rPr>
      <t>b</t>
    </r>
  </si>
  <si>
    <r>
      <t xml:space="preserve">A. Familiarize with regulatory requirements </t>
    </r>
    <r>
      <rPr>
        <vertAlign val="superscript"/>
        <sz val="10"/>
        <rFont val="Times New Roman"/>
        <family val="1"/>
      </rPr>
      <t>c</t>
    </r>
  </si>
  <si>
    <r>
      <t xml:space="preserve">1) Amendments pertaining to PCWP mills </t>
    </r>
    <r>
      <rPr>
        <vertAlign val="superscript"/>
        <sz val="10"/>
        <rFont val="Times New Roman"/>
        <family val="1"/>
      </rPr>
      <t>d</t>
    </r>
  </si>
  <si>
    <r>
      <t xml:space="preserve">2) Amendments pertaining to lumber mills </t>
    </r>
    <r>
      <rPr>
        <vertAlign val="superscript"/>
        <sz val="10"/>
        <rFont val="Times New Roman"/>
        <family val="1"/>
      </rPr>
      <t>e</t>
    </r>
  </si>
  <si>
    <r>
      <t xml:space="preserve">1) Notification of construction/reconstruction </t>
    </r>
    <r>
      <rPr>
        <vertAlign val="superscript"/>
        <sz val="10"/>
        <rFont val="Times New Roman"/>
        <family val="1"/>
      </rPr>
      <t>f</t>
    </r>
  </si>
  <si>
    <r>
      <t xml:space="preserve">2) Notification of anticipated startup </t>
    </r>
    <r>
      <rPr>
        <vertAlign val="superscript"/>
        <sz val="10"/>
        <rFont val="Times New Roman"/>
        <family val="1"/>
      </rPr>
      <t>f</t>
    </r>
  </si>
  <si>
    <r>
      <t>3) Notification of actual startup</t>
    </r>
    <r>
      <rPr>
        <vertAlign val="superscript"/>
        <sz val="10"/>
        <rFont val="Times New Roman"/>
        <family val="1"/>
      </rPr>
      <t xml:space="preserve"> f</t>
    </r>
  </si>
  <si>
    <r>
      <t>4) Notification of applicability of standard (initial notification)</t>
    </r>
    <r>
      <rPr>
        <vertAlign val="superscript"/>
        <sz val="10"/>
        <rFont val="Times New Roman"/>
        <family val="1"/>
      </rPr>
      <t xml:space="preserve"> f</t>
    </r>
  </si>
  <si>
    <r>
      <t xml:space="preserve">5) Emissions averaging plan </t>
    </r>
    <r>
      <rPr>
        <vertAlign val="superscript"/>
        <sz val="10"/>
        <rFont val="Times New Roman"/>
        <family val="1"/>
      </rPr>
      <t>g</t>
    </r>
  </si>
  <si>
    <r>
      <t xml:space="preserve">6) Request for routine control system maintenance exemption </t>
    </r>
    <r>
      <rPr>
        <vertAlign val="superscript"/>
        <sz val="10"/>
        <rFont val="Times New Roman"/>
        <family val="1"/>
      </rPr>
      <t>h</t>
    </r>
  </si>
  <si>
    <r>
      <t xml:space="preserve">7) Notification of performance test </t>
    </r>
    <r>
      <rPr>
        <vertAlign val="superscript"/>
        <sz val="10"/>
        <rFont val="Times New Roman"/>
        <family val="1"/>
      </rPr>
      <t>i</t>
    </r>
  </si>
  <si>
    <t>8) Notification of compliance status (electronically reported)</t>
  </si>
  <si>
    <r>
      <t xml:space="preserve">a. With performance test </t>
    </r>
    <r>
      <rPr>
        <vertAlign val="superscript"/>
        <sz val="10"/>
        <rFont val="Times New Roman"/>
        <family val="1"/>
      </rPr>
      <t>i</t>
    </r>
  </si>
  <si>
    <r>
      <t xml:space="preserve">b. Without performance test </t>
    </r>
    <r>
      <rPr>
        <vertAlign val="superscript"/>
        <sz val="10"/>
        <rFont val="Times New Roman"/>
        <family val="1"/>
      </rPr>
      <t>j</t>
    </r>
  </si>
  <si>
    <r>
      <t xml:space="preserve">9) Initial compliance report (electronically reported) </t>
    </r>
    <r>
      <rPr>
        <vertAlign val="superscript"/>
        <sz val="10"/>
        <rFont val="Times New Roman"/>
        <family val="1"/>
      </rPr>
      <t>l</t>
    </r>
  </si>
  <si>
    <r>
      <t xml:space="preserve">c. Control system maintenance report </t>
    </r>
    <r>
      <rPr>
        <vertAlign val="superscript"/>
        <sz val="10"/>
        <rFont val="Times New Roman"/>
        <family val="1"/>
      </rPr>
      <t>m</t>
    </r>
  </si>
  <si>
    <r>
      <t xml:space="preserve">d. Emissions averaging report </t>
    </r>
    <r>
      <rPr>
        <vertAlign val="superscript"/>
        <sz val="10"/>
        <rFont val="Times New Roman"/>
        <family val="1"/>
      </rPr>
      <t>g</t>
    </r>
  </si>
  <si>
    <r>
      <t xml:space="preserve">10)  Semiannual compliance report (electronically reported) </t>
    </r>
    <r>
      <rPr>
        <vertAlign val="superscript"/>
        <sz val="10"/>
        <rFont val="Times New Roman"/>
        <family val="1"/>
      </rPr>
      <t>k</t>
    </r>
  </si>
  <si>
    <r>
      <t xml:space="preserve">a. No deviations </t>
    </r>
    <r>
      <rPr>
        <vertAlign val="superscript"/>
        <sz val="10"/>
        <rFont val="Times New Roman"/>
        <family val="1"/>
      </rPr>
      <t>n</t>
    </r>
  </si>
  <si>
    <r>
      <t xml:space="preserve">b. Deviation </t>
    </r>
    <r>
      <rPr>
        <vertAlign val="superscript"/>
        <sz val="10"/>
        <rFont val="Times New Roman"/>
        <family val="1"/>
      </rPr>
      <t>n</t>
    </r>
  </si>
  <si>
    <r>
      <t xml:space="preserve">c. Control system maintenance report </t>
    </r>
    <r>
      <rPr>
        <vertAlign val="superscript"/>
        <sz val="10"/>
        <rFont val="Times New Roman"/>
        <family val="1"/>
      </rPr>
      <t>o</t>
    </r>
  </si>
  <si>
    <r>
      <t xml:space="preserve">d. Emissions averaging report </t>
    </r>
    <r>
      <rPr>
        <vertAlign val="superscript"/>
        <sz val="10"/>
        <rFont val="Times New Roman"/>
        <family val="1"/>
      </rPr>
      <t>p</t>
    </r>
  </si>
  <si>
    <r>
      <t xml:space="preserve">D. Develop record system </t>
    </r>
    <r>
      <rPr>
        <vertAlign val="superscript"/>
        <sz val="10"/>
        <rFont val="Times New Roman"/>
        <family val="1"/>
      </rPr>
      <t>q</t>
    </r>
  </si>
  <si>
    <r>
      <t>1)  Adjustments to existing system for PCWP mills</t>
    </r>
    <r>
      <rPr>
        <vertAlign val="superscript"/>
        <sz val="10"/>
        <rFont val="Times New Roman"/>
        <family val="1"/>
      </rPr>
      <t xml:space="preserve"> d</t>
    </r>
  </si>
  <si>
    <r>
      <t>2) Adjustments to existing system for lumber mills</t>
    </r>
    <r>
      <rPr>
        <vertAlign val="superscript"/>
        <sz val="10"/>
        <rFont val="Times New Roman"/>
        <family val="1"/>
      </rPr>
      <t xml:space="preserve"> e</t>
    </r>
  </si>
  <si>
    <r>
      <t xml:space="preserve">1) Records of continuous compliance for PCWP facilities </t>
    </r>
    <r>
      <rPr>
        <vertAlign val="superscript"/>
        <sz val="10"/>
        <rFont val="Times New Roman"/>
        <family val="1"/>
      </rPr>
      <t>r</t>
    </r>
  </si>
  <si>
    <t>2) Records of control system maintenance</t>
  </si>
  <si>
    <t>3) Records of emissions averaging credit/debts</t>
  </si>
  <si>
    <r>
      <t xml:space="preserve">F. Calibration of CMS </t>
    </r>
    <r>
      <rPr>
        <vertAlign val="superscript"/>
        <sz val="10"/>
        <rFont val="Times New Roman"/>
        <family val="1"/>
      </rPr>
      <t>s</t>
    </r>
  </si>
  <si>
    <r>
      <t xml:space="preserve">G. Time to train personnel </t>
    </r>
    <r>
      <rPr>
        <vertAlign val="superscript"/>
        <sz val="10"/>
        <rFont val="Times New Roman"/>
        <family val="1"/>
      </rPr>
      <t>t</t>
    </r>
  </si>
  <si>
    <r>
      <t xml:space="preserve">H. Time to refresher training for personnel </t>
    </r>
    <r>
      <rPr>
        <vertAlign val="superscript"/>
        <sz val="10"/>
        <rFont val="Times New Roman"/>
        <family val="1"/>
      </rPr>
      <t>u</t>
    </r>
  </si>
  <si>
    <r>
      <t xml:space="preserve">TOTAL LABOR BURDEN AND COST (rounded) </t>
    </r>
    <r>
      <rPr>
        <b/>
        <vertAlign val="superscript"/>
        <sz val="10"/>
        <rFont val="Times New Roman"/>
        <family val="1"/>
      </rPr>
      <t>v</t>
    </r>
  </si>
  <si>
    <r>
      <t xml:space="preserve">CAPITAL AND O&amp;M COST (rounded) </t>
    </r>
    <r>
      <rPr>
        <b/>
        <vertAlign val="superscript"/>
        <sz val="10"/>
        <rFont val="Times New Roman"/>
        <family val="1"/>
      </rPr>
      <t>v</t>
    </r>
  </si>
  <si>
    <r>
      <t xml:space="preserve">GRAND TOTAL (rounded) </t>
    </r>
    <r>
      <rPr>
        <b/>
        <vertAlign val="superscript"/>
        <sz val="10"/>
        <rFont val="Times New Roman"/>
        <family val="1"/>
      </rPr>
      <t>v</t>
    </r>
  </si>
  <si>
    <t>Table 1: Annual Respondent Burden and Cost – NESHAP for Plywood and Composite Products (40 CFR Part 63, Subpart DDDD) (Final Amendments)</t>
  </si>
  <si>
    <t>Table 2: Average Annual EPA Burden and Cost – NESHAP for Plywood and Composite Products (40 CFR Part 63, Subpart DDDD)  (Final Amendments)</t>
  </si>
  <si>
    <r>
      <t>Number of Respondents with O&amp;M</t>
    </r>
    <r>
      <rPr>
        <vertAlign val="superscript"/>
        <sz val="10"/>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</si>
</sst>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00"/>
    <numFmt numFmtId="165" formatCode="0.0"/>
  </numFmts>
  <fonts count="24" x14ac:knownFonts="1">
    <font>
      <sz val="11"/>
      <color theme="1"/>
      <name val="Calibri"/>
      <family val="2"/>
      <scheme val="minor"/>
    </font>
    <font>
      <b/>
      <sz val="11"/>
      <color theme="1"/>
      <name val="Calibri"/>
      <family val="2"/>
      <scheme val="minor"/>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vertAlign val="superscript"/>
      <sz val="12"/>
      <color rgb="FF000000"/>
      <name val="Times New Roman"/>
      <family val="1"/>
    </font>
    <font>
      <sz val="11"/>
      <color rgb="FFFF0000"/>
      <name val="Calibri"/>
      <family val="2"/>
      <scheme val="minor"/>
    </font>
    <font>
      <sz val="12"/>
      <color theme="1"/>
      <name val="Times New Roman"/>
      <family val="1"/>
    </font>
    <font>
      <sz val="12"/>
      <color rgb="FF000000"/>
      <name val="Times New Roman"/>
      <family val="1"/>
    </font>
    <font>
      <sz val="10"/>
      <color theme="1"/>
      <name val="Times New Roman"/>
      <family val="1"/>
    </font>
    <font>
      <b/>
      <sz val="12"/>
      <color rgb="FF000000"/>
      <name val="Times New Roman"/>
      <family val="1"/>
    </font>
    <font>
      <b/>
      <sz val="10"/>
      <color theme="1"/>
      <name val="Times New Roman"/>
      <family val="1"/>
    </font>
    <font>
      <sz val="9"/>
      <color rgb="FF000000"/>
      <name val="Times New Roman"/>
      <family val="1"/>
    </font>
    <font>
      <sz val="11"/>
      <name val="Calibri"/>
      <family val="2"/>
      <scheme val="minor"/>
    </font>
    <font>
      <sz val="9"/>
      <color rgb="FFFF0000"/>
      <name val="Times New Roman"/>
      <family val="1"/>
    </font>
    <font>
      <i/>
      <sz val="11"/>
      <color theme="1"/>
      <name val="Calibri"/>
      <family val="2"/>
      <scheme val="minor"/>
    </font>
    <font>
      <vertAlign val="superscript"/>
      <sz val="10"/>
      <name val="Times New Roman"/>
      <family val="1"/>
    </font>
    <font>
      <sz val="10"/>
      <name val="Times New Roman"/>
      <family val="1"/>
    </font>
    <font>
      <vertAlign val="superscript"/>
      <sz val="10"/>
      <color theme="1"/>
      <name val="Times New Roman"/>
      <family val="1"/>
    </font>
    <font>
      <b/>
      <sz val="10"/>
      <name val="Times New Roman"/>
      <family val="1"/>
    </font>
    <font>
      <b/>
      <vertAlign val="superscript"/>
      <sz val="10"/>
      <name val="Times New Roman"/>
      <family val="1"/>
    </font>
    <font>
      <b/>
      <sz val="11"/>
      <name val="Calibri"/>
      <family val="2"/>
      <scheme val="minor"/>
    </font>
    <font>
      <b/>
      <vertAlign val="superscript"/>
      <sz val="12"/>
      <name val="Times New Roman"/>
      <family val="1"/>
    </font>
  </fonts>
  <fills count="4">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indexed="64"/>
      </left>
      <right style="medium">
        <color rgb="FF000000"/>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31">
    <xf numFmtId="0" fontId="0" fillId="0" borderId="0" xfId="0"/>
    <xf numFmtId="0" fontId="2" fillId="0" borderId="0" xfId="0" applyFont="1" applyAlignment="1">
      <alignment vertical="center"/>
    </xf>
    <xf numFmtId="0" fontId="1" fillId="0" borderId="0" xfId="0" applyFont="1"/>
    <xf numFmtId="0" fontId="2" fillId="0" borderId="1" xfId="0" applyFont="1" applyBorder="1" applyAlignment="1">
      <alignment horizontal="center" vertical="center" wrapText="1"/>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4" fillId="0" borderId="5" xfId="0" applyFont="1" applyBorder="1" applyAlignment="1">
      <alignment horizontal="center" vertical="center" wrapText="1"/>
    </xf>
    <xf numFmtId="0" fontId="10" fillId="0" borderId="0" xfId="0" applyFont="1" applyAlignment="1">
      <alignment vertical="center"/>
    </xf>
    <xf numFmtId="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164" fontId="0" fillId="0" borderId="0" xfId="0" applyNumberFormat="1"/>
    <xf numFmtId="164" fontId="1" fillId="0" borderId="0" xfId="0" applyNumberFormat="1" applyFont="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9" fillId="0" borderId="0" xfId="0" applyFont="1" applyAlignment="1">
      <alignment horizontal="center" vertical="center"/>
    </xf>
    <xf numFmtId="0" fontId="13" fillId="0" borderId="5" xfId="0" applyFont="1" applyBorder="1" applyAlignment="1">
      <alignment horizontal="center" vertical="center" wrapText="1"/>
    </xf>
    <xf numFmtId="0" fontId="4" fillId="0" borderId="25" xfId="0" applyFont="1" applyBorder="1" applyAlignment="1">
      <alignment vertical="center" wrapText="1"/>
    </xf>
    <xf numFmtId="0" fontId="4" fillId="0" borderId="26" xfId="0" applyFont="1"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16" xfId="0" applyFont="1" applyBorder="1" applyAlignment="1">
      <alignment horizontal="center" vertical="center"/>
    </xf>
    <xf numFmtId="0" fontId="4" fillId="0" borderId="6" xfId="0" applyFont="1" applyBorder="1" applyAlignment="1">
      <alignment horizontal="center" vertical="center"/>
    </xf>
    <xf numFmtId="0" fontId="11" fillId="0" borderId="1" xfId="0" applyFont="1" applyBorder="1" applyAlignment="1">
      <alignment vertical="center"/>
    </xf>
    <xf numFmtId="0" fontId="4" fillId="0" borderId="20" xfId="0" applyFont="1" applyBorder="1" applyAlignment="1">
      <alignment vertical="center"/>
    </xf>
    <xf numFmtId="0" fontId="4" fillId="0" borderId="20" xfId="0" applyFont="1" applyBorder="1" applyAlignment="1">
      <alignment horizontal="center" vertical="center"/>
    </xf>
    <xf numFmtId="0" fontId="13" fillId="0" borderId="1" xfId="0" applyFont="1" applyBorder="1" applyAlignment="1">
      <alignment horizontal="center" vertical="center"/>
    </xf>
    <xf numFmtId="0" fontId="13" fillId="0" borderId="16" xfId="0" applyFont="1" applyBorder="1" applyAlignment="1">
      <alignment horizontal="center" vertical="center"/>
    </xf>
    <xf numFmtId="0" fontId="13" fillId="0" borderId="6" xfId="0" applyFont="1" applyBorder="1" applyAlignment="1">
      <alignment horizontal="center" vertical="center"/>
    </xf>
    <xf numFmtId="0" fontId="0" fillId="0" borderId="0" xfId="0" applyAlignment="1"/>
    <xf numFmtId="0" fontId="13"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0" fillId="0" borderId="0" xfId="0" applyBorder="1" applyAlignment="1">
      <alignment vertical="top" wrapText="1"/>
    </xf>
    <xf numFmtId="0" fontId="4"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2" fillId="0" borderId="10" xfId="0" applyFont="1" applyBorder="1" applyAlignment="1">
      <alignment vertical="center" wrapText="1"/>
    </xf>
    <xf numFmtId="0" fontId="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0" fillId="0" borderId="1" xfId="0" applyBorder="1" applyAlignment="1"/>
    <xf numFmtId="0" fontId="1" fillId="0" borderId="1" xfId="0" applyFont="1" applyBorder="1"/>
    <xf numFmtId="0" fontId="1" fillId="0" borderId="1" xfId="0" applyFont="1" applyBorder="1" applyAlignment="1">
      <alignment wrapText="1"/>
    </xf>
    <xf numFmtId="0" fontId="0" fillId="0" borderId="1" xfId="0" applyBorder="1"/>
    <xf numFmtId="0" fontId="0" fillId="3" borderId="1" xfId="0" applyFill="1" applyBorder="1"/>
    <xf numFmtId="0" fontId="0" fillId="0" borderId="1" xfId="0" applyBorder="1" applyAlignment="1">
      <alignment wrapText="1"/>
    </xf>
    <xf numFmtId="0" fontId="0" fillId="0" borderId="0" xfId="0" applyFill="1"/>
    <xf numFmtId="1" fontId="0" fillId="0" borderId="1" xfId="0" applyNumberFormat="1" applyBorder="1"/>
    <xf numFmtId="0" fontId="0" fillId="0" borderId="0" xfId="0" applyAlignment="1">
      <alignment wrapText="1"/>
    </xf>
    <xf numFmtId="1" fontId="0" fillId="0" borderId="0" xfId="0" applyNumberFormat="1"/>
    <xf numFmtId="1" fontId="13" fillId="0" borderId="1" xfId="0" applyNumberFormat="1" applyFont="1" applyBorder="1" applyAlignment="1">
      <alignment horizontal="center" vertical="center" wrapText="1"/>
    </xf>
    <xf numFmtId="0" fontId="1" fillId="0" borderId="1" xfId="0" applyFont="1" applyFill="1" applyBorder="1" applyAlignment="1"/>
    <xf numFmtId="1" fontId="10" fillId="0" borderId="1"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7" fillId="0" borderId="0" xfId="0" applyFont="1"/>
    <xf numFmtId="0" fontId="4" fillId="0" borderId="8"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0" fillId="0" borderId="0" xfId="0" applyFill="1" applyBorder="1"/>
    <xf numFmtId="2" fontId="0" fillId="0" borderId="0" xfId="0" applyNumberFormat="1"/>
    <xf numFmtId="6" fontId="0" fillId="0" borderId="0" xfId="0" applyNumberFormat="1"/>
    <xf numFmtId="0" fontId="16" fillId="0" borderId="0" xfId="0" applyFont="1"/>
    <xf numFmtId="0" fontId="2" fillId="0" borderId="1" xfId="0" applyFont="1" applyBorder="1" applyAlignment="1">
      <alignment horizontal="center" vertical="center"/>
    </xf>
    <xf numFmtId="8" fontId="0" fillId="0" borderId="0" xfId="0" applyNumberFormat="1"/>
    <xf numFmtId="6" fontId="7" fillId="0" borderId="0" xfId="0" applyNumberFormat="1" applyFont="1"/>
    <xf numFmtId="0" fontId="18" fillId="0" borderId="1" xfId="0" applyFont="1" applyBorder="1" applyAlignment="1">
      <alignment horizontal="center" vertical="center"/>
    </xf>
    <xf numFmtId="0" fontId="12" fillId="0" borderId="1" xfId="0" applyFont="1" applyBorder="1" applyAlignment="1">
      <alignment vertical="center"/>
    </xf>
    <xf numFmtId="6"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9" fillId="0" borderId="0" xfId="0" applyFont="1" applyAlignment="1">
      <alignment vertical="center"/>
    </xf>
    <xf numFmtId="0" fontId="10" fillId="0" borderId="1" xfId="0" applyFont="1" applyBorder="1" applyAlignment="1">
      <alignment vertical="center"/>
    </xf>
    <xf numFmtId="0" fontId="10" fillId="0" borderId="1" xfId="0" applyFont="1" applyBorder="1" applyAlignment="1">
      <alignment vertical="center" wrapText="1"/>
    </xf>
    <xf numFmtId="0" fontId="18" fillId="0" borderId="1" xfId="0" applyFont="1" applyBorder="1" applyAlignment="1">
      <alignment vertical="center"/>
    </xf>
    <xf numFmtId="0" fontId="18" fillId="0" borderId="1" xfId="0" applyFont="1" applyBorder="1" applyAlignment="1">
      <alignment horizontal="center" vertical="center" wrapText="1"/>
    </xf>
    <xf numFmtId="1" fontId="18" fillId="0" borderId="1" xfId="0" applyNumberFormat="1" applyFont="1" applyBorder="1" applyAlignment="1">
      <alignment horizontal="center" vertical="center"/>
    </xf>
    <xf numFmtId="6" fontId="18" fillId="0" borderId="1" xfId="0" applyNumberFormat="1" applyFont="1" applyBorder="1" applyAlignment="1">
      <alignment horizontal="right" vertical="center"/>
    </xf>
    <xf numFmtId="0" fontId="18" fillId="0" borderId="1" xfId="0" applyFont="1" applyBorder="1" applyAlignment="1">
      <alignment horizontal="right" vertical="center"/>
    </xf>
    <xf numFmtId="0" fontId="18" fillId="0" borderId="1" xfId="0" applyFont="1" applyBorder="1" applyAlignment="1">
      <alignment horizontal="left" vertical="center" indent="1"/>
    </xf>
    <xf numFmtId="0" fontId="18" fillId="0" borderId="1" xfId="0" applyFont="1" applyBorder="1" applyAlignment="1">
      <alignment horizontal="left" vertical="center" wrapText="1" indent="1"/>
    </xf>
    <xf numFmtId="1" fontId="18" fillId="0" borderId="1" xfId="0" applyNumberFormat="1" applyFont="1" applyFill="1" applyBorder="1" applyAlignment="1">
      <alignment horizontal="center" vertical="center"/>
    </xf>
    <xf numFmtId="0" fontId="18" fillId="0" borderId="1" xfId="0" applyFont="1" applyBorder="1" applyAlignment="1">
      <alignment horizontal="left" vertical="center" indent="2"/>
    </xf>
    <xf numFmtId="0" fontId="20" fillId="0" borderId="1" xfId="0" applyFont="1" applyBorder="1" applyAlignment="1">
      <alignment vertical="center"/>
    </xf>
    <xf numFmtId="0" fontId="20" fillId="0" borderId="1" xfId="0" applyFont="1" applyBorder="1" applyAlignment="1">
      <alignment horizontal="center" vertical="center"/>
    </xf>
    <xf numFmtId="6" fontId="20" fillId="0" borderId="1" xfId="0" applyNumberFormat="1" applyFont="1" applyBorder="1" applyAlignment="1">
      <alignment horizontal="right" vertical="center"/>
    </xf>
    <xf numFmtId="0" fontId="22" fillId="0" borderId="0" xfId="0" applyFont="1"/>
    <xf numFmtId="0" fontId="20" fillId="0" borderId="1" xfId="0" applyFont="1" applyBorder="1" applyAlignment="1">
      <alignment horizontal="center" vertical="center" wrapText="1"/>
    </xf>
    <xf numFmtId="0" fontId="18" fillId="0" borderId="1" xfId="0" applyFont="1" applyBorder="1" applyAlignment="1">
      <alignment horizontal="left" vertical="center" indent="3"/>
    </xf>
    <xf numFmtId="8" fontId="18" fillId="0" borderId="1" xfId="0" applyNumberFormat="1" applyFont="1" applyBorder="1" applyAlignment="1">
      <alignment horizontal="right" vertical="center"/>
    </xf>
    <xf numFmtId="0" fontId="18" fillId="0" borderId="1" xfId="0" applyFont="1" applyFill="1" applyBorder="1" applyAlignment="1">
      <alignment horizontal="left" vertical="center" indent="3"/>
    </xf>
    <xf numFmtId="0" fontId="18" fillId="0" borderId="1" xfId="0" applyFont="1" applyFill="1" applyBorder="1" applyAlignment="1">
      <alignment horizontal="center" vertical="center"/>
    </xf>
    <xf numFmtId="6" fontId="18" fillId="0" borderId="1" xfId="0" applyNumberFormat="1" applyFont="1" applyFill="1" applyBorder="1" applyAlignment="1">
      <alignment horizontal="right" vertical="center"/>
    </xf>
    <xf numFmtId="165" fontId="18" fillId="0" borderId="1" xfId="0" applyNumberFormat="1" applyFont="1" applyBorder="1" applyAlignment="1">
      <alignment horizontal="center" vertical="center"/>
    </xf>
    <xf numFmtId="3" fontId="20" fillId="0" borderId="1" xfId="0" applyNumberFormat="1" applyFont="1" applyBorder="1" applyAlignment="1">
      <alignment horizontal="center" vertical="center"/>
    </xf>
    <xf numFmtId="0" fontId="0" fillId="0" borderId="0" xfId="0" applyFill="1" applyBorder="1" applyAlignment="1">
      <alignment wrapText="1"/>
    </xf>
    <xf numFmtId="0" fontId="0" fillId="2" borderId="1" xfId="0" applyFill="1" applyBorder="1"/>
    <xf numFmtId="2" fontId="1" fillId="2" borderId="1" xfId="0" applyNumberFormat="1" applyFont="1" applyFill="1" applyBorder="1"/>
    <xf numFmtId="0" fontId="18" fillId="0" borderId="5" xfId="0" applyFont="1" applyBorder="1" applyAlignment="1">
      <alignment horizontal="center" vertical="center" wrapText="1"/>
    </xf>
    <xf numFmtId="0" fontId="5" fillId="0" borderId="0" xfId="0" applyFont="1" applyAlignment="1">
      <alignment vertical="center" wrapText="1"/>
    </xf>
    <xf numFmtId="0" fontId="4" fillId="0" borderId="0" xfId="0" applyFont="1" applyAlignment="1">
      <alignment vertical="center" wrapText="1"/>
    </xf>
    <xf numFmtId="0" fontId="17" fillId="0" borderId="0" xfId="0" applyFont="1" applyAlignment="1">
      <alignment vertical="center" wrapText="1"/>
    </xf>
    <xf numFmtId="0" fontId="6" fillId="0" borderId="0" xfId="0" applyFont="1" applyAlignment="1">
      <alignment vertical="center" wrapText="1"/>
    </xf>
    <xf numFmtId="3"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 fontId="20" fillId="0" borderId="1" xfId="0" applyNumberFormat="1" applyFont="1" applyBorder="1" applyAlignment="1">
      <alignment horizontal="center" vertical="center"/>
    </xf>
    <xf numFmtId="0" fontId="4" fillId="0" borderId="0" xfId="0" applyFont="1" applyAlignment="1">
      <alignment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9" xfId="0" applyFont="1" applyBorder="1" applyAlignment="1">
      <alignment horizontal="center" vertical="center" wrapText="1"/>
    </xf>
    <xf numFmtId="0" fontId="13" fillId="0" borderId="18" xfId="0" applyFont="1" applyBorder="1" applyAlignment="1">
      <alignment vertical="center" wrapText="1"/>
    </xf>
    <xf numFmtId="0" fontId="13" fillId="0" borderId="19" xfId="0" applyFont="1" applyBorder="1" applyAlignment="1">
      <alignment vertical="center" wrapText="1"/>
    </xf>
    <xf numFmtId="0" fontId="19"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145EE-2731-4CD7-A7A1-19A29CCB3BE8}">
  <sheetPr>
    <pageSetUpPr fitToPage="1"/>
  </sheetPr>
  <dimension ref="A1:Y80"/>
  <sheetViews>
    <sheetView tabSelected="1" workbookViewId="0">
      <pane ySplit="3" topLeftCell="A46" activePane="bottomLeft" state="frozen"/>
      <selection pane="bottomLeft" activeCell="A76" sqref="A76:I76"/>
    </sheetView>
  </sheetViews>
  <sheetFormatPr defaultRowHeight="15" x14ac:dyDescent="0.25"/>
  <cols>
    <col min="1" max="1" width="51.5703125" customWidth="1"/>
    <col min="2" max="2" width="11" customWidth="1"/>
    <col min="3" max="3" width="11.140625" customWidth="1"/>
    <col min="4" max="4" width="9.7109375" customWidth="1"/>
    <col min="5" max="5" width="11" customWidth="1"/>
    <col min="7" max="7" width="10.7109375" customWidth="1"/>
    <col min="9" max="9" width="12.140625" customWidth="1"/>
    <col min="10" max="10" width="91.28515625" customWidth="1"/>
    <col min="16" max="16" width="16.28515625" bestFit="1" customWidth="1"/>
    <col min="17" max="17" width="18.5703125" customWidth="1"/>
    <col min="24" max="24" width="13.5703125" bestFit="1" customWidth="1"/>
  </cols>
  <sheetData>
    <row r="1" spans="1:18" x14ac:dyDescent="0.25">
      <c r="A1" s="95" t="s">
        <v>235</v>
      </c>
    </row>
    <row r="2" spans="1:18" x14ac:dyDescent="0.25">
      <c r="F2">
        <f>Lookups!D9</f>
        <v>119.03</v>
      </c>
      <c r="G2">
        <f>Lookups!D7</f>
        <v>148.97</v>
      </c>
      <c r="H2">
        <f>Lookups!D8</f>
        <v>57.62</v>
      </c>
    </row>
    <row r="3" spans="1:18" ht="87.75" customHeight="1" x14ac:dyDescent="0.25">
      <c r="A3" s="96" t="s">
        <v>0</v>
      </c>
      <c r="B3" s="96" t="s">
        <v>6</v>
      </c>
      <c r="C3" s="96" t="s">
        <v>7</v>
      </c>
      <c r="D3" s="96" t="s">
        <v>8</v>
      </c>
      <c r="E3" s="96" t="s">
        <v>200</v>
      </c>
      <c r="F3" s="96" t="s">
        <v>9</v>
      </c>
      <c r="G3" s="96" t="s">
        <v>10</v>
      </c>
      <c r="H3" s="96" t="s">
        <v>11</v>
      </c>
      <c r="I3" s="96" t="s">
        <v>201</v>
      </c>
      <c r="P3" t="s">
        <v>121</v>
      </c>
    </row>
    <row r="4" spans="1:18" x14ac:dyDescent="0.25">
      <c r="A4" s="83" t="s">
        <v>167</v>
      </c>
      <c r="B4" s="76" t="s">
        <v>1</v>
      </c>
      <c r="C4" s="76"/>
      <c r="D4" s="76"/>
      <c r="E4" s="76"/>
      <c r="F4" s="76"/>
      <c r="G4" s="76"/>
      <c r="H4" s="76"/>
      <c r="I4" s="87"/>
    </row>
    <row r="5" spans="1:18" x14ac:dyDescent="0.25">
      <c r="A5" s="83" t="s">
        <v>168</v>
      </c>
      <c r="B5" s="76" t="s">
        <v>1</v>
      </c>
      <c r="C5" s="76"/>
      <c r="D5" s="76"/>
      <c r="E5" s="76"/>
      <c r="F5" s="76"/>
      <c r="G5" s="76"/>
      <c r="H5" s="76"/>
      <c r="I5" s="87"/>
      <c r="K5" s="62"/>
    </row>
    <row r="6" spans="1:18" x14ac:dyDescent="0.25">
      <c r="A6" s="83" t="s">
        <v>169</v>
      </c>
      <c r="B6" s="76"/>
      <c r="C6" s="76"/>
      <c r="D6" s="76"/>
      <c r="E6" s="76"/>
      <c r="F6" s="76"/>
      <c r="G6" s="76"/>
      <c r="H6" s="76"/>
      <c r="I6" s="87"/>
    </row>
    <row r="7" spans="1:18" ht="15.75" x14ac:dyDescent="0.25">
      <c r="A7" s="88" t="s">
        <v>202</v>
      </c>
      <c r="B7" s="76">
        <v>1</v>
      </c>
      <c r="C7" s="76">
        <v>1</v>
      </c>
      <c r="D7" s="76">
        <f>B7*C7</f>
        <v>1</v>
      </c>
      <c r="E7" s="76">
        <f>Text_Tables!F28</f>
        <v>244</v>
      </c>
      <c r="F7" s="76">
        <f>D7*E7</f>
        <v>244</v>
      </c>
      <c r="G7" s="76">
        <f>F7*0.05</f>
        <v>12.200000000000001</v>
      </c>
      <c r="H7" s="76">
        <f>F7*0.1</f>
        <v>24.400000000000002</v>
      </c>
      <c r="I7" s="86">
        <f>$F$2*F7+$G$2*G7+$H$2*H7</f>
        <v>32266.682000000001</v>
      </c>
      <c r="J7" s="67"/>
      <c r="P7" s="74" t="e">
        <f>#REF!</f>
        <v>#REF!</v>
      </c>
    </row>
    <row r="8" spans="1:18" ht="15.75" x14ac:dyDescent="0.25">
      <c r="A8" s="97" t="s">
        <v>203</v>
      </c>
      <c r="B8" s="100">
        <v>10</v>
      </c>
      <c r="C8" s="76">
        <v>1</v>
      </c>
      <c r="D8" s="76">
        <f t="shared" ref="D8:D9" si="0">B8*C8</f>
        <v>10</v>
      </c>
      <c r="E8" s="76">
        <f>ROUND((Lookups!B22+Lookups!C22+Lookups!E22)/3,0)</f>
        <v>38</v>
      </c>
      <c r="F8" s="76">
        <f t="shared" ref="F8:F9" si="1">D8*E8</f>
        <v>380</v>
      </c>
      <c r="G8" s="76">
        <f t="shared" ref="G8:G9" si="2">F8*0.05</f>
        <v>19</v>
      </c>
      <c r="H8" s="76">
        <f t="shared" ref="H8:H9" si="3">F8*0.1</f>
        <v>38</v>
      </c>
      <c r="I8" s="86">
        <f t="shared" ref="I8:I9" si="4">$F$2*F8+$G$2*G8+$H$2*H8</f>
        <v>50251.39</v>
      </c>
      <c r="R8" s="62"/>
    </row>
    <row r="9" spans="1:18" ht="15.75" x14ac:dyDescent="0.25">
      <c r="A9" s="97" t="s">
        <v>204</v>
      </c>
      <c r="B9" s="76">
        <v>0</v>
      </c>
      <c r="C9" s="76">
        <v>0</v>
      </c>
      <c r="D9" s="76">
        <f t="shared" si="0"/>
        <v>0</v>
      </c>
      <c r="E9" s="76">
        <f>ROUND((Lookups!B25+Lookups!C25)/3,0)</f>
        <v>43</v>
      </c>
      <c r="F9" s="76">
        <f t="shared" si="1"/>
        <v>0</v>
      </c>
      <c r="G9" s="76">
        <f t="shared" si="2"/>
        <v>0</v>
      </c>
      <c r="H9" s="76">
        <f t="shared" si="3"/>
        <v>0</v>
      </c>
      <c r="I9" s="98">
        <f t="shared" si="4"/>
        <v>0</v>
      </c>
    </row>
    <row r="10" spans="1:18" x14ac:dyDescent="0.25">
      <c r="A10" s="88" t="s">
        <v>170</v>
      </c>
      <c r="B10" s="76" t="s">
        <v>1</v>
      </c>
      <c r="C10" s="76"/>
      <c r="D10" s="76"/>
      <c r="E10" s="76"/>
      <c r="F10" s="76"/>
      <c r="G10" s="76"/>
      <c r="H10" s="76"/>
      <c r="I10" s="86"/>
    </row>
    <row r="11" spans="1:18" x14ac:dyDescent="0.25">
      <c r="A11" s="88" t="s">
        <v>171</v>
      </c>
      <c r="B11" s="76" t="s">
        <v>2</v>
      </c>
      <c r="C11" s="76"/>
      <c r="D11" s="76"/>
      <c r="E11" s="76"/>
      <c r="F11" s="76"/>
      <c r="G11" s="76"/>
      <c r="H11" s="76"/>
      <c r="I11" s="86"/>
    </row>
    <row r="12" spans="1:18" x14ac:dyDescent="0.25">
      <c r="A12" s="88" t="s">
        <v>172</v>
      </c>
      <c r="B12" s="76" t="s">
        <v>2</v>
      </c>
      <c r="C12" s="76"/>
      <c r="D12" s="76"/>
      <c r="E12" s="76"/>
      <c r="F12" s="76"/>
      <c r="G12" s="76"/>
      <c r="H12" s="76"/>
      <c r="I12" s="86"/>
    </row>
    <row r="13" spans="1:18" x14ac:dyDescent="0.25">
      <c r="A13" s="88" t="s">
        <v>173</v>
      </c>
      <c r="B13" s="76"/>
      <c r="C13" s="76"/>
      <c r="D13" s="76"/>
      <c r="E13" s="76"/>
      <c r="F13" s="76"/>
      <c r="G13" s="76"/>
      <c r="H13" s="76"/>
      <c r="I13" s="86"/>
    </row>
    <row r="14" spans="1:18" ht="15.75" x14ac:dyDescent="0.25">
      <c r="A14" s="91" t="s">
        <v>205</v>
      </c>
      <c r="B14" s="76">
        <v>2</v>
      </c>
      <c r="C14" s="76">
        <v>1</v>
      </c>
      <c r="D14" s="76">
        <f t="shared" ref="D14:D51" si="5">B14*C14</f>
        <v>2</v>
      </c>
      <c r="E14" s="85">
        <f>Text_Tables!B38</f>
        <v>15</v>
      </c>
      <c r="F14" s="76">
        <f t="shared" ref="F14:F33" si="6">D14*E14</f>
        <v>30</v>
      </c>
      <c r="G14" s="76">
        <f t="shared" ref="G14:G33" si="7">F14*0.05</f>
        <v>1.5</v>
      </c>
      <c r="H14" s="76">
        <f t="shared" ref="H14:H20" si="8">F14*0.1</f>
        <v>3</v>
      </c>
      <c r="I14" s="86">
        <f t="shared" ref="I14:I33" si="9">$F$2*F14+$G$2*G14+$H$2*H14</f>
        <v>3967.2150000000001</v>
      </c>
      <c r="P14" s="71" t="e">
        <f>#REF!</f>
        <v>#REF!</v>
      </c>
    </row>
    <row r="15" spans="1:18" ht="15.75" x14ac:dyDescent="0.25">
      <c r="A15" s="91" t="s">
        <v>206</v>
      </c>
      <c r="B15" s="76">
        <v>2</v>
      </c>
      <c r="C15" s="76">
        <v>1</v>
      </c>
      <c r="D15" s="76">
        <f t="shared" si="5"/>
        <v>2</v>
      </c>
      <c r="E15" s="85">
        <f>E14</f>
        <v>15</v>
      </c>
      <c r="F15" s="76">
        <f t="shared" si="6"/>
        <v>30</v>
      </c>
      <c r="G15" s="76">
        <f t="shared" si="7"/>
        <v>1.5</v>
      </c>
      <c r="H15" s="76">
        <f t="shared" si="8"/>
        <v>3</v>
      </c>
      <c r="I15" s="86">
        <f t="shared" si="9"/>
        <v>3967.2150000000001</v>
      </c>
      <c r="P15" s="71" t="e">
        <f>#REF!</f>
        <v>#REF!</v>
      </c>
    </row>
    <row r="16" spans="1:18" ht="15.75" x14ac:dyDescent="0.25">
      <c r="A16" s="91" t="s">
        <v>207</v>
      </c>
      <c r="B16" s="76">
        <v>2</v>
      </c>
      <c r="C16" s="76">
        <v>1</v>
      </c>
      <c r="D16" s="76">
        <f t="shared" si="5"/>
        <v>2</v>
      </c>
      <c r="E16" s="85">
        <f>E15</f>
        <v>15</v>
      </c>
      <c r="F16" s="76">
        <f t="shared" si="6"/>
        <v>30</v>
      </c>
      <c r="G16" s="76">
        <f t="shared" si="7"/>
        <v>1.5</v>
      </c>
      <c r="H16" s="76">
        <f t="shared" si="8"/>
        <v>3</v>
      </c>
      <c r="I16" s="86">
        <f t="shared" si="9"/>
        <v>3967.2150000000001</v>
      </c>
      <c r="P16" s="71" t="e">
        <f>#REF!</f>
        <v>#REF!</v>
      </c>
    </row>
    <row r="17" spans="1:16" ht="15.75" x14ac:dyDescent="0.25">
      <c r="A17" s="91" t="s">
        <v>208</v>
      </c>
      <c r="B17" s="76">
        <v>2</v>
      </c>
      <c r="C17" s="76">
        <v>1</v>
      </c>
      <c r="D17" s="76">
        <f t="shared" si="5"/>
        <v>2</v>
      </c>
      <c r="E17" s="85">
        <f>E16</f>
        <v>15</v>
      </c>
      <c r="F17" s="76">
        <f t="shared" si="6"/>
        <v>30</v>
      </c>
      <c r="G17" s="76">
        <f t="shared" si="7"/>
        <v>1.5</v>
      </c>
      <c r="H17" s="76">
        <f t="shared" si="8"/>
        <v>3</v>
      </c>
      <c r="I17" s="86">
        <f t="shared" si="9"/>
        <v>3967.2150000000001</v>
      </c>
      <c r="P17" s="71" t="e">
        <f>#REF!</f>
        <v>#REF!</v>
      </c>
    </row>
    <row r="18" spans="1:16" ht="15.75" x14ac:dyDescent="0.25">
      <c r="A18" s="91" t="s">
        <v>209</v>
      </c>
      <c r="B18" s="76">
        <v>120</v>
      </c>
      <c r="C18" s="76">
        <v>1</v>
      </c>
      <c r="D18" s="76">
        <f t="shared" si="5"/>
        <v>120</v>
      </c>
      <c r="E18" s="76">
        <v>0</v>
      </c>
      <c r="F18" s="76">
        <f t="shared" si="6"/>
        <v>0</v>
      </c>
      <c r="G18" s="76">
        <f t="shared" si="7"/>
        <v>0</v>
      </c>
      <c r="H18" s="76">
        <f t="shared" si="8"/>
        <v>0</v>
      </c>
      <c r="I18" s="86">
        <f t="shared" si="9"/>
        <v>0</v>
      </c>
      <c r="P18" s="71" t="e">
        <f>#REF!</f>
        <v>#REF!</v>
      </c>
    </row>
    <row r="19" spans="1:16" ht="15.75" x14ac:dyDescent="0.25">
      <c r="A19" s="91" t="s">
        <v>210</v>
      </c>
      <c r="B19" s="76">
        <v>2</v>
      </c>
      <c r="C19" s="76">
        <v>1</v>
      </c>
      <c r="D19" s="76">
        <f t="shared" si="5"/>
        <v>2</v>
      </c>
      <c r="E19" s="85">
        <f>Text_Tables!B43</f>
        <v>2</v>
      </c>
      <c r="F19" s="76">
        <f t="shared" si="6"/>
        <v>4</v>
      </c>
      <c r="G19" s="76">
        <f t="shared" si="7"/>
        <v>0.2</v>
      </c>
      <c r="H19" s="76">
        <f t="shared" si="8"/>
        <v>0.4</v>
      </c>
      <c r="I19" s="86">
        <f t="shared" si="9"/>
        <v>528.96199999999999</v>
      </c>
      <c r="P19" s="71" t="e">
        <f>#REF!</f>
        <v>#REF!</v>
      </c>
    </row>
    <row r="20" spans="1:16" ht="15.75" x14ac:dyDescent="0.25">
      <c r="A20" s="91" t="s">
        <v>211</v>
      </c>
      <c r="B20" s="76">
        <v>2</v>
      </c>
      <c r="C20" s="76">
        <v>1</v>
      </c>
      <c r="D20" s="76">
        <f t="shared" si="5"/>
        <v>2</v>
      </c>
      <c r="E20" s="90">
        <f>Text_Tables!B44</f>
        <v>40</v>
      </c>
      <c r="F20" s="76">
        <f t="shared" si="6"/>
        <v>80</v>
      </c>
      <c r="G20" s="76">
        <f t="shared" si="7"/>
        <v>4</v>
      </c>
      <c r="H20" s="76">
        <f t="shared" si="8"/>
        <v>8</v>
      </c>
      <c r="I20" s="86">
        <f t="shared" si="9"/>
        <v>10579.239999999998</v>
      </c>
      <c r="P20" s="71" t="e">
        <f>#REF!</f>
        <v>#REF!</v>
      </c>
    </row>
    <row r="21" spans="1:16" x14ac:dyDescent="0.25">
      <c r="A21" s="91" t="s">
        <v>212</v>
      </c>
      <c r="B21" s="76"/>
      <c r="C21" s="76"/>
      <c r="D21" s="76"/>
      <c r="E21" s="76"/>
      <c r="F21" s="76"/>
      <c r="G21" s="76"/>
      <c r="H21" s="76"/>
      <c r="I21" s="86"/>
      <c r="P21" s="71"/>
    </row>
    <row r="22" spans="1:16" ht="15.75" x14ac:dyDescent="0.25">
      <c r="A22" s="97" t="s">
        <v>213</v>
      </c>
      <c r="B22" s="76">
        <v>80</v>
      </c>
      <c r="C22" s="76">
        <v>1</v>
      </c>
      <c r="D22" s="76">
        <f t="shared" si="5"/>
        <v>80</v>
      </c>
      <c r="E22" s="85">
        <f>Text_Tables!B45</f>
        <v>40</v>
      </c>
      <c r="F22" s="76">
        <f t="shared" si="6"/>
        <v>3200</v>
      </c>
      <c r="G22" s="76">
        <f t="shared" si="7"/>
        <v>160</v>
      </c>
      <c r="H22" s="76">
        <f>F22*0.1</f>
        <v>320</v>
      </c>
      <c r="I22" s="86">
        <f t="shared" si="9"/>
        <v>423169.60000000003</v>
      </c>
      <c r="J22" s="69"/>
      <c r="K22" s="53"/>
      <c r="L22" s="53"/>
      <c r="M22" s="53"/>
      <c r="P22" s="71" t="e">
        <f>#REF!</f>
        <v>#REF!</v>
      </c>
    </row>
    <row r="23" spans="1:16" ht="15.75" x14ac:dyDescent="0.25">
      <c r="A23" s="99" t="s">
        <v>214</v>
      </c>
      <c r="B23" s="100">
        <v>60</v>
      </c>
      <c r="C23" s="100">
        <v>1</v>
      </c>
      <c r="D23" s="100">
        <f t="shared" si="5"/>
        <v>60</v>
      </c>
      <c r="E23" s="90">
        <f>Text_Tables!B46</f>
        <v>2</v>
      </c>
      <c r="F23" s="100">
        <f t="shared" si="6"/>
        <v>120</v>
      </c>
      <c r="G23" s="100">
        <f t="shared" si="7"/>
        <v>6</v>
      </c>
      <c r="H23" s="100">
        <f>F23*0.1</f>
        <v>12</v>
      </c>
      <c r="I23" s="101">
        <f t="shared" si="9"/>
        <v>15868.86</v>
      </c>
      <c r="J23" s="53"/>
      <c r="K23" s="53"/>
      <c r="L23" s="53"/>
      <c r="M23" s="53"/>
      <c r="N23" s="53"/>
      <c r="O23" s="53"/>
      <c r="P23" s="71" t="e">
        <f>#REF!</f>
        <v>#REF!</v>
      </c>
    </row>
    <row r="24" spans="1:16" ht="15.75" x14ac:dyDescent="0.25">
      <c r="A24" s="91" t="s">
        <v>215</v>
      </c>
      <c r="B24" s="76"/>
      <c r="C24" s="76"/>
      <c r="D24" s="76"/>
      <c r="E24" s="76"/>
      <c r="F24" s="76"/>
      <c r="G24" s="76"/>
      <c r="H24" s="76"/>
      <c r="I24" s="86"/>
      <c r="P24" s="71"/>
    </row>
    <row r="25" spans="1:16" x14ac:dyDescent="0.25">
      <c r="A25" s="97" t="s">
        <v>174</v>
      </c>
      <c r="B25" s="76">
        <v>2</v>
      </c>
      <c r="C25" s="76">
        <v>1</v>
      </c>
      <c r="D25" s="76">
        <f t="shared" si="5"/>
        <v>2</v>
      </c>
      <c r="E25" s="85">
        <f>Text_Tables!B47</f>
        <v>2</v>
      </c>
      <c r="F25" s="76">
        <f t="shared" si="6"/>
        <v>4</v>
      </c>
      <c r="G25" s="76">
        <f t="shared" si="7"/>
        <v>0.2</v>
      </c>
      <c r="H25" s="76">
        <f>F25*0.1</f>
        <v>0.4</v>
      </c>
      <c r="I25" s="86">
        <f t="shared" si="9"/>
        <v>528.96199999999999</v>
      </c>
      <c r="J25" s="53"/>
      <c r="P25" s="71" t="e">
        <f>#REF!</f>
        <v>#REF!</v>
      </c>
    </row>
    <row r="26" spans="1:16" x14ac:dyDescent="0.25">
      <c r="A26" s="97" t="s">
        <v>175</v>
      </c>
      <c r="B26" s="76">
        <v>24</v>
      </c>
      <c r="C26" s="76">
        <v>1</v>
      </c>
      <c r="D26" s="76">
        <f t="shared" si="5"/>
        <v>24</v>
      </c>
      <c r="E26" s="85">
        <f>Text_Tables!B48</f>
        <v>0</v>
      </c>
      <c r="F26" s="76">
        <f t="shared" si="6"/>
        <v>0</v>
      </c>
      <c r="G26" s="76">
        <f t="shared" si="7"/>
        <v>0</v>
      </c>
      <c r="H26" s="76">
        <f>F26*0.1</f>
        <v>0</v>
      </c>
      <c r="I26" s="86">
        <f t="shared" si="9"/>
        <v>0</v>
      </c>
      <c r="J26" s="53"/>
      <c r="P26" s="71" t="e">
        <f>#REF!</f>
        <v>#REF!</v>
      </c>
    </row>
    <row r="27" spans="1:16" ht="15.75" x14ac:dyDescent="0.25">
      <c r="A27" s="97" t="s">
        <v>216</v>
      </c>
      <c r="B27" s="76">
        <v>8</v>
      </c>
      <c r="C27" s="76">
        <v>1</v>
      </c>
      <c r="D27" s="76">
        <f t="shared" si="5"/>
        <v>8</v>
      </c>
      <c r="E27" s="76">
        <f>E26</f>
        <v>0</v>
      </c>
      <c r="F27" s="76">
        <f t="shared" si="6"/>
        <v>0</v>
      </c>
      <c r="G27" s="76">
        <f t="shared" si="7"/>
        <v>0</v>
      </c>
      <c r="H27" s="76">
        <f>F27*0.1</f>
        <v>0</v>
      </c>
      <c r="I27" s="86">
        <f t="shared" si="9"/>
        <v>0</v>
      </c>
      <c r="P27" s="71" t="e">
        <f>#REF!</f>
        <v>#REF!</v>
      </c>
    </row>
    <row r="28" spans="1:16" ht="15.75" x14ac:dyDescent="0.25">
      <c r="A28" s="97" t="s">
        <v>217</v>
      </c>
      <c r="B28" s="76">
        <v>8</v>
      </c>
      <c r="C28" s="76">
        <v>1</v>
      </c>
      <c r="D28" s="76">
        <f t="shared" si="5"/>
        <v>8</v>
      </c>
      <c r="E28" s="76">
        <v>0</v>
      </c>
      <c r="F28" s="76">
        <f t="shared" si="6"/>
        <v>0</v>
      </c>
      <c r="G28" s="76">
        <f t="shared" si="7"/>
        <v>0</v>
      </c>
      <c r="H28" s="76">
        <f>F28*0.1</f>
        <v>0</v>
      </c>
      <c r="I28" s="86">
        <f t="shared" si="9"/>
        <v>0</v>
      </c>
      <c r="P28" s="71" t="e">
        <f>#REF!</f>
        <v>#REF!</v>
      </c>
    </row>
    <row r="29" spans="1:16" ht="15.75" x14ac:dyDescent="0.25">
      <c r="A29" s="91" t="s">
        <v>218</v>
      </c>
      <c r="B29" s="76"/>
      <c r="C29" s="76"/>
      <c r="D29" s="76"/>
      <c r="E29" s="76"/>
      <c r="F29" s="76"/>
      <c r="G29" s="76"/>
      <c r="H29" s="76"/>
      <c r="I29" s="86"/>
      <c r="P29" s="71"/>
    </row>
    <row r="30" spans="1:16" ht="15.75" x14ac:dyDescent="0.25">
      <c r="A30" s="97" t="s">
        <v>219</v>
      </c>
      <c r="B30" s="76">
        <v>8</v>
      </c>
      <c r="C30" s="76">
        <v>2</v>
      </c>
      <c r="D30" s="76">
        <f t="shared" si="5"/>
        <v>16</v>
      </c>
      <c r="E30" s="76">
        <f>Text_Tables!B50</f>
        <v>102</v>
      </c>
      <c r="F30" s="76">
        <f t="shared" si="6"/>
        <v>1632</v>
      </c>
      <c r="G30" s="76">
        <f t="shared" si="7"/>
        <v>81.600000000000009</v>
      </c>
      <c r="H30" s="85">
        <f>F30*0.1</f>
        <v>163.20000000000002</v>
      </c>
      <c r="I30" s="86">
        <f t="shared" si="9"/>
        <v>215816.49599999998</v>
      </c>
      <c r="P30" s="71" t="e">
        <f>#REF!</f>
        <v>#REF!</v>
      </c>
    </row>
    <row r="31" spans="1:16" ht="15.75" x14ac:dyDescent="0.25">
      <c r="A31" s="97" t="s">
        <v>220</v>
      </c>
      <c r="B31" s="76">
        <v>24</v>
      </c>
      <c r="C31" s="76">
        <v>2</v>
      </c>
      <c r="D31" s="76">
        <f t="shared" si="5"/>
        <v>48</v>
      </c>
      <c r="E31" s="76">
        <f>Text_Tables!B51</f>
        <v>11</v>
      </c>
      <c r="F31" s="76">
        <f t="shared" si="6"/>
        <v>528</v>
      </c>
      <c r="G31" s="76">
        <f t="shared" si="7"/>
        <v>26.400000000000002</v>
      </c>
      <c r="H31" s="76">
        <f>F31*0.1</f>
        <v>52.800000000000004</v>
      </c>
      <c r="I31" s="86">
        <f t="shared" si="9"/>
        <v>69822.983999999997</v>
      </c>
      <c r="P31" s="71" t="e">
        <f>#REF!</f>
        <v>#REF!</v>
      </c>
    </row>
    <row r="32" spans="1:16" ht="15.75" x14ac:dyDescent="0.25">
      <c r="A32" s="97" t="s">
        <v>221</v>
      </c>
      <c r="B32" s="76">
        <v>8</v>
      </c>
      <c r="C32" s="76">
        <v>2</v>
      </c>
      <c r="D32" s="76">
        <f t="shared" si="5"/>
        <v>16</v>
      </c>
      <c r="E32" s="76">
        <f>E31</f>
        <v>11</v>
      </c>
      <c r="F32" s="76">
        <f t="shared" si="6"/>
        <v>176</v>
      </c>
      <c r="G32" s="76">
        <f t="shared" si="7"/>
        <v>8.8000000000000007</v>
      </c>
      <c r="H32" s="76">
        <f>F32*0.1</f>
        <v>17.600000000000001</v>
      </c>
      <c r="I32" s="86">
        <f t="shared" si="9"/>
        <v>23274.328000000001</v>
      </c>
      <c r="P32" s="71" t="e">
        <f>#REF!</f>
        <v>#REF!</v>
      </c>
    </row>
    <row r="33" spans="1:25" ht="15.75" x14ac:dyDescent="0.25">
      <c r="A33" s="97" t="s">
        <v>222</v>
      </c>
      <c r="B33" s="76">
        <v>20</v>
      </c>
      <c r="C33" s="76">
        <v>2</v>
      </c>
      <c r="D33" s="76">
        <f t="shared" si="5"/>
        <v>40</v>
      </c>
      <c r="E33" s="76">
        <v>1</v>
      </c>
      <c r="F33" s="76">
        <f t="shared" si="6"/>
        <v>40</v>
      </c>
      <c r="G33" s="76">
        <f t="shared" si="7"/>
        <v>2</v>
      </c>
      <c r="H33" s="76">
        <f>F33*0.1</f>
        <v>4</v>
      </c>
      <c r="I33" s="86">
        <f t="shared" si="9"/>
        <v>5289.619999999999</v>
      </c>
      <c r="P33" s="71" t="e">
        <f>#REF!</f>
        <v>#REF!</v>
      </c>
    </row>
    <row r="34" spans="1:25" x14ac:dyDescent="0.25">
      <c r="A34" s="92" t="s">
        <v>3</v>
      </c>
      <c r="B34" s="76"/>
      <c r="C34" s="76"/>
      <c r="D34" s="76"/>
      <c r="E34" s="76"/>
      <c r="F34" s="112">
        <f>SUM(F4:H33)</f>
        <v>7507.2</v>
      </c>
      <c r="G34" s="112"/>
      <c r="H34" s="112"/>
      <c r="I34" s="94">
        <f>SUM(I4:I33)</f>
        <v>863265.98400000005</v>
      </c>
      <c r="P34" s="71" t="e">
        <f>#REF!</f>
        <v>#REF!</v>
      </c>
    </row>
    <row r="35" spans="1:25" x14ac:dyDescent="0.25">
      <c r="A35" s="83" t="s">
        <v>176</v>
      </c>
      <c r="B35" s="76"/>
      <c r="C35" s="76"/>
      <c r="D35" s="76"/>
      <c r="E35" s="76"/>
      <c r="F35" s="76"/>
      <c r="G35" s="76"/>
      <c r="H35" s="76"/>
      <c r="I35" s="87"/>
      <c r="P35" s="71"/>
    </row>
    <row r="36" spans="1:25" x14ac:dyDescent="0.25">
      <c r="A36" s="88" t="s">
        <v>177</v>
      </c>
      <c r="B36" s="76" t="s">
        <v>4</v>
      </c>
      <c r="C36" s="76"/>
      <c r="D36" s="76"/>
      <c r="E36" s="76"/>
      <c r="F36" s="76"/>
      <c r="G36" s="76"/>
      <c r="H36" s="76"/>
      <c r="I36" s="87"/>
      <c r="P36" s="71"/>
    </row>
    <row r="37" spans="1:25" x14ac:dyDescent="0.25">
      <c r="A37" s="88" t="s">
        <v>178</v>
      </c>
      <c r="B37" s="76" t="s">
        <v>1</v>
      </c>
      <c r="C37" s="76"/>
      <c r="D37" s="76"/>
      <c r="E37" s="76"/>
      <c r="F37" s="76"/>
      <c r="G37" s="76"/>
      <c r="H37" s="76"/>
      <c r="I37" s="87"/>
      <c r="P37" s="71"/>
    </row>
    <row r="38" spans="1:25" x14ac:dyDescent="0.25">
      <c r="A38" s="88" t="s">
        <v>179</v>
      </c>
      <c r="B38" s="76" t="s">
        <v>1</v>
      </c>
      <c r="C38" s="76"/>
      <c r="D38" s="76"/>
      <c r="E38" s="76"/>
      <c r="F38" s="76"/>
      <c r="G38" s="76"/>
      <c r="H38" s="76"/>
      <c r="I38" s="87"/>
      <c r="P38" s="71"/>
    </row>
    <row r="39" spans="1:25" ht="15.75" x14ac:dyDescent="0.25">
      <c r="A39" s="88" t="s">
        <v>223</v>
      </c>
      <c r="B39" s="76">
        <v>40</v>
      </c>
      <c r="C39" s="76">
        <v>1</v>
      </c>
      <c r="D39" s="76">
        <f t="shared" si="5"/>
        <v>40</v>
      </c>
      <c r="E39" s="85">
        <f>ROUND((Lookups!$E$22+Lookups!$E$24)/3,0)</f>
        <v>2</v>
      </c>
      <c r="F39" s="85">
        <f t="shared" ref="F39:F51" si="10">D39*E39</f>
        <v>80</v>
      </c>
      <c r="G39" s="102">
        <f t="shared" ref="G39:G51" si="11">F39*0.05</f>
        <v>4</v>
      </c>
      <c r="H39" s="102">
        <f>F39*0.1</f>
        <v>8</v>
      </c>
      <c r="I39" s="86">
        <f t="shared" ref="I39:I51" si="12">$F$2*F39+$G$2*G39+$H$2*H39</f>
        <v>10579.239999999998</v>
      </c>
      <c r="P39" s="71" t="e">
        <f>#REF!</f>
        <v>#REF!</v>
      </c>
    </row>
    <row r="40" spans="1:25" ht="15.75" x14ac:dyDescent="0.25">
      <c r="A40" s="97" t="s">
        <v>224</v>
      </c>
      <c r="B40" s="100">
        <v>80</v>
      </c>
      <c r="C40" s="76">
        <v>2</v>
      </c>
      <c r="D40" s="76">
        <f t="shared" si="5"/>
        <v>160</v>
      </c>
      <c r="E40" s="76">
        <f>ROUND((Lookups!B22+Lookups!C22)/3,0)</f>
        <v>38</v>
      </c>
      <c r="F40" s="76">
        <f t="shared" si="10"/>
        <v>6080</v>
      </c>
      <c r="G40" s="76">
        <f t="shared" si="11"/>
        <v>304</v>
      </c>
      <c r="H40" s="76">
        <f t="shared" ref="H40:H41" si="13">F40*0.1</f>
        <v>608</v>
      </c>
      <c r="I40" s="86">
        <f t="shared" si="12"/>
        <v>804022.24</v>
      </c>
    </row>
    <row r="41" spans="1:25" ht="15.75" x14ac:dyDescent="0.25">
      <c r="A41" s="97" t="s">
        <v>225</v>
      </c>
      <c r="B41" s="76">
        <v>0</v>
      </c>
      <c r="C41" s="76">
        <v>3</v>
      </c>
      <c r="D41" s="76">
        <f t="shared" si="5"/>
        <v>0</v>
      </c>
      <c r="E41" s="76">
        <f>ROUND((Lookups!B25+Lookups!C25)/3,0)</f>
        <v>43</v>
      </c>
      <c r="F41" s="76">
        <f t="shared" si="10"/>
        <v>0</v>
      </c>
      <c r="G41" s="76">
        <f t="shared" si="11"/>
        <v>0</v>
      </c>
      <c r="H41" s="76">
        <f t="shared" si="13"/>
        <v>0</v>
      </c>
      <c r="I41" s="86">
        <f t="shared" si="12"/>
        <v>0</v>
      </c>
    </row>
    <row r="42" spans="1:25" x14ac:dyDescent="0.25">
      <c r="A42" s="88" t="s">
        <v>180</v>
      </c>
      <c r="B42" s="76"/>
      <c r="C42" s="76"/>
      <c r="D42" s="76"/>
      <c r="E42" s="76"/>
      <c r="F42" s="76"/>
      <c r="G42" s="76"/>
      <c r="H42" s="76"/>
      <c r="I42" s="86"/>
      <c r="P42" s="71" t="e">
        <f>#REF!</f>
        <v>#REF!</v>
      </c>
    </row>
    <row r="43" spans="1:25" ht="15.75" x14ac:dyDescent="0.25">
      <c r="A43" s="91" t="s">
        <v>226</v>
      </c>
      <c r="B43" s="76"/>
      <c r="C43" s="76"/>
      <c r="D43" s="76"/>
      <c r="E43" s="76"/>
      <c r="F43" s="76"/>
      <c r="G43" s="76"/>
      <c r="H43" s="76"/>
      <c r="I43" s="86"/>
      <c r="P43" s="71" t="e">
        <f>#REF!</f>
        <v>#REF!</v>
      </c>
    </row>
    <row r="44" spans="1:25" x14ac:dyDescent="0.25">
      <c r="A44" s="97" t="s">
        <v>181</v>
      </c>
      <c r="B44" s="76">
        <v>0.25</v>
      </c>
      <c r="C44" s="76">
        <v>365</v>
      </c>
      <c r="D44" s="76">
        <f t="shared" si="5"/>
        <v>91.25</v>
      </c>
      <c r="E44" s="100">
        <f>Lookups!B22+Lookups!C22+ROUND(Lookups!E22/3,0)</f>
        <v>114</v>
      </c>
      <c r="F44" s="85">
        <f t="shared" si="10"/>
        <v>10402.5</v>
      </c>
      <c r="G44" s="85">
        <f t="shared" si="11"/>
        <v>520.125</v>
      </c>
      <c r="H44" s="85">
        <f>F44*0.1</f>
        <v>1040.25</v>
      </c>
      <c r="I44" s="86">
        <f t="shared" si="12"/>
        <v>1375631.80125</v>
      </c>
      <c r="J44" s="72"/>
      <c r="P44" s="71" t="e">
        <f>#REF!</f>
        <v>#REF!</v>
      </c>
      <c r="X44" s="75" t="e">
        <f>I44-#REF!</f>
        <v>#REF!</v>
      </c>
      <c r="Y44" s="62" t="s">
        <v>116</v>
      </c>
    </row>
    <row r="45" spans="1:25" x14ac:dyDescent="0.25">
      <c r="A45" s="97" t="s">
        <v>182</v>
      </c>
      <c r="B45" s="76">
        <v>24</v>
      </c>
      <c r="C45" s="76">
        <v>2</v>
      </c>
      <c r="D45" s="76">
        <f t="shared" si="5"/>
        <v>48</v>
      </c>
      <c r="E45" s="100">
        <f>E44</f>
        <v>114</v>
      </c>
      <c r="F45" s="76">
        <f t="shared" si="10"/>
        <v>5472</v>
      </c>
      <c r="G45" s="85">
        <f t="shared" si="11"/>
        <v>273.60000000000002</v>
      </c>
      <c r="H45" s="85">
        <f>F45*0.1</f>
        <v>547.20000000000005</v>
      </c>
      <c r="I45" s="86">
        <f t="shared" si="12"/>
        <v>723620.01600000006</v>
      </c>
      <c r="P45" s="71" t="e">
        <f>#REF!</f>
        <v>#REF!</v>
      </c>
      <c r="X45" s="75" t="e">
        <f>I45-#REF!</f>
        <v>#REF!</v>
      </c>
      <c r="Y45" s="62"/>
    </row>
    <row r="46" spans="1:25" x14ac:dyDescent="0.25">
      <c r="A46" s="97" t="s">
        <v>183</v>
      </c>
      <c r="B46" s="76">
        <v>16</v>
      </c>
      <c r="C46" s="76">
        <v>2</v>
      </c>
      <c r="D46" s="76">
        <f t="shared" si="5"/>
        <v>32</v>
      </c>
      <c r="E46" s="100">
        <f>E44</f>
        <v>114</v>
      </c>
      <c r="F46" s="76">
        <f t="shared" si="10"/>
        <v>3648</v>
      </c>
      <c r="G46" s="85">
        <f t="shared" si="11"/>
        <v>182.4</v>
      </c>
      <c r="H46" s="85">
        <f>F46*0.1</f>
        <v>364.8</v>
      </c>
      <c r="I46" s="86">
        <f t="shared" si="12"/>
        <v>482413.34400000004</v>
      </c>
      <c r="P46" s="71" t="e">
        <f>#REF!</f>
        <v>#REF!</v>
      </c>
      <c r="X46" s="75" t="e">
        <f>I46-#REF!</f>
        <v>#REF!</v>
      </c>
      <c r="Y46" s="62"/>
    </row>
    <row r="47" spans="1:25" x14ac:dyDescent="0.25">
      <c r="A47" s="91" t="s">
        <v>227</v>
      </c>
      <c r="B47" s="76" t="s">
        <v>2</v>
      </c>
      <c r="C47" s="76"/>
      <c r="D47" s="76"/>
      <c r="E47" s="100"/>
      <c r="F47" s="76"/>
      <c r="G47" s="76"/>
      <c r="H47" s="76"/>
      <c r="I47" s="86"/>
      <c r="P47" s="71"/>
    </row>
    <row r="48" spans="1:25" x14ac:dyDescent="0.25">
      <c r="A48" s="91" t="s">
        <v>228</v>
      </c>
      <c r="B48" s="76" t="s">
        <v>2</v>
      </c>
      <c r="C48" s="76"/>
      <c r="D48" s="76"/>
      <c r="E48" s="100"/>
      <c r="F48" s="76"/>
      <c r="G48" s="76"/>
      <c r="H48" s="76"/>
      <c r="I48" s="86"/>
    </row>
    <row r="49" spans="1:17" ht="15.75" x14ac:dyDescent="0.25">
      <c r="A49" s="88" t="s">
        <v>229</v>
      </c>
      <c r="B49" s="76">
        <v>16</v>
      </c>
      <c r="C49" s="76">
        <v>1</v>
      </c>
      <c r="D49" s="76">
        <f t="shared" si="5"/>
        <v>16</v>
      </c>
      <c r="E49" s="100">
        <f>E44</f>
        <v>114</v>
      </c>
      <c r="F49" s="76">
        <f t="shared" si="10"/>
        <v>1824</v>
      </c>
      <c r="G49" s="76">
        <f t="shared" si="11"/>
        <v>91.2</v>
      </c>
      <c r="H49" s="85">
        <f>F49*0.1</f>
        <v>182.4</v>
      </c>
      <c r="I49" s="86">
        <f t="shared" si="12"/>
        <v>241206.67200000002</v>
      </c>
      <c r="P49" s="71" t="e">
        <f>#REF!</f>
        <v>#REF!</v>
      </c>
    </row>
    <row r="50" spans="1:17" ht="15.75" x14ac:dyDescent="0.25">
      <c r="A50" s="88" t="s">
        <v>230</v>
      </c>
      <c r="B50" s="76">
        <v>40</v>
      </c>
      <c r="C50" s="76">
        <v>1</v>
      </c>
      <c r="D50" s="76">
        <f t="shared" si="5"/>
        <v>40</v>
      </c>
      <c r="E50" s="85">
        <f>ROUND((Lookups!$E$22+Lookups!$E$24)/3,0)</f>
        <v>2</v>
      </c>
      <c r="F50" s="76">
        <f t="shared" si="10"/>
        <v>80</v>
      </c>
      <c r="G50" s="76">
        <f t="shared" si="11"/>
        <v>4</v>
      </c>
      <c r="H50" s="76">
        <f>F50*0.1</f>
        <v>8</v>
      </c>
      <c r="I50" s="86">
        <f t="shared" si="12"/>
        <v>10579.239999999998</v>
      </c>
      <c r="P50" s="71" t="e">
        <f>#REF!</f>
        <v>#REF!</v>
      </c>
    </row>
    <row r="51" spans="1:17" ht="15.75" x14ac:dyDescent="0.25">
      <c r="A51" s="88" t="s">
        <v>231</v>
      </c>
      <c r="B51" s="76">
        <v>16</v>
      </c>
      <c r="C51" s="76">
        <v>1</v>
      </c>
      <c r="D51" s="76">
        <f t="shared" si="5"/>
        <v>16</v>
      </c>
      <c r="E51" s="100">
        <f>ROUND((Lookups!B22+Lookups!C22)*0.2,0)</f>
        <v>23</v>
      </c>
      <c r="F51" s="76">
        <f t="shared" si="10"/>
        <v>368</v>
      </c>
      <c r="G51" s="76">
        <f t="shared" si="11"/>
        <v>18.400000000000002</v>
      </c>
      <c r="H51" s="76">
        <f>F51*0.1</f>
        <v>36.800000000000004</v>
      </c>
      <c r="I51" s="86">
        <f t="shared" si="12"/>
        <v>48664.504000000001</v>
      </c>
      <c r="P51" s="71" t="e">
        <f>#REF!</f>
        <v>#REF!</v>
      </c>
    </row>
    <row r="52" spans="1:17" x14ac:dyDescent="0.25">
      <c r="A52" s="88" t="s">
        <v>184</v>
      </c>
      <c r="B52" s="76" t="s">
        <v>1</v>
      </c>
      <c r="C52" s="76"/>
      <c r="D52" s="76"/>
      <c r="E52" s="76"/>
      <c r="F52" s="76"/>
      <c r="G52" s="76"/>
      <c r="H52" s="76"/>
      <c r="I52" s="87"/>
      <c r="P52" s="2" t="s">
        <v>121</v>
      </c>
      <c r="Q52" s="2" t="s">
        <v>122</v>
      </c>
    </row>
    <row r="53" spans="1:17" x14ac:dyDescent="0.25">
      <c r="A53" s="92" t="s">
        <v>5</v>
      </c>
      <c r="B53" s="93"/>
      <c r="C53" s="93"/>
      <c r="D53" s="93"/>
      <c r="E53" s="93"/>
      <c r="F53" s="112">
        <f>SUM(F35:H52)</f>
        <v>32147.675000000003</v>
      </c>
      <c r="G53" s="112"/>
      <c r="H53" s="112"/>
      <c r="I53" s="94">
        <f>SUM(I35:I52)</f>
        <v>3696717.0572500001</v>
      </c>
      <c r="M53" s="56"/>
      <c r="P53" s="71" t="e">
        <f>#REF!</f>
        <v>#REF!</v>
      </c>
      <c r="Q53" s="71" t="e">
        <f>I53-P53</f>
        <v>#REF!</v>
      </c>
    </row>
    <row r="54" spans="1:17" ht="15.75" x14ac:dyDescent="0.25">
      <c r="A54" s="92" t="s">
        <v>232</v>
      </c>
      <c r="B54" s="92"/>
      <c r="C54" s="92"/>
      <c r="D54" s="92"/>
      <c r="E54" s="92"/>
      <c r="F54" s="112">
        <f>ROUND(F34+F53,-2)</f>
        <v>39700</v>
      </c>
      <c r="G54" s="113"/>
      <c r="H54" s="113"/>
      <c r="I54" s="94">
        <f>ROUND(I34+I53,-4)</f>
        <v>4560000</v>
      </c>
      <c r="P54" s="71" t="e">
        <f>#REF!</f>
        <v>#REF!</v>
      </c>
      <c r="Q54" s="71" t="e">
        <f t="shared" ref="Q54:Q56" si="14">I54-P54</f>
        <v>#REF!</v>
      </c>
    </row>
    <row r="55" spans="1:17" ht="15.75" x14ac:dyDescent="0.25">
      <c r="A55" s="92" t="s">
        <v>233</v>
      </c>
      <c r="B55" s="92"/>
      <c r="C55" s="92"/>
      <c r="D55" s="92"/>
      <c r="E55" s="92"/>
      <c r="F55" s="103"/>
      <c r="G55" s="93"/>
      <c r="H55" s="93"/>
      <c r="I55" s="94">
        <f>Text_Tables!G13</f>
        <v>2365000</v>
      </c>
      <c r="P55" s="71" t="e">
        <f>#REF!</f>
        <v>#REF!</v>
      </c>
      <c r="Q55" s="71" t="e">
        <f t="shared" si="14"/>
        <v>#REF!</v>
      </c>
    </row>
    <row r="56" spans="1:17" ht="15.75" x14ac:dyDescent="0.25">
      <c r="A56" s="92" t="s">
        <v>234</v>
      </c>
      <c r="B56" s="92"/>
      <c r="C56" s="92"/>
      <c r="D56" s="92"/>
      <c r="E56" s="92"/>
      <c r="F56" s="103"/>
      <c r="G56" s="93"/>
      <c r="H56" s="93"/>
      <c r="I56" s="94">
        <f>ROUND(I54+I55,-4)</f>
        <v>6930000</v>
      </c>
      <c r="P56" s="71" t="e">
        <f>#REF!</f>
        <v>#REF!</v>
      </c>
      <c r="Q56" s="71" t="e">
        <f t="shared" si="14"/>
        <v>#REF!</v>
      </c>
    </row>
    <row r="58" spans="1:17" x14ac:dyDescent="0.25">
      <c r="A58" s="1" t="s">
        <v>12</v>
      </c>
    </row>
    <row r="59" spans="1:17" ht="43.5" customHeight="1" x14ac:dyDescent="0.25">
      <c r="A59" s="108" t="s">
        <v>137</v>
      </c>
      <c r="B59" s="108"/>
      <c r="C59" s="108"/>
      <c r="D59" s="108"/>
      <c r="E59" s="108"/>
      <c r="F59" s="108"/>
      <c r="G59" s="108"/>
      <c r="H59" s="108"/>
      <c r="I59" s="108"/>
    </row>
    <row r="60" spans="1:17" ht="43.5" customHeight="1" x14ac:dyDescent="0.25">
      <c r="A60" s="108" t="s">
        <v>123</v>
      </c>
      <c r="B60" s="108"/>
      <c r="C60" s="108"/>
      <c r="D60" s="108"/>
      <c r="E60" s="108"/>
      <c r="F60" s="108"/>
      <c r="G60" s="108"/>
      <c r="H60" s="108"/>
      <c r="I60" s="108"/>
    </row>
    <row r="61" spans="1:17" ht="33" customHeight="1" x14ac:dyDescent="0.25">
      <c r="A61" s="108" t="s">
        <v>24</v>
      </c>
      <c r="B61" s="108"/>
      <c r="C61" s="108"/>
      <c r="D61" s="108"/>
      <c r="E61" s="108"/>
      <c r="F61" s="108"/>
      <c r="G61" s="108"/>
      <c r="H61" s="108"/>
      <c r="I61" s="108"/>
    </row>
    <row r="62" spans="1:17" ht="43.5" customHeight="1" x14ac:dyDescent="0.25">
      <c r="A62" s="108" t="s">
        <v>151</v>
      </c>
      <c r="B62" s="108"/>
      <c r="C62" s="108"/>
      <c r="D62" s="108"/>
      <c r="E62" s="108"/>
      <c r="F62" s="108"/>
      <c r="G62" s="108"/>
      <c r="H62" s="108"/>
      <c r="I62" s="108"/>
    </row>
    <row r="63" spans="1:17" ht="36.75" customHeight="1" x14ac:dyDescent="0.25">
      <c r="A63" s="108" t="s">
        <v>150</v>
      </c>
      <c r="B63" s="108"/>
      <c r="C63" s="108"/>
      <c r="D63" s="108"/>
      <c r="E63" s="108"/>
      <c r="F63" s="108"/>
      <c r="G63" s="108"/>
      <c r="H63" s="108"/>
      <c r="I63" s="108"/>
    </row>
    <row r="64" spans="1:17" ht="31.5" customHeight="1" x14ac:dyDescent="0.25">
      <c r="A64" s="108" t="s">
        <v>159</v>
      </c>
      <c r="B64" s="108"/>
      <c r="C64" s="108"/>
      <c r="D64" s="108"/>
      <c r="E64" s="108"/>
      <c r="F64" s="108"/>
      <c r="G64" s="108"/>
      <c r="H64" s="108"/>
      <c r="I64" s="108"/>
    </row>
    <row r="65" spans="1:9" ht="38.25" customHeight="1" x14ac:dyDescent="0.25">
      <c r="A65" s="111" t="s">
        <v>124</v>
      </c>
      <c r="B65" s="111"/>
      <c r="C65" s="111"/>
      <c r="D65" s="111"/>
      <c r="E65" s="111"/>
      <c r="F65" s="111"/>
      <c r="G65" s="111"/>
      <c r="H65" s="111"/>
      <c r="I65" s="111"/>
    </row>
    <row r="66" spans="1:9" ht="33" customHeight="1" x14ac:dyDescent="0.25">
      <c r="A66" s="108" t="s">
        <v>129</v>
      </c>
      <c r="B66" s="108"/>
      <c r="C66" s="108"/>
      <c r="D66" s="108"/>
      <c r="E66" s="108"/>
      <c r="F66" s="108"/>
      <c r="G66" s="108"/>
      <c r="H66" s="108"/>
      <c r="I66" s="108"/>
    </row>
    <row r="67" spans="1:9" ht="34.5" customHeight="1" x14ac:dyDescent="0.25">
      <c r="A67" s="110" t="s">
        <v>149</v>
      </c>
      <c r="B67" s="110"/>
      <c r="C67" s="110"/>
      <c r="D67" s="110"/>
      <c r="E67" s="110"/>
      <c r="F67" s="110"/>
      <c r="G67" s="110"/>
      <c r="H67" s="110"/>
      <c r="I67" s="110"/>
    </row>
    <row r="68" spans="1:9" ht="27" customHeight="1" x14ac:dyDescent="0.25">
      <c r="A68" s="111" t="s">
        <v>143</v>
      </c>
      <c r="B68" s="111"/>
      <c r="C68" s="111"/>
      <c r="D68" s="111"/>
      <c r="E68" s="111"/>
      <c r="F68" s="111"/>
      <c r="G68" s="111"/>
      <c r="H68" s="111"/>
      <c r="I68" s="111"/>
    </row>
    <row r="69" spans="1:9" ht="27" customHeight="1" x14ac:dyDescent="0.25">
      <c r="A69" s="111" t="s">
        <v>125</v>
      </c>
      <c r="B69" s="111"/>
      <c r="C69" s="111"/>
      <c r="D69" s="111"/>
      <c r="E69" s="111"/>
      <c r="F69" s="111"/>
      <c r="G69" s="111"/>
      <c r="H69" s="111"/>
      <c r="I69" s="111"/>
    </row>
    <row r="70" spans="1:9" ht="32.25" customHeight="1" x14ac:dyDescent="0.25">
      <c r="A70" s="108" t="s">
        <v>127</v>
      </c>
      <c r="B70" s="108"/>
      <c r="C70" s="108"/>
      <c r="D70" s="108"/>
      <c r="E70" s="108"/>
      <c r="F70" s="108"/>
      <c r="G70" s="108"/>
      <c r="H70" s="108"/>
      <c r="I70" s="108"/>
    </row>
    <row r="71" spans="1:9" ht="27" customHeight="1" x14ac:dyDescent="0.25">
      <c r="A71" s="108" t="s">
        <v>126</v>
      </c>
      <c r="B71" s="108"/>
      <c r="C71" s="108"/>
      <c r="D71" s="108"/>
      <c r="E71" s="108"/>
      <c r="F71" s="108"/>
      <c r="G71" s="108"/>
      <c r="H71" s="108"/>
      <c r="I71" s="108"/>
    </row>
    <row r="72" spans="1:9" ht="37.5" customHeight="1" x14ac:dyDescent="0.25">
      <c r="A72" s="108" t="s">
        <v>148</v>
      </c>
      <c r="B72" s="108"/>
      <c r="C72" s="108"/>
      <c r="D72" s="108"/>
      <c r="E72" s="108"/>
      <c r="F72" s="108"/>
      <c r="G72" s="108"/>
      <c r="H72" s="108"/>
      <c r="I72" s="108"/>
    </row>
    <row r="73" spans="1:9" ht="27" customHeight="1" x14ac:dyDescent="0.25">
      <c r="A73" s="108" t="s">
        <v>147</v>
      </c>
      <c r="B73" s="108"/>
      <c r="C73" s="108"/>
      <c r="D73" s="108"/>
      <c r="E73" s="108"/>
      <c r="F73" s="108"/>
      <c r="G73" s="108"/>
      <c r="H73" s="108"/>
      <c r="I73" s="108"/>
    </row>
    <row r="74" spans="1:9" ht="27" customHeight="1" x14ac:dyDescent="0.25">
      <c r="A74" s="108" t="s">
        <v>128</v>
      </c>
      <c r="B74" s="108"/>
      <c r="C74" s="108"/>
      <c r="D74" s="108"/>
      <c r="E74" s="108"/>
      <c r="F74" s="108"/>
      <c r="G74" s="108"/>
      <c r="H74" s="108"/>
      <c r="I74" s="108"/>
    </row>
    <row r="75" spans="1:9" ht="27" customHeight="1" x14ac:dyDescent="0.25">
      <c r="A75" s="108" t="s">
        <v>146</v>
      </c>
      <c r="B75" s="108"/>
      <c r="C75" s="108"/>
      <c r="D75" s="108"/>
      <c r="E75" s="108"/>
      <c r="F75" s="108"/>
      <c r="G75" s="108"/>
      <c r="H75" s="108"/>
      <c r="I75" s="108"/>
    </row>
    <row r="76" spans="1:9" ht="27" customHeight="1" x14ac:dyDescent="0.25">
      <c r="A76" s="108" t="s">
        <v>130</v>
      </c>
      <c r="B76" s="108"/>
      <c r="C76" s="108"/>
      <c r="D76" s="108"/>
      <c r="E76" s="108"/>
      <c r="F76" s="108"/>
      <c r="G76" s="108"/>
      <c r="H76" s="108"/>
      <c r="I76" s="108"/>
    </row>
    <row r="77" spans="1:9" ht="27" customHeight="1" x14ac:dyDescent="0.25">
      <c r="A77" s="108" t="s">
        <v>131</v>
      </c>
      <c r="B77" s="108"/>
      <c r="C77" s="108"/>
      <c r="D77" s="108"/>
      <c r="E77" s="108"/>
      <c r="F77" s="108"/>
      <c r="G77" s="108"/>
      <c r="H77" s="108"/>
      <c r="I77" s="108"/>
    </row>
    <row r="78" spans="1:9" ht="27" customHeight="1" x14ac:dyDescent="0.25">
      <c r="A78" s="108" t="s">
        <v>145</v>
      </c>
      <c r="B78" s="108"/>
      <c r="C78" s="108"/>
      <c r="D78" s="108"/>
      <c r="E78" s="108"/>
      <c r="F78" s="108"/>
      <c r="G78" s="108"/>
      <c r="H78" s="108"/>
      <c r="I78" s="108"/>
    </row>
    <row r="79" spans="1:9" ht="27" customHeight="1" x14ac:dyDescent="0.25">
      <c r="A79" s="109" t="s">
        <v>144</v>
      </c>
      <c r="B79" s="109"/>
      <c r="C79" s="109"/>
      <c r="D79" s="109"/>
      <c r="E79" s="109"/>
      <c r="F79" s="109"/>
      <c r="G79" s="109"/>
      <c r="H79" s="109"/>
      <c r="I79" s="109"/>
    </row>
    <row r="80" spans="1:9" ht="27" customHeight="1" x14ac:dyDescent="0.25">
      <c r="A80" s="108" t="s">
        <v>132</v>
      </c>
      <c r="B80" s="108"/>
      <c r="C80" s="108"/>
      <c r="D80" s="108"/>
      <c r="E80" s="108"/>
      <c r="F80" s="108"/>
      <c r="G80" s="108"/>
      <c r="H80" s="108"/>
      <c r="I80" s="108"/>
    </row>
  </sheetData>
  <mergeCells count="25">
    <mergeCell ref="F34:H34"/>
    <mergeCell ref="F53:H53"/>
    <mergeCell ref="F54:H54"/>
    <mergeCell ref="A59:I59"/>
    <mergeCell ref="A60:I60"/>
    <mergeCell ref="A61:I61"/>
    <mergeCell ref="A62:I62"/>
    <mergeCell ref="A65:I65"/>
    <mergeCell ref="A66:I66"/>
    <mergeCell ref="A63:I63"/>
    <mergeCell ref="A64:I64"/>
    <mergeCell ref="A67:I67"/>
    <mergeCell ref="A68:I68"/>
    <mergeCell ref="A69:I69"/>
    <mergeCell ref="A70:I70"/>
    <mergeCell ref="A71:I71"/>
    <mergeCell ref="A77:I77"/>
    <mergeCell ref="A78:I78"/>
    <mergeCell ref="A79:I79"/>
    <mergeCell ref="A80:I80"/>
    <mergeCell ref="A72:I72"/>
    <mergeCell ref="A73:I73"/>
    <mergeCell ref="A74:I74"/>
    <mergeCell ref="A75:I75"/>
    <mergeCell ref="A76:I76"/>
  </mergeCells>
  <pageMargins left="0.7" right="0.7" top="0.75" bottom="0.75" header="0.3" footer="0.3"/>
  <pageSetup scale="90"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8B0A6-819A-4F7D-B7C6-7DE24BB989E6}">
  <sheetPr>
    <pageSetUpPr fitToPage="1"/>
  </sheetPr>
  <dimension ref="A1:L40"/>
  <sheetViews>
    <sheetView zoomScaleNormal="100" workbookViewId="0">
      <selection activeCell="N7" sqref="N7:O7"/>
    </sheetView>
  </sheetViews>
  <sheetFormatPr defaultRowHeight="15" x14ac:dyDescent="0.25"/>
  <cols>
    <col min="1" max="1" width="46.42578125" customWidth="1"/>
    <col min="2" max="2" width="11" customWidth="1"/>
    <col min="3" max="3" width="11.28515625" customWidth="1"/>
    <col min="5" max="5" width="8.85546875" customWidth="1"/>
    <col min="7" max="7" width="10.85546875" customWidth="1"/>
    <col min="9" max="9" width="11.42578125" customWidth="1"/>
  </cols>
  <sheetData>
    <row r="1" spans="1:12" x14ac:dyDescent="0.25">
      <c r="A1" s="2" t="s">
        <v>236</v>
      </c>
    </row>
    <row r="2" spans="1:12" x14ac:dyDescent="0.25">
      <c r="F2">
        <f>Lookups!D17</f>
        <v>48.75</v>
      </c>
      <c r="G2">
        <f>Lookups!D16</f>
        <v>65.709999999999994</v>
      </c>
      <c r="H2">
        <f>Lookups!D18</f>
        <v>26.38</v>
      </c>
    </row>
    <row r="3" spans="1:12" ht="95.25" customHeight="1" x14ac:dyDescent="0.25">
      <c r="A3" s="73" t="s">
        <v>13</v>
      </c>
      <c r="B3" s="3" t="s">
        <v>14</v>
      </c>
      <c r="C3" s="3" t="s">
        <v>15</v>
      </c>
      <c r="D3" s="3" t="s">
        <v>16</v>
      </c>
      <c r="E3" s="3" t="s">
        <v>17</v>
      </c>
      <c r="F3" s="3" t="s">
        <v>18</v>
      </c>
      <c r="G3" s="3" t="s">
        <v>19</v>
      </c>
      <c r="H3" s="3" t="s">
        <v>20</v>
      </c>
      <c r="I3" s="3" t="s">
        <v>21</v>
      </c>
    </row>
    <row r="4" spans="1:12" ht="18.75" customHeight="1" x14ac:dyDescent="0.25">
      <c r="A4" s="83" t="s">
        <v>185</v>
      </c>
      <c r="B4" s="84">
        <v>24</v>
      </c>
      <c r="C4" s="84">
        <v>1</v>
      </c>
      <c r="D4" s="76">
        <f>B4*C4</f>
        <v>24</v>
      </c>
      <c r="E4" s="85">
        <f>ROUND(0.1*(SUM(Text_Tables!C9:C11))/3,0)</f>
        <v>4</v>
      </c>
      <c r="F4" s="76">
        <f>D4*E4</f>
        <v>96</v>
      </c>
      <c r="G4" s="76">
        <f t="shared" ref="G4" si="0">F4*0.05</f>
        <v>4.8000000000000007</v>
      </c>
      <c r="H4" s="76">
        <f>F4*0.1</f>
        <v>9.6000000000000014</v>
      </c>
      <c r="I4" s="86">
        <f>+$F$2*F4+$G$2*G4+$H$2*H4</f>
        <v>5248.6559999999999</v>
      </c>
    </row>
    <row r="5" spans="1:12" x14ac:dyDescent="0.25">
      <c r="A5" s="83" t="s">
        <v>136</v>
      </c>
      <c r="B5" s="76"/>
      <c r="C5" s="76"/>
      <c r="D5" s="76"/>
      <c r="E5" s="76"/>
      <c r="F5" s="76"/>
      <c r="G5" s="76"/>
      <c r="H5" s="76"/>
      <c r="I5" s="87"/>
    </row>
    <row r="6" spans="1:12" ht="15.75" x14ac:dyDescent="0.25">
      <c r="A6" s="88" t="s">
        <v>186</v>
      </c>
      <c r="B6" s="76">
        <v>2</v>
      </c>
      <c r="C6" s="76">
        <v>1</v>
      </c>
      <c r="D6" s="76">
        <f>B6*C6</f>
        <v>2</v>
      </c>
      <c r="E6" s="85">
        <f>'Table 1'!E14</f>
        <v>15</v>
      </c>
      <c r="F6" s="76">
        <f>D6*E6</f>
        <v>30</v>
      </c>
      <c r="G6" s="76">
        <f t="shared" ref="G6:G12" si="1">F6*0.05</f>
        <v>1.5</v>
      </c>
      <c r="H6" s="76">
        <f>F6*0.1</f>
        <v>3</v>
      </c>
      <c r="I6" s="86">
        <f>+$F$2*F6+$G$2*G6+$H$2*H6</f>
        <v>1640.2050000000002</v>
      </c>
    </row>
    <row r="7" spans="1:12" ht="15.75" x14ac:dyDescent="0.25">
      <c r="A7" s="88" t="s">
        <v>187</v>
      </c>
      <c r="B7" s="76">
        <v>2</v>
      </c>
      <c r="C7" s="76">
        <v>1</v>
      </c>
      <c r="D7" s="76">
        <f t="shared" ref="D7:D25" si="2">B7*C7</f>
        <v>2</v>
      </c>
      <c r="E7" s="85">
        <f>'Table 1'!E15</f>
        <v>15</v>
      </c>
      <c r="F7" s="76">
        <f t="shared" ref="F7:F25" si="3">D7*E7</f>
        <v>30</v>
      </c>
      <c r="G7" s="76">
        <f t="shared" si="1"/>
        <v>1.5</v>
      </c>
      <c r="H7" s="76">
        <f t="shared" ref="H7:H25" si="4">F7*0.1</f>
        <v>3</v>
      </c>
      <c r="I7" s="86">
        <f t="shared" ref="I7:I25" si="5">+$F$2*F7+$G$2*G7+$H$2*H7</f>
        <v>1640.2050000000002</v>
      </c>
    </row>
    <row r="8" spans="1:12" ht="15.75" x14ac:dyDescent="0.25">
      <c r="A8" s="88" t="s">
        <v>188</v>
      </c>
      <c r="B8" s="76">
        <v>2</v>
      </c>
      <c r="C8" s="76">
        <v>1</v>
      </c>
      <c r="D8" s="76">
        <f t="shared" si="2"/>
        <v>2</v>
      </c>
      <c r="E8" s="85">
        <f>'Table 1'!E16</f>
        <v>15</v>
      </c>
      <c r="F8" s="76">
        <f t="shared" si="3"/>
        <v>30</v>
      </c>
      <c r="G8" s="76">
        <f t="shared" si="1"/>
        <v>1.5</v>
      </c>
      <c r="H8" s="76">
        <f t="shared" si="4"/>
        <v>3</v>
      </c>
      <c r="I8" s="86">
        <f t="shared" si="5"/>
        <v>1640.2050000000002</v>
      </c>
    </row>
    <row r="9" spans="1:12" ht="28.5" x14ac:dyDescent="0.25">
      <c r="A9" s="89" t="s">
        <v>189</v>
      </c>
      <c r="B9" s="76">
        <v>2</v>
      </c>
      <c r="C9" s="76">
        <v>1</v>
      </c>
      <c r="D9" s="76">
        <f t="shared" si="2"/>
        <v>2</v>
      </c>
      <c r="E9" s="85">
        <f>'Table 1'!E17</f>
        <v>15</v>
      </c>
      <c r="F9" s="76">
        <f t="shared" si="3"/>
        <v>30</v>
      </c>
      <c r="G9" s="76">
        <f t="shared" si="1"/>
        <v>1.5</v>
      </c>
      <c r="H9" s="76">
        <f t="shared" si="4"/>
        <v>3</v>
      </c>
      <c r="I9" s="86">
        <f t="shared" si="5"/>
        <v>1640.2050000000002</v>
      </c>
    </row>
    <row r="10" spans="1:12" ht="15.75" x14ac:dyDescent="0.25">
      <c r="A10" s="88" t="s">
        <v>190</v>
      </c>
      <c r="B10" s="76">
        <v>40</v>
      </c>
      <c r="C10" s="76">
        <v>1</v>
      </c>
      <c r="D10" s="76">
        <f t="shared" si="2"/>
        <v>40</v>
      </c>
      <c r="E10" s="85">
        <f>'Table 1'!E18</f>
        <v>0</v>
      </c>
      <c r="F10" s="76">
        <f t="shared" si="3"/>
        <v>0</v>
      </c>
      <c r="G10" s="76">
        <f t="shared" si="1"/>
        <v>0</v>
      </c>
      <c r="H10" s="76">
        <f t="shared" si="4"/>
        <v>0</v>
      </c>
      <c r="I10" s="86">
        <f t="shared" si="5"/>
        <v>0</v>
      </c>
    </row>
    <row r="11" spans="1:12" ht="28.5" x14ac:dyDescent="0.25">
      <c r="A11" s="89" t="s">
        <v>191</v>
      </c>
      <c r="B11" s="76">
        <v>2</v>
      </c>
      <c r="C11" s="76">
        <v>1</v>
      </c>
      <c r="D11" s="76">
        <f t="shared" si="2"/>
        <v>2</v>
      </c>
      <c r="E11" s="85">
        <f>'Table 1'!E19</f>
        <v>2</v>
      </c>
      <c r="F11" s="76">
        <f t="shared" si="3"/>
        <v>4</v>
      </c>
      <c r="G11" s="76">
        <f t="shared" si="1"/>
        <v>0.2</v>
      </c>
      <c r="H11" s="76">
        <f t="shared" si="4"/>
        <v>0.4</v>
      </c>
      <c r="I11" s="86">
        <f t="shared" si="5"/>
        <v>218.69399999999999</v>
      </c>
    </row>
    <row r="12" spans="1:12" ht="15.75" x14ac:dyDescent="0.25">
      <c r="A12" s="88" t="s">
        <v>192</v>
      </c>
      <c r="B12" s="76">
        <v>1</v>
      </c>
      <c r="C12" s="76">
        <v>1</v>
      </c>
      <c r="D12" s="76">
        <f t="shared" si="2"/>
        <v>1</v>
      </c>
      <c r="E12" s="90">
        <f>'Table 1'!E20</f>
        <v>40</v>
      </c>
      <c r="F12" s="76">
        <f t="shared" si="3"/>
        <v>40</v>
      </c>
      <c r="G12" s="76">
        <f t="shared" si="1"/>
        <v>2</v>
      </c>
      <c r="H12" s="76">
        <f t="shared" si="4"/>
        <v>4</v>
      </c>
      <c r="I12" s="86">
        <f t="shared" si="5"/>
        <v>2186.94</v>
      </c>
      <c r="L12" s="62"/>
    </row>
    <row r="13" spans="1:12" x14ac:dyDescent="0.25">
      <c r="A13" s="88" t="s">
        <v>22</v>
      </c>
      <c r="B13" s="76"/>
      <c r="C13" s="76"/>
      <c r="D13" s="76"/>
      <c r="E13" s="76"/>
      <c r="F13" s="76"/>
      <c r="G13" s="76"/>
      <c r="H13" s="76"/>
      <c r="I13" s="86"/>
    </row>
    <row r="14" spans="1:12" ht="15.75" x14ac:dyDescent="0.25">
      <c r="A14" s="91" t="s">
        <v>193</v>
      </c>
      <c r="B14" s="76">
        <v>8</v>
      </c>
      <c r="C14" s="76">
        <v>1</v>
      </c>
      <c r="D14" s="76">
        <f t="shared" si="2"/>
        <v>8</v>
      </c>
      <c r="E14" s="90">
        <f>'Table 1'!E22</f>
        <v>40</v>
      </c>
      <c r="F14" s="76">
        <f t="shared" si="3"/>
        <v>320</v>
      </c>
      <c r="G14" s="76">
        <f>F14*0.05</f>
        <v>16</v>
      </c>
      <c r="H14" s="76">
        <f t="shared" si="4"/>
        <v>32</v>
      </c>
      <c r="I14" s="86">
        <f t="shared" si="5"/>
        <v>17495.52</v>
      </c>
    </row>
    <row r="15" spans="1:12" ht="15.75" x14ac:dyDescent="0.25">
      <c r="A15" s="91" t="s">
        <v>194</v>
      </c>
      <c r="B15" s="76">
        <v>4</v>
      </c>
      <c r="C15" s="76">
        <v>1</v>
      </c>
      <c r="D15" s="76">
        <f t="shared" si="2"/>
        <v>4</v>
      </c>
      <c r="E15" s="90">
        <f>'Table 1'!E23</f>
        <v>2</v>
      </c>
      <c r="F15" s="76">
        <f t="shared" si="3"/>
        <v>8</v>
      </c>
      <c r="G15" s="76">
        <f>F15*0.05</f>
        <v>0.4</v>
      </c>
      <c r="H15" s="76">
        <f t="shared" si="4"/>
        <v>0.8</v>
      </c>
      <c r="I15" s="86">
        <f t="shared" si="5"/>
        <v>437.38799999999998</v>
      </c>
    </row>
    <row r="16" spans="1:12" ht="15.75" x14ac:dyDescent="0.25">
      <c r="A16" s="88" t="s">
        <v>195</v>
      </c>
      <c r="B16" s="76"/>
      <c r="C16" s="76"/>
      <c r="D16" s="76"/>
      <c r="E16" s="76"/>
      <c r="F16" s="76"/>
      <c r="G16" s="76"/>
      <c r="H16" s="76"/>
      <c r="I16" s="86"/>
    </row>
    <row r="17" spans="1:9" ht="15.75" x14ac:dyDescent="0.25">
      <c r="A17" s="91" t="s">
        <v>196</v>
      </c>
      <c r="B17" s="76">
        <v>2</v>
      </c>
      <c r="C17" s="76">
        <v>1</v>
      </c>
      <c r="D17" s="76">
        <f t="shared" si="2"/>
        <v>2</v>
      </c>
      <c r="E17" s="85">
        <f>'Table 1'!E25</f>
        <v>2</v>
      </c>
      <c r="F17" s="76">
        <f t="shared" si="3"/>
        <v>4</v>
      </c>
      <c r="G17" s="76">
        <f>F17*0.05</f>
        <v>0.2</v>
      </c>
      <c r="H17" s="76">
        <f t="shared" si="4"/>
        <v>0.4</v>
      </c>
      <c r="I17" s="86">
        <f t="shared" si="5"/>
        <v>218.69399999999999</v>
      </c>
    </row>
    <row r="18" spans="1:9" ht="15.75" x14ac:dyDescent="0.25">
      <c r="A18" s="91" t="s">
        <v>197</v>
      </c>
      <c r="B18" s="76">
        <v>8</v>
      </c>
      <c r="C18" s="76">
        <v>1</v>
      </c>
      <c r="D18" s="76">
        <f t="shared" si="2"/>
        <v>8</v>
      </c>
      <c r="E18" s="85">
        <f>'Table 1'!E26</f>
        <v>0</v>
      </c>
      <c r="F18" s="76">
        <f t="shared" si="3"/>
        <v>0</v>
      </c>
      <c r="G18" s="76">
        <f>F18*0.05</f>
        <v>0</v>
      </c>
      <c r="H18" s="76">
        <f t="shared" si="4"/>
        <v>0</v>
      </c>
      <c r="I18" s="86">
        <f t="shared" si="5"/>
        <v>0</v>
      </c>
    </row>
    <row r="19" spans="1:9" x14ac:dyDescent="0.25">
      <c r="A19" s="91" t="s">
        <v>161</v>
      </c>
      <c r="B19" s="76">
        <v>2</v>
      </c>
      <c r="C19" s="76">
        <v>1</v>
      </c>
      <c r="D19" s="76">
        <f t="shared" si="2"/>
        <v>2</v>
      </c>
      <c r="E19" s="85">
        <f>'Table 1'!E27</f>
        <v>0</v>
      </c>
      <c r="F19" s="76">
        <f t="shared" si="3"/>
        <v>0</v>
      </c>
      <c r="G19" s="76">
        <f>F19*0.05</f>
        <v>0</v>
      </c>
      <c r="H19" s="76">
        <f t="shared" si="4"/>
        <v>0</v>
      </c>
      <c r="I19" s="86">
        <f t="shared" si="5"/>
        <v>0</v>
      </c>
    </row>
    <row r="20" spans="1:9" ht="15.75" x14ac:dyDescent="0.25">
      <c r="A20" s="91" t="s">
        <v>198</v>
      </c>
      <c r="B20" s="76">
        <v>8</v>
      </c>
      <c r="C20" s="76">
        <v>1</v>
      </c>
      <c r="D20" s="76">
        <f t="shared" si="2"/>
        <v>8</v>
      </c>
      <c r="E20" s="85">
        <f>'Table 1'!E28</f>
        <v>0</v>
      </c>
      <c r="F20" s="76">
        <f t="shared" si="3"/>
        <v>0</v>
      </c>
      <c r="G20" s="76">
        <f>F20*0.05</f>
        <v>0</v>
      </c>
      <c r="H20" s="76">
        <f t="shared" si="4"/>
        <v>0</v>
      </c>
      <c r="I20" s="86">
        <f t="shared" si="5"/>
        <v>0</v>
      </c>
    </row>
    <row r="21" spans="1:9" x14ac:dyDescent="0.25">
      <c r="A21" s="88" t="s">
        <v>23</v>
      </c>
      <c r="B21" s="76"/>
      <c r="C21" s="76"/>
      <c r="D21" s="76"/>
      <c r="E21" s="76"/>
      <c r="F21" s="76"/>
      <c r="G21" s="76"/>
      <c r="H21" s="76"/>
      <c r="I21" s="86"/>
    </row>
    <row r="22" spans="1:9" ht="15.75" x14ac:dyDescent="0.25">
      <c r="A22" s="91" t="s">
        <v>196</v>
      </c>
      <c r="B22" s="76">
        <v>2</v>
      </c>
      <c r="C22" s="76">
        <v>2</v>
      </c>
      <c r="D22" s="76">
        <f t="shared" si="2"/>
        <v>4</v>
      </c>
      <c r="E22" s="76">
        <f>'Table 1'!E30</f>
        <v>102</v>
      </c>
      <c r="F22" s="76">
        <f t="shared" si="3"/>
        <v>408</v>
      </c>
      <c r="G22" s="76">
        <f>F22*0.05</f>
        <v>20.400000000000002</v>
      </c>
      <c r="H22" s="76">
        <f t="shared" si="4"/>
        <v>40.800000000000004</v>
      </c>
      <c r="I22" s="86">
        <f t="shared" si="5"/>
        <v>22306.788</v>
      </c>
    </row>
    <row r="23" spans="1:9" ht="15.75" x14ac:dyDescent="0.25">
      <c r="A23" s="91" t="s">
        <v>197</v>
      </c>
      <c r="B23" s="76">
        <v>8</v>
      </c>
      <c r="C23" s="76">
        <v>2</v>
      </c>
      <c r="D23" s="76">
        <f t="shared" si="2"/>
        <v>16</v>
      </c>
      <c r="E23" s="76">
        <f>'Table 1'!E31</f>
        <v>11</v>
      </c>
      <c r="F23" s="76">
        <f t="shared" si="3"/>
        <v>176</v>
      </c>
      <c r="G23" s="76">
        <f>F23*0.05</f>
        <v>8.8000000000000007</v>
      </c>
      <c r="H23" s="76">
        <f t="shared" si="4"/>
        <v>17.600000000000001</v>
      </c>
      <c r="I23" s="86">
        <f t="shared" si="5"/>
        <v>9622.5360000000001</v>
      </c>
    </row>
    <row r="24" spans="1:9" x14ac:dyDescent="0.25">
      <c r="A24" s="91" t="s">
        <v>162</v>
      </c>
      <c r="B24" s="76">
        <v>2</v>
      </c>
      <c r="C24" s="76">
        <v>2</v>
      </c>
      <c r="D24" s="76">
        <f t="shared" si="2"/>
        <v>4</v>
      </c>
      <c r="E24" s="76">
        <f>'Table 1'!E32</f>
        <v>11</v>
      </c>
      <c r="F24" s="76">
        <f t="shared" si="3"/>
        <v>44</v>
      </c>
      <c r="G24" s="76">
        <f>F24*0.05</f>
        <v>2.2000000000000002</v>
      </c>
      <c r="H24" s="76">
        <f t="shared" si="4"/>
        <v>4.4000000000000004</v>
      </c>
      <c r="I24" s="86">
        <f t="shared" si="5"/>
        <v>2405.634</v>
      </c>
    </row>
    <row r="25" spans="1:9" ht="15.75" x14ac:dyDescent="0.25">
      <c r="A25" s="91" t="s">
        <v>198</v>
      </c>
      <c r="B25" s="76">
        <v>8</v>
      </c>
      <c r="C25" s="76">
        <v>2</v>
      </c>
      <c r="D25" s="76">
        <f t="shared" si="2"/>
        <v>16</v>
      </c>
      <c r="E25" s="76">
        <f>'Table 1'!E33</f>
        <v>1</v>
      </c>
      <c r="F25" s="76">
        <f t="shared" si="3"/>
        <v>16</v>
      </c>
      <c r="G25" s="76">
        <f>F25*0.05</f>
        <v>0.8</v>
      </c>
      <c r="H25" s="76">
        <f t="shared" si="4"/>
        <v>1.6</v>
      </c>
      <c r="I25" s="86">
        <f t="shared" si="5"/>
        <v>874.77599999999995</v>
      </c>
    </row>
    <row r="26" spans="1:9" ht="15.75" x14ac:dyDescent="0.25">
      <c r="A26" s="92" t="s">
        <v>199</v>
      </c>
      <c r="B26" s="93"/>
      <c r="C26" s="93"/>
      <c r="D26" s="93"/>
      <c r="E26" s="93"/>
      <c r="F26" s="114">
        <f>ROUND(SUM(F5:H25),-1)</f>
        <v>1310</v>
      </c>
      <c r="G26" s="114"/>
      <c r="H26" s="114"/>
      <c r="I26" s="94">
        <f>ROUND(SUM(I5:I25),-2)</f>
        <v>62300</v>
      </c>
    </row>
    <row r="28" spans="1:9" x14ac:dyDescent="0.25">
      <c r="A28" s="1" t="s">
        <v>12</v>
      </c>
    </row>
    <row r="29" spans="1:9" ht="44.25" customHeight="1" x14ac:dyDescent="0.25">
      <c r="A29" s="108" t="s">
        <v>137</v>
      </c>
      <c r="B29" s="108"/>
      <c r="C29" s="108"/>
      <c r="D29" s="108"/>
      <c r="E29" s="108"/>
      <c r="F29" s="108"/>
      <c r="G29" s="108"/>
      <c r="H29" s="108"/>
      <c r="I29" s="108"/>
    </row>
    <row r="30" spans="1:9" ht="44.25" customHeight="1" x14ac:dyDescent="0.25">
      <c r="A30" s="108" t="s">
        <v>135</v>
      </c>
      <c r="B30" s="108"/>
      <c r="C30" s="108"/>
      <c r="D30" s="108"/>
      <c r="E30" s="108"/>
      <c r="F30" s="108"/>
      <c r="G30" s="108"/>
      <c r="H30" s="108"/>
      <c r="I30" s="108"/>
    </row>
    <row r="31" spans="1:9" ht="25.5" customHeight="1" x14ac:dyDescent="0.25">
      <c r="A31" s="115" t="s">
        <v>165</v>
      </c>
      <c r="B31" s="115"/>
      <c r="C31" s="115"/>
      <c r="D31" s="115"/>
      <c r="E31" s="115"/>
      <c r="F31" s="115"/>
      <c r="G31" s="115"/>
      <c r="H31" s="115"/>
      <c r="I31" s="115"/>
    </row>
    <row r="32" spans="1:9" ht="35.25" customHeight="1" x14ac:dyDescent="0.25">
      <c r="A32" s="108" t="s">
        <v>160</v>
      </c>
      <c r="B32" s="108"/>
      <c r="C32" s="108"/>
      <c r="D32" s="108"/>
      <c r="E32" s="108"/>
      <c r="F32" s="108"/>
      <c r="G32" s="108"/>
      <c r="H32" s="108"/>
      <c r="I32" s="108"/>
    </row>
    <row r="33" spans="1:9" ht="35.25" customHeight="1" x14ac:dyDescent="0.25">
      <c r="A33" s="111" t="s">
        <v>138</v>
      </c>
      <c r="B33" s="111"/>
      <c r="C33" s="111"/>
      <c r="D33" s="111"/>
      <c r="E33" s="111"/>
      <c r="F33" s="111"/>
      <c r="G33" s="111"/>
      <c r="H33" s="111"/>
      <c r="I33" s="111"/>
    </row>
    <row r="34" spans="1:9" ht="35.25" customHeight="1" x14ac:dyDescent="0.25">
      <c r="A34" s="108" t="s">
        <v>139</v>
      </c>
      <c r="B34" s="108"/>
      <c r="C34" s="108"/>
      <c r="D34" s="108"/>
      <c r="E34" s="108"/>
      <c r="F34" s="108"/>
      <c r="G34" s="108"/>
      <c r="H34" s="108"/>
      <c r="I34" s="108"/>
    </row>
    <row r="35" spans="1:9" ht="35.25" customHeight="1" x14ac:dyDescent="0.25">
      <c r="A35" s="108" t="s">
        <v>163</v>
      </c>
      <c r="B35" s="108"/>
      <c r="C35" s="108"/>
      <c r="D35" s="108"/>
      <c r="E35" s="108"/>
      <c r="F35" s="108"/>
      <c r="G35" s="108"/>
      <c r="H35" s="108"/>
      <c r="I35" s="108"/>
    </row>
    <row r="36" spans="1:9" ht="35.25" customHeight="1" x14ac:dyDescent="0.25">
      <c r="A36" s="109" t="s">
        <v>164</v>
      </c>
      <c r="B36" s="109"/>
      <c r="C36" s="109"/>
      <c r="D36" s="109"/>
      <c r="E36" s="109"/>
      <c r="F36" s="109"/>
      <c r="G36" s="109"/>
      <c r="H36" s="109"/>
      <c r="I36" s="109"/>
    </row>
    <row r="37" spans="1:9" ht="35.25" customHeight="1" x14ac:dyDescent="0.25">
      <c r="A37" s="108" t="s">
        <v>166</v>
      </c>
      <c r="B37" s="108"/>
      <c r="C37" s="108"/>
      <c r="D37" s="108"/>
      <c r="E37" s="108"/>
      <c r="F37" s="108"/>
      <c r="G37" s="108"/>
      <c r="H37" s="108"/>
      <c r="I37" s="108"/>
    </row>
    <row r="38" spans="1:9" ht="35.25" customHeight="1" x14ac:dyDescent="0.25">
      <c r="A38" s="108" t="s">
        <v>140</v>
      </c>
      <c r="B38" s="108"/>
      <c r="C38" s="108"/>
      <c r="D38" s="108"/>
      <c r="E38" s="108"/>
      <c r="F38" s="108"/>
      <c r="G38" s="108"/>
      <c r="H38" s="108"/>
      <c r="I38" s="108"/>
    </row>
    <row r="39" spans="1:9" ht="35.25" customHeight="1" x14ac:dyDescent="0.25">
      <c r="A39" s="109" t="s">
        <v>141</v>
      </c>
      <c r="B39" s="109"/>
      <c r="C39" s="109"/>
      <c r="D39" s="109"/>
      <c r="E39" s="109"/>
      <c r="F39" s="109"/>
      <c r="G39" s="109"/>
      <c r="H39" s="109"/>
      <c r="I39" s="109"/>
    </row>
    <row r="40" spans="1:9" ht="35.25" customHeight="1" x14ac:dyDescent="0.25">
      <c r="A40" s="108" t="s">
        <v>25</v>
      </c>
      <c r="B40" s="108"/>
      <c r="C40" s="108"/>
      <c r="D40" s="108"/>
      <c r="E40" s="108"/>
      <c r="F40" s="108"/>
      <c r="G40" s="108"/>
      <c r="H40" s="108"/>
      <c r="I40" s="108"/>
    </row>
  </sheetData>
  <mergeCells count="13">
    <mergeCell ref="F26:H26"/>
    <mergeCell ref="A29:I29"/>
    <mergeCell ref="A30:I30"/>
    <mergeCell ref="A31:I31"/>
    <mergeCell ref="A32:I32"/>
    <mergeCell ref="A38:I38"/>
    <mergeCell ref="A39:I39"/>
    <mergeCell ref="A40:I40"/>
    <mergeCell ref="A33:I33"/>
    <mergeCell ref="A34:I34"/>
    <mergeCell ref="A35:I35"/>
    <mergeCell ref="A36:I36"/>
    <mergeCell ref="A37:I37"/>
  </mergeCells>
  <pageMargins left="0.7" right="0.7" top="0.75" bottom="0.75" header="0.3" footer="0.3"/>
  <pageSetup scale="89"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B359E-5EB6-4B4E-9691-3151C5042BD4}">
  <sheetPr>
    <pageSetUpPr fitToPage="1"/>
  </sheetPr>
  <dimension ref="A2:J55"/>
  <sheetViews>
    <sheetView topLeftCell="A40" workbookViewId="0">
      <selection activeCell="E19" sqref="E19"/>
    </sheetView>
  </sheetViews>
  <sheetFormatPr defaultRowHeight="15" x14ac:dyDescent="0.25"/>
  <cols>
    <col min="1" max="1" width="35.140625" style="36" customWidth="1"/>
    <col min="2" max="7" width="21.7109375" customWidth="1"/>
  </cols>
  <sheetData>
    <row r="2" spans="1:10" ht="16.5" thickBot="1" x14ac:dyDescent="0.3">
      <c r="A2" s="6"/>
    </row>
    <row r="3" spans="1:10" ht="16.5" thickBot="1" x14ac:dyDescent="0.3">
      <c r="A3" s="119"/>
      <c r="B3" s="120"/>
      <c r="C3" s="120"/>
      <c r="D3" s="120"/>
      <c r="E3" s="120"/>
      <c r="F3" s="120"/>
      <c r="G3" s="121"/>
    </row>
    <row r="4" spans="1:10" ht="16.5" thickBot="1" x14ac:dyDescent="0.3">
      <c r="A4" s="122" t="s">
        <v>48</v>
      </c>
      <c r="B4" s="123"/>
      <c r="C4" s="123"/>
      <c r="D4" s="123"/>
      <c r="E4" s="123"/>
      <c r="F4" s="123"/>
      <c r="G4" s="124"/>
    </row>
    <row r="5" spans="1:10" ht="15.75" x14ac:dyDescent="0.25">
      <c r="A5" s="28"/>
      <c r="B5" s="12"/>
      <c r="C5" s="12"/>
      <c r="D5" s="12"/>
      <c r="E5" s="12"/>
      <c r="F5" s="12"/>
      <c r="G5" s="13"/>
    </row>
    <row r="6" spans="1:10" x14ac:dyDescent="0.25">
      <c r="A6" s="29" t="s">
        <v>49</v>
      </c>
      <c r="B6" s="7" t="s">
        <v>50</v>
      </c>
      <c r="C6" s="7" t="s">
        <v>52</v>
      </c>
      <c r="D6" s="7" t="s">
        <v>54</v>
      </c>
      <c r="E6" s="7" t="s">
        <v>55</v>
      </c>
      <c r="F6" s="7" t="s">
        <v>57</v>
      </c>
      <c r="G6" s="11" t="s">
        <v>58</v>
      </c>
    </row>
    <row r="7" spans="1:10" ht="28.5" x14ac:dyDescent="0.25">
      <c r="A7" s="29" t="s">
        <v>133</v>
      </c>
      <c r="B7" s="7" t="s">
        <v>51</v>
      </c>
      <c r="C7" s="7" t="s">
        <v>53</v>
      </c>
      <c r="D7" s="7" t="s">
        <v>119</v>
      </c>
      <c r="E7" s="7" t="s">
        <v>56</v>
      </c>
      <c r="F7" s="107" t="s">
        <v>237</v>
      </c>
      <c r="G7" s="11" t="s">
        <v>118</v>
      </c>
    </row>
    <row r="8" spans="1:10" x14ac:dyDescent="0.25">
      <c r="A8" s="81" t="s">
        <v>59</v>
      </c>
      <c r="B8" s="9">
        <f>Lookups!C56</f>
        <v>2240</v>
      </c>
      <c r="C8" s="59">
        <f>Lookups!E22+Lookups!E24</f>
        <v>7</v>
      </c>
      <c r="D8" s="9">
        <f>C8*B8</f>
        <v>15680</v>
      </c>
      <c r="E8" s="9">
        <f>Lookups!C57</f>
        <v>83.548435928765272</v>
      </c>
      <c r="F8" s="10">
        <f>ROUND((113+113+(113+2))/3,0)</f>
        <v>114</v>
      </c>
      <c r="G8" s="9">
        <f>E8*F8</f>
        <v>9524.5216958792407</v>
      </c>
    </row>
    <row r="9" spans="1:10" x14ac:dyDescent="0.25">
      <c r="A9" s="82" t="s">
        <v>153</v>
      </c>
      <c r="B9" s="9">
        <v>60000</v>
      </c>
      <c r="C9" s="59">
        <f>Lookups!E22</f>
        <v>2</v>
      </c>
      <c r="D9" s="9">
        <f>C9*B9</f>
        <v>120000</v>
      </c>
      <c r="E9" s="9"/>
      <c r="F9" s="10"/>
      <c r="G9" s="9">
        <f>E9*F9</f>
        <v>0</v>
      </c>
    </row>
    <row r="10" spans="1:10" ht="25.5" x14ac:dyDescent="0.25">
      <c r="A10" s="82" t="s">
        <v>154</v>
      </c>
      <c r="B10" s="9">
        <v>30000</v>
      </c>
      <c r="C10" s="59">
        <f>Lookups!E24</f>
        <v>5</v>
      </c>
      <c r="D10" s="9">
        <f>C10*B10</f>
        <v>150000</v>
      </c>
      <c r="E10" s="9"/>
      <c r="F10" s="10"/>
      <c r="G10" s="9">
        <f>E10*F10</f>
        <v>0</v>
      </c>
    </row>
    <row r="11" spans="1:10" x14ac:dyDescent="0.25">
      <c r="A11" s="81" t="s">
        <v>155</v>
      </c>
      <c r="B11" s="9">
        <v>60000</v>
      </c>
      <c r="C11" s="59">
        <f>Lookups!B22+Lookups!C22</f>
        <v>113</v>
      </c>
      <c r="D11" s="9">
        <f>C11*B11</f>
        <v>6780000</v>
      </c>
      <c r="E11" s="9"/>
      <c r="F11" s="10"/>
      <c r="G11" s="9">
        <f>E11*F11</f>
        <v>0</v>
      </c>
    </row>
    <row r="12" spans="1:10" x14ac:dyDescent="0.25">
      <c r="A12" s="77" t="s">
        <v>60</v>
      </c>
      <c r="B12" s="10"/>
      <c r="C12" s="10"/>
      <c r="D12" s="78">
        <f>ROUND(SUM(D8:D11),-3)</f>
        <v>7066000</v>
      </c>
      <c r="E12" s="79"/>
      <c r="F12" s="79"/>
      <c r="G12" s="78">
        <f>ROUND(G8,-3)</f>
        <v>10000</v>
      </c>
    </row>
    <row r="13" spans="1:10" x14ac:dyDescent="0.25">
      <c r="A13" s="77" t="s">
        <v>134</v>
      </c>
      <c r="B13" s="50"/>
      <c r="C13" s="50"/>
      <c r="D13" s="50"/>
      <c r="E13" s="50"/>
      <c r="F13" s="50"/>
      <c r="G13" s="78">
        <f>ROUND(D12/3+G12,-3)</f>
        <v>2365000</v>
      </c>
    </row>
    <row r="14" spans="1:10" x14ac:dyDescent="0.25">
      <c r="A14" s="8" t="s">
        <v>61</v>
      </c>
    </row>
    <row r="15" spans="1:10" ht="15.75" x14ac:dyDescent="0.25">
      <c r="A15" s="8" t="s">
        <v>156</v>
      </c>
    </row>
    <row r="16" spans="1:10" ht="37.5" customHeight="1" x14ac:dyDescent="0.25">
      <c r="A16" s="130" t="s">
        <v>157</v>
      </c>
      <c r="B16" s="130"/>
      <c r="C16" s="130"/>
      <c r="D16" s="130"/>
      <c r="E16" s="130"/>
      <c r="F16" s="130"/>
      <c r="G16" s="130"/>
      <c r="J16" s="80"/>
    </row>
    <row r="17" spans="1:10" ht="15.75" x14ac:dyDescent="0.25">
      <c r="A17" s="80" t="s">
        <v>158</v>
      </c>
      <c r="J17" s="80"/>
    </row>
    <row r="19" spans="1:10" x14ac:dyDescent="0.25">
      <c r="F19" s="71">
        <f>(D12+G12)/3</f>
        <v>2358666.6666666665</v>
      </c>
    </row>
    <row r="21" spans="1:10" ht="15.75" x14ac:dyDescent="0.25">
      <c r="A21" s="125" t="s">
        <v>63</v>
      </c>
      <c r="B21" s="126"/>
      <c r="C21" s="126"/>
      <c r="D21" s="126"/>
      <c r="E21" s="126"/>
      <c r="F21" s="127"/>
    </row>
    <row r="22" spans="1:10" ht="24" x14ac:dyDescent="0.25">
      <c r="A22" s="30"/>
      <c r="B22" s="128" t="s">
        <v>64</v>
      </c>
      <c r="C22" s="129"/>
      <c r="D22" s="17" t="s">
        <v>65</v>
      </c>
      <c r="E22" s="128"/>
      <c r="F22" s="129"/>
    </row>
    <row r="23" spans="1:10" x14ac:dyDescent="0.25">
      <c r="A23" s="31"/>
      <c r="B23" s="19" t="s">
        <v>49</v>
      </c>
      <c r="C23" s="19" t="s">
        <v>50</v>
      </c>
      <c r="D23" s="19" t="s">
        <v>52</v>
      </c>
      <c r="E23" s="19" t="s">
        <v>54</v>
      </c>
      <c r="F23" s="19" t="s">
        <v>55</v>
      </c>
    </row>
    <row r="24" spans="1:10" ht="51" x14ac:dyDescent="0.25">
      <c r="A24" s="32" t="s">
        <v>66</v>
      </c>
      <c r="B24" s="18" t="s">
        <v>67</v>
      </c>
      <c r="C24" s="18" t="s">
        <v>68</v>
      </c>
      <c r="D24" s="18" t="s">
        <v>69</v>
      </c>
      <c r="E24" s="18" t="s">
        <v>70</v>
      </c>
      <c r="F24" s="18" t="s">
        <v>72</v>
      </c>
    </row>
    <row r="25" spans="1:10" x14ac:dyDescent="0.25">
      <c r="A25" s="33">
        <v>1</v>
      </c>
      <c r="B25" s="16">
        <v>0</v>
      </c>
      <c r="C25" s="16">
        <f>Lookups!B28+Lookups!C28</f>
        <v>243</v>
      </c>
      <c r="D25" s="16">
        <v>0</v>
      </c>
      <c r="E25" s="16">
        <v>0</v>
      </c>
      <c r="F25" s="16">
        <f>B25+C25+D25-E25</f>
        <v>243</v>
      </c>
    </row>
    <row r="26" spans="1:10" x14ac:dyDescent="0.25">
      <c r="A26" s="33">
        <v>2</v>
      </c>
      <c r="B26" s="16">
        <v>0</v>
      </c>
      <c r="C26" s="16">
        <f t="shared" ref="C26:E27" si="0">C25</f>
        <v>243</v>
      </c>
      <c r="D26" s="16">
        <f t="shared" si="0"/>
        <v>0</v>
      </c>
      <c r="E26" s="16">
        <f t="shared" si="0"/>
        <v>0</v>
      </c>
      <c r="F26" s="16">
        <f t="shared" ref="F26:F27" si="1">B26+C26+D26-E26</f>
        <v>243</v>
      </c>
    </row>
    <row r="27" spans="1:10" x14ac:dyDescent="0.25">
      <c r="A27" s="33">
        <v>3</v>
      </c>
      <c r="B27" s="57">
        <v>7</v>
      </c>
      <c r="C27" s="16">
        <f t="shared" si="0"/>
        <v>243</v>
      </c>
      <c r="D27" s="16">
        <f t="shared" si="0"/>
        <v>0</v>
      </c>
      <c r="E27" s="16">
        <v>5</v>
      </c>
      <c r="F27" s="16">
        <f t="shared" si="1"/>
        <v>245</v>
      </c>
    </row>
    <row r="28" spans="1:10" x14ac:dyDescent="0.25">
      <c r="A28" s="33" t="s">
        <v>71</v>
      </c>
      <c r="B28" s="16">
        <f>ROUND(AVERAGE(B25:B27),0)</f>
        <v>2</v>
      </c>
      <c r="C28" s="16">
        <f t="shared" ref="C28:D28" si="2">AVERAGE(C25:C27)</f>
        <v>243</v>
      </c>
      <c r="D28" s="16">
        <f t="shared" si="2"/>
        <v>0</v>
      </c>
      <c r="E28" s="57">
        <f>ROUND(AVERAGE(E25:E27),0)</f>
        <v>2</v>
      </c>
      <c r="F28" s="16">
        <f>ROUND(AVERAGE(F25:F27),0)</f>
        <v>244</v>
      </c>
    </row>
    <row r="29" spans="1:10" ht="15.75" x14ac:dyDescent="0.25">
      <c r="A29" s="4" t="s">
        <v>152</v>
      </c>
    </row>
    <row r="30" spans="1:10" x14ac:dyDescent="0.25">
      <c r="A30" s="68"/>
    </row>
    <row r="31" spans="1:10" x14ac:dyDescent="0.25">
      <c r="A31" s="68"/>
    </row>
    <row r="33" spans="1:6" ht="16.5" thickBot="1" x14ac:dyDescent="0.3">
      <c r="A33" s="20"/>
    </row>
    <row r="34" spans="1:6" ht="16.5" thickBot="1" x14ac:dyDescent="0.3">
      <c r="A34" s="116" t="s">
        <v>73</v>
      </c>
      <c r="B34" s="117"/>
      <c r="C34" s="117"/>
      <c r="D34" s="117"/>
      <c r="E34" s="118"/>
    </row>
    <row r="35" spans="1:6" x14ac:dyDescent="0.25">
      <c r="A35" s="34" t="s">
        <v>49</v>
      </c>
      <c r="B35" s="27" t="s">
        <v>50</v>
      </c>
      <c r="C35" s="27" t="s">
        <v>52</v>
      </c>
      <c r="D35" s="37" t="s">
        <v>54</v>
      </c>
      <c r="E35" s="41" t="s">
        <v>55</v>
      </c>
    </row>
    <row r="36" spans="1:6" ht="48" x14ac:dyDescent="0.25">
      <c r="A36" s="35"/>
      <c r="B36" s="21"/>
      <c r="C36" s="21"/>
      <c r="D36" s="38" t="s">
        <v>76</v>
      </c>
      <c r="E36" s="42" t="s">
        <v>73</v>
      </c>
    </row>
    <row r="37" spans="1:6" ht="15.75" thickBot="1" x14ac:dyDescent="0.3">
      <c r="A37" s="35" t="s">
        <v>74</v>
      </c>
      <c r="B37" s="21" t="s">
        <v>63</v>
      </c>
      <c r="C37" s="21" t="s">
        <v>75</v>
      </c>
      <c r="D37" s="39"/>
      <c r="E37" s="43" t="s">
        <v>77</v>
      </c>
    </row>
    <row r="38" spans="1:6" x14ac:dyDescent="0.25">
      <c r="A38" s="22" t="s">
        <v>78</v>
      </c>
      <c r="B38" s="60">
        <f>ROUND((Lookups!E22+Lookups!E24+Lookups!E26+Lookups!E27)/3,0)</f>
        <v>15</v>
      </c>
      <c r="C38" s="23">
        <v>1</v>
      </c>
      <c r="D38" s="23">
        <v>0</v>
      </c>
      <c r="E38" s="40">
        <f>ROUND((B38*C38)+D38,0)</f>
        <v>15</v>
      </c>
    </row>
    <row r="39" spans="1:6" x14ac:dyDescent="0.25">
      <c r="A39" s="24" t="s">
        <v>79</v>
      </c>
      <c r="B39" s="61">
        <f>B38</f>
        <v>15</v>
      </c>
      <c r="C39" s="19">
        <v>1</v>
      </c>
      <c r="D39" s="19">
        <v>0</v>
      </c>
      <c r="E39" s="40">
        <f t="shared" ref="E39:E41" si="3">ROUND((B39*C39)+D39,0)</f>
        <v>15</v>
      </c>
    </row>
    <row r="40" spans="1:6" x14ac:dyDescent="0.25">
      <c r="A40" s="24" t="s">
        <v>80</v>
      </c>
      <c r="B40" s="61">
        <f>B39</f>
        <v>15</v>
      </c>
      <c r="C40" s="19">
        <v>1</v>
      </c>
      <c r="D40" s="19">
        <v>0</v>
      </c>
      <c r="E40" s="40">
        <f t="shared" si="3"/>
        <v>15</v>
      </c>
    </row>
    <row r="41" spans="1:6" ht="25.5" x14ac:dyDescent="0.25">
      <c r="A41" s="24" t="s">
        <v>120</v>
      </c>
      <c r="B41" s="61">
        <f>B40</f>
        <v>15</v>
      </c>
      <c r="C41" s="19">
        <v>1</v>
      </c>
      <c r="D41" s="19">
        <v>0</v>
      </c>
      <c r="E41" s="40">
        <f t="shared" si="3"/>
        <v>15</v>
      </c>
    </row>
    <row r="42" spans="1:6" x14ac:dyDescent="0.25">
      <c r="A42" s="24" t="s">
        <v>81</v>
      </c>
      <c r="B42" s="19">
        <v>0</v>
      </c>
      <c r="C42" s="19">
        <v>1</v>
      </c>
      <c r="D42" s="19">
        <v>0</v>
      </c>
      <c r="E42" s="25">
        <f t="shared" ref="E42:E53" si="4">(B42*C42)+D42</f>
        <v>0</v>
      </c>
    </row>
    <row r="43" spans="1:6" ht="25.5" x14ac:dyDescent="0.25">
      <c r="A43" s="24" t="s">
        <v>82</v>
      </c>
      <c r="B43" s="61">
        <f>ROUND((Lookups!E22+Lookups!E24)/3,0)</f>
        <v>2</v>
      </c>
      <c r="C43" s="19">
        <v>1</v>
      </c>
      <c r="D43" s="19">
        <v>0</v>
      </c>
      <c r="E43" s="25">
        <f t="shared" si="4"/>
        <v>2</v>
      </c>
    </row>
    <row r="44" spans="1:6" x14ac:dyDescent="0.25">
      <c r="A44" s="24" t="s">
        <v>142</v>
      </c>
      <c r="B44" s="61">
        <f>ROUND(SUM(C9:C11)/3,0)</f>
        <v>40</v>
      </c>
      <c r="C44" s="19">
        <v>1</v>
      </c>
      <c r="D44" s="19">
        <v>0</v>
      </c>
      <c r="E44" s="25">
        <f>ROUND((B44*C44)+D44,0)</f>
        <v>40</v>
      </c>
    </row>
    <row r="45" spans="1:6" ht="25.5" x14ac:dyDescent="0.25">
      <c r="A45" s="24" t="s">
        <v>83</v>
      </c>
      <c r="B45" s="61">
        <f>B44</f>
        <v>40</v>
      </c>
      <c r="C45" s="19">
        <v>1</v>
      </c>
      <c r="D45" s="19">
        <v>0</v>
      </c>
      <c r="E45" s="25">
        <f t="shared" si="4"/>
        <v>40</v>
      </c>
    </row>
    <row r="46" spans="1:6" ht="25.5" x14ac:dyDescent="0.25">
      <c r="A46" s="24" t="s">
        <v>84</v>
      </c>
      <c r="B46" s="61">
        <f>B43</f>
        <v>2</v>
      </c>
      <c r="C46" s="19">
        <v>1</v>
      </c>
      <c r="D46" s="19">
        <v>0</v>
      </c>
      <c r="E46" s="25">
        <f t="shared" si="4"/>
        <v>2</v>
      </c>
    </row>
    <row r="47" spans="1:6" x14ac:dyDescent="0.25">
      <c r="A47" s="63" t="s">
        <v>85</v>
      </c>
      <c r="B47" s="66">
        <f>ROUND(0.9*B28,0)</f>
        <v>2</v>
      </c>
      <c r="C47" s="64">
        <v>1</v>
      </c>
      <c r="D47" s="64">
        <v>0</v>
      </c>
      <c r="E47" s="65">
        <f t="shared" si="4"/>
        <v>2</v>
      </c>
      <c r="F47" s="67"/>
    </row>
    <row r="48" spans="1:6" x14ac:dyDescent="0.25">
      <c r="A48" s="63" t="s">
        <v>86</v>
      </c>
      <c r="B48" s="66">
        <f>B28-B47</f>
        <v>0</v>
      </c>
      <c r="C48" s="64">
        <v>1</v>
      </c>
      <c r="D48" s="64">
        <v>0</v>
      </c>
      <c r="E48" s="65">
        <f t="shared" si="4"/>
        <v>0</v>
      </c>
    </row>
    <row r="49" spans="1:5" ht="25.5" x14ac:dyDescent="0.25">
      <c r="A49" s="63" t="s">
        <v>87</v>
      </c>
      <c r="B49" s="64">
        <v>0</v>
      </c>
      <c r="C49" s="64">
        <v>1</v>
      </c>
      <c r="D49" s="64">
        <v>0</v>
      </c>
      <c r="E49" s="65">
        <f t="shared" si="4"/>
        <v>0</v>
      </c>
    </row>
    <row r="50" spans="1:5" x14ac:dyDescent="0.25">
      <c r="A50" s="24" t="s">
        <v>88</v>
      </c>
      <c r="B50" s="19">
        <f>ROUND(0.9*(Lookups!B22+Lookups!C22),0)</f>
        <v>102</v>
      </c>
      <c r="C50" s="19">
        <v>2</v>
      </c>
      <c r="D50" s="19">
        <v>0</v>
      </c>
      <c r="E50" s="25">
        <f t="shared" si="4"/>
        <v>204</v>
      </c>
    </row>
    <row r="51" spans="1:5" x14ac:dyDescent="0.25">
      <c r="A51" s="24" t="s">
        <v>89</v>
      </c>
      <c r="B51" s="19">
        <f>(Lookups!B22+Lookups!C22)-B50</f>
        <v>11</v>
      </c>
      <c r="C51" s="19">
        <v>2</v>
      </c>
      <c r="D51" s="19">
        <v>0</v>
      </c>
      <c r="E51" s="25">
        <f t="shared" si="4"/>
        <v>22</v>
      </c>
    </row>
    <row r="52" spans="1:5" ht="25.5" x14ac:dyDescent="0.25">
      <c r="A52" s="24" t="s">
        <v>90</v>
      </c>
      <c r="B52" s="19">
        <f>B51</f>
        <v>11</v>
      </c>
      <c r="C52" s="19">
        <v>2</v>
      </c>
      <c r="D52" s="19">
        <v>0</v>
      </c>
      <c r="E52" s="25">
        <f t="shared" si="4"/>
        <v>22</v>
      </c>
    </row>
    <row r="53" spans="1:5" x14ac:dyDescent="0.25">
      <c r="A53" s="24" t="s">
        <v>91</v>
      </c>
      <c r="B53" s="19">
        <v>1</v>
      </c>
      <c r="C53" s="19">
        <v>2</v>
      </c>
      <c r="D53" s="19">
        <v>0</v>
      </c>
      <c r="E53" s="25">
        <f t="shared" si="4"/>
        <v>2</v>
      </c>
    </row>
    <row r="54" spans="1:5" ht="15.75" thickBot="1" x14ac:dyDescent="0.3">
      <c r="A54" s="44" t="s">
        <v>92</v>
      </c>
      <c r="B54" s="26"/>
      <c r="C54" s="26"/>
      <c r="D54" s="45" t="s">
        <v>47</v>
      </c>
      <c r="E54" s="46">
        <f>SUM(E38:E53)</f>
        <v>396</v>
      </c>
    </row>
    <row r="55" spans="1:5" ht="15.75" x14ac:dyDescent="0.25">
      <c r="A55" s="5"/>
    </row>
  </sheetData>
  <mergeCells count="7">
    <mergeCell ref="A34:E34"/>
    <mergeCell ref="A3:G3"/>
    <mergeCell ref="A4:G4"/>
    <mergeCell ref="A21:F21"/>
    <mergeCell ref="B22:C22"/>
    <mergeCell ref="E22:F22"/>
    <mergeCell ref="A16:G16"/>
  </mergeCells>
  <pageMargins left="0.7" right="0.7" top="0.75" bottom="0.75" header="0.3" footer="0.3"/>
  <pageSetup scale="73"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F2596-98BD-455E-BA61-A08AAD6EBB87}">
  <sheetPr>
    <pageSetUpPr fitToPage="1"/>
  </sheetPr>
  <dimension ref="A2:L57"/>
  <sheetViews>
    <sheetView topLeftCell="A34" workbookViewId="0">
      <selection activeCell="A32" sqref="A32"/>
    </sheetView>
  </sheetViews>
  <sheetFormatPr defaultRowHeight="15" x14ac:dyDescent="0.25"/>
  <cols>
    <col min="1" max="1" width="44.140625" customWidth="1"/>
    <col min="2" max="2" width="15.140625" bestFit="1" customWidth="1"/>
    <col min="3" max="3" width="19" bestFit="1" customWidth="1"/>
    <col min="4" max="4" width="15.140625" customWidth="1"/>
    <col min="5" max="5" width="14.140625" customWidth="1"/>
    <col min="6" max="6" width="59.5703125" customWidth="1"/>
    <col min="9" max="9" width="29.42578125" customWidth="1"/>
    <col min="10" max="10" width="63.7109375" customWidth="1"/>
  </cols>
  <sheetData>
    <row r="2" spans="1:5" x14ac:dyDescent="0.25">
      <c r="A2" s="2" t="s">
        <v>26</v>
      </c>
      <c r="B2" s="2"/>
    </row>
    <row r="3" spans="1:5" x14ac:dyDescent="0.25">
      <c r="A3" t="s">
        <v>27</v>
      </c>
    </row>
    <row r="4" spans="1:5" x14ac:dyDescent="0.25">
      <c r="A4" t="s">
        <v>28</v>
      </c>
    </row>
    <row r="6" spans="1:5" x14ac:dyDescent="0.25">
      <c r="A6" s="50" t="s">
        <v>29</v>
      </c>
      <c r="B6" s="50" t="s">
        <v>40</v>
      </c>
      <c r="C6" s="50" t="s">
        <v>30</v>
      </c>
      <c r="D6" s="50" t="s">
        <v>31</v>
      </c>
      <c r="E6" s="105" t="s">
        <v>32</v>
      </c>
    </row>
    <row r="7" spans="1:5" x14ac:dyDescent="0.25">
      <c r="A7" s="50" t="s">
        <v>33</v>
      </c>
      <c r="B7" s="50" t="s">
        <v>39</v>
      </c>
      <c r="C7" s="50">
        <v>70.94</v>
      </c>
      <c r="D7" s="50">
        <f>ROUND(C7*2.1,2)</f>
        <v>148.97</v>
      </c>
      <c r="E7" s="105">
        <v>0.05</v>
      </c>
    </row>
    <row r="8" spans="1:5" x14ac:dyDescent="0.25">
      <c r="A8" s="50" t="s">
        <v>34</v>
      </c>
      <c r="B8" s="50" t="s">
        <v>38</v>
      </c>
      <c r="C8" s="50">
        <v>27.44</v>
      </c>
      <c r="D8" s="50">
        <f t="shared" ref="D8:D9" si="0">ROUND(C8*2.1,2)</f>
        <v>57.62</v>
      </c>
      <c r="E8" s="105">
        <v>0.1</v>
      </c>
    </row>
    <row r="9" spans="1:5" x14ac:dyDescent="0.25">
      <c r="A9" s="50" t="s">
        <v>35</v>
      </c>
      <c r="B9" s="50" t="s">
        <v>37</v>
      </c>
      <c r="C9" s="50">
        <v>56.68</v>
      </c>
      <c r="D9" s="50">
        <f t="shared" si="0"/>
        <v>119.03</v>
      </c>
      <c r="E9" s="105">
        <v>1</v>
      </c>
    </row>
    <row r="10" spans="1:5" x14ac:dyDescent="0.25">
      <c r="A10" s="50" t="s">
        <v>36</v>
      </c>
      <c r="B10" s="50"/>
      <c r="C10" s="50"/>
      <c r="D10" s="50"/>
      <c r="E10" s="106">
        <f>(D7*E7)+(D8*E8)+(D9*E9)</f>
        <v>132.2405</v>
      </c>
    </row>
    <row r="15" spans="1:5" x14ac:dyDescent="0.25">
      <c r="A15" s="50" t="s">
        <v>41</v>
      </c>
      <c r="B15" s="50" t="s">
        <v>46</v>
      </c>
      <c r="C15" s="50" t="s">
        <v>45</v>
      </c>
      <c r="D15" s="50" t="s">
        <v>47</v>
      </c>
      <c r="E15" s="50"/>
    </row>
    <row r="16" spans="1:5" x14ac:dyDescent="0.25">
      <c r="A16" s="50" t="s">
        <v>42</v>
      </c>
      <c r="B16" s="50">
        <v>41.07</v>
      </c>
      <c r="C16" s="50">
        <v>1.6</v>
      </c>
      <c r="D16" s="50">
        <f>ROUND(B16*C16,2)</f>
        <v>65.709999999999994</v>
      </c>
      <c r="E16" s="50" t="s">
        <v>39</v>
      </c>
    </row>
    <row r="17" spans="1:12" x14ac:dyDescent="0.25">
      <c r="A17" s="50" t="s">
        <v>43</v>
      </c>
      <c r="B17" s="50">
        <v>30.47</v>
      </c>
      <c r="C17" s="50">
        <v>1.6</v>
      </c>
      <c r="D17" s="50">
        <f t="shared" ref="D17:D18" si="1">ROUND(B17*C17,2)</f>
        <v>48.75</v>
      </c>
      <c r="E17" s="50" t="s">
        <v>37</v>
      </c>
    </row>
    <row r="18" spans="1:12" x14ac:dyDescent="0.25">
      <c r="A18" s="50" t="s">
        <v>44</v>
      </c>
      <c r="B18" s="50">
        <v>16.489999999999998</v>
      </c>
      <c r="C18" s="50">
        <v>1.6</v>
      </c>
      <c r="D18" s="50">
        <f t="shared" si="1"/>
        <v>26.38</v>
      </c>
      <c r="E18" s="50" t="s">
        <v>38</v>
      </c>
    </row>
    <row r="21" spans="1:12" ht="45" x14ac:dyDescent="0.25">
      <c r="A21" s="48" t="s">
        <v>101</v>
      </c>
      <c r="B21" s="49" t="s">
        <v>94</v>
      </c>
      <c r="C21" s="49" t="s">
        <v>113</v>
      </c>
      <c r="D21" s="49" t="s">
        <v>95</v>
      </c>
      <c r="E21" s="49" t="s">
        <v>96</v>
      </c>
      <c r="F21" s="58" t="s">
        <v>108</v>
      </c>
      <c r="I21" s="69"/>
      <c r="J21" s="69"/>
      <c r="K21" s="69"/>
      <c r="L21" s="69"/>
    </row>
    <row r="22" spans="1:12" x14ac:dyDescent="0.25">
      <c r="A22" s="50" t="s">
        <v>93</v>
      </c>
      <c r="B22" s="50">
        <v>109</v>
      </c>
      <c r="C22" s="50">
        <v>4</v>
      </c>
      <c r="D22" s="50">
        <v>2</v>
      </c>
      <c r="E22" s="54">
        <f>ROUNDUP(D22*3/5,0)</f>
        <v>2</v>
      </c>
      <c r="F22" s="47" t="s">
        <v>106</v>
      </c>
      <c r="I22" s="104"/>
      <c r="J22" s="104"/>
      <c r="K22" s="69"/>
      <c r="L22" s="69"/>
    </row>
    <row r="23" spans="1:12" x14ac:dyDescent="0.25">
      <c r="A23" s="51" t="s">
        <v>104</v>
      </c>
      <c r="B23" s="51">
        <v>16</v>
      </c>
      <c r="C23" s="51"/>
      <c r="D23" s="51"/>
      <c r="E23" s="51"/>
      <c r="F23" s="47"/>
      <c r="I23" s="104"/>
      <c r="J23" s="104"/>
      <c r="K23" s="69"/>
      <c r="L23" s="69"/>
    </row>
    <row r="24" spans="1:12" ht="30" x14ac:dyDescent="0.25">
      <c r="A24" s="50" t="s">
        <v>105</v>
      </c>
      <c r="B24" s="50"/>
      <c r="C24" s="50"/>
      <c r="D24" s="50">
        <v>7</v>
      </c>
      <c r="E24" s="50">
        <f>ROUNDUP(D24*3/5,0)</f>
        <v>5</v>
      </c>
      <c r="F24" s="52" t="s">
        <v>107</v>
      </c>
      <c r="I24" s="104"/>
      <c r="J24" s="104"/>
      <c r="K24" s="69"/>
      <c r="L24" s="69"/>
    </row>
    <row r="25" spans="1:12" x14ac:dyDescent="0.25">
      <c r="A25" s="50" t="s">
        <v>100</v>
      </c>
      <c r="B25" s="50">
        <v>121</v>
      </c>
      <c r="C25" s="50">
        <v>9</v>
      </c>
      <c r="D25" s="50"/>
      <c r="E25" s="50"/>
      <c r="F25" s="47"/>
      <c r="I25" s="104"/>
      <c r="J25" s="104"/>
      <c r="K25" s="69"/>
      <c r="L25" s="69"/>
    </row>
    <row r="26" spans="1:12" x14ac:dyDescent="0.25">
      <c r="A26" s="50" t="s">
        <v>102</v>
      </c>
      <c r="B26" s="50"/>
      <c r="C26" s="50"/>
      <c r="D26" s="50">
        <v>25</v>
      </c>
      <c r="E26" s="50">
        <f t="shared" ref="E26:E27" si="2">ROUNDUP(D26*3/5,0)</f>
        <v>15</v>
      </c>
      <c r="F26" s="52"/>
      <c r="I26" s="104"/>
      <c r="J26" s="104"/>
      <c r="K26" s="69"/>
      <c r="L26" s="69"/>
    </row>
    <row r="27" spans="1:12" x14ac:dyDescent="0.25">
      <c r="A27" s="50" t="s">
        <v>103</v>
      </c>
      <c r="B27" s="50"/>
      <c r="C27" s="50"/>
      <c r="D27" s="50">
        <v>40</v>
      </c>
      <c r="E27" s="50">
        <f t="shared" si="2"/>
        <v>24</v>
      </c>
      <c r="F27" s="52"/>
      <c r="I27" s="104"/>
      <c r="J27" s="104"/>
      <c r="K27" s="69"/>
      <c r="L27" s="69"/>
    </row>
    <row r="28" spans="1:12" x14ac:dyDescent="0.25">
      <c r="A28" s="48" t="s">
        <v>47</v>
      </c>
      <c r="B28" s="48">
        <f>B22+B25</f>
        <v>230</v>
      </c>
      <c r="C28" s="48">
        <f t="shared" ref="C28" si="3">C22+C25</f>
        <v>13</v>
      </c>
      <c r="D28" s="48"/>
      <c r="E28" s="48"/>
      <c r="F28" s="47"/>
      <c r="I28" s="104"/>
      <c r="J28" s="104"/>
      <c r="K28" s="69"/>
      <c r="L28" s="69"/>
    </row>
    <row r="29" spans="1:12" ht="45" x14ac:dyDescent="0.25">
      <c r="A29" s="50" t="s">
        <v>97</v>
      </c>
      <c r="B29" s="50" t="s">
        <v>98</v>
      </c>
      <c r="C29" s="52" t="s">
        <v>99</v>
      </c>
      <c r="D29" s="52" t="s">
        <v>99</v>
      </c>
      <c r="E29" s="50"/>
      <c r="F29" s="47"/>
      <c r="I29" s="104"/>
      <c r="J29" s="104"/>
      <c r="K29" s="69"/>
      <c r="L29" s="69"/>
    </row>
    <row r="30" spans="1:12" ht="18" customHeight="1" x14ac:dyDescent="0.25">
      <c r="I30" s="104"/>
      <c r="J30" s="104"/>
      <c r="K30" s="69"/>
      <c r="L30" s="69"/>
    </row>
    <row r="31" spans="1:12" ht="18" customHeight="1" x14ac:dyDescent="0.25">
      <c r="A31" s="55" t="s">
        <v>114</v>
      </c>
      <c r="B31">
        <v>603</v>
      </c>
      <c r="I31" s="104"/>
      <c r="J31" s="104"/>
      <c r="K31" s="69"/>
      <c r="L31" s="69"/>
    </row>
    <row r="32" spans="1:12" ht="42" customHeight="1" x14ac:dyDescent="0.25">
      <c r="A32" s="55" t="s">
        <v>115</v>
      </c>
      <c r="B32">
        <f>B25+C25+B23</f>
        <v>146</v>
      </c>
      <c r="I32" s="104"/>
      <c r="J32" s="104"/>
      <c r="K32" s="69"/>
      <c r="L32" s="69"/>
    </row>
    <row r="33" spans="1:12" ht="18" customHeight="1" x14ac:dyDescent="0.25">
      <c r="A33" t="s">
        <v>117</v>
      </c>
      <c r="B33" s="70">
        <f>B31/B32</f>
        <v>4.1301369863013697</v>
      </c>
      <c r="I33" s="104"/>
      <c r="J33" s="104"/>
      <c r="K33" s="69"/>
      <c r="L33" s="69"/>
    </row>
    <row r="34" spans="1:12" ht="18" customHeight="1" x14ac:dyDescent="0.25">
      <c r="I34" s="104"/>
      <c r="J34" s="104"/>
      <c r="K34" s="69"/>
      <c r="L34" s="69"/>
    </row>
    <row r="35" spans="1:12" ht="18" customHeight="1" x14ac:dyDescent="0.25">
      <c r="I35" s="104"/>
      <c r="J35" s="104"/>
      <c r="K35" s="69"/>
      <c r="L35" s="69"/>
    </row>
    <row r="36" spans="1:12" x14ac:dyDescent="0.25">
      <c r="I36" s="104"/>
      <c r="J36" s="104"/>
      <c r="K36" s="69"/>
      <c r="L36" s="69"/>
    </row>
    <row r="37" spans="1:12" x14ac:dyDescent="0.25">
      <c r="A37" t="s">
        <v>62</v>
      </c>
      <c r="I37" s="104"/>
      <c r="J37" s="104"/>
      <c r="K37" s="69"/>
      <c r="L37" s="69"/>
    </row>
    <row r="38" spans="1:12" x14ac:dyDescent="0.25">
      <c r="A38">
        <v>2004</v>
      </c>
      <c r="B38" s="14">
        <v>84.772999999999996</v>
      </c>
      <c r="I38" s="69"/>
      <c r="J38" s="69"/>
      <c r="K38" s="69"/>
      <c r="L38" s="69"/>
    </row>
    <row r="39" spans="1:12" x14ac:dyDescent="0.25">
      <c r="A39">
        <v>2005</v>
      </c>
      <c r="B39" s="14">
        <v>87.415000000000006</v>
      </c>
      <c r="I39" s="69"/>
      <c r="J39" s="69"/>
      <c r="K39" s="69"/>
      <c r="L39" s="69"/>
    </row>
    <row r="40" spans="1:12" x14ac:dyDescent="0.25">
      <c r="A40">
        <v>2006</v>
      </c>
      <c r="B40" s="14">
        <v>90.063999999999993</v>
      </c>
    </row>
    <row r="41" spans="1:12" x14ac:dyDescent="0.25">
      <c r="A41" s="2">
        <v>2007</v>
      </c>
      <c r="B41" s="15">
        <v>92.483000000000004</v>
      </c>
    </row>
    <row r="42" spans="1:12" x14ac:dyDescent="0.25">
      <c r="A42">
        <v>2008</v>
      </c>
      <c r="B42" s="14">
        <v>94.289000000000001</v>
      </c>
    </row>
    <row r="43" spans="1:12" x14ac:dyDescent="0.25">
      <c r="A43">
        <v>2009</v>
      </c>
      <c r="B43" s="14">
        <v>95.003</v>
      </c>
    </row>
    <row r="44" spans="1:12" x14ac:dyDescent="0.25">
      <c r="A44">
        <v>2010</v>
      </c>
      <c r="B44" s="14">
        <v>96.106999999999999</v>
      </c>
    </row>
    <row r="45" spans="1:12" x14ac:dyDescent="0.25">
      <c r="A45">
        <v>2011</v>
      </c>
      <c r="B45" s="14">
        <v>98.114999999999995</v>
      </c>
    </row>
    <row r="46" spans="1:12" x14ac:dyDescent="0.25">
      <c r="A46">
        <v>2012</v>
      </c>
      <c r="B46" s="14">
        <v>99.998999999999995</v>
      </c>
    </row>
    <row r="47" spans="1:12" x14ac:dyDescent="0.25">
      <c r="A47">
        <v>2013</v>
      </c>
      <c r="B47" s="14">
        <v>101.751</v>
      </c>
    </row>
    <row r="48" spans="1:12" x14ac:dyDescent="0.25">
      <c r="A48">
        <v>2014</v>
      </c>
      <c r="B48" s="14">
        <v>103.67400000000001</v>
      </c>
    </row>
    <row r="49" spans="1:3" x14ac:dyDescent="0.25">
      <c r="A49">
        <v>2015</v>
      </c>
      <c r="B49" s="14">
        <v>104.78700000000001</v>
      </c>
    </row>
    <row r="50" spans="1:3" x14ac:dyDescent="0.25">
      <c r="A50">
        <v>2016</v>
      </c>
      <c r="B50" s="14">
        <v>105.931</v>
      </c>
    </row>
    <row r="51" spans="1:3" x14ac:dyDescent="0.25">
      <c r="A51">
        <v>2017</v>
      </c>
      <c r="B51" s="14">
        <v>107.944</v>
      </c>
    </row>
    <row r="52" spans="1:3" x14ac:dyDescent="0.25">
      <c r="A52" s="2">
        <v>2018</v>
      </c>
      <c r="B52" s="15">
        <v>110.383</v>
      </c>
    </row>
    <row r="55" spans="1:3" ht="30" x14ac:dyDescent="0.25">
      <c r="B55" s="55" t="s">
        <v>110</v>
      </c>
      <c r="C55" s="55" t="s">
        <v>112</v>
      </c>
    </row>
    <row r="56" spans="1:3" x14ac:dyDescent="0.25">
      <c r="A56" t="s">
        <v>109</v>
      </c>
      <c r="B56">
        <v>1880</v>
      </c>
      <c r="C56" s="56">
        <f>ROUND(B56*$B$52/$B$41,-1)</f>
        <v>2240</v>
      </c>
    </row>
    <row r="57" spans="1:3" x14ac:dyDescent="0.25">
      <c r="A57" t="s">
        <v>111</v>
      </c>
      <c r="B57">
        <v>70</v>
      </c>
      <c r="C57" s="56">
        <f>B57*$B$52/$B$41</f>
        <v>83.548435928765272</v>
      </c>
    </row>
  </sheetData>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Table 1</vt:lpstr>
      <vt:lpstr>Table 2</vt:lpstr>
      <vt:lpstr>Text_Tables</vt:lpstr>
      <vt:lpstr>Lookups</vt:lpstr>
      <vt:lpstr>Lookups!Print_Area</vt:lpstr>
      <vt:lpstr>'Table 1'!Print_Area</vt:lpstr>
      <vt:lpstr>'Table 2'!Print_Area</vt:lpstr>
      <vt:lpstr>Text_Tables!Print_Area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Schultz, Eric</cp:lastModifiedBy>
  <cp:lastPrinted>2019-06-21T16:45:47Z</cp:lastPrinted>
  <dcterms:created xsi:type="dcterms:W3CDTF">2016-07-11T16:11:01Z</dcterms:created>
  <dcterms:modified xsi:type="dcterms:W3CDTF">2023-01-31T01:14:54Z</dcterms:modified>
</cp:coreProperties>
</file>