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https://usepa-my.sharepoint.com/personal/schultz_eric_epa_gov/Documents/03 ICR materials/"/>
    </mc:Choice>
  </mc:AlternateContent>
  <xr:revisionPtr revIDLastSave="0" documentId="8_{C4937E1A-DCCD-4357-A855-692AE872CE80}" xr6:coauthVersionLast="47" xr6:coauthVersionMax="47" xr10:uidLastSave="{00000000-0000-0000-0000-000000000000}"/>
  <bookViews>
    <workbookView xWindow="30600" yWindow="4650" windowWidth="29010" windowHeight="15210" activeTab="3" xr2:uid="{7EA987AC-B7B2-436F-B73A-18159323C8F8}"/>
  </bookViews>
  <sheets>
    <sheet name="Burden" sheetId="1" r:id="rId1"/>
    <sheet name="Increment" sheetId="3" r:id="rId2"/>
    <sheet name="OpCosts" sheetId="2" r:id="rId3"/>
    <sheet name="2_EPA" sheetId="4" r:id="rId4"/>
    <sheet name="Responses" sheetId="5"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R52" i="3" l="1"/>
  <c r="I52" i="3"/>
  <c r="R50" i="3"/>
  <c r="P2" i="3" l="1"/>
  <c r="Q2" i="3"/>
  <c r="O2" i="3"/>
  <c r="O45" i="3"/>
  <c r="P45" i="3" s="1"/>
  <c r="M45" i="3"/>
  <c r="O44" i="3"/>
  <c r="Q44" i="3" s="1"/>
  <c r="M44" i="3"/>
  <c r="M43" i="3"/>
  <c r="O43" i="3" s="1"/>
  <c r="O42" i="3"/>
  <c r="M42" i="3"/>
  <c r="P41" i="3"/>
  <c r="O41" i="3"/>
  <c r="M41" i="3"/>
  <c r="M39" i="3"/>
  <c r="O39" i="3" s="1"/>
  <c r="M38" i="3"/>
  <c r="O38" i="3" s="1"/>
  <c r="M37" i="3"/>
  <c r="O37" i="3" s="1"/>
  <c r="M33" i="3"/>
  <c r="O33" i="3" s="1"/>
  <c r="M32" i="3"/>
  <c r="O32" i="3" s="1"/>
  <c r="M30" i="3"/>
  <c r="O30" i="3" s="1"/>
  <c r="Q29" i="3"/>
  <c r="O29" i="3"/>
  <c r="P29" i="3" s="1"/>
  <c r="M29" i="3"/>
  <c r="M28" i="3"/>
  <c r="O28" i="3" s="1"/>
  <c r="O27" i="3"/>
  <c r="M27" i="3"/>
  <c r="M26" i="3"/>
  <c r="O26" i="3" s="1"/>
  <c r="Q25" i="3"/>
  <c r="O25" i="3"/>
  <c r="P25" i="3" s="1"/>
  <c r="M25" i="3"/>
  <c r="M23" i="3"/>
  <c r="O23" i="3" s="1"/>
  <c r="O22" i="3"/>
  <c r="M22" i="3"/>
  <c r="M21" i="3"/>
  <c r="O21" i="3" s="1"/>
  <c r="Q17" i="3"/>
  <c r="O17" i="3"/>
  <c r="P17" i="3" s="1"/>
  <c r="M17" i="3"/>
  <c r="M16" i="3"/>
  <c r="O16" i="3" s="1"/>
  <c r="O15" i="3"/>
  <c r="M15" i="3"/>
  <c r="M14" i="3"/>
  <c r="O14" i="3" s="1"/>
  <c r="Q13" i="3"/>
  <c r="O13" i="3"/>
  <c r="P13" i="3" s="1"/>
  <c r="M13" i="3"/>
  <c r="M12" i="3"/>
  <c r="O12" i="3" s="1"/>
  <c r="O11" i="3"/>
  <c r="M11" i="3"/>
  <c r="M9" i="3"/>
  <c r="O9" i="3" s="1"/>
  <c r="D42" i="3"/>
  <c r="F42" i="3" s="1"/>
  <c r="D41" i="3"/>
  <c r="F41" i="3" s="1"/>
  <c r="P44" i="3" l="1"/>
  <c r="Q39" i="3"/>
  <c r="P39" i="3"/>
  <c r="R44" i="3"/>
  <c r="R39" i="3"/>
  <c r="Q28" i="3"/>
  <c r="P28" i="3"/>
  <c r="R28" i="3"/>
  <c r="Q43" i="3"/>
  <c r="R43" i="3" s="1"/>
  <c r="P43" i="3"/>
  <c r="R21" i="3"/>
  <c r="P21" i="3"/>
  <c r="Q21" i="3"/>
  <c r="Q38" i="3"/>
  <c r="P38" i="3"/>
  <c r="R9" i="3"/>
  <c r="P9" i="3"/>
  <c r="Q9" i="3"/>
  <c r="R22" i="3"/>
  <c r="P30" i="3"/>
  <c r="Q30" i="3"/>
  <c r="R30" i="3" s="1"/>
  <c r="R41" i="3"/>
  <c r="Q23" i="3"/>
  <c r="P23" i="3"/>
  <c r="R23" i="3"/>
  <c r="P26" i="3"/>
  <c r="Q26" i="3"/>
  <c r="R26" i="3" s="1"/>
  <c r="R11" i="3"/>
  <c r="Q16" i="3"/>
  <c r="P16" i="3"/>
  <c r="R16" i="3"/>
  <c r="Q12" i="3"/>
  <c r="R12" i="3" s="1"/>
  <c r="P12" i="3"/>
  <c r="P14" i="3"/>
  <c r="R14" i="3"/>
  <c r="Q14" i="3"/>
  <c r="Q33" i="3"/>
  <c r="P33" i="3"/>
  <c r="P11" i="3"/>
  <c r="R13" i="3"/>
  <c r="P15" i="3"/>
  <c r="R15" i="3" s="1"/>
  <c r="R17" i="3"/>
  <c r="P22" i="3"/>
  <c r="R25" i="3"/>
  <c r="P27" i="3"/>
  <c r="R29" i="3"/>
  <c r="P32" i="3"/>
  <c r="P37" i="3"/>
  <c r="Q41" i="3"/>
  <c r="P42" i="3"/>
  <c r="R42" i="3" s="1"/>
  <c r="Q45" i="3"/>
  <c r="R45" i="3" s="1"/>
  <c r="Q15" i="3"/>
  <c r="Q22" i="3"/>
  <c r="Q27" i="3"/>
  <c r="R27" i="3" s="1"/>
  <c r="Q32" i="3"/>
  <c r="Q37" i="3"/>
  <c r="Q42" i="3"/>
  <c r="Q11" i="3"/>
  <c r="H41" i="3"/>
  <c r="G41" i="3"/>
  <c r="I41" i="3" s="1"/>
  <c r="G42" i="3"/>
  <c r="H42" i="3"/>
  <c r="D41" i="1"/>
  <c r="F41" i="1"/>
  <c r="G41" i="1"/>
  <c r="H41" i="1"/>
  <c r="R33" i="3" l="1"/>
  <c r="O34" i="3"/>
  <c r="R32" i="3"/>
  <c r="R34" i="3" s="1"/>
  <c r="R38" i="3"/>
  <c r="O47" i="3"/>
  <c r="R37" i="3"/>
  <c r="R47" i="3" s="1"/>
  <c r="I42" i="3"/>
  <c r="I41" i="1"/>
  <c r="O48" i="3" l="1"/>
  <c r="R48" i="3"/>
  <c r="F15" i="4"/>
  <c r="F14" i="4"/>
  <c r="F12" i="4"/>
  <c r="F11" i="4"/>
  <c r="F10" i="4"/>
  <c r="F9" i="4"/>
  <c r="F8" i="4"/>
  <c r="F7" i="4"/>
  <c r="F5" i="4"/>
  <c r="F4" i="4"/>
  <c r="G15" i="4" l="1"/>
  <c r="G5" i="4"/>
  <c r="G7" i="4"/>
  <c r="G9" i="4"/>
  <c r="G11" i="4"/>
  <c r="G14" i="4"/>
  <c r="H4" i="4"/>
  <c r="H5" i="4"/>
  <c r="H7" i="4"/>
  <c r="H8" i="4"/>
  <c r="H9" i="4"/>
  <c r="H10" i="4"/>
  <c r="H11" i="4"/>
  <c r="H12" i="4"/>
  <c r="H14" i="4"/>
  <c r="H15" i="4"/>
  <c r="G4" i="4"/>
  <c r="G8" i="4"/>
  <c r="G10" i="4"/>
  <c r="G12" i="4"/>
  <c r="D32" i="3"/>
  <c r="F32" i="3" s="1"/>
  <c r="C7" i="5"/>
  <c r="B7" i="5"/>
  <c r="E7" i="5" s="1"/>
  <c r="D32" i="1"/>
  <c r="F32" i="1" s="1"/>
  <c r="O6" i="1"/>
  <c r="O7" i="1"/>
  <c r="O5" i="1"/>
  <c r="G32" i="3" l="1"/>
  <c r="H32" i="3"/>
  <c r="G32" i="1"/>
  <c r="H32" i="1"/>
  <c r="C8" i="5" l="1"/>
  <c r="B8" i="5"/>
  <c r="E8" i="5" s="1"/>
  <c r="C6" i="5"/>
  <c r="B6" i="5"/>
  <c r="F13" i="4"/>
  <c r="C33" i="4"/>
  <c r="D33" i="4" s="1"/>
  <c r="F2" i="4" s="1"/>
  <c r="C34" i="4"/>
  <c r="D34" i="4" s="1"/>
  <c r="H2" i="4" s="1"/>
  <c r="C32" i="4"/>
  <c r="D32" i="4" s="1"/>
  <c r="G2" i="4" s="1"/>
  <c r="D44" i="3"/>
  <c r="F44" i="3" s="1"/>
  <c r="D44" i="1"/>
  <c r="F44" i="1" s="1"/>
  <c r="I4" i="4" l="1"/>
  <c r="I8" i="4"/>
  <c r="I14" i="4"/>
  <c r="I5" i="4"/>
  <c r="I11" i="4"/>
  <c r="I9" i="4"/>
  <c r="I15" i="4"/>
  <c r="I10" i="4"/>
  <c r="I12" i="4"/>
  <c r="I7" i="4"/>
  <c r="F16" i="4"/>
  <c r="G16" i="4" s="1"/>
  <c r="E6" i="5"/>
  <c r="E9" i="5" s="1"/>
  <c r="G13" i="4"/>
  <c r="H13" i="4"/>
  <c r="G44" i="3"/>
  <c r="H44" i="3"/>
  <c r="G44" i="1"/>
  <c r="H44" i="1"/>
  <c r="H16" i="4" l="1"/>
  <c r="F17" i="4" s="1"/>
  <c r="I16" i="4"/>
  <c r="I17" i="4" s="1"/>
  <c r="I13" i="4"/>
  <c r="D45" i="3" l="1"/>
  <c r="F45" i="3" s="1"/>
  <c r="D43" i="3"/>
  <c r="F43" i="3" s="1"/>
  <c r="D39" i="3"/>
  <c r="F39" i="3" s="1"/>
  <c r="D38" i="3"/>
  <c r="F38" i="3" s="1"/>
  <c r="D37" i="3"/>
  <c r="F37" i="3" s="1"/>
  <c r="D33" i="3"/>
  <c r="F33" i="3" s="1"/>
  <c r="D30" i="3"/>
  <c r="F30" i="3" s="1"/>
  <c r="D29" i="3"/>
  <c r="F29" i="3" s="1"/>
  <c r="D28" i="3"/>
  <c r="F28" i="3" s="1"/>
  <c r="D27" i="3"/>
  <c r="F27" i="3" s="1"/>
  <c r="D26" i="3"/>
  <c r="F26" i="3" s="1"/>
  <c r="D25" i="3"/>
  <c r="F25" i="3" s="1"/>
  <c r="F23" i="3"/>
  <c r="D23" i="3"/>
  <c r="D22" i="3"/>
  <c r="F22" i="3" s="1"/>
  <c r="D21" i="3"/>
  <c r="F21" i="3" s="1"/>
  <c r="D17" i="3"/>
  <c r="F17" i="3" s="1"/>
  <c r="D16" i="3"/>
  <c r="F16" i="3" s="1"/>
  <c r="D15" i="3"/>
  <c r="F15" i="3" s="1"/>
  <c r="D14" i="3"/>
  <c r="F14" i="3" s="1"/>
  <c r="D13" i="3"/>
  <c r="F13" i="3" s="1"/>
  <c r="D12" i="3"/>
  <c r="F12" i="3" s="1"/>
  <c r="D11" i="3"/>
  <c r="F11" i="3" s="1"/>
  <c r="D9" i="3"/>
  <c r="F9" i="3" s="1"/>
  <c r="AC7" i="3"/>
  <c r="H2" i="3" s="1"/>
  <c r="AC6" i="3"/>
  <c r="AC5" i="3"/>
  <c r="G2" i="3" s="1"/>
  <c r="F2" i="3" l="1"/>
  <c r="G15" i="3"/>
  <c r="H15" i="3"/>
  <c r="I15" i="3" s="1"/>
  <c r="H25" i="3"/>
  <c r="G25" i="3"/>
  <c r="I25" i="3" s="1"/>
  <c r="G37" i="3"/>
  <c r="H37" i="3"/>
  <c r="G26" i="3"/>
  <c r="H26" i="3"/>
  <c r="G43" i="3"/>
  <c r="H43" i="3"/>
  <c r="I43" i="3" s="1"/>
  <c r="G9" i="3"/>
  <c r="H9" i="3"/>
  <c r="I9" i="3" s="1"/>
  <c r="H13" i="3"/>
  <c r="G13" i="3"/>
  <c r="H27" i="3"/>
  <c r="G27" i="3"/>
  <c r="I27" i="3"/>
  <c r="G30" i="3"/>
  <c r="H30" i="3"/>
  <c r="I30" i="3" s="1"/>
  <c r="H45" i="3"/>
  <c r="G45" i="3"/>
  <c r="G21" i="3"/>
  <c r="H21" i="3"/>
  <c r="I21" i="3" s="1"/>
  <c r="H22" i="3"/>
  <c r="G22" i="3"/>
  <c r="I22" i="3"/>
  <c r="H29" i="3"/>
  <c r="G29" i="3"/>
  <c r="I29" i="3"/>
  <c r="H38" i="3"/>
  <c r="G38" i="3"/>
  <c r="H11" i="3"/>
  <c r="G11" i="3"/>
  <c r="G14" i="3"/>
  <c r="H14" i="3"/>
  <c r="H17" i="3"/>
  <c r="G17" i="3"/>
  <c r="I17" i="3" s="1"/>
  <c r="H33" i="3"/>
  <c r="G33" i="3"/>
  <c r="H12" i="3"/>
  <c r="H16" i="3"/>
  <c r="H23" i="3"/>
  <c r="H28" i="3"/>
  <c r="H39" i="3"/>
  <c r="G12" i="3"/>
  <c r="G16" i="3"/>
  <c r="G23" i="3"/>
  <c r="I23" i="3" s="1"/>
  <c r="G28" i="3"/>
  <c r="G39" i="3"/>
  <c r="I39" i="3" s="1"/>
  <c r="I12" i="3" l="1"/>
  <c r="I45" i="3"/>
  <c r="I37" i="3"/>
  <c r="I28" i="3"/>
  <c r="I32" i="3"/>
  <c r="I44" i="3"/>
  <c r="I16" i="3"/>
  <c r="I33" i="3"/>
  <c r="I14" i="3"/>
  <c r="I38" i="3"/>
  <c r="I26" i="3"/>
  <c r="I11" i="3"/>
  <c r="I13" i="3"/>
  <c r="F34" i="3"/>
  <c r="I47" i="3"/>
  <c r="F47" i="3"/>
  <c r="I34" i="3" l="1"/>
  <c r="F48" i="3"/>
  <c r="I48" i="3" l="1"/>
  <c r="I50" i="3"/>
  <c r="D13" i="1"/>
  <c r="F13" i="1" s="1"/>
  <c r="G13" i="1" s="1"/>
  <c r="H13" i="1" l="1"/>
  <c r="D11" i="1" l="1"/>
  <c r="F11" i="1" s="1"/>
  <c r="G7" i="2"/>
  <c r="G8" i="2"/>
  <c r="G9" i="2"/>
  <c r="G11" i="2" s="1"/>
  <c r="G10" i="2"/>
  <c r="G6" i="2"/>
  <c r="I49" i="1" l="1"/>
  <c r="G11" i="1"/>
  <c r="H11" i="1"/>
  <c r="D45" i="1"/>
  <c r="D43" i="1"/>
  <c r="D42" i="1"/>
  <c r="D39" i="1"/>
  <c r="D38" i="1"/>
  <c r="D37" i="1"/>
  <c r="D33" i="1"/>
  <c r="D30" i="1"/>
  <c r="D29" i="1"/>
  <c r="D28" i="1"/>
  <c r="D27" i="1"/>
  <c r="D26" i="1"/>
  <c r="D25" i="1"/>
  <c r="D23" i="1"/>
  <c r="D22" i="1"/>
  <c r="D21" i="1"/>
  <c r="D17" i="1"/>
  <c r="D16" i="1"/>
  <c r="D15" i="1"/>
  <c r="D14" i="1"/>
  <c r="D12" i="1"/>
  <c r="D9" i="1"/>
  <c r="F45" i="1" l="1"/>
  <c r="F43" i="1"/>
  <c r="F42" i="1"/>
  <c r="F39" i="1"/>
  <c r="F38" i="1"/>
  <c r="F37" i="1"/>
  <c r="F33" i="1"/>
  <c r="F30" i="1"/>
  <c r="F29" i="1"/>
  <c r="F28" i="1"/>
  <c r="F27" i="1"/>
  <c r="F26" i="1"/>
  <c r="F25" i="1"/>
  <c r="F23" i="1"/>
  <c r="F22" i="1"/>
  <c r="F21" i="1"/>
  <c r="F17" i="1"/>
  <c r="F16" i="1"/>
  <c r="F15" i="1"/>
  <c r="F14" i="1"/>
  <c r="F12" i="1"/>
  <c r="H12" i="1" s="1"/>
  <c r="F9" i="1"/>
  <c r="G9" i="1" s="1"/>
  <c r="P6" i="1"/>
  <c r="F2" i="1" s="1"/>
  <c r="P7" i="1"/>
  <c r="H2" i="1" s="1"/>
  <c r="P5" i="1"/>
  <c r="G2" i="1" s="1"/>
  <c r="I32" i="1" l="1"/>
  <c r="I11" i="1"/>
  <c r="I44" i="1"/>
  <c r="I13" i="1"/>
  <c r="G12" i="1"/>
  <c r="I12" i="1" s="1"/>
  <c r="H9" i="1"/>
  <c r="H45" i="1"/>
  <c r="G45" i="1"/>
  <c r="I45" i="1" s="1"/>
  <c r="G38" i="1"/>
  <c r="G42" i="1"/>
  <c r="H38" i="1"/>
  <c r="G37" i="1"/>
  <c r="G39" i="1"/>
  <c r="G43" i="1"/>
  <c r="H37" i="1"/>
  <c r="H39" i="1"/>
  <c r="H42" i="1"/>
  <c r="H43" i="1"/>
  <c r="G33" i="1"/>
  <c r="H33" i="1"/>
  <c r="H29" i="1"/>
  <c r="G25" i="1"/>
  <c r="G26" i="1"/>
  <c r="G27" i="1"/>
  <c r="G28" i="1"/>
  <c r="G29" i="1"/>
  <c r="G30" i="1"/>
  <c r="H25" i="1"/>
  <c r="H26" i="1"/>
  <c r="H27" i="1"/>
  <c r="H28" i="1"/>
  <c r="H30" i="1"/>
  <c r="I30" i="1" s="1"/>
  <c r="G22" i="1"/>
  <c r="G21" i="1"/>
  <c r="H21" i="1"/>
  <c r="H22" i="1"/>
  <c r="H23" i="1"/>
  <c r="G23" i="1"/>
  <c r="G17" i="1"/>
  <c r="H17" i="1"/>
  <c r="G14" i="1"/>
  <c r="G15" i="1"/>
  <c r="G16" i="1"/>
  <c r="H16" i="1"/>
  <c r="H14" i="1"/>
  <c r="H15" i="1"/>
  <c r="I21" i="1" l="1"/>
  <c r="I22" i="1"/>
  <c r="I28" i="1"/>
  <c r="I42" i="1"/>
  <c r="I39" i="1"/>
  <c r="F47" i="1"/>
  <c r="I29" i="1"/>
  <c r="I25" i="1"/>
  <c r="I37" i="1"/>
  <c r="I16" i="1"/>
  <c r="I43" i="1"/>
  <c r="I38" i="1"/>
  <c r="I33" i="1"/>
  <c r="I27" i="1"/>
  <c r="I26" i="1"/>
  <c r="I23" i="1"/>
  <c r="I15" i="1"/>
  <c r="I17" i="1"/>
  <c r="I14" i="1"/>
  <c r="F34" i="1"/>
  <c r="I9" i="1"/>
  <c r="F48" i="1" l="1"/>
  <c r="E12" i="5" s="1"/>
  <c r="I47" i="1"/>
  <c r="I34" i="1"/>
  <c r="I50" i="1" l="1"/>
  <c r="I48" i="1"/>
</calcChain>
</file>

<file path=xl/sharedStrings.xml><?xml version="1.0" encoding="utf-8"?>
<sst xmlns="http://schemas.openxmlformats.org/spreadsheetml/2006/main" count="317" uniqueCount="183">
  <si>
    <r>
      <t>Table 1: Annual Respondent Bur</t>
    </r>
    <r>
      <rPr>
        <b/>
        <sz val="12"/>
        <color theme="1"/>
        <rFont val="Times New Roman"/>
        <family val="1"/>
      </rPr>
      <t>den and Cost – NESHAP for Iron and Steel Foundries (40 CFR Part 63, Subpart EEEEE) (Renewal)</t>
    </r>
  </si>
  <si>
    <t>Burden item</t>
  </si>
  <si>
    <t>(A)</t>
  </si>
  <si>
    <t>Person hours per occurrence</t>
  </si>
  <si>
    <t>(B)</t>
  </si>
  <si>
    <t>No. of occurrences per respondent per year</t>
  </si>
  <si>
    <t>(C)</t>
  </si>
  <si>
    <t>Person hours per respondent per year</t>
  </si>
  <si>
    <t>(C=AxB)</t>
  </si>
  <si>
    <t>(D)</t>
  </si>
  <si>
    <r>
      <t xml:space="preserve">Respondents per year </t>
    </r>
    <r>
      <rPr>
        <b/>
        <vertAlign val="superscript"/>
        <sz val="10"/>
        <color rgb="FF000000"/>
        <rFont val="Times New Roman"/>
        <family val="1"/>
      </rPr>
      <t>a</t>
    </r>
  </si>
  <si>
    <t>(E)</t>
  </si>
  <si>
    <t>Technical person- hours per year</t>
  </si>
  <si>
    <t>(E=CxD)</t>
  </si>
  <si>
    <t>(F)</t>
  </si>
  <si>
    <t>Management person hours per year</t>
  </si>
  <si>
    <t>(F=Ex0.05)</t>
  </si>
  <si>
    <t>(G)</t>
  </si>
  <si>
    <t>Clerical person hours per year</t>
  </si>
  <si>
    <t>(G=Ex0.1)</t>
  </si>
  <si>
    <t>(H)</t>
  </si>
  <si>
    <r>
      <t>Total Cost per year,</t>
    </r>
    <r>
      <rPr>
        <b/>
        <vertAlign val="superscript"/>
        <sz val="10"/>
        <color rgb="FF000000"/>
        <rFont val="Times New Roman"/>
        <family val="1"/>
      </rPr>
      <t xml:space="preserve"> </t>
    </r>
    <r>
      <rPr>
        <b/>
        <sz val="10"/>
        <color rgb="FF000000"/>
        <rFont val="Times New Roman"/>
        <family val="1"/>
      </rPr>
      <t>($)</t>
    </r>
    <r>
      <rPr>
        <b/>
        <vertAlign val="superscript"/>
        <sz val="10"/>
        <color rgb="FF000000"/>
        <rFont val="Times New Roman"/>
        <family val="1"/>
      </rPr>
      <t xml:space="preserve"> b</t>
    </r>
  </si>
  <si>
    <t>1.  Applications</t>
  </si>
  <si>
    <t>N/A</t>
  </si>
  <si>
    <t>2.  Surveys and studies</t>
  </si>
  <si>
    <t>3.  Reporting requirements</t>
  </si>
  <si>
    <r>
      <t xml:space="preserve">b.  Required activities </t>
    </r>
    <r>
      <rPr>
        <vertAlign val="superscript"/>
        <sz val="10"/>
        <color rgb="FF000000"/>
        <rFont val="Times New Roman"/>
        <family val="1"/>
      </rPr>
      <t>d</t>
    </r>
  </si>
  <si>
    <t>c.  Create information</t>
  </si>
  <si>
    <t>See 3B</t>
  </si>
  <si>
    <r>
      <t>d.  Gather existing information</t>
    </r>
    <r>
      <rPr>
        <vertAlign val="superscript"/>
        <sz val="10"/>
        <color rgb="FF000000"/>
        <rFont val="Times New Roman"/>
        <family val="1"/>
      </rPr>
      <t xml:space="preserve"> </t>
    </r>
  </si>
  <si>
    <t>e.  Write report</t>
  </si>
  <si>
    <r>
      <t xml:space="preserve">i.  Notification of applicability </t>
    </r>
    <r>
      <rPr>
        <vertAlign val="superscript"/>
        <sz val="10"/>
        <color rgb="FF000000"/>
        <rFont val="Times New Roman"/>
        <family val="1"/>
      </rPr>
      <t>d</t>
    </r>
  </si>
  <si>
    <r>
      <t xml:space="preserve">ii.  Notification of construction/reconstruction </t>
    </r>
    <r>
      <rPr>
        <vertAlign val="superscript"/>
        <sz val="10"/>
        <color rgb="FF000000"/>
        <rFont val="Times New Roman"/>
        <family val="1"/>
      </rPr>
      <t xml:space="preserve">d </t>
    </r>
  </si>
  <si>
    <r>
      <t xml:space="preserve">iii.  Notification of actual startup </t>
    </r>
    <r>
      <rPr>
        <vertAlign val="superscript"/>
        <sz val="10"/>
        <color rgb="FF000000"/>
        <rFont val="Times New Roman"/>
        <family val="1"/>
      </rPr>
      <t>d</t>
    </r>
  </si>
  <si>
    <r>
      <t xml:space="preserve">iv.  Notification of special compliance requirements </t>
    </r>
    <r>
      <rPr>
        <vertAlign val="superscript"/>
        <sz val="10"/>
        <color rgb="FF000000"/>
        <rFont val="Times New Roman"/>
        <family val="1"/>
      </rPr>
      <t>d</t>
    </r>
    <r>
      <rPr>
        <sz val="10"/>
        <color rgb="FF000000"/>
        <rFont val="Times New Roman"/>
        <family val="1"/>
      </rPr>
      <t xml:space="preserve"> </t>
    </r>
  </si>
  <si>
    <r>
      <t xml:space="preserve">v.  Compliance extension request </t>
    </r>
    <r>
      <rPr>
        <vertAlign val="superscript"/>
        <sz val="10"/>
        <color rgb="FF000000"/>
        <rFont val="Times New Roman"/>
        <family val="1"/>
      </rPr>
      <t>d</t>
    </r>
  </si>
  <si>
    <r>
      <t xml:space="preserve">vi.  Notification of performance test </t>
    </r>
    <r>
      <rPr>
        <vertAlign val="superscript"/>
        <sz val="10"/>
        <color rgb="FF000000"/>
        <rFont val="Times New Roman"/>
        <family val="1"/>
      </rPr>
      <t>d</t>
    </r>
  </si>
  <si>
    <r>
      <t xml:space="preserve">vii.  Site-specific test plan </t>
    </r>
    <r>
      <rPr>
        <vertAlign val="superscript"/>
        <sz val="10"/>
        <color rgb="FF000000"/>
        <rFont val="Times New Roman"/>
        <family val="1"/>
      </rPr>
      <t>d</t>
    </r>
  </si>
  <si>
    <r>
      <t xml:space="preserve">viii.  Notification of CEMS performance evaluation </t>
    </r>
    <r>
      <rPr>
        <vertAlign val="superscript"/>
        <sz val="10"/>
        <color rgb="FF000000"/>
        <rFont val="Times New Roman"/>
        <family val="1"/>
      </rPr>
      <t>d</t>
    </r>
  </si>
  <si>
    <r>
      <t xml:space="preserve">ix.  CEMS QA plan </t>
    </r>
    <r>
      <rPr>
        <vertAlign val="superscript"/>
        <sz val="10"/>
        <color rgb="FF000000"/>
        <rFont val="Times New Roman"/>
        <family val="1"/>
      </rPr>
      <t>d</t>
    </r>
  </si>
  <si>
    <r>
      <t xml:space="preserve">x.  Notification of compliance status </t>
    </r>
    <r>
      <rPr>
        <vertAlign val="superscript"/>
        <sz val="10"/>
        <color rgb="FF000000"/>
        <rFont val="Times New Roman"/>
        <family val="1"/>
      </rPr>
      <t>d</t>
    </r>
  </si>
  <si>
    <t>xi.  NESHAP waiver application</t>
  </si>
  <si>
    <t>xii.  Report of performance test</t>
  </si>
  <si>
    <t>Subtotal for Reporting Requirements</t>
  </si>
  <si>
    <t>4. Recordkeeping requirements</t>
  </si>
  <si>
    <t>See 3A</t>
  </si>
  <si>
    <t>i.  Time for audits</t>
  </si>
  <si>
    <t xml:space="preserve">Subtotal for Recordkeeping Requirements  </t>
  </si>
  <si>
    <t>Assumptions:</t>
  </si>
  <si>
    <r>
      <t>c</t>
    </r>
    <r>
      <rPr>
        <sz val="10"/>
        <color theme="1"/>
        <rFont val="Times New Roman"/>
        <family val="1"/>
      </rPr>
      <t xml:space="preserve">  We have assumed that all respondents will have to familiarize with regulatory requirements each year.</t>
    </r>
  </si>
  <si>
    <r>
      <t>d</t>
    </r>
    <r>
      <rPr>
        <sz val="10"/>
        <color theme="1"/>
        <rFont val="Times New Roman"/>
        <family val="1"/>
      </rPr>
      <t xml:space="preserve">  We have assumed that existing respondents are in compliance with the initial rule requirements.  New respondents would have to comply with the initial rule requirements including notification and performance test for add-on control devices.</t>
    </r>
  </si>
  <si>
    <t>Salaries taken for NAICS 331500: Foundries</t>
  </si>
  <si>
    <t>https://www.bls.gov/oes/current/naics4_331500.htm</t>
  </si>
  <si>
    <t>Occupation Code</t>
  </si>
  <si>
    <t>Title</t>
  </si>
  <si>
    <t>Mean Hourly Rate</t>
  </si>
  <si>
    <t>Estimated Total Pay with Benefits</t>
  </si>
  <si>
    <t>11-0000</t>
  </si>
  <si>
    <t>Mgmt Occup</t>
  </si>
  <si>
    <t>17-2081</t>
  </si>
  <si>
    <t>Envir Engr</t>
  </si>
  <si>
    <t>43-0000</t>
  </si>
  <si>
    <t>Office and Admin Support</t>
  </si>
  <si>
    <t>May 2018</t>
  </si>
  <si>
    <t>Capital/Startup vs. Operation and Maintenance (O&amp;M) Costs</t>
  </si>
  <si>
    <t>Continuous Monitoring Device</t>
  </si>
  <si>
    <t>Capital/Startup Cost for One Respondent</t>
  </si>
  <si>
    <t xml:space="preserve">Number of New Respondents </t>
  </si>
  <si>
    <t>Annual O&amp;M Costs for One Respondent</t>
  </si>
  <si>
    <t>Number of Respondents with O&amp;M</t>
  </si>
  <si>
    <t>Leak detectors</t>
  </si>
  <si>
    <t>Flow rate monitors</t>
  </si>
  <si>
    <t>pH monitor</t>
  </si>
  <si>
    <t>Pressure drop</t>
  </si>
  <si>
    <t>VOC CEM</t>
  </si>
  <si>
    <t>Total</t>
  </si>
  <si>
    <r>
      <t xml:space="preserve">     a.  Familiarize with regulatory requirements </t>
    </r>
    <r>
      <rPr>
        <vertAlign val="superscript"/>
        <sz val="10"/>
        <color rgb="FF000000"/>
        <rFont val="Times New Roman"/>
        <family val="1"/>
      </rPr>
      <t>c</t>
    </r>
  </si>
  <si>
    <r>
      <t>b</t>
    </r>
    <r>
      <rPr>
        <sz val="10"/>
        <color theme="1"/>
        <rFont val="Times New Roman"/>
        <family val="1"/>
      </rPr>
      <t xml:space="preserve">  This ICR uses the following labor rates from the United States Department of Labor, Bureau of Labor Statistics, May 2018, mean labor rates for Foundries (NAICS 331500) for Management Occupations (11-0000), Environmental Engineer (17-2081) and Office and Administrative Support (43-0000) . The rates have been increased by 110 percent to account for the benefit packages available to those employed by private industry. Fully burdened hourly rates are: $123.71 for management; $81.33 for technical; and $42.80 for clerical.</t>
    </r>
  </si>
  <si>
    <r>
      <t>a</t>
    </r>
    <r>
      <rPr>
        <sz val="10"/>
        <color theme="1"/>
        <rFont val="Times New Roman"/>
        <family val="1"/>
      </rPr>
      <t xml:space="preserve">  We have assumed that the average number of respondents that will be subject to this rule will be 45.  We have assumed that there will be no new foundries projected during the next three years of this ICR.</t>
    </r>
  </si>
  <si>
    <r>
      <t xml:space="preserve">ii.  On-going performance tests </t>
    </r>
    <r>
      <rPr>
        <vertAlign val="superscript"/>
        <sz val="10"/>
        <color rgb="FF000000"/>
        <rFont val="Times New Roman"/>
        <family val="1"/>
      </rPr>
      <t>e</t>
    </r>
  </si>
  <si>
    <r>
      <t xml:space="preserve">        iv.  Scrap selection/inspection plan </t>
    </r>
    <r>
      <rPr>
        <vertAlign val="superscript"/>
        <sz val="10"/>
        <color rgb="FF000000"/>
        <rFont val="Times New Roman"/>
        <family val="1"/>
      </rPr>
      <t>d</t>
    </r>
  </si>
  <si>
    <t xml:space="preserve">       vi.  Monthly inspections of capture systems, maintenance of control devices and monitoring systems, and mould vent ignition plan</t>
  </si>
  <si>
    <r>
      <t>e</t>
    </r>
    <r>
      <rPr>
        <sz val="10"/>
        <color theme="1"/>
        <rFont val="Times New Roman"/>
        <family val="1"/>
      </rPr>
      <t xml:space="preserve">  Performance tests are required for particulate matter by Method 5 or total metal HAP by Method 29, for triethylamine by Method 18, and VOHAP by Method 18 or 25A, depending on the emission source.  Performance tests must be repeated once every 5 years.</t>
    </r>
    <r>
      <rPr>
        <vertAlign val="superscript"/>
        <sz val="10"/>
        <color theme="1"/>
        <rFont val="Times New Roman"/>
        <family val="1"/>
      </rPr>
      <t xml:space="preserve"> Assumed each foundry has two controls requiring a performance test. Assumed 20% of foundries (45*0.2 = 9 foundries) would conduct on-going performance tests each year.</t>
    </r>
  </si>
  <si>
    <r>
      <t xml:space="preserve">i.  Initial performance tests </t>
    </r>
    <r>
      <rPr>
        <vertAlign val="superscript"/>
        <sz val="10"/>
        <color rgb="FF000000"/>
        <rFont val="Times New Roman"/>
        <family val="1"/>
      </rPr>
      <t>d, e</t>
    </r>
  </si>
  <si>
    <r>
      <t xml:space="preserve">ii.  On-going opacity observations </t>
    </r>
    <r>
      <rPr>
        <vertAlign val="superscript"/>
        <sz val="10"/>
        <color rgb="FF000000"/>
        <rFont val="Times New Roman"/>
        <family val="1"/>
      </rPr>
      <t>f</t>
    </r>
  </si>
  <si>
    <r>
      <t xml:space="preserve">        iii.  Operation and maintenance plan </t>
    </r>
    <r>
      <rPr>
        <vertAlign val="superscript"/>
        <sz val="10"/>
        <color rgb="FF000000"/>
        <rFont val="Times New Roman"/>
        <family val="1"/>
      </rPr>
      <t>d</t>
    </r>
  </si>
  <si>
    <r>
      <t xml:space="preserve">        v.  Scrap inspection </t>
    </r>
    <r>
      <rPr>
        <vertAlign val="superscript"/>
        <sz val="10"/>
        <color rgb="FF000000"/>
        <rFont val="Times New Roman"/>
        <family val="1"/>
      </rPr>
      <t>g</t>
    </r>
  </si>
  <si>
    <r>
      <t>xiii.  Semiannual compliance reports</t>
    </r>
    <r>
      <rPr>
        <vertAlign val="superscript"/>
        <sz val="10"/>
        <color rgb="FF000000"/>
        <rFont val="Times New Roman"/>
        <family val="1"/>
      </rPr>
      <t xml:space="preserve"> h</t>
    </r>
  </si>
  <si>
    <r>
      <t xml:space="preserve">b.  Plan activities </t>
    </r>
    <r>
      <rPr>
        <vertAlign val="superscript"/>
        <sz val="10"/>
        <color rgb="FF000000"/>
        <rFont val="Times New Roman"/>
        <family val="1"/>
      </rPr>
      <t>i</t>
    </r>
  </si>
  <si>
    <r>
      <t xml:space="preserve">c.  Implement activities </t>
    </r>
    <r>
      <rPr>
        <vertAlign val="superscript"/>
        <sz val="10"/>
        <color rgb="FF000000"/>
        <rFont val="Times New Roman"/>
        <family val="1"/>
      </rPr>
      <t>i</t>
    </r>
  </si>
  <si>
    <r>
      <t xml:space="preserve">d.  Develop record system </t>
    </r>
    <r>
      <rPr>
        <vertAlign val="superscript"/>
        <sz val="10"/>
        <color rgb="FF000000"/>
        <rFont val="Times New Roman"/>
        <family val="1"/>
      </rPr>
      <t>i, j</t>
    </r>
  </si>
  <si>
    <r>
      <t xml:space="preserve">f.  Time to train personnel </t>
    </r>
    <r>
      <rPr>
        <vertAlign val="superscript"/>
        <sz val="10"/>
        <color rgb="FF000000"/>
        <rFont val="Times New Roman"/>
        <family val="1"/>
      </rPr>
      <t>i</t>
    </r>
  </si>
  <si>
    <r>
      <t>f</t>
    </r>
    <r>
      <rPr>
        <sz val="10"/>
        <color theme="1"/>
        <rFont val="Times New Roman"/>
        <family val="1"/>
      </rPr>
      <t xml:space="preserve">  Assumed it would take 6 hours to conduct opacity performance tests of building openings for typical foundry; tests must be repeated every 6 months for all foundries.</t>
    </r>
  </si>
  <si>
    <r>
      <t>g</t>
    </r>
    <r>
      <rPr>
        <sz val="10"/>
        <color theme="1"/>
        <rFont val="Times New Roman"/>
        <family val="1"/>
      </rPr>
      <t xml:space="preserve">  Assumed it would talk 0.5 hours each operating day (assumed 350 operating days per year) to inspect scrap piles, scrap shipments, or scrap suppliers, as appropriate, according the the scrap selection and inspection plan.</t>
    </r>
  </si>
  <si>
    <r>
      <t>h</t>
    </r>
    <r>
      <rPr>
        <sz val="10"/>
        <color theme="1"/>
        <rFont val="Times New Roman"/>
        <family val="1"/>
      </rPr>
      <t xml:space="preserve">  We have assumed it will take 12 hours for each respondents to all the required information concerning deviations from any emissions limitation or operation and maintenance requirements under the NESHAP rule into the electronic form template for each semiannual report.  </t>
    </r>
  </si>
  <si>
    <r>
      <t>j</t>
    </r>
    <r>
      <rPr>
        <sz val="10"/>
        <color theme="1"/>
        <rFont val="Times New Roman"/>
        <family val="1"/>
      </rPr>
      <t xml:space="preserve">  We have assumed that new respondents would of already have the technology and recordkeeping systems in place to monitor its daily operations and to comply with existing regulations.</t>
    </r>
  </si>
  <si>
    <r>
      <t>i</t>
    </r>
    <r>
      <rPr>
        <sz val="10"/>
        <color theme="1"/>
        <rFont val="Times New Roman"/>
        <family val="1"/>
      </rPr>
      <t xml:space="preserve">  Assume each foundry will review new electronic reporting forms and will plan, train, and implement recordkeeping activities during the first year. These activities will not be necessary in the second and third year of the ICR, so on average, there will be 15 respondents per year [(45 + 0 + 0)/3 = 15] for these activities during the 3-year period covered by the ICR.</t>
    </r>
  </si>
  <si>
    <r>
      <t>e</t>
    </r>
    <r>
      <rPr>
        <sz val="10"/>
        <color theme="1"/>
        <rFont val="Times New Roman"/>
        <family val="1"/>
      </rPr>
      <t xml:space="preserve">  Performance tests are required for particulate matter by Method 5 or total metal HAP by Method 29, for triethylamine by Method 18, and VOHAP by Method 18 or 25A, depending on the emission source.  Performance tests must be repeated once every 5 years. Assumed each foundry has two controls requiring a performance test. Therefore, retest occurence rate is 2 tests/5 years = 0.4 test/years.</t>
    </r>
  </si>
  <si>
    <r>
      <t>g</t>
    </r>
    <r>
      <rPr>
        <sz val="10"/>
        <color theme="1"/>
        <rFont val="Times New Roman"/>
        <family val="1"/>
      </rPr>
      <t xml:space="preserve"> Assumed it would talk 0.5 hours each operating day (assumed 350 operating days per year) to inspect scrap piles, scrap shipments, or scrap suppliers, as appropriate, according the the scrap selection and inspection plan.</t>
    </r>
  </si>
  <si>
    <r>
      <t>h</t>
    </r>
    <r>
      <rPr>
        <sz val="10"/>
        <color theme="1"/>
        <rFont val="Times New Roman"/>
        <family val="1"/>
      </rPr>
      <t xml:space="preserve"> We have assumed it will take 12 hours for each respondents to all the required information concerning deviations from any emissions limitation or operation and maintenance requirements under the NESHAP rule into the electronic form template for each semiannual report.  </t>
    </r>
  </si>
  <si>
    <r>
      <t>f</t>
    </r>
    <r>
      <rPr>
        <sz val="10"/>
        <color theme="1"/>
        <rFont val="Times New Roman"/>
        <family val="1"/>
      </rPr>
      <t xml:space="preserve">  Opacity performance tests should be conducted over 3-hour period as specified in §63.6(h)(5)(ii).  Assumed average major source foundry would have two separate building openings to observe, so total duration is 6 hours. Tests must be repeated every 6 months for all foundries.</t>
    </r>
  </si>
  <si>
    <t>Total Capital/Startup Cost, (B x C)</t>
  </si>
  <si>
    <t>Total O&amp;M, 
(E x F)</t>
  </si>
  <si>
    <r>
      <t xml:space="preserve">vi.  Notification of performance test </t>
    </r>
    <r>
      <rPr>
        <vertAlign val="superscript"/>
        <sz val="10"/>
        <color rgb="FF000000"/>
        <rFont val="Times New Roman"/>
        <family val="1"/>
      </rPr>
      <t>e</t>
    </r>
  </si>
  <si>
    <r>
      <t xml:space="preserve">     g.  Time to adjust existing ways to comply with previously applicable requirements</t>
    </r>
    <r>
      <rPr>
        <vertAlign val="superscript"/>
        <sz val="10"/>
        <color rgb="FF000000"/>
        <rFont val="Times New Roman"/>
        <family val="1"/>
      </rPr>
      <t xml:space="preserve"> i</t>
    </r>
  </si>
  <si>
    <r>
      <t xml:space="preserve">Total </t>
    </r>
    <r>
      <rPr>
        <vertAlign val="superscript"/>
        <sz val="10"/>
        <color theme="1"/>
        <rFont val="Times New Roman"/>
        <family val="1"/>
      </rPr>
      <t>b</t>
    </r>
  </si>
  <si>
    <r>
      <rPr>
        <vertAlign val="superscript"/>
        <sz val="10"/>
        <color theme="1"/>
        <rFont val="Times New Roman"/>
        <family val="1"/>
      </rPr>
      <t xml:space="preserve">b </t>
    </r>
    <r>
      <rPr>
        <sz val="10"/>
        <color theme="1"/>
        <rFont val="Times New Roman"/>
        <family val="1"/>
      </rPr>
      <t>Totals have been rounded to 3 significant figures. Figures may not add exactly due to rounding.</t>
    </r>
  </si>
  <si>
    <t>Agency Worker Rates</t>
  </si>
  <si>
    <r>
      <t xml:space="preserve">Labor Rates, $/hr </t>
    </r>
    <r>
      <rPr>
        <b/>
        <vertAlign val="superscript"/>
        <sz val="12"/>
        <color rgb="FF000000"/>
        <rFont val="Times New Roman"/>
        <family val="1"/>
      </rPr>
      <t>a</t>
    </r>
  </si>
  <si>
    <t>60% Overhead</t>
  </si>
  <si>
    <t>Total, $/hr</t>
  </si>
  <si>
    <t>Managerial (GS-13, step 5)</t>
  </si>
  <si>
    <t xml:space="preserve">Technical (GS-12, step 1) </t>
  </si>
  <si>
    <t>Clerical (GS-6, step 3)</t>
  </si>
  <si>
    <t xml:space="preserve">a https://www.opm.gov/policy-data-oversight/pay-leave/salaries-wages/salary-tables/pdf/2019/GS_h.pdf  </t>
  </si>
  <si>
    <t>Effective January 2019</t>
  </si>
  <si>
    <t>2019:</t>
  </si>
  <si>
    <t>Activity</t>
  </si>
  <si>
    <t>(A) EPA person-hours per occurrence</t>
  </si>
  <si>
    <t>(B) No. of occurrences per plant per year</t>
  </si>
  <si>
    <t>(C) EPA person hours per plant per year (AxB)</t>
  </si>
  <si>
    <r>
      <t xml:space="preserve">(D) Plants per year </t>
    </r>
    <r>
      <rPr>
        <b/>
        <vertAlign val="superscript"/>
        <sz val="9"/>
        <rFont val="Times New Roman"/>
        <family val="1"/>
      </rPr>
      <t>a</t>
    </r>
    <r>
      <rPr>
        <b/>
        <sz val="9"/>
        <rFont val="Times New Roman"/>
        <family val="1"/>
      </rPr>
      <t xml:space="preserve">  </t>
    </r>
  </si>
  <si>
    <t>(E) Technical person-hours per year (CxD)</t>
  </si>
  <si>
    <t>(F) Management person-hours per year (Ex0.05)</t>
  </si>
  <si>
    <t>(G) Clerical person-hours per year (Ex0.1)</t>
  </si>
  <si>
    <r>
      <t xml:space="preserve">(H) Cost, $ </t>
    </r>
    <r>
      <rPr>
        <b/>
        <vertAlign val="superscript"/>
        <sz val="9"/>
        <rFont val="Times New Roman"/>
        <family val="1"/>
      </rPr>
      <t>b</t>
    </r>
  </si>
  <si>
    <r>
      <t>TOTAL BURDEN AND COST (rounded)</t>
    </r>
    <r>
      <rPr>
        <b/>
        <vertAlign val="superscript"/>
        <sz val="9"/>
        <rFont val="Times New Roman"/>
        <family val="1"/>
      </rPr>
      <t>e</t>
    </r>
  </si>
  <si>
    <t>Information Collection Activity</t>
  </si>
  <si>
    <t>Number of Respondents</t>
  </si>
  <si>
    <t>Number of Responses</t>
  </si>
  <si>
    <t>Number of Existing Respondents That Keep Records But Do Not Submit Reports</t>
  </si>
  <si>
    <t>Total Annual  Responses</t>
  </si>
  <si>
    <t>E=(BxC)+D</t>
  </si>
  <si>
    <t>Initial Notification</t>
  </si>
  <si>
    <t>Notification of Compliance Status</t>
  </si>
  <si>
    <t>Notification of Foundry Reclassification</t>
  </si>
  <si>
    <t xml:space="preserve">Semiannual compliance reports </t>
  </si>
  <si>
    <r>
      <t xml:space="preserve">Notification of Performance Test for PM </t>
    </r>
    <r>
      <rPr>
        <vertAlign val="superscript"/>
        <sz val="9"/>
        <color theme="1"/>
        <rFont val="Times New Roman"/>
        <family val="1"/>
      </rPr>
      <t>a</t>
    </r>
  </si>
  <si>
    <r>
      <rPr>
        <vertAlign val="superscript"/>
        <sz val="10"/>
        <color theme="1"/>
        <rFont val="Times New Roman"/>
        <family val="1"/>
      </rPr>
      <t>a</t>
    </r>
    <r>
      <rPr>
        <sz val="10"/>
        <color theme="1"/>
        <rFont val="Times New Roman"/>
        <family val="1"/>
      </rPr>
      <t xml:space="preserve"> Assumes all 45 major source foundries use baghouse to meet melting PM limits. Estimated that 23 foundries use TEA scrubber. Estimated that 7 foundries use wet scrubber for other PM control. Estimated that two foundries may use VOC CEMS. </t>
    </r>
  </si>
  <si>
    <t>110% OH and benefits</t>
  </si>
  <si>
    <t>Averge response burden</t>
  </si>
  <si>
    <r>
      <t>xii.  Report of performance test (through CEDRI using ERT)</t>
    </r>
    <r>
      <rPr>
        <vertAlign val="superscript"/>
        <sz val="10"/>
        <color rgb="FF000000"/>
        <rFont val="Times New Roman"/>
        <family val="1"/>
      </rPr>
      <t xml:space="preserve"> e</t>
    </r>
  </si>
  <si>
    <t>Report of performance test (through CEDRI using ERT)</t>
  </si>
  <si>
    <r>
      <t xml:space="preserve">iii.  On-going opacity observations </t>
    </r>
    <r>
      <rPr>
        <vertAlign val="superscript"/>
        <sz val="10"/>
        <color rgb="FF000000"/>
        <rFont val="Times New Roman"/>
        <family val="1"/>
      </rPr>
      <t>f</t>
    </r>
  </si>
  <si>
    <r>
      <t xml:space="preserve">        v.  Scrap selection/inspection plan </t>
    </r>
    <r>
      <rPr>
        <vertAlign val="superscript"/>
        <sz val="10"/>
        <color rgb="FF000000"/>
        <rFont val="Times New Roman"/>
        <family val="1"/>
      </rPr>
      <t>d</t>
    </r>
  </si>
  <si>
    <r>
      <t xml:space="preserve">        iv.  Operation and maintenance plan </t>
    </r>
    <r>
      <rPr>
        <vertAlign val="superscript"/>
        <sz val="10"/>
        <color rgb="FF000000"/>
        <rFont val="Times New Roman"/>
        <family val="1"/>
      </rPr>
      <t>d</t>
    </r>
  </si>
  <si>
    <r>
      <t xml:space="preserve">        vi.  Scrap inspection </t>
    </r>
    <r>
      <rPr>
        <vertAlign val="superscript"/>
        <sz val="10"/>
        <color rgb="FF000000"/>
        <rFont val="Times New Roman"/>
        <family val="1"/>
      </rPr>
      <t>g</t>
    </r>
  </si>
  <si>
    <t xml:space="preserve">       vii.  Monthly inspections of capture systems, maintenance of control devices and monitoring systems, and mould vent ignition plan</t>
  </si>
  <si>
    <r>
      <t>a</t>
    </r>
    <r>
      <rPr>
        <sz val="10"/>
        <color rgb="FF000000"/>
        <rFont val="Times New Roman"/>
        <family val="1"/>
      </rPr>
      <t xml:space="preserve">  We have assumed that the average number of respondents that will be subject to this rule will be 45.  There will be no new foundries projected during the next three years of this ICR.</t>
    </r>
  </si>
  <si>
    <r>
      <t>b</t>
    </r>
    <r>
      <rPr>
        <sz val="10"/>
        <color rgb="FF000000"/>
        <rFont val="Times New Roman"/>
        <family val="1"/>
      </rPr>
      <t xml:space="preserve">  This cost is based on the following 2019 labor rates which incorporates a 1.6 benefits multiplication factor to account for government overhead expenses: $66.62 Managerial rate (GS-13, Step 5), $49.44 Technical rate (GS-12, Step 1), and $26.75 Clerical rate (GS-6, Step 3).  These rates are calculated from the hourly rates included in the Office of Personnel Management (OPM) 2019 General Schedule which excludes locality rates of pay; the rates have been increased by 60 percent to account for benefit packages available to government employees.</t>
    </r>
  </si>
  <si>
    <r>
      <t>c</t>
    </r>
    <r>
      <rPr>
        <sz val="10"/>
        <color rgb="FF000000"/>
        <rFont val="Times New Roman"/>
        <family val="1"/>
      </rPr>
      <t xml:space="preserve">  We have assumed that EPA personnel would not attend any ongoing performance tests.</t>
    </r>
  </si>
  <si>
    <r>
      <t>d</t>
    </r>
    <r>
      <rPr>
        <sz val="10"/>
        <color rgb="FF000000"/>
        <rFont val="Times New Roman"/>
        <family val="1"/>
      </rPr>
      <t xml:space="preserve">  We have assumed that existing respondents are in compliance with the initial rule requirements.  New respondents would have to comply with the initial rule requirements including notification and performance test for add-on control devices.</t>
    </r>
  </si>
  <si>
    <r>
      <t>e</t>
    </r>
    <r>
      <rPr>
        <sz val="10"/>
        <color rgb="FF000000"/>
        <rFont val="Times New Roman"/>
        <family val="1"/>
      </rPr>
      <t xml:space="preserve">  Performance tests are required for particulate matter by Method 5 or total metal HAP by Method 29, for triethylamine by Method 18, and VOHAP by Method 18 or 25A, depending on the emission source.  Performance tests must be repeated once every 5 years. We assumed each foundry has two controls requiring a performance test. Therefore, retest occurrence rate is 2 tests/5 years = 0.4 test/years.</t>
    </r>
  </si>
  <si>
    <r>
      <t>f</t>
    </r>
    <r>
      <rPr>
        <sz val="10"/>
        <color rgb="FF000000"/>
        <rFont val="Times New Roman"/>
        <family val="1"/>
      </rPr>
      <t xml:space="preserve">  We have assumed that all respondents are required to submit semiannual compliance reports.</t>
    </r>
  </si>
  <si>
    <r>
      <t>g</t>
    </r>
    <r>
      <rPr>
        <sz val="10"/>
        <color rgb="FF000000"/>
        <rFont val="Times New Roman"/>
        <family val="1"/>
      </rPr>
      <t xml:space="preserve">  Totals have been rounded to 3 significant figures. Figures may not add exactly due to rounding.</t>
    </r>
  </si>
  <si>
    <r>
      <t xml:space="preserve">Attend performance test </t>
    </r>
    <r>
      <rPr>
        <vertAlign val="superscript"/>
        <sz val="10"/>
        <color rgb="FF000000"/>
        <rFont val="Times New Roman"/>
        <family val="1"/>
      </rPr>
      <t>c</t>
    </r>
  </si>
  <si>
    <t xml:space="preserve">Report review </t>
  </si>
  <si>
    <t>Notification of special compliance requirements</t>
  </si>
  <si>
    <r>
      <t xml:space="preserve">Notification of applicability </t>
    </r>
    <r>
      <rPr>
        <vertAlign val="superscript"/>
        <sz val="10"/>
        <color rgb="FF000000"/>
        <rFont val="Times New Roman"/>
        <family val="1"/>
      </rPr>
      <t>d</t>
    </r>
  </si>
  <si>
    <r>
      <t xml:space="preserve">Notification of performance test or CEMS performance evaluation </t>
    </r>
    <r>
      <rPr>
        <vertAlign val="superscript"/>
        <sz val="10"/>
        <color rgb="FF000000"/>
        <rFont val="Times New Roman"/>
        <family val="1"/>
      </rPr>
      <t>e</t>
    </r>
  </si>
  <si>
    <r>
      <t xml:space="preserve">CEMS QA plan </t>
    </r>
    <r>
      <rPr>
        <vertAlign val="superscript"/>
        <sz val="10"/>
        <color rgb="FF000000"/>
        <rFont val="Times New Roman"/>
        <family val="1"/>
      </rPr>
      <t>d</t>
    </r>
  </si>
  <si>
    <r>
      <t xml:space="preserve">Notification of compliance status </t>
    </r>
    <r>
      <rPr>
        <vertAlign val="superscript"/>
        <sz val="10"/>
        <color rgb="FF000000"/>
        <rFont val="Times New Roman"/>
        <family val="1"/>
      </rPr>
      <t>d</t>
    </r>
  </si>
  <si>
    <r>
      <t xml:space="preserve">Site-specific test plan </t>
    </r>
    <r>
      <rPr>
        <vertAlign val="superscript"/>
        <sz val="10"/>
        <color rgb="FF000000"/>
        <rFont val="Times New Roman"/>
        <family val="1"/>
      </rPr>
      <t>d</t>
    </r>
  </si>
  <si>
    <r>
      <t xml:space="preserve">Scrap selection/inspection plan </t>
    </r>
    <r>
      <rPr>
        <vertAlign val="superscript"/>
        <sz val="10"/>
        <color rgb="FF000000"/>
        <rFont val="Times New Roman"/>
        <family val="1"/>
      </rPr>
      <t>d</t>
    </r>
  </si>
  <si>
    <r>
      <t xml:space="preserve">Performance test report </t>
    </r>
    <r>
      <rPr>
        <vertAlign val="superscript"/>
        <sz val="10"/>
        <color rgb="FF000000"/>
        <rFont val="Times New Roman"/>
        <family val="1"/>
      </rPr>
      <t>e</t>
    </r>
  </si>
  <si>
    <r>
      <t xml:space="preserve">Semiannual compliance reports </t>
    </r>
    <r>
      <rPr>
        <vertAlign val="superscript"/>
        <sz val="10"/>
        <color rgb="FF000000"/>
        <rFont val="Times New Roman"/>
        <family val="1"/>
      </rPr>
      <t>f</t>
    </r>
  </si>
  <si>
    <r>
      <t xml:space="preserve">NESHAP waiver application </t>
    </r>
    <r>
      <rPr>
        <vertAlign val="superscript"/>
        <sz val="10"/>
        <color rgb="FF000000"/>
        <rFont val="Times New Roman"/>
        <family val="1"/>
      </rPr>
      <t>d</t>
    </r>
  </si>
  <si>
    <r>
      <t xml:space="preserve">Compliance extension request </t>
    </r>
    <r>
      <rPr>
        <vertAlign val="superscript"/>
        <sz val="10"/>
        <color rgb="FF000000"/>
        <rFont val="Times New Roman"/>
        <family val="1"/>
      </rPr>
      <t>d</t>
    </r>
  </si>
  <si>
    <r>
      <t>Table 1: Annual Respondent Bur</t>
    </r>
    <r>
      <rPr>
        <b/>
        <sz val="12"/>
        <color theme="1"/>
        <rFont val="Times New Roman"/>
        <family val="1"/>
      </rPr>
      <t>den and Cost – NESHAP for Iron and Steel Foundries (40 CFR Part 63, Subpart EEEEE) (Proposed Amendments)</t>
    </r>
  </si>
  <si>
    <t>Table 2: Average Annual EPA Burden and Cost – NESHAP for Iron and Steel Foundries (40 CFR Part 63, Subpart EEEEE) (Proposed Amendments)</t>
  </si>
  <si>
    <t>e.  Time to enter information</t>
  </si>
  <si>
    <r>
      <t xml:space="preserve">ii.  Other recordkeeping requirements </t>
    </r>
    <r>
      <rPr>
        <vertAlign val="superscript"/>
        <sz val="10"/>
        <color rgb="FF000000"/>
        <rFont val="Times New Roman"/>
        <family val="1"/>
      </rPr>
      <t>l</t>
    </r>
  </si>
  <si>
    <r>
      <t>i.  Cupola VOHAP work practice information</t>
    </r>
    <r>
      <rPr>
        <vertAlign val="superscript"/>
        <sz val="10"/>
        <color rgb="FF000000"/>
        <rFont val="Times New Roman"/>
        <family val="1"/>
      </rPr>
      <t xml:space="preserve"> k</t>
    </r>
  </si>
  <si>
    <r>
      <t xml:space="preserve">h. Time to transmit information </t>
    </r>
    <r>
      <rPr>
        <vertAlign val="superscript"/>
        <sz val="10"/>
        <color rgb="FF000000"/>
        <rFont val="Times New Roman"/>
        <family val="1"/>
      </rPr>
      <t>m</t>
    </r>
  </si>
  <si>
    <r>
      <t xml:space="preserve">TOTAL LABOR BURDEN AND COST (rounded) </t>
    </r>
    <r>
      <rPr>
        <b/>
        <vertAlign val="superscript"/>
        <sz val="10"/>
        <color rgb="FF000000"/>
        <rFont val="Times New Roman"/>
        <family val="1"/>
      </rPr>
      <t>n</t>
    </r>
  </si>
  <si>
    <r>
      <t xml:space="preserve">CAPITAL AND O&amp;M COST (rounded) </t>
    </r>
    <r>
      <rPr>
        <b/>
        <vertAlign val="superscript"/>
        <sz val="10"/>
        <color rgb="FF000000"/>
        <rFont val="Times New Roman"/>
        <family val="1"/>
      </rPr>
      <t>n</t>
    </r>
  </si>
  <si>
    <r>
      <t xml:space="preserve">GRAND TOTAL (rounded) </t>
    </r>
    <r>
      <rPr>
        <b/>
        <vertAlign val="superscript"/>
        <sz val="10"/>
        <color rgb="FF000000"/>
        <rFont val="Times New Roman"/>
        <family val="1"/>
      </rPr>
      <t>n</t>
    </r>
  </si>
  <si>
    <r>
      <t>m</t>
    </r>
    <r>
      <rPr>
        <sz val="10"/>
        <color theme="1"/>
        <rFont val="Times New Roman"/>
        <family val="1"/>
      </rPr>
      <t xml:space="preserve">  We have assumed that it will take each of the respondents 15 minutes two times per year to transmit information.</t>
    </r>
  </si>
  <si>
    <r>
      <t>n</t>
    </r>
    <r>
      <rPr>
        <sz val="10"/>
        <color theme="1"/>
        <rFont val="Times New Roman"/>
        <family val="1"/>
      </rPr>
      <t xml:space="preserve">  Totals burden and costs have been rounded to 3 significant digits. Figures may not add exactly due to rounding.</t>
    </r>
  </si>
  <si>
    <r>
      <t>l</t>
    </r>
    <r>
      <rPr>
        <sz val="10"/>
        <color theme="1"/>
        <rFont val="Times New Roman"/>
        <family val="1"/>
      </rPr>
      <t xml:space="preserve">  We have assumed that it will take each respondent 0.5 hours 52 times per year to enter other recordkeeping information.</t>
    </r>
  </si>
  <si>
    <r>
      <t>k</t>
    </r>
    <r>
      <rPr>
        <sz val="10"/>
        <color theme="1"/>
        <rFont val="Times New Roman"/>
        <family val="1"/>
      </rPr>
      <t xml:space="preserve">  We have assumed that it will take each respondent 0.5 hours 52 times per year to enter information for cupola off blast periods. We have ssumed that there are 15 respondents that have cupola melting furnaces.</t>
    </r>
  </si>
  <si>
    <t>First Year</t>
  </si>
  <si>
    <t>Subsequent Years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</si>
</sst>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_);[Red]\(&quot;$&quot;#,##0\)"/>
    <numFmt numFmtId="8" formatCode="&quot;$&quot;#,##0.00_);[Red]\(&quot;$&quot;#,##0.00\)"/>
    <numFmt numFmtId="164" formatCode="#,##0.0"/>
  </numFmts>
  <fonts count="25" x14ac:knownFonts="1">
    <font>
      <sz val="11"/>
      <color theme="1"/>
      <name val="Calibri"/>
      <family val="2"/>
      <scheme val="minor"/>
    </font>
    <font>
      <sz val="12"/>
      <color theme="1"/>
      <name val="Times New Roman"/>
      <family val="1"/>
    </font>
    <font>
      <b/>
      <sz val="12"/>
      <color theme="1"/>
      <name val="Times New Roman"/>
      <family val="1"/>
    </font>
    <font>
      <b/>
      <sz val="12"/>
      <color rgb="FF000000"/>
      <name val="Times New Roman"/>
      <family val="1"/>
    </font>
    <font>
      <sz val="10"/>
      <color theme="1"/>
      <name val="Times New Roman"/>
      <family val="1"/>
    </font>
    <font>
      <b/>
      <sz val="10"/>
      <color rgb="FF000000"/>
      <name val="Times New Roman"/>
      <family val="1"/>
    </font>
    <font>
      <b/>
      <vertAlign val="superscript"/>
      <sz val="10"/>
      <color rgb="FF000000"/>
      <name val="Times New Roman"/>
      <family val="1"/>
    </font>
    <font>
      <sz val="10"/>
      <color rgb="FF000000"/>
      <name val="Times New Roman"/>
      <family val="1"/>
    </font>
    <font>
      <vertAlign val="superscript"/>
      <sz val="10"/>
      <color rgb="FF000000"/>
      <name val="Times New Roman"/>
      <family val="1"/>
    </font>
    <font>
      <sz val="11"/>
      <color rgb="FF000000"/>
      <name val="Calibri"/>
      <family val="2"/>
    </font>
    <font>
      <sz val="12"/>
      <color rgb="FFFF0000"/>
      <name val="Times New Roman"/>
      <family val="1"/>
    </font>
    <font>
      <b/>
      <sz val="10"/>
      <color theme="1"/>
      <name val="Times New Roman"/>
      <family val="1"/>
    </font>
    <font>
      <vertAlign val="superscript"/>
      <sz val="10"/>
      <color theme="1"/>
      <name val="Times New Roman"/>
      <family val="1"/>
    </font>
    <font>
      <u/>
      <sz val="11"/>
      <color theme="10"/>
      <name val="Calibri"/>
      <family val="2"/>
      <scheme val="minor"/>
    </font>
    <font>
      <sz val="12"/>
      <color rgb="FF000000"/>
      <name val="Times New Roman"/>
      <family val="1"/>
    </font>
    <font>
      <b/>
      <vertAlign val="superscript"/>
      <sz val="12"/>
      <color rgb="FF000000"/>
      <name val="Times New Roman"/>
      <family val="1"/>
    </font>
    <font>
      <sz val="9"/>
      <name val="Calibri"/>
      <family val="2"/>
      <scheme val="minor"/>
    </font>
    <font>
      <b/>
      <sz val="9"/>
      <name val="Times New Roman"/>
      <family val="1"/>
    </font>
    <font>
      <b/>
      <vertAlign val="superscript"/>
      <sz val="9"/>
      <name val="Times New Roman"/>
      <family val="1"/>
    </font>
    <font>
      <sz val="9"/>
      <name val="Times New Roman"/>
      <family val="1"/>
    </font>
    <font>
      <b/>
      <sz val="9"/>
      <color theme="1"/>
      <name val="Times New Roman"/>
      <family val="1"/>
    </font>
    <font>
      <sz val="9"/>
      <color theme="1"/>
      <name val="Times New Roman"/>
      <family val="1"/>
    </font>
    <font>
      <vertAlign val="superscript"/>
      <sz val="9"/>
      <color theme="1"/>
      <name val="Times New Roman"/>
      <family val="1"/>
    </font>
    <font>
      <b/>
      <sz val="10"/>
      <name val="Calibri"/>
      <family val="2"/>
      <scheme val="minor"/>
    </font>
    <font>
      <b/>
      <sz val="11"/>
      <color rgb="FFFF0000"/>
      <name val="Calibri"/>
      <family val="2"/>
      <scheme val="minor"/>
    </font>
  </fonts>
  <fills count="3">
    <fill>
      <patternFill patternType="none"/>
    </fill>
    <fill>
      <patternFill patternType="gray125"/>
    </fill>
    <fill>
      <patternFill patternType="solid">
        <fgColor rgb="FFFFFF00"/>
        <bgColor indexed="64"/>
      </patternFill>
    </fill>
  </fills>
  <borders count="22">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bottom style="medium">
        <color rgb="FFFFFFFF"/>
      </bottom>
      <diagonal/>
    </border>
    <border>
      <left/>
      <right style="medium">
        <color rgb="FFFFFFFF"/>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medium">
        <color rgb="FFFFFFFF"/>
      </bottom>
      <diagonal/>
    </border>
    <border>
      <left/>
      <right style="thin">
        <color indexed="64"/>
      </right>
      <top/>
      <bottom style="medium">
        <color rgb="FFFFFFFF"/>
      </bottom>
      <diagonal/>
    </border>
    <border>
      <left style="thin">
        <color indexed="64"/>
      </left>
      <right style="medium">
        <color rgb="FFFFFFFF"/>
      </right>
      <top/>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s>
  <cellStyleXfs count="2">
    <xf numFmtId="0" fontId="0" fillId="0" borderId="0"/>
    <xf numFmtId="0" fontId="13" fillId="0" borderId="0" applyNumberFormat="0" applyFill="0" applyBorder="0" applyAlignment="0" applyProtection="0"/>
  </cellStyleXfs>
  <cellXfs count="80">
    <xf numFmtId="0" fontId="0" fillId="0" borderId="0" xfId="0"/>
    <xf numFmtId="0" fontId="3" fillId="0" borderId="0" xfId="0" applyFont="1" applyAlignment="1">
      <alignment vertical="center"/>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0" fillId="0" borderId="7" xfId="0" applyBorder="1" applyAlignment="1">
      <alignment vertical="center" wrapText="1"/>
    </xf>
    <xf numFmtId="0" fontId="5" fillId="0" borderId="7" xfId="0" applyFont="1" applyBorder="1" applyAlignment="1">
      <alignment horizontal="center" vertical="center" wrapText="1"/>
    </xf>
    <xf numFmtId="0" fontId="7" fillId="0" borderId="3" xfId="0" applyFont="1" applyBorder="1" applyAlignment="1">
      <alignment horizontal="left" vertical="center" wrapText="1" indent="1"/>
    </xf>
    <xf numFmtId="0" fontId="7" fillId="0" borderId="7" xfId="0" applyFont="1" applyBorder="1" applyAlignment="1">
      <alignment horizontal="center" vertical="center" wrapText="1"/>
    </xf>
    <xf numFmtId="0" fontId="7" fillId="0" borderId="7" xfId="0" applyFont="1" applyBorder="1" applyAlignment="1">
      <alignment horizontal="right" vertical="center" wrapText="1"/>
    </xf>
    <xf numFmtId="0" fontId="7" fillId="0" borderId="3" xfId="0" applyFont="1" applyBorder="1" applyAlignment="1">
      <alignment vertical="center" wrapText="1"/>
    </xf>
    <xf numFmtId="0" fontId="7" fillId="0" borderId="3" xfId="0" applyFont="1" applyBorder="1" applyAlignment="1">
      <alignment horizontal="left" vertical="center" wrapText="1" indent="2"/>
    </xf>
    <xf numFmtId="0" fontId="7" fillId="0" borderId="3" xfId="0" applyFont="1" applyBorder="1" applyAlignment="1">
      <alignment horizontal="left" vertical="center" wrapText="1" indent="3"/>
    </xf>
    <xf numFmtId="6" fontId="7" fillId="0" borderId="7" xfId="0" applyNumberFormat="1" applyFont="1" applyBorder="1" applyAlignment="1">
      <alignment horizontal="right" vertical="center" wrapText="1"/>
    </xf>
    <xf numFmtId="0" fontId="5" fillId="0" borderId="3" xfId="0" applyFont="1" applyBorder="1" applyAlignment="1">
      <alignment vertical="center" wrapText="1"/>
    </xf>
    <xf numFmtId="6" fontId="5" fillId="0" borderId="7" xfId="0" applyNumberFormat="1" applyFont="1" applyBorder="1" applyAlignment="1">
      <alignment horizontal="right" vertical="center" wrapText="1"/>
    </xf>
    <xf numFmtId="0" fontId="7" fillId="0" borderId="7" xfId="0" applyFont="1" applyBorder="1" applyAlignment="1">
      <alignment vertical="center" wrapText="1"/>
    </xf>
    <xf numFmtId="0" fontId="9" fillId="0" borderId="7" xfId="0" applyFont="1" applyBorder="1" applyAlignment="1">
      <alignment vertical="center"/>
    </xf>
    <xf numFmtId="0" fontId="10" fillId="0" borderId="0" xfId="0" applyFont="1" applyAlignment="1">
      <alignment vertical="center"/>
    </xf>
    <xf numFmtId="0" fontId="11" fillId="0" borderId="0" xfId="0" applyFont="1" applyAlignment="1">
      <alignment vertical="center"/>
    </xf>
    <xf numFmtId="0" fontId="12" fillId="0" borderId="0" xfId="0" applyFont="1" applyAlignment="1">
      <alignment vertical="center"/>
    </xf>
    <xf numFmtId="0" fontId="13" fillId="0" borderId="0" xfId="1"/>
    <xf numFmtId="0" fontId="5" fillId="0" borderId="0" xfId="0" applyFont="1" applyFill="1" applyBorder="1" applyAlignment="1">
      <alignment horizontal="center" vertical="center" wrapText="1"/>
    </xf>
    <xf numFmtId="17" fontId="0" fillId="0" borderId="0" xfId="0" quotePrefix="1" applyNumberFormat="1"/>
    <xf numFmtId="0" fontId="7" fillId="0" borderId="11" xfId="0" applyFont="1" applyBorder="1" applyAlignment="1">
      <alignment vertical="center" wrapText="1"/>
    </xf>
    <xf numFmtId="0" fontId="4" fillId="0" borderId="0" xfId="0" applyFont="1"/>
    <xf numFmtId="0" fontId="3" fillId="0" borderId="18" xfId="0" applyFont="1" applyBorder="1" applyAlignment="1">
      <alignment vertical="center" wrapText="1"/>
    </xf>
    <xf numFmtId="0" fontId="7" fillId="0" borderId="19" xfId="0" applyFont="1" applyBorder="1" applyAlignment="1">
      <alignment vertical="center" wrapText="1"/>
    </xf>
    <xf numFmtId="0" fontId="7" fillId="0" borderId="12" xfId="0" applyFont="1" applyBorder="1" applyAlignment="1">
      <alignment horizontal="center" vertical="center" wrapText="1"/>
    </xf>
    <xf numFmtId="0" fontId="7" fillId="0" borderId="12" xfId="0" applyFont="1" applyBorder="1" applyAlignment="1">
      <alignment vertical="center" wrapText="1"/>
    </xf>
    <xf numFmtId="0" fontId="4" fillId="0" borderId="12" xfId="0" applyFont="1" applyBorder="1" applyAlignment="1">
      <alignment vertical="center" wrapText="1"/>
    </xf>
    <xf numFmtId="6" fontId="4" fillId="0" borderId="12" xfId="0" applyNumberFormat="1" applyFont="1" applyBorder="1" applyAlignment="1">
      <alignment horizontal="center" vertical="center" wrapText="1"/>
    </xf>
    <xf numFmtId="0" fontId="4" fillId="0" borderId="12" xfId="0" applyFont="1" applyBorder="1" applyAlignment="1">
      <alignment horizontal="center" vertical="center" wrapText="1"/>
    </xf>
    <xf numFmtId="0" fontId="3" fillId="0" borderId="20" xfId="0" applyFont="1" applyBorder="1" applyAlignment="1">
      <alignment vertical="center"/>
    </xf>
    <xf numFmtId="0" fontId="3" fillId="0" borderId="4" xfId="0" applyFont="1" applyBorder="1" applyAlignment="1">
      <alignment horizontal="center" vertical="center"/>
    </xf>
    <xf numFmtId="0" fontId="14" fillId="0" borderId="3" xfId="0" applyFont="1" applyBorder="1" applyAlignment="1">
      <alignment vertical="center"/>
    </xf>
    <xf numFmtId="8" fontId="14" fillId="0" borderId="7" xfId="0" applyNumberFormat="1" applyFont="1" applyBorder="1" applyAlignment="1">
      <alignment horizontal="center" vertical="center"/>
    </xf>
    <xf numFmtId="8" fontId="1" fillId="0" borderId="7" xfId="0" applyNumberFormat="1" applyFont="1" applyBorder="1" applyAlignment="1">
      <alignment horizontal="center" vertical="center"/>
    </xf>
    <xf numFmtId="0" fontId="13" fillId="0" borderId="0" xfId="1" applyAlignment="1">
      <alignment vertical="center"/>
    </xf>
    <xf numFmtId="0" fontId="14" fillId="0" borderId="0" xfId="0" applyFont="1" applyFill="1" applyBorder="1" applyAlignment="1">
      <alignment vertical="center"/>
    </xf>
    <xf numFmtId="0" fontId="16" fillId="0" borderId="0" xfId="0" applyFont="1"/>
    <xf numFmtId="46" fontId="16" fillId="0" borderId="0" xfId="0" quotePrefix="1" applyNumberFormat="1" applyFont="1"/>
    <xf numFmtId="8" fontId="16" fillId="0" borderId="0" xfId="0" applyNumberFormat="1" applyFont="1"/>
    <xf numFmtId="0" fontId="17" fillId="0" borderId="12" xfId="0" applyFont="1" applyBorder="1" applyAlignment="1">
      <alignment horizontal="center" vertical="center" wrapText="1"/>
    </xf>
    <xf numFmtId="0" fontId="17" fillId="0" borderId="21" xfId="0" applyFont="1" applyBorder="1" applyAlignment="1">
      <alignment vertical="top"/>
    </xf>
    <xf numFmtId="0" fontId="20" fillId="0" borderId="12" xfId="0" applyFont="1" applyBorder="1" applyAlignment="1">
      <alignment horizontal="center" vertical="center" wrapText="1"/>
    </xf>
    <xf numFmtId="0" fontId="0" fillId="0" borderId="12" xfId="0" applyBorder="1"/>
    <xf numFmtId="0" fontId="0" fillId="0" borderId="12" xfId="0" applyBorder="1" applyAlignment="1">
      <alignment vertical="top" wrapText="1"/>
    </xf>
    <xf numFmtId="0" fontId="21" fillId="0" borderId="12" xfId="0" applyFont="1" applyBorder="1" applyAlignment="1">
      <alignment horizontal="center" vertical="center" wrapText="1"/>
    </xf>
    <xf numFmtId="0" fontId="21" fillId="0" borderId="12" xfId="0" applyFont="1" applyBorder="1" applyAlignment="1">
      <alignment vertical="center" wrapText="1"/>
    </xf>
    <xf numFmtId="0" fontId="20" fillId="0" borderId="12" xfId="0" applyFont="1" applyBorder="1" applyAlignment="1">
      <alignment vertical="center" wrapText="1"/>
    </xf>
    <xf numFmtId="1" fontId="20" fillId="0" borderId="12" xfId="0" applyNumberFormat="1" applyFont="1" applyBorder="1" applyAlignment="1">
      <alignment horizontal="center" vertical="center" wrapText="1"/>
    </xf>
    <xf numFmtId="2" fontId="0" fillId="0" borderId="0" xfId="0" applyNumberFormat="1"/>
    <xf numFmtId="0" fontId="0" fillId="0" borderId="0" xfId="0" applyAlignment="1">
      <alignment horizontal="right"/>
    </xf>
    <xf numFmtId="3" fontId="19" fillId="0" borderId="12" xfId="0" applyNumberFormat="1" applyFont="1" applyBorder="1" applyAlignment="1">
      <alignment horizontal="center" vertical="center"/>
    </xf>
    <xf numFmtId="6" fontId="19" fillId="0" borderId="12" xfId="0" applyNumberFormat="1" applyFont="1" applyBorder="1" applyAlignment="1">
      <alignment horizontal="right" vertical="center"/>
    </xf>
    <xf numFmtId="164" fontId="19" fillId="0" borderId="12" xfId="0" applyNumberFormat="1" applyFont="1" applyBorder="1" applyAlignment="1">
      <alignment horizontal="center" vertical="center"/>
    </xf>
    <xf numFmtId="8" fontId="19" fillId="0" borderId="12" xfId="0" applyNumberFormat="1" applyFont="1" applyBorder="1" applyAlignment="1">
      <alignment horizontal="right" vertical="center"/>
    </xf>
    <xf numFmtId="0" fontId="16" fillId="0" borderId="21" xfId="0" applyFont="1" applyBorder="1" applyAlignment="1">
      <alignment vertical="center"/>
    </xf>
    <xf numFmtId="6" fontId="17" fillId="0" borderId="21" xfId="0" applyNumberFormat="1" applyFont="1" applyBorder="1" applyAlignment="1">
      <alignment vertical="center"/>
    </xf>
    <xf numFmtId="0" fontId="5" fillId="0" borderId="0" xfId="0" applyFont="1" applyAlignment="1">
      <alignment vertical="center"/>
    </xf>
    <xf numFmtId="0" fontId="8" fillId="0" borderId="0" xfId="0" applyFont="1" applyAlignment="1">
      <alignment vertical="center"/>
    </xf>
    <xf numFmtId="0" fontId="7" fillId="0" borderId="12" xfId="0" applyFont="1" applyBorder="1" applyAlignment="1">
      <alignment horizontal="left" vertical="center" wrapText="1" indent="1"/>
    </xf>
    <xf numFmtId="0" fontId="23" fillId="0" borderId="0" xfId="0" applyFont="1"/>
    <xf numFmtId="8" fontId="0" fillId="0" borderId="0" xfId="0" applyNumberFormat="1"/>
    <xf numFmtId="0" fontId="24" fillId="2" borderId="0" xfId="0" applyFont="1" applyFill="1"/>
    <xf numFmtId="0" fontId="0" fillId="2" borderId="0" xfId="0" applyFill="1"/>
    <xf numFmtId="0" fontId="7" fillId="0" borderId="7" xfId="0" applyFont="1" applyFill="1" applyBorder="1" applyAlignment="1">
      <alignment horizontal="center" vertical="center" wrapText="1"/>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3" fontId="5" fillId="0" borderId="8" xfId="0" applyNumberFormat="1" applyFont="1" applyBorder="1" applyAlignment="1">
      <alignment horizontal="center" vertical="center" wrapText="1"/>
    </xf>
    <xf numFmtId="3" fontId="5" fillId="0" borderId="9" xfId="0" applyNumberFormat="1" applyFont="1" applyBorder="1" applyAlignment="1">
      <alignment horizontal="center" vertical="center" wrapText="1"/>
    </xf>
    <xf numFmtId="3" fontId="5" fillId="0" borderId="4" xfId="0" applyNumberFormat="1" applyFont="1" applyBorder="1" applyAlignment="1">
      <alignment horizontal="center" vertical="center" wrapText="1"/>
    </xf>
    <xf numFmtId="0" fontId="14" fillId="0" borderId="13" xfId="0" applyFont="1" applyBorder="1" applyAlignment="1">
      <alignment vertical="center" wrapText="1"/>
    </xf>
    <xf numFmtId="0" fontId="14" fillId="0" borderId="14" xfId="0" applyFont="1" applyBorder="1" applyAlignment="1">
      <alignment vertical="center" wrapText="1"/>
    </xf>
    <xf numFmtId="0" fontId="14" fillId="0" borderId="15" xfId="0" applyFont="1" applyBorder="1" applyAlignment="1">
      <alignment vertical="center" wrapText="1"/>
    </xf>
    <xf numFmtId="0" fontId="3" fillId="0" borderId="16"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7" xfId="0" applyFont="1" applyBorder="1" applyAlignment="1">
      <alignment horizontal="center" vertical="center" wrapText="1"/>
    </xf>
    <xf numFmtId="3" fontId="17" fillId="0" borderId="21" xfId="0" applyNumberFormat="1" applyFont="1" applyBorder="1" applyAlignment="1">
      <alignment horizontal="center" vertic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bls.gov/oes/current/naics4_331500.htm"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bls.gov/oes/current/naics4_331500.htm"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www.opm.gov/policy-data-oversight/pay-leave/salaries-wages/salary-tables/pdf/2019/GS_h.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94B057-893A-45A6-A005-221E145AB685}">
  <dimension ref="A1:P66"/>
  <sheetViews>
    <sheetView topLeftCell="A37" workbookViewId="0">
      <selection activeCell="A57" sqref="A57"/>
    </sheetView>
  </sheetViews>
  <sheetFormatPr defaultRowHeight="15" x14ac:dyDescent="0.25"/>
  <cols>
    <col min="1" max="1" width="43.85546875" customWidth="1"/>
    <col min="2" max="9" width="11.28515625" customWidth="1"/>
    <col min="12" max="14" width="13.7109375" customWidth="1"/>
    <col min="15" max="15" width="12.5703125" customWidth="1"/>
  </cols>
  <sheetData>
    <row r="1" spans="1:16" ht="15.75" x14ac:dyDescent="0.25">
      <c r="A1" s="1" t="s">
        <v>168</v>
      </c>
      <c r="L1" t="s">
        <v>51</v>
      </c>
    </row>
    <row r="2" spans="1:16" ht="16.5" thickBot="1" x14ac:dyDescent="0.3">
      <c r="A2" s="1"/>
      <c r="F2">
        <f>P6</f>
        <v>81.33</v>
      </c>
      <c r="G2">
        <f>P5</f>
        <v>123.71</v>
      </c>
      <c r="H2">
        <f>P7</f>
        <v>42.8</v>
      </c>
      <c r="L2" s="22" t="s">
        <v>63</v>
      </c>
      <c r="M2" s="20" t="s">
        <v>52</v>
      </c>
    </row>
    <row r="3" spans="1:16" x14ac:dyDescent="0.25">
      <c r="A3" s="67" t="s">
        <v>1</v>
      </c>
      <c r="B3" s="2" t="s">
        <v>2</v>
      </c>
      <c r="C3" s="2" t="s">
        <v>4</v>
      </c>
      <c r="D3" s="2" t="s">
        <v>6</v>
      </c>
      <c r="E3" s="2" t="s">
        <v>9</v>
      </c>
      <c r="F3" s="2" t="s">
        <v>11</v>
      </c>
      <c r="G3" s="2" t="s">
        <v>14</v>
      </c>
      <c r="H3" s="2" t="s">
        <v>17</v>
      </c>
      <c r="I3" s="2" t="s">
        <v>20</v>
      </c>
    </row>
    <row r="4" spans="1:16" ht="63.75" x14ac:dyDescent="0.25">
      <c r="A4" s="68"/>
      <c r="B4" s="3" t="s">
        <v>3</v>
      </c>
      <c r="C4" s="3" t="s">
        <v>5</v>
      </c>
      <c r="D4" s="3" t="s">
        <v>7</v>
      </c>
      <c r="E4" s="3" t="s">
        <v>10</v>
      </c>
      <c r="F4" s="3" t="s">
        <v>12</v>
      </c>
      <c r="G4" s="3" t="s">
        <v>15</v>
      </c>
      <c r="H4" s="3" t="s">
        <v>18</v>
      </c>
      <c r="I4" s="3" t="s">
        <v>21</v>
      </c>
      <c r="L4" s="21" t="s">
        <v>53</v>
      </c>
      <c r="M4" s="21" t="s">
        <v>54</v>
      </c>
      <c r="N4" s="21" t="s">
        <v>55</v>
      </c>
      <c r="O4" s="21" t="s">
        <v>139</v>
      </c>
      <c r="P4" s="21" t="s">
        <v>56</v>
      </c>
    </row>
    <row r="5" spans="1:16" ht="15.75" thickBot="1" x14ac:dyDescent="0.3">
      <c r="A5" s="69"/>
      <c r="B5" s="4"/>
      <c r="C5" s="4"/>
      <c r="D5" s="5" t="s">
        <v>8</v>
      </c>
      <c r="E5" s="4"/>
      <c r="F5" s="5" t="s">
        <v>13</v>
      </c>
      <c r="G5" s="5" t="s">
        <v>16</v>
      </c>
      <c r="H5" s="5" t="s">
        <v>19</v>
      </c>
      <c r="I5" s="4"/>
      <c r="L5" t="s">
        <v>57</v>
      </c>
      <c r="M5" t="s">
        <v>58</v>
      </c>
      <c r="N5">
        <v>58.91</v>
      </c>
      <c r="O5" s="51">
        <f>N5*1.1</f>
        <v>64.801000000000002</v>
      </c>
      <c r="P5">
        <f>ROUND(N5*2.1,2)</f>
        <v>123.71</v>
      </c>
    </row>
    <row r="6" spans="1:16" ht="15.75" thickBot="1" x14ac:dyDescent="0.3">
      <c r="A6" s="6" t="s">
        <v>22</v>
      </c>
      <c r="B6" s="7" t="s">
        <v>23</v>
      </c>
      <c r="C6" s="7"/>
      <c r="D6" s="7"/>
      <c r="E6" s="7"/>
      <c r="F6" s="7"/>
      <c r="G6" s="7"/>
      <c r="H6" s="7"/>
      <c r="I6" s="8"/>
      <c r="L6" t="s">
        <v>59</v>
      </c>
      <c r="M6" t="s">
        <v>60</v>
      </c>
      <c r="N6">
        <v>38.729999999999997</v>
      </c>
      <c r="O6" s="51">
        <f t="shared" ref="O6:O7" si="0">N6*1.1</f>
        <v>42.603000000000002</v>
      </c>
      <c r="P6">
        <f>ROUND(N6*2.1,2)</f>
        <v>81.33</v>
      </c>
    </row>
    <row r="7" spans="1:16" ht="15.75" thickBot="1" x14ac:dyDescent="0.3">
      <c r="A7" s="6" t="s">
        <v>24</v>
      </c>
      <c r="B7" s="7" t="s">
        <v>23</v>
      </c>
      <c r="C7" s="7"/>
      <c r="D7" s="7"/>
      <c r="E7" s="7"/>
      <c r="F7" s="7"/>
      <c r="G7" s="7"/>
      <c r="H7" s="7"/>
      <c r="I7" s="8"/>
      <c r="L7" t="s">
        <v>61</v>
      </c>
      <c r="M7" t="s">
        <v>62</v>
      </c>
      <c r="N7">
        <v>20.38</v>
      </c>
      <c r="O7" s="51">
        <f t="shared" si="0"/>
        <v>22.417999999999999</v>
      </c>
      <c r="P7">
        <f>ROUND(N7*2.1,2)</f>
        <v>42.8</v>
      </c>
    </row>
    <row r="8" spans="1:16" ht="15.75" thickBot="1" x14ac:dyDescent="0.3">
      <c r="A8" s="6" t="s">
        <v>25</v>
      </c>
      <c r="B8" s="7"/>
      <c r="C8" s="7"/>
      <c r="D8" s="7"/>
      <c r="E8" s="7"/>
      <c r="F8" s="7"/>
      <c r="G8" s="7"/>
      <c r="H8" s="7"/>
      <c r="I8" s="8"/>
    </row>
    <row r="9" spans="1:16" ht="16.5" thickBot="1" x14ac:dyDescent="0.3">
      <c r="A9" s="9" t="s">
        <v>76</v>
      </c>
      <c r="B9" s="7">
        <v>2</v>
      </c>
      <c r="C9" s="7">
        <v>1</v>
      </c>
      <c r="D9" s="7">
        <f>B9*C9</f>
        <v>2</v>
      </c>
      <c r="E9" s="7">
        <v>45</v>
      </c>
      <c r="F9" s="7">
        <f>D9*E9</f>
        <v>90</v>
      </c>
      <c r="G9" s="7">
        <f>0.05*F9</f>
        <v>4.5</v>
      </c>
      <c r="H9" s="7">
        <f>0.1*F9</f>
        <v>9</v>
      </c>
      <c r="I9" s="12">
        <f>F9*F$2+G9*G$2+H9*H$2</f>
        <v>8261.5949999999993</v>
      </c>
    </row>
    <row r="10" spans="1:16" ht="16.5" thickBot="1" x14ac:dyDescent="0.3">
      <c r="A10" s="10" t="s">
        <v>26</v>
      </c>
      <c r="B10" s="7"/>
      <c r="C10" s="7"/>
      <c r="D10" s="7"/>
      <c r="E10" s="7"/>
      <c r="F10" s="7"/>
      <c r="G10" s="7"/>
      <c r="H10" s="7"/>
      <c r="I10" s="12"/>
    </row>
    <row r="11" spans="1:16" ht="16.5" thickBot="1" x14ac:dyDescent="0.3">
      <c r="A11" s="11" t="s">
        <v>83</v>
      </c>
      <c r="B11" s="7">
        <v>70</v>
      </c>
      <c r="C11" s="7">
        <v>2</v>
      </c>
      <c r="D11" s="7">
        <f t="shared" ref="D11" si="1">B11*C11</f>
        <v>140</v>
      </c>
      <c r="E11" s="7">
        <v>0</v>
      </c>
      <c r="F11" s="7">
        <f t="shared" ref="F11" si="2">D11*E11</f>
        <v>0</v>
      </c>
      <c r="G11" s="7">
        <f t="shared" ref="G11" si="3">0.05*F11</f>
        <v>0</v>
      </c>
      <c r="H11" s="7">
        <f t="shared" ref="H11" si="4">0.1*F11</f>
        <v>0</v>
      </c>
      <c r="I11" s="12">
        <f t="shared" ref="I11" si="5">F11*F$2+G11*G$2+H11*H$2</f>
        <v>0</v>
      </c>
    </row>
    <row r="12" spans="1:16" ht="16.5" thickBot="1" x14ac:dyDescent="0.3">
      <c r="A12" s="11" t="s">
        <v>79</v>
      </c>
      <c r="B12" s="7">
        <v>70</v>
      </c>
      <c r="C12" s="7">
        <v>0.4</v>
      </c>
      <c r="D12" s="7">
        <f t="shared" ref="D12" si="6">B12*C12</f>
        <v>28</v>
      </c>
      <c r="E12" s="7">
        <v>45</v>
      </c>
      <c r="F12" s="7">
        <f t="shared" ref="F12" si="7">D12*E12</f>
        <v>1260</v>
      </c>
      <c r="G12" s="7">
        <f t="shared" ref="G12" si="8">0.05*F12</f>
        <v>63</v>
      </c>
      <c r="H12" s="7">
        <f t="shared" ref="H12" si="9">0.1*F12</f>
        <v>126</v>
      </c>
      <c r="I12" s="12">
        <f t="shared" ref="I12" si="10">F12*F$2+G12*G$2+H12*H$2</f>
        <v>115662.33</v>
      </c>
    </row>
    <row r="13" spans="1:16" ht="16.5" thickBot="1" x14ac:dyDescent="0.3">
      <c r="A13" s="11" t="s">
        <v>143</v>
      </c>
      <c r="B13" s="7">
        <v>6</v>
      </c>
      <c r="C13" s="7">
        <v>2</v>
      </c>
      <c r="D13" s="7">
        <f t="shared" ref="D13" si="11">B13*C13</f>
        <v>12</v>
      </c>
      <c r="E13" s="7">
        <v>45</v>
      </c>
      <c r="F13" s="7">
        <f t="shared" ref="F13" si="12">D13*E13</f>
        <v>540</v>
      </c>
      <c r="G13" s="7">
        <f t="shared" ref="G13" si="13">0.05*F13</f>
        <v>27</v>
      </c>
      <c r="H13" s="7">
        <f t="shared" ref="H13" si="14">0.1*F13</f>
        <v>54</v>
      </c>
      <c r="I13" s="12">
        <f t="shared" ref="I13" si="15">F13*F$2+G13*G$2+H13*H$2</f>
        <v>49569.569999999992</v>
      </c>
    </row>
    <row r="14" spans="1:16" ht="16.5" thickBot="1" x14ac:dyDescent="0.3">
      <c r="A14" s="9" t="s">
        <v>145</v>
      </c>
      <c r="B14" s="7">
        <v>72</v>
      </c>
      <c r="C14" s="7">
        <v>1</v>
      </c>
      <c r="D14" s="7">
        <f t="shared" ref="D14:D17" si="16">B14*C14</f>
        <v>72</v>
      </c>
      <c r="E14" s="7">
        <v>0</v>
      </c>
      <c r="F14" s="7">
        <f t="shared" ref="F14:F16" si="17">D14*E14</f>
        <v>0</v>
      </c>
      <c r="G14" s="7">
        <f t="shared" ref="G14:G16" si="18">0.05*F14</f>
        <v>0</v>
      </c>
      <c r="H14" s="7">
        <f t="shared" ref="H14:H16" si="19">0.1*F14</f>
        <v>0</v>
      </c>
      <c r="I14" s="12">
        <f t="shared" ref="I14:I16" si="20">F14*F$2+G14*G$2+H14*H$2</f>
        <v>0</v>
      </c>
    </row>
    <row r="15" spans="1:16" ht="16.5" thickBot="1" x14ac:dyDescent="0.3">
      <c r="A15" s="9" t="s">
        <v>144</v>
      </c>
      <c r="B15" s="7">
        <v>10</v>
      </c>
      <c r="C15" s="7">
        <v>1</v>
      </c>
      <c r="D15" s="7">
        <f t="shared" si="16"/>
        <v>10</v>
      </c>
      <c r="E15" s="7">
        <v>0</v>
      </c>
      <c r="F15" s="7">
        <f t="shared" si="17"/>
        <v>0</v>
      </c>
      <c r="G15" s="7">
        <f t="shared" si="18"/>
        <v>0</v>
      </c>
      <c r="H15" s="7">
        <f t="shared" si="19"/>
        <v>0</v>
      </c>
      <c r="I15" s="12">
        <f t="shared" si="20"/>
        <v>0</v>
      </c>
    </row>
    <row r="16" spans="1:16" ht="16.5" thickBot="1" x14ac:dyDescent="0.3">
      <c r="A16" s="9" t="s">
        <v>146</v>
      </c>
      <c r="B16" s="7">
        <v>0.5</v>
      </c>
      <c r="C16" s="7">
        <v>350</v>
      </c>
      <c r="D16" s="7">
        <f t="shared" si="16"/>
        <v>175</v>
      </c>
      <c r="E16" s="7">
        <v>45</v>
      </c>
      <c r="F16" s="7">
        <f t="shared" si="17"/>
        <v>7875</v>
      </c>
      <c r="G16" s="7">
        <f t="shared" si="18"/>
        <v>393.75</v>
      </c>
      <c r="H16" s="7">
        <f t="shared" si="19"/>
        <v>787.5</v>
      </c>
      <c r="I16" s="12">
        <f t="shared" si="20"/>
        <v>722889.5625</v>
      </c>
    </row>
    <row r="17" spans="1:9" ht="39" thickBot="1" x14ac:dyDescent="0.3">
      <c r="A17" s="9" t="s">
        <v>147</v>
      </c>
      <c r="B17" s="7">
        <v>2</v>
      </c>
      <c r="C17" s="7">
        <v>12</v>
      </c>
      <c r="D17" s="7">
        <f t="shared" si="16"/>
        <v>24</v>
      </c>
      <c r="E17" s="7">
        <v>25</v>
      </c>
      <c r="F17" s="7">
        <f>D17*E17</f>
        <v>600</v>
      </c>
      <c r="G17" s="7">
        <f>0.05*F17</f>
        <v>30</v>
      </c>
      <c r="H17" s="7">
        <f>0.1*F17</f>
        <v>60</v>
      </c>
      <c r="I17" s="12">
        <f>F17*F$2+G17*G$2+H17*H$2</f>
        <v>55077.3</v>
      </c>
    </row>
    <row r="18" spans="1:9" ht="15.75" thickBot="1" x14ac:dyDescent="0.3">
      <c r="A18" s="10" t="s">
        <v>27</v>
      </c>
      <c r="B18" s="7" t="s">
        <v>28</v>
      </c>
      <c r="C18" s="7"/>
      <c r="D18" s="7"/>
      <c r="E18" s="7"/>
      <c r="F18" s="7"/>
      <c r="G18" s="7"/>
      <c r="H18" s="7"/>
      <c r="I18" s="12"/>
    </row>
    <row r="19" spans="1:9" ht="15.75" thickBot="1" x14ac:dyDescent="0.3">
      <c r="A19" s="10" t="s">
        <v>29</v>
      </c>
      <c r="B19" s="7" t="s">
        <v>28</v>
      </c>
      <c r="C19" s="7"/>
      <c r="D19" s="7"/>
      <c r="E19" s="7"/>
      <c r="F19" s="7"/>
      <c r="G19" s="7"/>
      <c r="H19" s="7"/>
      <c r="I19" s="12"/>
    </row>
    <row r="20" spans="1:9" ht="15.75" thickBot="1" x14ac:dyDescent="0.3">
      <c r="A20" s="10" t="s">
        <v>30</v>
      </c>
      <c r="B20" s="7"/>
      <c r="C20" s="7"/>
      <c r="D20" s="7"/>
      <c r="E20" s="7"/>
      <c r="F20" s="7"/>
      <c r="G20" s="7"/>
      <c r="H20" s="7"/>
      <c r="I20" s="12"/>
    </row>
    <row r="21" spans="1:9" ht="16.5" thickBot="1" x14ac:dyDescent="0.3">
      <c r="A21" s="9" t="s">
        <v>31</v>
      </c>
      <c r="B21" s="7">
        <v>2</v>
      </c>
      <c r="C21" s="7">
        <v>1</v>
      </c>
      <c r="D21" s="7">
        <f t="shared" ref="D21:D23" si="21">B21*C21</f>
        <v>2</v>
      </c>
      <c r="E21" s="7">
        <v>0</v>
      </c>
      <c r="F21" s="7">
        <f t="shared" ref="F21:F23" si="22">D21*E21</f>
        <v>0</v>
      </c>
      <c r="G21" s="7">
        <f t="shared" ref="G21:G23" si="23">0.05*F21</f>
        <v>0</v>
      </c>
      <c r="H21" s="7">
        <f t="shared" ref="H21:H23" si="24">0.1*F21</f>
        <v>0</v>
      </c>
      <c r="I21" s="12">
        <f t="shared" ref="I21:I23" si="25">F21*F$2+G21*G$2+H21*H$2</f>
        <v>0</v>
      </c>
    </row>
    <row r="22" spans="1:9" ht="16.5" thickBot="1" x14ac:dyDescent="0.3">
      <c r="A22" s="9" t="s">
        <v>32</v>
      </c>
      <c r="B22" s="7">
        <v>2</v>
      </c>
      <c r="C22" s="7">
        <v>1</v>
      </c>
      <c r="D22" s="7">
        <f t="shared" si="21"/>
        <v>2</v>
      </c>
      <c r="E22" s="7">
        <v>0</v>
      </c>
      <c r="F22" s="7">
        <f t="shared" si="22"/>
        <v>0</v>
      </c>
      <c r="G22" s="7">
        <f t="shared" si="23"/>
        <v>0</v>
      </c>
      <c r="H22" s="7">
        <f t="shared" si="24"/>
        <v>0</v>
      </c>
      <c r="I22" s="12">
        <f t="shared" si="25"/>
        <v>0</v>
      </c>
    </row>
    <row r="23" spans="1:9" ht="16.5" thickBot="1" x14ac:dyDescent="0.3">
      <c r="A23" s="9" t="s">
        <v>33</v>
      </c>
      <c r="B23" s="7">
        <v>2</v>
      </c>
      <c r="C23" s="7">
        <v>1</v>
      </c>
      <c r="D23" s="7">
        <f t="shared" si="21"/>
        <v>2</v>
      </c>
      <c r="E23" s="7">
        <v>0</v>
      </c>
      <c r="F23" s="7">
        <f t="shared" si="22"/>
        <v>0</v>
      </c>
      <c r="G23" s="7">
        <f t="shared" si="23"/>
        <v>0</v>
      </c>
      <c r="H23" s="7">
        <f t="shared" si="24"/>
        <v>0</v>
      </c>
      <c r="I23" s="12">
        <f t="shared" si="25"/>
        <v>0</v>
      </c>
    </row>
    <row r="24" spans="1:9" ht="16.5" thickBot="1" x14ac:dyDescent="0.3">
      <c r="A24" s="9" t="s">
        <v>34</v>
      </c>
      <c r="B24" s="7" t="s">
        <v>23</v>
      </c>
      <c r="C24" s="7"/>
      <c r="D24" s="7"/>
      <c r="E24" s="7"/>
      <c r="F24" s="7"/>
      <c r="G24" s="7"/>
      <c r="H24" s="7"/>
      <c r="I24" s="12"/>
    </row>
    <row r="25" spans="1:9" ht="16.5" thickBot="1" x14ac:dyDescent="0.3">
      <c r="A25" s="9" t="s">
        <v>35</v>
      </c>
      <c r="B25" s="7">
        <v>2</v>
      </c>
      <c r="C25" s="7">
        <v>1</v>
      </c>
      <c r="D25" s="7">
        <f t="shared" ref="D25:D30" si="26">B25*C25</f>
        <v>2</v>
      </c>
      <c r="E25" s="7">
        <v>0</v>
      </c>
      <c r="F25" s="7">
        <f t="shared" ref="F25:F30" si="27">D25*E25</f>
        <v>0</v>
      </c>
      <c r="G25" s="7">
        <f t="shared" ref="G25:G30" si="28">0.05*F25</f>
        <v>0</v>
      </c>
      <c r="H25" s="7">
        <f t="shared" ref="H25:H30" si="29">0.1*F25</f>
        <v>0</v>
      </c>
      <c r="I25" s="12">
        <f t="shared" ref="I25:I30" si="30">F25*F$2+G25*G$2+H25*H$2</f>
        <v>0</v>
      </c>
    </row>
    <row r="26" spans="1:9" ht="16.5" thickBot="1" x14ac:dyDescent="0.3">
      <c r="A26" s="9" t="s">
        <v>103</v>
      </c>
      <c r="B26" s="7">
        <v>1</v>
      </c>
      <c r="C26" s="7">
        <v>0.4</v>
      </c>
      <c r="D26" s="7">
        <f t="shared" si="26"/>
        <v>0.4</v>
      </c>
      <c r="E26" s="7">
        <v>45</v>
      </c>
      <c r="F26" s="7">
        <f t="shared" si="27"/>
        <v>18</v>
      </c>
      <c r="G26" s="7">
        <f t="shared" si="28"/>
        <v>0.9</v>
      </c>
      <c r="H26" s="7">
        <f t="shared" si="29"/>
        <v>1.8</v>
      </c>
      <c r="I26" s="12">
        <f t="shared" si="30"/>
        <v>1652.319</v>
      </c>
    </row>
    <row r="27" spans="1:9" ht="16.5" thickBot="1" x14ac:dyDescent="0.3">
      <c r="A27" s="9" t="s">
        <v>37</v>
      </c>
      <c r="B27" s="7">
        <v>20</v>
      </c>
      <c r="C27" s="7">
        <v>3.8</v>
      </c>
      <c r="D27" s="7">
        <f t="shared" si="26"/>
        <v>76</v>
      </c>
      <c r="E27" s="7">
        <v>0</v>
      </c>
      <c r="F27" s="7">
        <f t="shared" si="27"/>
        <v>0</v>
      </c>
      <c r="G27" s="7">
        <f t="shared" si="28"/>
        <v>0</v>
      </c>
      <c r="H27" s="7">
        <f t="shared" si="29"/>
        <v>0</v>
      </c>
      <c r="I27" s="12">
        <f t="shared" si="30"/>
        <v>0</v>
      </c>
    </row>
    <row r="28" spans="1:9" ht="16.5" thickBot="1" x14ac:dyDescent="0.3">
      <c r="A28" s="9" t="s">
        <v>38</v>
      </c>
      <c r="B28" s="7">
        <v>60</v>
      </c>
      <c r="C28" s="7">
        <v>1</v>
      </c>
      <c r="D28" s="7">
        <f t="shared" si="26"/>
        <v>60</v>
      </c>
      <c r="E28" s="7">
        <v>0</v>
      </c>
      <c r="F28" s="7">
        <f t="shared" si="27"/>
        <v>0</v>
      </c>
      <c r="G28" s="7">
        <f t="shared" si="28"/>
        <v>0</v>
      </c>
      <c r="H28" s="7">
        <f t="shared" si="29"/>
        <v>0</v>
      </c>
      <c r="I28" s="12">
        <f t="shared" si="30"/>
        <v>0</v>
      </c>
    </row>
    <row r="29" spans="1:9" ht="16.5" thickBot="1" x14ac:dyDescent="0.3">
      <c r="A29" s="9" t="s">
        <v>39</v>
      </c>
      <c r="B29" s="7">
        <v>40</v>
      </c>
      <c r="C29" s="7">
        <v>1</v>
      </c>
      <c r="D29" s="7">
        <f t="shared" si="26"/>
        <v>40</v>
      </c>
      <c r="E29" s="7">
        <v>0</v>
      </c>
      <c r="F29" s="7">
        <f t="shared" si="27"/>
        <v>0</v>
      </c>
      <c r="G29" s="7">
        <f t="shared" si="28"/>
        <v>0</v>
      </c>
      <c r="H29" s="7">
        <f t="shared" si="29"/>
        <v>0</v>
      </c>
      <c r="I29" s="12">
        <f t="shared" si="30"/>
        <v>0</v>
      </c>
    </row>
    <row r="30" spans="1:9" ht="16.5" thickBot="1" x14ac:dyDescent="0.3">
      <c r="A30" s="9" t="s">
        <v>40</v>
      </c>
      <c r="B30" s="7">
        <v>8</v>
      </c>
      <c r="C30" s="7">
        <v>1</v>
      </c>
      <c r="D30" s="7">
        <f t="shared" si="26"/>
        <v>8</v>
      </c>
      <c r="E30" s="7">
        <v>0</v>
      </c>
      <c r="F30" s="7">
        <f t="shared" si="27"/>
        <v>0</v>
      </c>
      <c r="G30" s="7">
        <f t="shared" si="28"/>
        <v>0</v>
      </c>
      <c r="H30" s="7">
        <f t="shared" si="29"/>
        <v>0</v>
      </c>
      <c r="I30" s="12">
        <f t="shared" si="30"/>
        <v>0</v>
      </c>
    </row>
    <row r="31" spans="1:9" ht="15.75" thickBot="1" x14ac:dyDescent="0.3">
      <c r="A31" s="9" t="s">
        <v>41</v>
      </c>
      <c r="B31" s="7" t="s">
        <v>23</v>
      </c>
      <c r="C31" s="7"/>
      <c r="D31" s="7"/>
      <c r="E31" s="7"/>
      <c r="F31" s="7"/>
      <c r="G31" s="7"/>
      <c r="H31" s="7"/>
      <c r="I31" s="12"/>
    </row>
    <row r="32" spans="1:9" ht="29.25" thickBot="1" x14ac:dyDescent="0.3">
      <c r="A32" s="9" t="s">
        <v>141</v>
      </c>
      <c r="B32" s="7">
        <v>8</v>
      </c>
      <c r="C32" s="7">
        <v>0.4</v>
      </c>
      <c r="D32" s="7">
        <f t="shared" ref="D32" si="31">B32*C32</f>
        <v>3.2</v>
      </c>
      <c r="E32" s="7">
        <v>45</v>
      </c>
      <c r="F32" s="7">
        <f t="shared" ref="F32" si="32">D32*E32</f>
        <v>144</v>
      </c>
      <c r="G32" s="7">
        <f t="shared" ref="G32" si="33">0.05*F32</f>
        <v>7.2</v>
      </c>
      <c r="H32" s="7">
        <f t="shared" ref="H32" si="34">0.1*F32</f>
        <v>14.4</v>
      </c>
      <c r="I32" s="12">
        <f t="shared" ref="I32" si="35">F32*F$2+G32*G$2+H32*H$2</f>
        <v>13218.552</v>
      </c>
    </row>
    <row r="33" spans="1:9" ht="16.5" thickBot="1" x14ac:dyDescent="0.3">
      <c r="A33" s="9" t="s">
        <v>87</v>
      </c>
      <c r="B33" s="7">
        <v>12</v>
      </c>
      <c r="C33" s="7">
        <v>2</v>
      </c>
      <c r="D33" s="7">
        <f t="shared" ref="D33" si="36">B33*C33</f>
        <v>24</v>
      </c>
      <c r="E33" s="7">
        <v>45</v>
      </c>
      <c r="F33" s="7">
        <f t="shared" ref="F33" si="37">D33*E33</f>
        <v>1080</v>
      </c>
      <c r="G33" s="7">
        <f t="shared" ref="G33" si="38">0.05*F33</f>
        <v>54</v>
      </c>
      <c r="H33" s="7">
        <f t="shared" ref="H33" si="39">0.1*F33</f>
        <v>108</v>
      </c>
      <c r="I33" s="12">
        <f t="shared" ref="I33" si="40">F33*F$2+G33*G$2+H33*H$2</f>
        <v>99139.139999999985</v>
      </c>
    </row>
    <row r="34" spans="1:9" ht="15.75" thickBot="1" x14ac:dyDescent="0.3">
      <c r="A34" s="13" t="s">
        <v>43</v>
      </c>
      <c r="B34" s="5"/>
      <c r="C34" s="5"/>
      <c r="D34" s="7"/>
      <c r="E34" s="5"/>
      <c r="F34" s="70">
        <f>SUM(F6:H33)</f>
        <v>13348.05</v>
      </c>
      <c r="G34" s="71"/>
      <c r="H34" s="72"/>
      <c r="I34" s="14">
        <f>SUM(I6:I33)</f>
        <v>1065470.3685000001</v>
      </c>
    </row>
    <row r="35" spans="1:9" ht="15.75" thickBot="1" x14ac:dyDescent="0.3">
      <c r="A35" s="6" t="s">
        <v>44</v>
      </c>
      <c r="B35" s="7"/>
      <c r="C35" s="7"/>
      <c r="D35" s="7"/>
      <c r="E35" s="7"/>
      <c r="F35" s="7"/>
      <c r="G35" s="7"/>
      <c r="H35" s="7"/>
      <c r="I35" s="8"/>
    </row>
    <row r="36" spans="1:9" ht="16.5" thickBot="1" x14ac:dyDescent="0.3">
      <c r="A36" s="9" t="s">
        <v>76</v>
      </c>
      <c r="B36" s="7" t="s">
        <v>45</v>
      </c>
      <c r="C36" s="7"/>
      <c r="D36" s="7"/>
      <c r="E36" s="7"/>
      <c r="F36" s="7"/>
      <c r="G36" s="7"/>
      <c r="H36" s="7"/>
      <c r="I36" s="8"/>
    </row>
    <row r="37" spans="1:9" ht="16.5" thickBot="1" x14ac:dyDescent="0.3">
      <c r="A37" s="10" t="s">
        <v>88</v>
      </c>
      <c r="B37" s="7">
        <v>3</v>
      </c>
      <c r="C37" s="7">
        <v>1</v>
      </c>
      <c r="D37" s="7">
        <f t="shared" ref="D37:D43" si="41">B37*C37</f>
        <v>3</v>
      </c>
      <c r="E37" s="7">
        <v>15</v>
      </c>
      <c r="F37" s="7">
        <f t="shared" ref="F37:F43" si="42">D37*E37</f>
        <v>45</v>
      </c>
      <c r="G37" s="7">
        <f t="shared" ref="G37:G43" si="43">0.05*F37</f>
        <v>2.25</v>
      </c>
      <c r="H37" s="7">
        <f t="shared" ref="H37:H43" si="44">0.1*F37</f>
        <v>4.5</v>
      </c>
      <c r="I37" s="12">
        <f t="shared" ref="I37:I43" si="45">F37*F$2+G37*G$2+H37*H$2</f>
        <v>4130.7974999999997</v>
      </c>
    </row>
    <row r="38" spans="1:9" ht="16.5" thickBot="1" x14ac:dyDescent="0.3">
      <c r="A38" s="10" t="s">
        <v>89</v>
      </c>
      <c r="B38" s="7">
        <v>6</v>
      </c>
      <c r="C38" s="7">
        <v>1</v>
      </c>
      <c r="D38" s="7">
        <f t="shared" si="41"/>
        <v>6</v>
      </c>
      <c r="E38" s="7">
        <v>15</v>
      </c>
      <c r="F38" s="7">
        <f t="shared" si="42"/>
        <v>90</v>
      </c>
      <c r="G38" s="7">
        <f t="shared" si="43"/>
        <v>4.5</v>
      </c>
      <c r="H38" s="7">
        <f t="shared" si="44"/>
        <v>9</v>
      </c>
      <c r="I38" s="12">
        <f t="shared" si="45"/>
        <v>8261.5949999999993</v>
      </c>
    </row>
    <row r="39" spans="1:9" ht="16.5" thickBot="1" x14ac:dyDescent="0.3">
      <c r="A39" s="10" t="s">
        <v>90</v>
      </c>
      <c r="B39" s="7">
        <v>1</v>
      </c>
      <c r="C39" s="7">
        <v>1</v>
      </c>
      <c r="D39" s="7">
        <f t="shared" si="41"/>
        <v>1</v>
      </c>
      <c r="E39" s="7">
        <v>15</v>
      </c>
      <c r="F39" s="7">
        <f t="shared" si="42"/>
        <v>15</v>
      </c>
      <c r="G39" s="7">
        <f t="shared" si="43"/>
        <v>0.75</v>
      </c>
      <c r="H39" s="7">
        <f t="shared" si="44"/>
        <v>1.5</v>
      </c>
      <c r="I39" s="12">
        <f t="shared" si="45"/>
        <v>1376.9325000000001</v>
      </c>
    </row>
    <row r="40" spans="1:9" ht="15.75" thickBot="1" x14ac:dyDescent="0.3">
      <c r="A40" s="10" t="s">
        <v>170</v>
      </c>
      <c r="B40" s="7"/>
      <c r="C40" s="7"/>
      <c r="D40" s="7"/>
      <c r="E40" s="7"/>
      <c r="F40" s="7"/>
      <c r="G40" s="7"/>
      <c r="H40" s="7"/>
      <c r="I40" s="12"/>
    </row>
    <row r="41" spans="1:9" ht="16.5" thickBot="1" x14ac:dyDescent="0.3">
      <c r="A41" s="11" t="s">
        <v>172</v>
      </c>
      <c r="B41" s="7">
        <v>0.5</v>
      </c>
      <c r="C41" s="7">
        <v>52</v>
      </c>
      <c r="D41" s="7">
        <f t="shared" ref="D41" si="46">B41*C41</f>
        <v>26</v>
      </c>
      <c r="E41" s="7">
        <v>15</v>
      </c>
      <c r="F41" s="7">
        <f t="shared" ref="F41" si="47">D41*E41</f>
        <v>390</v>
      </c>
      <c r="G41" s="7">
        <f t="shared" ref="G41" si="48">0.05*F41</f>
        <v>19.5</v>
      </c>
      <c r="H41" s="7">
        <f t="shared" ref="H41" si="49">0.1*F41</f>
        <v>39</v>
      </c>
      <c r="I41" s="12">
        <f t="shared" ref="I41" si="50">F41*F$2+G41*G$2+H41*H$2</f>
        <v>35800.244999999995</v>
      </c>
    </row>
    <row r="42" spans="1:9" ht="16.5" thickBot="1" x14ac:dyDescent="0.3">
      <c r="A42" s="11" t="s">
        <v>171</v>
      </c>
      <c r="B42" s="7">
        <v>0.5</v>
      </c>
      <c r="C42" s="7">
        <v>52</v>
      </c>
      <c r="D42" s="7">
        <f t="shared" si="41"/>
        <v>26</v>
      </c>
      <c r="E42" s="7">
        <v>45</v>
      </c>
      <c r="F42" s="7">
        <f t="shared" si="42"/>
        <v>1170</v>
      </c>
      <c r="G42" s="7">
        <f t="shared" si="43"/>
        <v>58.5</v>
      </c>
      <c r="H42" s="7">
        <f t="shared" si="44"/>
        <v>117</v>
      </c>
      <c r="I42" s="12">
        <f t="shared" si="45"/>
        <v>107400.735</v>
      </c>
    </row>
    <row r="43" spans="1:9" ht="16.5" thickBot="1" x14ac:dyDescent="0.3">
      <c r="A43" s="10" t="s">
        <v>91</v>
      </c>
      <c r="B43" s="7">
        <v>2</v>
      </c>
      <c r="C43" s="7">
        <v>1</v>
      </c>
      <c r="D43" s="7">
        <f t="shared" si="41"/>
        <v>2</v>
      </c>
      <c r="E43" s="7">
        <v>15</v>
      </c>
      <c r="F43" s="7">
        <f t="shared" si="42"/>
        <v>30</v>
      </c>
      <c r="G43" s="7">
        <f t="shared" si="43"/>
        <v>1.5</v>
      </c>
      <c r="H43" s="7">
        <f t="shared" si="44"/>
        <v>3</v>
      </c>
      <c r="I43" s="12">
        <f t="shared" si="45"/>
        <v>2753.8650000000002</v>
      </c>
    </row>
    <row r="44" spans="1:9" ht="29.25" thickBot="1" x14ac:dyDescent="0.3">
      <c r="A44" s="9" t="s">
        <v>104</v>
      </c>
      <c r="B44" s="7">
        <v>2</v>
      </c>
      <c r="C44" s="7">
        <v>1</v>
      </c>
      <c r="D44" s="7">
        <f t="shared" ref="D44" si="51">B44*C44</f>
        <v>2</v>
      </c>
      <c r="E44" s="7">
        <v>15</v>
      </c>
      <c r="F44" s="7">
        <f t="shared" ref="F44" si="52">D44*E44</f>
        <v>30</v>
      </c>
      <c r="G44" s="7">
        <f t="shared" ref="G44" si="53">0.05*F44</f>
        <v>1.5</v>
      </c>
      <c r="H44" s="7">
        <f t="shared" ref="H44" si="54">0.1*F44</f>
        <v>3</v>
      </c>
      <c r="I44" s="12">
        <f t="shared" ref="I44" si="55">F44*F$2+G44*G$2+H44*H$2</f>
        <v>2753.8650000000002</v>
      </c>
    </row>
    <row r="45" spans="1:9" ht="16.5" thickBot="1" x14ac:dyDescent="0.3">
      <c r="A45" s="10" t="s">
        <v>173</v>
      </c>
      <c r="B45" s="7">
        <v>0.25</v>
      </c>
      <c r="C45" s="7">
        <v>2</v>
      </c>
      <c r="D45" s="7">
        <f t="shared" ref="D45" si="56">B45*C45</f>
        <v>0.5</v>
      </c>
      <c r="E45" s="7">
        <v>45</v>
      </c>
      <c r="F45" s="7">
        <f>D45*E45</f>
        <v>22.5</v>
      </c>
      <c r="G45" s="7">
        <f>0.05*F45</f>
        <v>1.125</v>
      </c>
      <c r="H45" s="7">
        <f>0.1*F45</f>
        <v>2.25</v>
      </c>
      <c r="I45" s="12">
        <f>F45*F$2+G45*G$2+H45*H$2</f>
        <v>2065.3987499999998</v>
      </c>
    </row>
    <row r="46" spans="1:9" ht="15.75" thickBot="1" x14ac:dyDescent="0.3">
      <c r="A46" s="10" t="s">
        <v>46</v>
      </c>
      <c r="B46" s="7" t="s">
        <v>23</v>
      </c>
      <c r="C46" s="7"/>
      <c r="D46" s="7"/>
      <c r="E46" s="7"/>
      <c r="F46" s="7"/>
      <c r="G46" s="7"/>
      <c r="H46" s="7"/>
      <c r="I46" s="8"/>
    </row>
    <row r="47" spans="1:9" ht="15.75" thickBot="1" x14ac:dyDescent="0.3">
      <c r="A47" s="13" t="s">
        <v>47</v>
      </c>
      <c r="B47" s="5"/>
      <c r="C47" s="5"/>
      <c r="D47" s="5"/>
      <c r="E47" s="5"/>
      <c r="F47" s="70">
        <f>SUM(F35:H46)</f>
        <v>2061.375</v>
      </c>
      <c r="G47" s="71"/>
      <c r="H47" s="72"/>
      <c r="I47" s="14">
        <f>SUM(I35:I46)</f>
        <v>164543.43374999997</v>
      </c>
    </row>
    <row r="48" spans="1:9" ht="16.5" thickBot="1" x14ac:dyDescent="0.3">
      <c r="A48" s="13" t="s">
        <v>174</v>
      </c>
      <c r="B48" s="15"/>
      <c r="C48" s="15"/>
      <c r="D48" s="15"/>
      <c r="E48" s="15"/>
      <c r="F48" s="70">
        <f>ROUND(F47+F34,-2)</f>
        <v>15400</v>
      </c>
      <c r="G48" s="71"/>
      <c r="H48" s="72"/>
      <c r="I48" s="14">
        <f>ROUND(I47+I34,-4)</f>
        <v>1230000</v>
      </c>
    </row>
    <row r="49" spans="1:9" ht="16.5" thickBot="1" x14ac:dyDescent="0.3">
      <c r="A49" s="13" t="s">
        <v>175</v>
      </c>
      <c r="B49" s="16"/>
      <c r="C49" s="16"/>
      <c r="D49" s="16"/>
      <c r="E49" s="16"/>
      <c r="F49" s="16"/>
      <c r="G49" s="16"/>
      <c r="H49" s="16"/>
      <c r="I49" s="14">
        <f>ROUND(OpCosts!G11,-3)</f>
        <v>206000</v>
      </c>
    </row>
    <row r="50" spans="1:9" ht="16.5" thickBot="1" x14ac:dyDescent="0.3">
      <c r="A50" s="13" t="s">
        <v>176</v>
      </c>
      <c r="B50" s="16"/>
      <c r="C50" s="16"/>
      <c r="D50" s="16"/>
      <c r="E50" s="16"/>
      <c r="F50" s="16"/>
      <c r="G50" s="16"/>
      <c r="H50" s="16"/>
      <c r="I50" s="14">
        <f>ROUND(I34+I47+OpCosts!G11,-4)</f>
        <v>1440000</v>
      </c>
    </row>
    <row r="51" spans="1:9" ht="15.75" x14ac:dyDescent="0.25">
      <c r="A51" s="17"/>
    </row>
    <row r="52" spans="1:9" x14ac:dyDescent="0.25">
      <c r="A52" s="18" t="s">
        <v>48</v>
      </c>
    </row>
    <row r="53" spans="1:9" ht="15.75" x14ac:dyDescent="0.25">
      <c r="A53" s="19" t="s">
        <v>78</v>
      </c>
    </row>
    <row r="54" spans="1:9" ht="15.75" x14ac:dyDescent="0.25">
      <c r="A54" s="19" t="s">
        <v>77</v>
      </c>
    </row>
    <row r="55" spans="1:9" ht="15.75" x14ac:dyDescent="0.25">
      <c r="A55" s="19" t="s">
        <v>49</v>
      </c>
    </row>
    <row r="56" spans="1:9" ht="15.75" x14ac:dyDescent="0.25">
      <c r="A56" s="19" t="s">
        <v>50</v>
      </c>
    </row>
    <row r="57" spans="1:9" ht="15.75" x14ac:dyDescent="0.25">
      <c r="A57" s="19" t="s">
        <v>97</v>
      </c>
    </row>
    <row r="58" spans="1:9" ht="15.75" x14ac:dyDescent="0.25">
      <c r="A58" s="19" t="s">
        <v>100</v>
      </c>
    </row>
    <row r="59" spans="1:9" ht="15.75" x14ac:dyDescent="0.25">
      <c r="A59" s="19" t="s">
        <v>98</v>
      </c>
    </row>
    <row r="60" spans="1:9" ht="15.75" x14ac:dyDescent="0.25">
      <c r="A60" s="19" t="s">
        <v>99</v>
      </c>
    </row>
    <row r="61" spans="1:9" ht="15.75" x14ac:dyDescent="0.25">
      <c r="A61" s="19" t="s">
        <v>96</v>
      </c>
    </row>
    <row r="62" spans="1:9" ht="15.75" x14ac:dyDescent="0.25">
      <c r="A62" s="19" t="s">
        <v>95</v>
      </c>
    </row>
    <row r="63" spans="1:9" ht="15.75" x14ac:dyDescent="0.25">
      <c r="A63" s="19" t="s">
        <v>180</v>
      </c>
    </row>
    <row r="64" spans="1:9" ht="15.75" x14ac:dyDescent="0.25">
      <c r="A64" s="19" t="s">
        <v>179</v>
      </c>
    </row>
    <row r="65" spans="1:1" ht="15.75" x14ac:dyDescent="0.25">
      <c r="A65" s="19" t="s">
        <v>177</v>
      </c>
    </row>
    <row r="66" spans="1:1" ht="15.75" x14ac:dyDescent="0.25">
      <c r="A66" s="19" t="s">
        <v>178</v>
      </c>
    </row>
  </sheetData>
  <mergeCells count="4">
    <mergeCell ref="A3:A5"/>
    <mergeCell ref="F34:H34"/>
    <mergeCell ref="F47:H47"/>
    <mergeCell ref="F48:H48"/>
  </mergeCells>
  <hyperlinks>
    <hyperlink ref="M2" r:id="rId1" xr:uid="{690A7C05-D91B-406D-9950-CB14A10D8AF7}"/>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EB8A9F-A4D5-48D6-8BDC-53A4F8E0D62B}">
  <dimension ref="A1:AC66"/>
  <sheetViews>
    <sheetView topLeftCell="A46" workbookViewId="0">
      <selection activeCell="C35" sqref="C35:D35"/>
    </sheetView>
  </sheetViews>
  <sheetFormatPr defaultRowHeight="15" x14ac:dyDescent="0.25"/>
  <cols>
    <col min="1" max="1" width="43.85546875" customWidth="1"/>
    <col min="2" max="9" width="11.28515625" customWidth="1"/>
    <col min="11" max="11" width="11.85546875" bestFit="1" customWidth="1"/>
    <col min="12" max="14" width="13.7109375" customWidth="1"/>
    <col min="15" max="15" width="12.5703125" customWidth="1"/>
  </cols>
  <sheetData>
    <row r="1" spans="1:29" ht="15.75" x14ac:dyDescent="0.25">
      <c r="A1" s="1" t="s">
        <v>0</v>
      </c>
      <c r="Z1" t="s">
        <v>51</v>
      </c>
    </row>
    <row r="2" spans="1:29" ht="16.5" thickBot="1" x14ac:dyDescent="0.3">
      <c r="A2" s="1"/>
      <c r="B2" s="64" t="s">
        <v>181</v>
      </c>
      <c r="F2">
        <f>AC6</f>
        <v>81.33</v>
      </c>
      <c r="G2">
        <f>AC5</f>
        <v>123.71</v>
      </c>
      <c r="H2">
        <f>AC7</f>
        <v>42.8</v>
      </c>
      <c r="K2" s="64" t="s">
        <v>182</v>
      </c>
      <c r="L2" s="65"/>
      <c r="O2">
        <f>F2</f>
        <v>81.33</v>
      </c>
      <c r="P2">
        <f t="shared" ref="P2:Q2" si="0">G2</f>
        <v>123.71</v>
      </c>
      <c r="Q2">
        <f t="shared" si="0"/>
        <v>42.8</v>
      </c>
      <c r="Z2" s="22" t="s">
        <v>63</v>
      </c>
      <c r="AA2" s="20" t="s">
        <v>52</v>
      </c>
    </row>
    <row r="3" spans="1:29" x14ac:dyDescent="0.25">
      <c r="A3" s="67" t="s">
        <v>1</v>
      </c>
      <c r="B3" s="2" t="s">
        <v>2</v>
      </c>
      <c r="C3" s="2" t="s">
        <v>4</v>
      </c>
      <c r="D3" s="2" t="s">
        <v>6</v>
      </c>
      <c r="E3" s="2" t="s">
        <v>9</v>
      </c>
      <c r="F3" s="2" t="s">
        <v>11</v>
      </c>
      <c r="G3" s="2" t="s">
        <v>14</v>
      </c>
      <c r="H3" s="2" t="s">
        <v>17</v>
      </c>
      <c r="I3" s="2" t="s">
        <v>20</v>
      </c>
      <c r="K3" s="2" t="s">
        <v>2</v>
      </c>
      <c r="L3" s="2" t="s">
        <v>4</v>
      </c>
      <c r="M3" s="2" t="s">
        <v>6</v>
      </c>
      <c r="N3" s="2" t="s">
        <v>9</v>
      </c>
      <c r="O3" s="2" t="s">
        <v>11</v>
      </c>
      <c r="P3" s="2" t="s">
        <v>14</v>
      </c>
      <c r="Q3" s="2" t="s">
        <v>17</v>
      </c>
      <c r="R3" s="2" t="s">
        <v>20</v>
      </c>
    </row>
    <row r="4" spans="1:29" ht="63.75" x14ac:dyDescent="0.25">
      <c r="A4" s="68"/>
      <c r="B4" s="3" t="s">
        <v>3</v>
      </c>
      <c r="C4" s="3" t="s">
        <v>5</v>
      </c>
      <c r="D4" s="3" t="s">
        <v>7</v>
      </c>
      <c r="E4" s="3" t="s">
        <v>10</v>
      </c>
      <c r="F4" s="3" t="s">
        <v>12</v>
      </c>
      <c r="G4" s="3" t="s">
        <v>15</v>
      </c>
      <c r="H4" s="3" t="s">
        <v>18</v>
      </c>
      <c r="I4" s="3" t="s">
        <v>21</v>
      </c>
      <c r="K4" s="3" t="s">
        <v>3</v>
      </c>
      <c r="L4" s="3" t="s">
        <v>5</v>
      </c>
      <c r="M4" s="3" t="s">
        <v>7</v>
      </c>
      <c r="N4" s="3" t="s">
        <v>10</v>
      </c>
      <c r="O4" s="3" t="s">
        <v>12</v>
      </c>
      <c r="P4" s="3" t="s">
        <v>15</v>
      </c>
      <c r="Q4" s="3" t="s">
        <v>18</v>
      </c>
      <c r="R4" s="3" t="s">
        <v>21</v>
      </c>
      <c r="Z4" s="21" t="s">
        <v>53</v>
      </c>
      <c r="AA4" s="21" t="s">
        <v>54</v>
      </c>
      <c r="AB4" s="21" t="s">
        <v>55</v>
      </c>
      <c r="AC4" s="21" t="s">
        <v>56</v>
      </c>
    </row>
    <row r="5" spans="1:29" ht="26.25" thickBot="1" x14ac:dyDescent="0.3">
      <c r="A5" s="69"/>
      <c r="B5" s="4"/>
      <c r="C5" s="4"/>
      <c r="D5" s="5" t="s">
        <v>8</v>
      </c>
      <c r="E5" s="4"/>
      <c r="F5" s="5" t="s">
        <v>13</v>
      </c>
      <c r="G5" s="5" t="s">
        <v>16</v>
      </c>
      <c r="H5" s="5" t="s">
        <v>19</v>
      </c>
      <c r="I5" s="4"/>
      <c r="K5" s="4"/>
      <c r="L5" s="4"/>
      <c r="M5" s="5" t="s">
        <v>8</v>
      </c>
      <c r="N5" s="4"/>
      <c r="O5" s="5" t="s">
        <v>13</v>
      </c>
      <c r="P5" s="5" t="s">
        <v>16</v>
      </c>
      <c r="Q5" s="5" t="s">
        <v>19</v>
      </c>
      <c r="R5" s="4"/>
      <c r="Z5" t="s">
        <v>57</v>
      </c>
      <c r="AA5" t="s">
        <v>58</v>
      </c>
      <c r="AB5">
        <v>58.91</v>
      </c>
      <c r="AC5">
        <f>ROUND(AB5*2.1,2)</f>
        <v>123.71</v>
      </c>
    </row>
    <row r="6" spans="1:29" ht="15.75" thickBot="1" x14ac:dyDescent="0.3">
      <c r="A6" s="6" t="s">
        <v>22</v>
      </c>
      <c r="B6" s="7" t="s">
        <v>23</v>
      </c>
      <c r="C6" s="7"/>
      <c r="D6" s="7"/>
      <c r="E6" s="7"/>
      <c r="F6" s="7"/>
      <c r="G6" s="7"/>
      <c r="H6" s="7"/>
      <c r="I6" s="8"/>
      <c r="K6" s="7" t="s">
        <v>23</v>
      </c>
      <c r="L6" s="7"/>
      <c r="M6" s="7"/>
      <c r="N6" s="7"/>
      <c r="O6" s="7"/>
      <c r="P6" s="7"/>
      <c r="Q6" s="7"/>
      <c r="R6" s="8"/>
      <c r="Z6" t="s">
        <v>59</v>
      </c>
      <c r="AA6" t="s">
        <v>60</v>
      </c>
      <c r="AB6">
        <v>38.729999999999997</v>
      </c>
      <c r="AC6">
        <f t="shared" ref="AC6:AC7" si="1">ROUND(AB6*2.1,2)</f>
        <v>81.33</v>
      </c>
    </row>
    <row r="7" spans="1:29" ht="15.75" thickBot="1" x14ac:dyDescent="0.3">
      <c r="A7" s="6" t="s">
        <v>24</v>
      </c>
      <c r="B7" s="7" t="s">
        <v>23</v>
      </c>
      <c r="C7" s="7"/>
      <c r="D7" s="7"/>
      <c r="E7" s="7"/>
      <c r="F7" s="7"/>
      <c r="G7" s="7"/>
      <c r="H7" s="7"/>
      <c r="I7" s="8"/>
      <c r="K7" s="7" t="s">
        <v>23</v>
      </c>
      <c r="L7" s="7"/>
      <c r="M7" s="7"/>
      <c r="N7" s="7"/>
      <c r="O7" s="7"/>
      <c r="P7" s="7"/>
      <c r="Q7" s="7"/>
      <c r="R7" s="8"/>
      <c r="Z7" t="s">
        <v>61</v>
      </c>
      <c r="AA7" t="s">
        <v>62</v>
      </c>
      <c r="AB7">
        <v>20.38</v>
      </c>
      <c r="AC7">
        <f t="shared" si="1"/>
        <v>42.8</v>
      </c>
    </row>
    <row r="8" spans="1:29" ht="15.75" thickBot="1" x14ac:dyDescent="0.3">
      <c r="A8" s="6" t="s">
        <v>25</v>
      </c>
      <c r="B8" s="7"/>
      <c r="C8" s="7"/>
      <c r="D8" s="7"/>
      <c r="E8" s="7"/>
      <c r="F8" s="7"/>
      <c r="G8" s="7"/>
      <c r="H8" s="7"/>
      <c r="I8" s="8"/>
      <c r="K8" s="7"/>
      <c r="L8" s="7"/>
      <c r="M8" s="7"/>
      <c r="N8" s="7"/>
      <c r="O8" s="7"/>
      <c r="P8" s="7"/>
      <c r="Q8" s="7"/>
      <c r="R8" s="8"/>
    </row>
    <row r="9" spans="1:29" ht="16.5" thickBot="1" x14ac:dyDescent="0.3">
      <c r="A9" s="9" t="s">
        <v>76</v>
      </c>
      <c r="B9" s="7">
        <v>2</v>
      </c>
      <c r="C9" s="7">
        <v>1</v>
      </c>
      <c r="D9" s="7">
        <f>B9*C9</f>
        <v>2</v>
      </c>
      <c r="E9" s="7"/>
      <c r="F9" s="7">
        <f>D9*E9</f>
        <v>0</v>
      </c>
      <c r="G9" s="7">
        <f>0.05*F9</f>
        <v>0</v>
      </c>
      <c r="H9" s="7">
        <f>0.1*F9</f>
        <v>0</v>
      </c>
      <c r="I9" s="12">
        <f>F9*F$2+G9*G$2+H9*H$2</f>
        <v>0</v>
      </c>
      <c r="K9" s="7">
        <v>2</v>
      </c>
      <c r="L9" s="7">
        <v>1</v>
      </c>
      <c r="M9" s="7">
        <f>K9*L9</f>
        <v>2</v>
      </c>
      <c r="N9" s="7"/>
      <c r="O9" s="7">
        <f>M9*N9</f>
        <v>0</v>
      </c>
      <c r="P9" s="7">
        <f>0.05*O9</f>
        <v>0</v>
      </c>
      <c r="Q9" s="7">
        <f>0.1*O9</f>
        <v>0</v>
      </c>
      <c r="R9" s="12">
        <f>O9*O$2+P9*P$2+Q9*Q$2</f>
        <v>0</v>
      </c>
    </row>
    <row r="10" spans="1:29" ht="16.5" thickBot="1" x14ac:dyDescent="0.3">
      <c r="A10" s="10" t="s">
        <v>26</v>
      </c>
      <c r="B10" s="7"/>
      <c r="C10" s="7"/>
      <c r="D10" s="7"/>
      <c r="E10" s="7"/>
      <c r="F10" s="7"/>
      <c r="G10" s="7"/>
      <c r="H10" s="7"/>
      <c r="I10" s="12"/>
      <c r="K10" s="7"/>
      <c r="L10" s="7"/>
      <c r="M10" s="7"/>
      <c r="N10" s="7"/>
      <c r="O10" s="7"/>
      <c r="P10" s="7"/>
      <c r="Q10" s="7"/>
      <c r="R10" s="12"/>
    </row>
    <row r="11" spans="1:29" ht="16.5" thickBot="1" x14ac:dyDescent="0.3">
      <c r="A11" s="11" t="s">
        <v>83</v>
      </c>
      <c r="B11" s="7">
        <v>70</v>
      </c>
      <c r="C11" s="7">
        <v>2</v>
      </c>
      <c r="D11" s="7">
        <f t="shared" ref="D11:D17" si="2">B11*C11</f>
        <v>140</v>
      </c>
      <c r="E11" s="7"/>
      <c r="F11" s="7">
        <f t="shared" ref="F11:F16" si="3">D11*E11</f>
        <v>0</v>
      </c>
      <c r="G11" s="7">
        <f t="shared" ref="G11:G16" si="4">0.05*F11</f>
        <v>0</v>
      </c>
      <c r="H11" s="7">
        <f t="shared" ref="H11:H16" si="5">0.1*F11</f>
        <v>0</v>
      </c>
      <c r="I11" s="12">
        <f t="shared" ref="I11:I16" si="6">F11*F$2+G11*G$2+H11*H$2</f>
        <v>0</v>
      </c>
      <c r="K11" s="7">
        <v>70</v>
      </c>
      <c r="L11" s="7">
        <v>2</v>
      </c>
      <c r="M11" s="7">
        <f t="shared" ref="M11:M17" si="7">K11*L11</f>
        <v>140</v>
      </c>
      <c r="N11" s="7"/>
      <c r="O11" s="7">
        <f t="shared" ref="O11:O16" si="8">M11*N11</f>
        <v>0</v>
      </c>
      <c r="P11" s="7">
        <f t="shared" ref="P11:P16" si="9">0.05*O11</f>
        <v>0</v>
      </c>
      <c r="Q11" s="7">
        <f t="shared" ref="Q11:Q16" si="10">0.1*O11</f>
        <v>0</v>
      </c>
      <c r="R11" s="12">
        <f t="shared" ref="R11:R16" si="11">O11*O$2+P11*P$2+Q11*Q$2</f>
        <v>0</v>
      </c>
    </row>
    <row r="12" spans="1:29" ht="16.5" thickBot="1" x14ac:dyDescent="0.3">
      <c r="A12" s="11" t="s">
        <v>79</v>
      </c>
      <c r="B12" s="7">
        <v>70</v>
      </c>
      <c r="C12" s="7">
        <v>2</v>
      </c>
      <c r="D12" s="7">
        <f t="shared" si="2"/>
        <v>140</v>
      </c>
      <c r="E12" s="7"/>
      <c r="F12" s="7">
        <f t="shared" si="3"/>
        <v>0</v>
      </c>
      <c r="G12" s="7">
        <f t="shared" si="4"/>
        <v>0</v>
      </c>
      <c r="H12" s="7">
        <f t="shared" si="5"/>
        <v>0</v>
      </c>
      <c r="I12" s="12">
        <f t="shared" si="6"/>
        <v>0</v>
      </c>
      <c r="K12" s="7">
        <v>70</v>
      </c>
      <c r="L12" s="7">
        <v>2</v>
      </c>
      <c r="M12" s="7">
        <f t="shared" si="7"/>
        <v>140</v>
      </c>
      <c r="N12" s="7"/>
      <c r="O12" s="7">
        <f t="shared" si="8"/>
        <v>0</v>
      </c>
      <c r="P12" s="7">
        <f t="shared" si="9"/>
        <v>0</v>
      </c>
      <c r="Q12" s="7">
        <f t="shared" si="10"/>
        <v>0</v>
      </c>
      <c r="R12" s="12">
        <f t="shared" si="11"/>
        <v>0</v>
      </c>
    </row>
    <row r="13" spans="1:29" ht="16.5" thickBot="1" x14ac:dyDescent="0.3">
      <c r="A13" s="11" t="s">
        <v>84</v>
      </c>
      <c r="B13" s="7">
        <v>6</v>
      </c>
      <c r="C13" s="7">
        <v>2</v>
      </c>
      <c r="D13" s="7">
        <f t="shared" si="2"/>
        <v>12</v>
      </c>
      <c r="E13" s="7"/>
      <c r="F13" s="7">
        <f t="shared" si="3"/>
        <v>0</v>
      </c>
      <c r="G13" s="7">
        <f t="shared" si="4"/>
        <v>0</v>
      </c>
      <c r="H13" s="7">
        <f t="shared" si="5"/>
        <v>0</v>
      </c>
      <c r="I13" s="12">
        <f t="shared" si="6"/>
        <v>0</v>
      </c>
      <c r="K13" s="7">
        <v>6</v>
      </c>
      <c r="L13" s="7">
        <v>2</v>
      </c>
      <c r="M13" s="7">
        <f t="shared" si="7"/>
        <v>12</v>
      </c>
      <c r="N13" s="7"/>
      <c r="O13" s="7">
        <f t="shared" si="8"/>
        <v>0</v>
      </c>
      <c r="P13" s="7">
        <f t="shared" si="9"/>
        <v>0</v>
      </c>
      <c r="Q13" s="7">
        <f t="shared" si="10"/>
        <v>0</v>
      </c>
      <c r="R13" s="12">
        <f t="shared" si="11"/>
        <v>0</v>
      </c>
    </row>
    <row r="14" spans="1:29" ht="16.5" thickBot="1" x14ac:dyDescent="0.3">
      <c r="A14" s="9" t="s">
        <v>85</v>
      </c>
      <c r="B14" s="7">
        <v>72</v>
      </c>
      <c r="C14" s="7">
        <v>1</v>
      </c>
      <c r="D14" s="7">
        <f t="shared" si="2"/>
        <v>72</v>
      </c>
      <c r="E14" s="7"/>
      <c r="F14" s="7">
        <f t="shared" si="3"/>
        <v>0</v>
      </c>
      <c r="G14" s="7">
        <f t="shared" si="4"/>
        <v>0</v>
      </c>
      <c r="H14" s="7">
        <f t="shared" si="5"/>
        <v>0</v>
      </c>
      <c r="I14" s="12">
        <f t="shared" si="6"/>
        <v>0</v>
      </c>
      <c r="K14" s="7">
        <v>72</v>
      </c>
      <c r="L14" s="7">
        <v>1</v>
      </c>
      <c r="M14" s="7">
        <f t="shared" si="7"/>
        <v>72</v>
      </c>
      <c r="N14" s="7"/>
      <c r="O14" s="7">
        <f t="shared" si="8"/>
        <v>0</v>
      </c>
      <c r="P14" s="7">
        <f t="shared" si="9"/>
        <v>0</v>
      </c>
      <c r="Q14" s="7">
        <f t="shared" si="10"/>
        <v>0</v>
      </c>
      <c r="R14" s="12">
        <f t="shared" si="11"/>
        <v>0</v>
      </c>
    </row>
    <row r="15" spans="1:29" ht="16.5" thickBot="1" x14ac:dyDescent="0.3">
      <c r="A15" s="9" t="s">
        <v>80</v>
      </c>
      <c r="B15" s="7">
        <v>10</v>
      </c>
      <c r="C15" s="7">
        <v>1</v>
      </c>
      <c r="D15" s="7">
        <f t="shared" si="2"/>
        <v>10</v>
      </c>
      <c r="E15" s="7"/>
      <c r="F15" s="7">
        <f t="shared" si="3"/>
        <v>0</v>
      </c>
      <c r="G15" s="7">
        <f t="shared" si="4"/>
        <v>0</v>
      </c>
      <c r="H15" s="7">
        <f t="shared" si="5"/>
        <v>0</v>
      </c>
      <c r="I15" s="12">
        <f t="shared" si="6"/>
        <v>0</v>
      </c>
      <c r="K15" s="7">
        <v>10</v>
      </c>
      <c r="L15" s="7">
        <v>1</v>
      </c>
      <c r="M15" s="7">
        <f t="shared" si="7"/>
        <v>10</v>
      </c>
      <c r="N15" s="7"/>
      <c r="O15" s="7">
        <f t="shared" si="8"/>
        <v>0</v>
      </c>
      <c r="P15" s="7">
        <f t="shared" si="9"/>
        <v>0</v>
      </c>
      <c r="Q15" s="7">
        <f t="shared" si="10"/>
        <v>0</v>
      </c>
      <c r="R15" s="12">
        <f t="shared" si="11"/>
        <v>0</v>
      </c>
    </row>
    <row r="16" spans="1:29" ht="16.5" thickBot="1" x14ac:dyDescent="0.3">
      <c r="A16" s="9" t="s">
        <v>86</v>
      </c>
      <c r="B16" s="7">
        <v>0.5</v>
      </c>
      <c r="C16" s="7">
        <v>350</v>
      </c>
      <c r="D16" s="7">
        <f t="shared" si="2"/>
        <v>175</v>
      </c>
      <c r="E16" s="7"/>
      <c r="F16" s="7">
        <f t="shared" si="3"/>
        <v>0</v>
      </c>
      <c r="G16" s="7">
        <f t="shared" si="4"/>
        <v>0</v>
      </c>
      <c r="H16" s="7">
        <f t="shared" si="5"/>
        <v>0</v>
      </c>
      <c r="I16" s="12">
        <f t="shared" si="6"/>
        <v>0</v>
      </c>
      <c r="K16" s="7">
        <v>0.5</v>
      </c>
      <c r="L16" s="7">
        <v>350</v>
      </c>
      <c r="M16" s="7">
        <f t="shared" si="7"/>
        <v>175</v>
      </c>
      <c r="N16" s="7"/>
      <c r="O16" s="7">
        <f t="shared" si="8"/>
        <v>0</v>
      </c>
      <c r="P16" s="7">
        <f t="shared" si="9"/>
        <v>0</v>
      </c>
      <c r="Q16" s="7">
        <f t="shared" si="10"/>
        <v>0</v>
      </c>
      <c r="R16" s="12">
        <f t="shared" si="11"/>
        <v>0</v>
      </c>
    </row>
    <row r="17" spans="1:18" ht="39" thickBot="1" x14ac:dyDescent="0.3">
      <c r="A17" s="9" t="s">
        <v>81</v>
      </c>
      <c r="B17" s="7">
        <v>2</v>
      </c>
      <c r="C17" s="7">
        <v>12</v>
      </c>
      <c r="D17" s="7">
        <f t="shared" si="2"/>
        <v>24</v>
      </c>
      <c r="E17" s="7"/>
      <c r="F17" s="7">
        <f>D17*E17</f>
        <v>0</v>
      </c>
      <c r="G17" s="7">
        <f>0.05*F17</f>
        <v>0</v>
      </c>
      <c r="H17" s="7">
        <f>0.1*F17</f>
        <v>0</v>
      </c>
      <c r="I17" s="12">
        <f>F17*F$2+G17*G$2+H17*H$2</f>
        <v>0</v>
      </c>
      <c r="K17" s="7">
        <v>2</v>
      </c>
      <c r="L17" s="7">
        <v>12</v>
      </c>
      <c r="M17" s="7">
        <f t="shared" si="7"/>
        <v>24</v>
      </c>
      <c r="N17" s="7"/>
      <c r="O17" s="7">
        <f>M17*N17</f>
        <v>0</v>
      </c>
      <c r="P17" s="7">
        <f>0.05*O17</f>
        <v>0</v>
      </c>
      <c r="Q17" s="7">
        <f>0.1*O17</f>
        <v>0</v>
      </c>
      <c r="R17" s="12">
        <f>O17*O$2+P17*P$2+Q17*Q$2</f>
        <v>0</v>
      </c>
    </row>
    <row r="18" spans="1:18" ht="15.75" thickBot="1" x14ac:dyDescent="0.3">
      <c r="A18" s="10" t="s">
        <v>27</v>
      </c>
      <c r="B18" s="7" t="s">
        <v>28</v>
      </c>
      <c r="C18" s="7"/>
      <c r="D18" s="7"/>
      <c r="E18" s="7"/>
      <c r="F18" s="7"/>
      <c r="G18" s="7"/>
      <c r="H18" s="7"/>
      <c r="I18" s="12"/>
      <c r="K18" s="7" t="s">
        <v>28</v>
      </c>
      <c r="L18" s="7"/>
      <c r="M18" s="7"/>
      <c r="N18" s="7"/>
      <c r="O18" s="7"/>
      <c r="P18" s="7"/>
      <c r="Q18" s="7"/>
      <c r="R18" s="12"/>
    </row>
    <row r="19" spans="1:18" ht="15.75" thickBot="1" x14ac:dyDescent="0.3">
      <c r="A19" s="10" t="s">
        <v>29</v>
      </c>
      <c r="B19" s="7" t="s">
        <v>28</v>
      </c>
      <c r="C19" s="7"/>
      <c r="D19" s="7"/>
      <c r="E19" s="7"/>
      <c r="F19" s="7"/>
      <c r="G19" s="7"/>
      <c r="H19" s="7"/>
      <c r="I19" s="12"/>
      <c r="K19" s="7" t="s">
        <v>28</v>
      </c>
      <c r="L19" s="7"/>
      <c r="M19" s="7"/>
      <c r="N19" s="7"/>
      <c r="O19" s="7"/>
      <c r="P19" s="7"/>
      <c r="Q19" s="7"/>
      <c r="R19" s="12"/>
    </row>
    <row r="20" spans="1:18" ht="15.75" thickBot="1" x14ac:dyDescent="0.3">
      <c r="A20" s="10" t="s">
        <v>30</v>
      </c>
      <c r="B20" s="7"/>
      <c r="C20" s="7"/>
      <c r="D20" s="7"/>
      <c r="E20" s="7"/>
      <c r="F20" s="7"/>
      <c r="G20" s="7"/>
      <c r="H20" s="7"/>
      <c r="I20" s="12"/>
      <c r="K20" s="7"/>
      <c r="L20" s="7"/>
      <c r="M20" s="7"/>
      <c r="N20" s="7"/>
      <c r="O20" s="7"/>
      <c r="P20" s="7"/>
      <c r="Q20" s="7"/>
      <c r="R20" s="12"/>
    </row>
    <row r="21" spans="1:18" ht="16.5" thickBot="1" x14ac:dyDescent="0.3">
      <c r="A21" s="9" t="s">
        <v>31</v>
      </c>
      <c r="B21" s="7">
        <v>2</v>
      </c>
      <c r="C21" s="7">
        <v>1</v>
      </c>
      <c r="D21" s="7">
        <f t="shared" ref="D21:D23" si="12">B21*C21</f>
        <v>2</v>
      </c>
      <c r="E21" s="7">
        <v>0</v>
      </c>
      <c r="F21" s="7">
        <f t="shared" ref="F21:F23" si="13">D21*E21</f>
        <v>0</v>
      </c>
      <c r="G21" s="7">
        <f t="shared" ref="G21:G23" si="14">0.05*F21</f>
        <v>0</v>
      </c>
      <c r="H21" s="7">
        <f t="shared" ref="H21:H23" si="15">0.1*F21</f>
        <v>0</v>
      </c>
      <c r="I21" s="12">
        <f t="shared" ref="I21:I23" si="16">F21*F$2+G21*G$2+H21*H$2</f>
        <v>0</v>
      </c>
      <c r="K21" s="7">
        <v>2</v>
      </c>
      <c r="L21" s="7">
        <v>1</v>
      </c>
      <c r="M21" s="7">
        <f t="shared" ref="M21:M23" si="17">K21*L21</f>
        <v>2</v>
      </c>
      <c r="N21" s="7">
        <v>0</v>
      </c>
      <c r="O21" s="7">
        <f t="shared" ref="O21:O23" si="18">M21*N21</f>
        <v>0</v>
      </c>
      <c r="P21" s="7">
        <f t="shared" ref="P21:P23" si="19">0.05*O21</f>
        <v>0</v>
      </c>
      <c r="Q21" s="7">
        <f t="shared" ref="Q21:Q23" si="20">0.1*O21</f>
        <v>0</v>
      </c>
      <c r="R21" s="12">
        <f t="shared" ref="R21:R23" si="21">O21*O$2+P21*P$2+Q21*Q$2</f>
        <v>0</v>
      </c>
    </row>
    <row r="22" spans="1:18" ht="16.5" thickBot="1" x14ac:dyDescent="0.3">
      <c r="A22" s="9" t="s">
        <v>32</v>
      </c>
      <c r="B22" s="7">
        <v>2</v>
      </c>
      <c r="C22" s="7">
        <v>1</v>
      </c>
      <c r="D22" s="7">
        <f t="shared" si="12"/>
        <v>2</v>
      </c>
      <c r="E22" s="7">
        <v>0</v>
      </c>
      <c r="F22" s="7">
        <f t="shared" si="13"/>
        <v>0</v>
      </c>
      <c r="G22" s="7">
        <f t="shared" si="14"/>
        <v>0</v>
      </c>
      <c r="H22" s="7">
        <f t="shared" si="15"/>
        <v>0</v>
      </c>
      <c r="I22" s="12">
        <f t="shared" si="16"/>
        <v>0</v>
      </c>
      <c r="K22" s="7">
        <v>2</v>
      </c>
      <c r="L22" s="7">
        <v>1</v>
      </c>
      <c r="M22" s="7">
        <f t="shared" si="17"/>
        <v>2</v>
      </c>
      <c r="N22" s="7">
        <v>0</v>
      </c>
      <c r="O22" s="7">
        <f t="shared" si="18"/>
        <v>0</v>
      </c>
      <c r="P22" s="7">
        <f t="shared" si="19"/>
        <v>0</v>
      </c>
      <c r="Q22" s="7">
        <f t="shared" si="20"/>
        <v>0</v>
      </c>
      <c r="R22" s="12">
        <f t="shared" si="21"/>
        <v>0</v>
      </c>
    </row>
    <row r="23" spans="1:18" ht="16.5" thickBot="1" x14ac:dyDescent="0.3">
      <c r="A23" s="9" t="s">
        <v>33</v>
      </c>
      <c r="B23" s="7">
        <v>2</v>
      </c>
      <c r="C23" s="7">
        <v>1</v>
      </c>
      <c r="D23" s="7">
        <f t="shared" si="12"/>
        <v>2</v>
      </c>
      <c r="E23" s="7">
        <v>0</v>
      </c>
      <c r="F23" s="7">
        <f t="shared" si="13"/>
        <v>0</v>
      </c>
      <c r="G23" s="7">
        <f t="shared" si="14"/>
        <v>0</v>
      </c>
      <c r="H23" s="7">
        <f t="shared" si="15"/>
        <v>0</v>
      </c>
      <c r="I23" s="12">
        <f t="shared" si="16"/>
        <v>0</v>
      </c>
      <c r="K23" s="7">
        <v>2</v>
      </c>
      <c r="L23" s="7">
        <v>1</v>
      </c>
      <c r="M23" s="7">
        <f t="shared" si="17"/>
        <v>2</v>
      </c>
      <c r="N23" s="7">
        <v>0</v>
      </c>
      <c r="O23" s="7">
        <f t="shared" si="18"/>
        <v>0</v>
      </c>
      <c r="P23" s="7">
        <f t="shared" si="19"/>
        <v>0</v>
      </c>
      <c r="Q23" s="7">
        <f t="shared" si="20"/>
        <v>0</v>
      </c>
      <c r="R23" s="12">
        <f t="shared" si="21"/>
        <v>0</v>
      </c>
    </row>
    <row r="24" spans="1:18" ht="16.5" thickBot="1" x14ac:dyDescent="0.3">
      <c r="A24" s="9" t="s">
        <v>34</v>
      </c>
      <c r="B24" s="7" t="s">
        <v>23</v>
      </c>
      <c r="C24" s="7"/>
      <c r="D24" s="7"/>
      <c r="E24" s="7"/>
      <c r="F24" s="7"/>
      <c r="G24" s="7"/>
      <c r="H24" s="7"/>
      <c r="I24" s="12"/>
      <c r="K24" s="7" t="s">
        <v>23</v>
      </c>
      <c r="L24" s="7"/>
      <c r="M24" s="7"/>
      <c r="N24" s="7"/>
      <c r="O24" s="7"/>
      <c r="P24" s="7"/>
      <c r="Q24" s="7"/>
      <c r="R24" s="12"/>
    </row>
    <row r="25" spans="1:18" ht="16.5" thickBot="1" x14ac:dyDescent="0.3">
      <c r="A25" s="9" t="s">
        <v>35</v>
      </c>
      <c r="B25" s="7">
        <v>2</v>
      </c>
      <c r="C25" s="7">
        <v>1</v>
      </c>
      <c r="D25" s="7">
        <f t="shared" ref="D25:D30" si="22">B25*C25</f>
        <v>2</v>
      </c>
      <c r="E25" s="7">
        <v>0</v>
      </c>
      <c r="F25" s="7">
        <f t="shared" ref="F25:F30" si="23">D25*E25</f>
        <v>0</v>
      </c>
      <c r="G25" s="7">
        <f t="shared" ref="G25:G30" si="24">0.05*F25</f>
        <v>0</v>
      </c>
      <c r="H25" s="7">
        <f t="shared" ref="H25:H30" si="25">0.1*F25</f>
        <v>0</v>
      </c>
      <c r="I25" s="12">
        <f t="shared" ref="I25:I30" si="26">F25*F$2+G25*G$2+H25*H$2</f>
        <v>0</v>
      </c>
      <c r="K25" s="7">
        <v>2</v>
      </c>
      <c r="L25" s="7">
        <v>1</v>
      </c>
      <c r="M25" s="7">
        <f t="shared" ref="M25:M30" si="27">K25*L25</f>
        <v>2</v>
      </c>
      <c r="N25" s="7">
        <v>0</v>
      </c>
      <c r="O25" s="7">
        <f t="shared" ref="O25:O30" si="28">M25*N25</f>
        <v>0</v>
      </c>
      <c r="P25" s="7">
        <f t="shared" ref="P25:P30" si="29">0.05*O25</f>
        <v>0</v>
      </c>
      <c r="Q25" s="7">
        <f t="shared" ref="Q25:Q30" si="30">0.1*O25</f>
        <v>0</v>
      </c>
      <c r="R25" s="12">
        <f t="shared" ref="R25:R30" si="31">O25*O$2+P25*P$2+Q25*Q$2</f>
        <v>0</v>
      </c>
    </row>
    <row r="26" spans="1:18" ht="16.5" thickBot="1" x14ac:dyDescent="0.3">
      <c r="A26" s="9" t="s">
        <v>36</v>
      </c>
      <c r="B26" s="7">
        <v>2</v>
      </c>
      <c r="C26" s="7">
        <v>3.8</v>
      </c>
      <c r="D26" s="7">
        <f t="shared" si="22"/>
        <v>7.6</v>
      </c>
      <c r="E26" s="7">
        <v>0</v>
      </c>
      <c r="F26" s="7">
        <f t="shared" si="23"/>
        <v>0</v>
      </c>
      <c r="G26" s="7">
        <f t="shared" si="24"/>
        <v>0</v>
      </c>
      <c r="H26" s="7">
        <f t="shared" si="25"/>
        <v>0</v>
      </c>
      <c r="I26" s="12">
        <f t="shared" si="26"/>
        <v>0</v>
      </c>
      <c r="K26" s="7">
        <v>2</v>
      </c>
      <c r="L26" s="7">
        <v>3.8</v>
      </c>
      <c r="M26" s="7">
        <f t="shared" si="27"/>
        <v>7.6</v>
      </c>
      <c r="N26" s="7">
        <v>0</v>
      </c>
      <c r="O26" s="7">
        <f t="shared" si="28"/>
        <v>0</v>
      </c>
      <c r="P26" s="7">
        <f t="shared" si="29"/>
        <v>0</v>
      </c>
      <c r="Q26" s="7">
        <f t="shared" si="30"/>
        <v>0</v>
      </c>
      <c r="R26" s="12">
        <f t="shared" si="31"/>
        <v>0</v>
      </c>
    </row>
    <row r="27" spans="1:18" ht="16.5" thickBot="1" x14ac:dyDescent="0.3">
      <c r="A27" s="9" t="s">
        <v>37</v>
      </c>
      <c r="B27" s="7">
        <v>20</v>
      </c>
      <c r="C27" s="7">
        <v>3.8</v>
      </c>
      <c r="D27" s="7">
        <f t="shared" si="22"/>
        <v>76</v>
      </c>
      <c r="E27" s="7">
        <v>0</v>
      </c>
      <c r="F27" s="7">
        <f t="shared" si="23"/>
        <v>0</v>
      </c>
      <c r="G27" s="7">
        <f t="shared" si="24"/>
        <v>0</v>
      </c>
      <c r="H27" s="7">
        <f t="shared" si="25"/>
        <v>0</v>
      </c>
      <c r="I27" s="12">
        <f t="shared" si="26"/>
        <v>0</v>
      </c>
      <c r="K27" s="7">
        <v>20</v>
      </c>
      <c r="L27" s="7">
        <v>3.8</v>
      </c>
      <c r="M27" s="7">
        <f t="shared" si="27"/>
        <v>76</v>
      </c>
      <c r="N27" s="7">
        <v>0</v>
      </c>
      <c r="O27" s="7">
        <f t="shared" si="28"/>
        <v>0</v>
      </c>
      <c r="P27" s="7">
        <f t="shared" si="29"/>
        <v>0</v>
      </c>
      <c r="Q27" s="7">
        <f t="shared" si="30"/>
        <v>0</v>
      </c>
      <c r="R27" s="12">
        <f t="shared" si="31"/>
        <v>0</v>
      </c>
    </row>
    <row r="28" spans="1:18" ht="16.5" thickBot="1" x14ac:dyDescent="0.3">
      <c r="A28" s="9" t="s">
        <v>38</v>
      </c>
      <c r="B28" s="7">
        <v>60</v>
      </c>
      <c r="C28" s="7">
        <v>1</v>
      </c>
      <c r="D28" s="7">
        <f t="shared" si="22"/>
        <v>60</v>
      </c>
      <c r="E28" s="7">
        <v>0</v>
      </c>
      <c r="F28" s="7">
        <f t="shared" si="23"/>
        <v>0</v>
      </c>
      <c r="G28" s="7">
        <f t="shared" si="24"/>
        <v>0</v>
      </c>
      <c r="H28" s="7">
        <f t="shared" si="25"/>
        <v>0</v>
      </c>
      <c r="I28" s="12">
        <f t="shared" si="26"/>
        <v>0</v>
      </c>
      <c r="K28" s="7">
        <v>60</v>
      </c>
      <c r="L28" s="7">
        <v>1</v>
      </c>
      <c r="M28" s="7">
        <f t="shared" si="27"/>
        <v>60</v>
      </c>
      <c r="N28" s="7">
        <v>0</v>
      </c>
      <c r="O28" s="7">
        <f t="shared" si="28"/>
        <v>0</v>
      </c>
      <c r="P28" s="7">
        <f t="shared" si="29"/>
        <v>0</v>
      </c>
      <c r="Q28" s="7">
        <f t="shared" si="30"/>
        <v>0</v>
      </c>
      <c r="R28" s="12">
        <f t="shared" si="31"/>
        <v>0</v>
      </c>
    </row>
    <row r="29" spans="1:18" ht="16.5" thickBot="1" x14ac:dyDescent="0.3">
      <c r="A29" s="11" t="s">
        <v>39</v>
      </c>
      <c r="B29" s="7">
        <v>40</v>
      </c>
      <c r="C29" s="7">
        <v>1</v>
      </c>
      <c r="D29" s="7">
        <f t="shared" si="22"/>
        <v>40</v>
      </c>
      <c r="E29" s="7">
        <v>0</v>
      </c>
      <c r="F29" s="7">
        <f t="shared" si="23"/>
        <v>0</v>
      </c>
      <c r="G29" s="7">
        <f t="shared" si="24"/>
        <v>0</v>
      </c>
      <c r="H29" s="7">
        <f t="shared" si="25"/>
        <v>0</v>
      </c>
      <c r="I29" s="12">
        <f t="shared" si="26"/>
        <v>0</v>
      </c>
      <c r="K29" s="7">
        <v>40</v>
      </c>
      <c r="L29" s="7">
        <v>1</v>
      </c>
      <c r="M29" s="7">
        <f t="shared" si="27"/>
        <v>40</v>
      </c>
      <c r="N29" s="7">
        <v>0</v>
      </c>
      <c r="O29" s="7">
        <f t="shared" si="28"/>
        <v>0</v>
      </c>
      <c r="P29" s="7">
        <f t="shared" si="29"/>
        <v>0</v>
      </c>
      <c r="Q29" s="7">
        <f t="shared" si="30"/>
        <v>0</v>
      </c>
      <c r="R29" s="12">
        <f t="shared" si="31"/>
        <v>0</v>
      </c>
    </row>
    <row r="30" spans="1:18" ht="16.5" thickBot="1" x14ac:dyDescent="0.3">
      <c r="A30" s="9" t="s">
        <v>40</v>
      </c>
      <c r="B30" s="7">
        <v>8</v>
      </c>
      <c r="C30" s="7">
        <v>1</v>
      </c>
      <c r="D30" s="7">
        <f t="shared" si="22"/>
        <v>8</v>
      </c>
      <c r="E30" s="7">
        <v>0</v>
      </c>
      <c r="F30" s="7">
        <f t="shared" si="23"/>
        <v>0</v>
      </c>
      <c r="G30" s="7">
        <f t="shared" si="24"/>
        <v>0</v>
      </c>
      <c r="H30" s="7">
        <f t="shared" si="25"/>
        <v>0</v>
      </c>
      <c r="I30" s="12">
        <f t="shared" si="26"/>
        <v>0</v>
      </c>
      <c r="K30" s="7">
        <v>8</v>
      </c>
      <c r="L30" s="7">
        <v>1</v>
      </c>
      <c r="M30" s="7">
        <f t="shared" si="27"/>
        <v>8</v>
      </c>
      <c r="N30" s="7">
        <v>0</v>
      </c>
      <c r="O30" s="7">
        <f t="shared" si="28"/>
        <v>0</v>
      </c>
      <c r="P30" s="7">
        <f t="shared" si="29"/>
        <v>0</v>
      </c>
      <c r="Q30" s="7">
        <f t="shared" si="30"/>
        <v>0</v>
      </c>
      <c r="R30" s="12">
        <f t="shared" si="31"/>
        <v>0</v>
      </c>
    </row>
    <row r="31" spans="1:18" ht="15.75" thickBot="1" x14ac:dyDescent="0.3">
      <c r="A31" s="9" t="s">
        <v>41</v>
      </c>
      <c r="B31" s="7" t="s">
        <v>23</v>
      </c>
      <c r="C31" s="7"/>
      <c r="D31" s="7"/>
      <c r="E31" s="7"/>
      <c r="F31" s="7"/>
      <c r="G31" s="7"/>
      <c r="H31" s="7"/>
      <c r="I31" s="12"/>
      <c r="K31" s="7" t="s">
        <v>23</v>
      </c>
      <c r="L31" s="7"/>
      <c r="M31" s="7"/>
      <c r="N31" s="7"/>
      <c r="O31" s="7"/>
      <c r="P31" s="7"/>
      <c r="Q31" s="7"/>
      <c r="R31" s="12"/>
    </row>
    <row r="32" spans="1:18" ht="15.75" thickBot="1" x14ac:dyDescent="0.3">
      <c r="A32" s="9" t="s">
        <v>42</v>
      </c>
      <c r="B32" s="7">
        <v>8</v>
      </c>
      <c r="C32" s="66">
        <v>0.4</v>
      </c>
      <c r="D32" s="7">
        <f t="shared" ref="D32" si="32">B32*C32</f>
        <v>3.2</v>
      </c>
      <c r="E32" s="7">
        <v>45</v>
      </c>
      <c r="F32" s="7">
        <f t="shared" ref="F32" si="33">D32*E32</f>
        <v>144</v>
      </c>
      <c r="G32" s="7">
        <f t="shared" ref="G32" si="34">0.05*F32</f>
        <v>7.2</v>
      </c>
      <c r="H32" s="7">
        <f t="shared" ref="H32" si="35">0.1*F32</f>
        <v>14.4</v>
      </c>
      <c r="I32" s="12">
        <f t="shared" ref="I32" si="36">F32*F$2+G32*G$2+H32*H$2</f>
        <v>13218.552</v>
      </c>
      <c r="K32" s="7">
        <v>8</v>
      </c>
      <c r="L32" s="7">
        <v>0.4</v>
      </c>
      <c r="M32" s="7">
        <f t="shared" ref="M32:M33" si="37">K32*L32</f>
        <v>3.2</v>
      </c>
      <c r="N32" s="7">
        <v>45</v>
      </c>
      <c r="O32" s="7">
        <f t="shared" ref="O32:O33" si="38">M32*N32</f>
        <v>144</v>
      </c>
      <c r="P32" s="7">
        <f t="shared" ref="P32:P33" si="39">0.05*O32</f>
        <v>7.2</v>
      </c>
      <c r="Q32" s="7">
        <f t="shared" ref="Q32:Q33" si="40">0.1*O32</f>
        <v>14.4</v>
      </c>
      <c r="R32" s="12">
        <f t="shared" ref="R32:R33" si="41">O32*O$2+P32*P$2+Q32*Q$2</f>
        <v>13218.552</v>
      </c>
    </row>
    <row r="33" spans="1:18" ht="16.5" thickBot="1" x14ac:dyDescent="0.3">
      <c r="A33" s="9" t="s">
        <v>87</v>
      </c>
      <c r="B33" s="7">
        <v>1.635</v>
      </c>
      <c r="C33" s="7">
        <v>2</v>
      </c>
      <c r="D33" s="7">
        <f t="shared" ref="D33" si="42">B33*C33</f>
        <v>3.27</v>
      </c>
      <c r="E33" s="7"/>
      <c r="F33" s="7">
        <f t="shared" ref="F33" si="43">D33*E33</f>
        <v>0</v>
      </c>
      <c r="G33" s="7">
        <f t="shared" ref="G33" si="44">0.05*F33</f>
        <v>0</v>
      </c>
      <c r="H33" s="7">
        <f t="shared" ref="H33" si="45">0.1*F33</f>
        <v>0</v>
      </c>
      <c r="I33" s="12">
        <f t="shared" ref="I33" si="46">F33*F$2+G33*G$2+H33*H$2</f>
        <v>0</v>
      </c>
      <c r="K33" s="7">
        <v>-2</v>
      </c>
      <c r="L33" s="7">
        <v>2</v>
      </c>
      <c r="M33" s="7">
        <f t="shared" si="37"/>
        <v>-4</v>
      </c>
      <c r="N33" s="7">
        <v>45</v>
      </c>
      <c r="O33" s="7">
        <f t="shared" si="38"/>
        <v>-180</v>
      </c>
      <c r="P33" s="7">
        <f t="shared" si="39"/>
        <v>-9</v>
      </c>
      <c r="Q33" s="7">
        <f t="shared" si="40"/>
        <v>-18</v>
      </c>
      <c r="R33" s="12">
        <f t="shared" si="41"/>
        <v>-16523.189999999999</v>
      </c>
    </row>
    <row r="34" spans="1:18" ht="15.75" thickBot="1" x14ac:dyDescent="0.3">
      <c r="A34" s="13" t="s">
        <v>43</v>
      </c>
      <c r="B34" s="5"/>
      <c r="C34" s="5"/>
      <c r="D34" s="7"/>
      <c r="E34" s="5"/>
      <c r="F34" s="70">
        <f>SUM(F6:H33)</f>
        <v>165.6</v>
      </c>
      <c r="G34" s="71"/>
      <c r="H34" s="72"/>
      <c r="I34" s="14">
        <f>SUM(I6:I33)</f>
        <v>13218.552</v>
      </c>
      <c r="K34" s="5"/>
      <c r="L34" s="5"/>
      <c r="M34" s="7"/>
      <c r="N34" s="5"/>
      <c r="O34" s="70">
        <f>SUM(O6:Q33)</f>
        <v>-41.400000000000006</v>
      </c>
      <c r="P34" s="71"/>
      <c r="Q34" s="72"/>
      <c r="R34" s="14">
        <f>SUM(R6:R33)</f>
        <v>-3304.637999999999</v>
      </c>
    </row>
    <row r="35" spans="1:18" ht="15.75" thickBot="1" x14ac:dyDescent="0.3">
      <c r="A35" s="6" t="s">
        <v>44</v>
      </c>
      <c r="B35" s="7"/>
      <c r="C35" s="7"/>
      <c r="D35" s="7"/>
      <c r="E35" s="7"/>
      <c r="F35" s="7"/>
      <c r="G35" s="7"/>
      <c r="H35" s="7"/>
      <c r="I35" s="8"/>
      <c r="K35" s="7"/>
      <c r="L35" s="7"/>
      <c r="M35" s="7"/>
      <c r="N35" s="7"/>
      <c r="O35" s="7"/>
      <c r="P35" s="7"/>
      <c r="Q35" s="7"/>
      <c r="R35" s="8"/>
    </row>
    <row r="36" spans="1:18" ht="16.5" thickBot="1" x14ac:dyDescent="0.3">
      <c r="A36" s="9" t="s">
        <v>76</v>
      </c>
      <c r="B36" s="7" t="s">
        <v>45</v>
      </c>
      <c r="C36" s="7"/>
      <c r="D36" s="7"/>
      <c r="E36" s="7"/>
      <c r="F36" s="7"/>
      <c r="G36" s="7"/>
      <c r="H36" s="7"/>
      <c r="I36" s="8"/>
      <c r="K36" s="7" t="s">
        <v>45</v>
      </c>
      <c r="L36" s="7"/>
      <c r="M36" s="7"/>
      <c r="N36" s="7"/>
      <c r="O36" s="7"/>
      <c r="P36" s="7"/>
      <c r="Q36" s="7"/>
      <c r="R36" s="8"/>
    </row>
    <row r="37" spans="1:18" ht="16.5" thickBot="1" x14ac:dyDescent="0.3">
      <c r="A37" s="10" t="s">
        <v>88</v>
      </c>
      <c r="B37" s="7">
        <v>3</v>
      </c>
      <c r="C37" s="7">
        <v>1</v>
      </c>
      <c r="D37" s="7">
        <f t="shared" ref="D37:D44" si="47">B37*C37</f>
        <v>3</v>
      </c>
      <c r="E37" s="7">
        <v>45</v>
      </c>
      <c r="F37" s="7">
        <f t="shared" ref="F37:F44" si="48">D37*E37</f>
        <v>135</v>
      </c>
      <c r="G37" s="7">
        <f t="shared" ref="G37:G44" si="49">0.05*F37</f>
        <v>6.75</v>
      </c>
      <c r="H37" s="7">
        <f t="shared" ref="H37:H44" si="50">0.1*F37</f>
        <v>13.5</v>
      </c>
      <c r="I37" s="12">
        <f t="shared" ref="I37:I44" si="51">F37*F$2+G37*G$2+H37*H$2</f>
        <v>12392.392499999998</v>
      </c>
      <c r="K37" s="7">
        <v>0</v>
      </c>
      <c r="L37" s="7">
        <v>1</v>
      </c>
      <c r="M37" s="7">
        <f t="shared" ref="M37:M39" si="52">K37*L37</f>
        <v>0</v>
      </c>
      <c r="N37" s="7">
        <v>15</v>
      </c>
      <c r="O37" s="7">
        <f t="shared" ref="O37:O39" si="53">M37*N37</f>
        <v>0</v>
      </c>
      <c r="P37" s="7">
        <f t="shared" ref="P37:P39" si="54">0.05*O37</f>
        <v>0</v>
      </c>
      <c r="Q37" s="7">
        <f t="shared" ref="Q37:Q39" si="55">0.1*O37</f>
        <v>0</v>
      </c>
      <c r="R37" s="12">
        <f t="shared" ref="R37:R39" si="56">O37*O$2+P37*P$2+Q37*Q$2</f>
        <v>0</v>
      </c>
    </row>
    <row r="38" spans="1:18" ht="16.5" thickBot="1" x14ac:dyDescent="0.3">
      <c r="A38" s="10" t="s">
        <v>89</v>
      </c>
      <c r="B38" s="7">
        <v>6</v>
      </c>
      <c r="C38" s="7">
        <v>1</v>
      </c>
      <c r="D38" s="7">
        <f t="shared" si="47"/>
        <v>6</v>
      </c>
      <c r="E38" s="7">
        <v>45</v>
      </c>
      <c r="F38" s="7">
        <f t="shared" si="48"/>
        <v>270</v>
      </c>
      <c r="G38" s="7">
        <f t="shared" si="49"/>
        <v>13.5</v>
      </c>
      <c r="H38" s="7">
        <f t="shared" si="50"/>
        <v>27</v>
      </c>
      <c r="I38" s="12">
        <f t="shared" si="51"/>
        <v>24784.784999999996</v>
      </c>
      <c r="K38" s="7">
        <v>0</v>
      </c>
      <c r="L38" s="7">
        <v>1</v>
      </c>
      <c r="M38" s="7">
        <f t="shared" si="52"/>
        <v>0</v>
      </c>
      <c r="N38" s="7">
        <v>15</v>
      </c>
      <c r="O38" s="7">
        <f t="shared" si="53"/>
        <v>0</v>
      </c>
      <c r="P38" s="7">
        <f t="shared" si="54"/>
        <v>0</v>
      </c>
      <c r="Q38" s="7">
        <f t="shared" si="55"/>
        <v>0</v>
      </c>
      <c r="R38" s="12">
        <f t="shared" si="56"/>
        <v>0</v>
      </c>
    </row>
    <row r="39" spans="1:18" ht="16.5" thickBot="1" x14ac:dyDescent="0.3">
      <c r="A39" s="10" t="s">
        <v>90</v>
      </c>
      <c r="B39" s="7">
        <v>1</v>
      </c>
      <c r="C39" s="7">
        <v>1</v>
      </c>
      <c r="D39" s="7">
        <f t="shared" si="47"/>
        <v>1</v>
      </c>
      <c r="E39" s="7">
        <v>45</v>
      </c>
      <c r="F39" s="7">
        <f t="shared" si="48"/>
        <v>45</v>
      </c>
      <c r="G39" s="7">
        <f t="shared" si="49"/>
        <v>2.25</v>
      </c>
      <c r="H39" s="7">
        <f t="shared" si="50"/>
        <v>4.5</v>
      </c>
      <c r="I39" s="12">
        <f t="shared" si="51"/>
        <v>4130.7974999999997</v>
      </c>
      <c r="K39" s="7">
        <v>0</v>
      </c>
      <c r="L39" s="7">
        <v>1</v>
      </c>
      <c r="M39" s="7">
        <f t="shared" si="52"/>
        <v>0</v>
      </c>
      <c r="N39" s="7">
        <v>15</v>
      </c>
      <c r="O39" s="7">
        <f t="shared" si="53"/>
        <v>0</v>
      </c>
      <c r="P39" s="7">
        <f t="shared" si="54"/>
        <v>0</v>
      </c>
      <c r="Q39" s="7">
        <f t="shared" si="55"/>
        <v>0</v>
      </c>
      <c r="R39" s="12">
        <f t="shared" si="56"/>
        <v>0</v>
      </c>
    </row>
    <row r="40" spans="1:18" ht="15.75" thickBot="1" x14ac:dyDescent="0.3">
      <c r="A40" s="10" t="s">
        <v>170</v>
      </c>
      <c r="B40" s="7"/>
      <c r="C40" s="7"/>
      <c r="D40" s="7"/>
      <c r="E40" s="7"/>
      <c r="F40" s="7"/>
      <c r="G40" s="7"/>
      <c r="H40" s="7"/>
      <c r="I40" s="12"/>
      <c r="K40" s="7"/>
      <c r="L40" s="7"/>
      <c r="M40" s="7"/>
      <c r="N40" s="7"/>
      <c r="O40" s="7"/>
      <c r="P40" s="7"/>
      <c r="Q40" s="7"/>
      <c r="R40" s="12"/>
    </row>
    <row r="41" spans="1:18" ht="16.5" thickBot="1" x14ac:dyDescent="0.3">
      <c r="A41" s="11" t="s">
        <v>172</v>
      </c>
      <c r="B41" s="7">
        <v>0.5</v>
      </c>
      <c r="C41" s="7">
        <v>52</v>
      </c>
      <c r="D41" s="7">
        <f t="shared" ref="D41:D42" si="57">B41*C41</f>
        <v>26</v>
      </c>
      <c r="E41" s="7">
        <v>15</v>
      </c>
      <c r="F41" s="7">
        <f t="shared" ref="F41:F42" si="58">D41*E41</f>
        <v>390</v>
      </c>
      <c r="G41" s="7">
        <f t="shared" ref="G41:G42" si="59">0.05*F41</f>
        <v>19.5</v>
      </c>
      <c r="H41" s="7">
        <f t="shared" ref="H41:H42" si="60">0.1*F41</f>
        <v>39</v>
      </c>
      <c r="I41" s="12">
        <f t="shared" ref="I41:I42" si="61">F41*F$2+G41*G$2+H41*H$2</f>
        <v>35800.244999999995</v>
      </c>
      <c r="K41" s="7">
        <v>0.5</v>
      </c>
      <c r="L41" s="7">
        <v>52</v>
      </c>
      <c r="M41" s="7">
        <f t="shared" ref="M41:M45" si="62">K41*L41</f>
        <v>26</v>
      </c>
      <c r="N41" s="7">
        <v>15</v>
      </c>
      <c r="O41" s="7">
        <f t="shared" ref="O41:O44" si="63">M41*N41</f>
        <v>390</v>
      </c>
      <c r="P41" s="7">
        <f t="shared" ref="P41:P44" si="64">0.05*O41</f>
        <v>19.5</v>
      </c>
      <c r="Q41" s="7">
        <f t="shared" ref="Q41:Q44" si="65">0.1*O41</f>
        <v>39</v>
      </c>
      <c r="R41" s="12">
        <f t="shared" ref="R41:R44" si="66">O41*O$2+P41*P$2+Q41*Q$2</f>
        <v>35800.244999999995</v>
      </c>
    </row>
    <row r="42" spans="1:18" ht="16.5" thickBot="1" x14ac:dyDescent="0.3">
      <c r="A42" s="11" t="s">
        <v>171</v>
      </c>
      <c r="B42" s="7">
        <v>0</v>
      </c>
      <c r="C42" s="7">
        <v>52</v>
      </c>
      <c r="D42" s="7">
        <f t="shared" si="57"/>
        <v>0</v>
      </c>
      <c r="E42" s="7"/>
      <c r="F42" s="7">
        <f t="shared" si="58"/>
        <v>0</v>
      </c>
      <c r="G42" s="7">
        <f t="shared" si="59"/>
        <v>0</v>
      </c>
      <c r="H42" s="7">
        <f t="shared" si="60"/>
        <v>0</v>
      </c>
      <c r="I42" s="12">
        <f t="shared" si="61"/>
        <v>0</v>
      </c>
      <c r="K42" s="7">
        <v>0</v>
      </c>
      <c r="L42" s="7">
        <v>52</v>
      </c>
      <c r="M42" s="7">
        <f t="shared" si="62"/>
        <v>0</v>
      </c>
      <c r="N42" s="7"/>
      <c r="O42" s="7">
        <f t="shared" si="63"/>
        <v>0</v>
      </c>
      <c r="P42" s="7">
        <f t="shared" si="64"/>
        <v>0</v>
      </c>
      <c r="Q42" s="7">
        <f t="shared" si="65"/>
        <v>0</v>
      </c>
      <c r="R42" s="12">
        <f t="shared" si="66"/>
        <v>0</v>
      </c>
    </row>
    <row r="43" spans="1:18" ht="16.5" thickBot="1" x14ac:dyDescent="0.3">
      <c r="A43" s="10" t="s">
        <v>91</v>
      </c>
      <c r="B43" s="7">
        <v>2</v>
      </c>
      <c r="C43" s="7">
        <v>1</v>
      </c>
      <c r="D43" s="7">
        <f t="shared" si="47"/>
        <v>2</v>
      </c>
      <c r="E43" s="7">
        <v>45</v>
      </c>
      <c r="F43" s="7">
        <f t="shared" si="48"/>
        <v>90</v>
      </c>
      <c r="G43" s="7">
        <f t="shared" si="49"/>
        <v>4.5</v>
      </c>
      <c r="H43" s="7">
        <f t="shared" si="50"/>
        <v>9</v>
      </c>
      <c r="I43" s="12">
        <f t="shared" si="51"/>
        <v>8261.5949999999993</v>
      </c>
      <c r="K43" s="7">
        <v>0</v>
      </c>
      <c r="L43" s="7">
        <v>1</v>
      </c>
      <c r="M43" s="7">
        <f t="shared" si="62"/>
        <v>0</v>
      </c>
      <c r="N43" s="7">
        <v>15</v>
      </c>
      <c r="O43" s="7">
        <f t="shared" si="63"/>
        <v>0</v>
      </c>
      <c r="P43" s="7">
        <f t="shared" si="64"/>
        <v>0</v>
      </c>
      <c r="Q43" s="7">
        <f t="shared" si="65"/>
        <v>0</v>
      </c>
      <c r="R43" s="12">
        <f t="shared" si="66"/>
        <v>0</v>
      </c>
    </row>
    <row r="44" spans="1:18" ht="29.25" thickBot="1" x14ac:dyDescent="0.3">
      <c r="A44" s="9" t="s">
        <v>104</v>
      </c>
      <c r="B44" s="7">
        <v>2</v>
      </c>
      <c r="C44" s="7">
        <v>1</v>
      </c>
      <c r="D44" s="7">
        <f t="shared" si="47"/>
        <v>2</v>
      </c>
      <c r="E44" s="7">
        <v>45</v>
      </c>
      <c r="F44" s="7">
        <f t="shared" si="48"/>
        <v>90</v>
      </c>
      <c r="G44" s="7">
        <f t="shared" si="49"/>
        <v>4.5</v>
      </c>
      <c r="H44" s="7">
        <f t="shared" si="50"/>
        <v>9</v>
      </c>
      <c r="I44" s="12">
        <f t="shared" si="51"/>
        <v>8261.5949999999993</v>
      </c>
      <c r="K44" s="7">
        <v>0</v>
      </c>
      <c r="L44" s="7">
        <v>1</v>
      </c>
      <c r="M44" s="7">
        <f t="shared" si="62"/>
        <v>0</v>
      </c>
      <c r="N44" s="7">
        <v>15</v>
      </c>
      <c r="O44" s="7">
        <f t="shared" si="63"/>
        <v>0</v>
      </c>
      <c r="P44" s="7">
        <f t="shared" si="64"/>
        <v>0</v>
      </c>
      <c r="Q44" s="7">
        <f t="shared" si="65"/>
        <v>0</v>
      </c>
      <c r="R44" s="12">
        <f t="shared" si="66"/>
        <v>0</v>
      </c>
    </row>
    <row r="45" spans="1:18" ht="16.5" thickBot="1" x14ac:dyDescent="0.3">
      <c r="A45" s="10" t="s">
        <v>173</v>
      </c>
      <c r="B45" s="7">
        <v>0.25</v>
      </c>
      <c r="C45" s="7">
        <v>2</v>
      </c>
      <c r="D45" s="7">
        <f t="shared" ref="D45" si="67">B45*C45</f>
        <v>0.5</v>
      </c>
      <c r="E45" s="7"/>
      <c r="F45" s="7">
        <f>D45*E45</f>
        <v>0</v>
      </c>
      <c r="G45" s="7">
        <f>0.05*F45</f>
        <v>0</v>
      </c>
      <c r="H45" s="7">
        <f>0.1*F45</f>
        <v>0</v>
      </c>
      <c r="I45" s="12">
        <f>F45*F$2+G45*G$2+H45*H$2</f>
        <v>0</v>
      </c>
      <c r="K45" s="7">
        <v>0</v>
      </c>
      <c r="L45" s="7">
        <v>2</v>
      </c>
      <c r="M45" s="7">
        <f t="shared" si="62"/>
        <v>0</v>
      </c>
      <c r="N45" s="7"/>
      <c r="O45" s="7">
        <f>M45*N45</f>
        <v>0</v>
      </c>
      <c r="P45" s="7">
        <f>0.05*O45</f>
        <v>0</v>
      </c>
      <c r="Q45" s="7">
        <f>0.1*O45</f>
        <v>0</v>
      </c>
      <c r="R45" s="12">
        <f>O45*O$2+P45*P$2+Q45*Q$2</f>
        <v>0</v>
      </c>
    </row>
    <row r="46" spans="1:18" ht="15.75" thickBot="1" x14ac:dyDescent="0.3">
      <c r="A46" s="10" t="s">
        <v>46</v>
      </c>
      <c r="B46" s="7" t="s">
        <v>23</v>
      </c>
      <c r="C46" s="7"/>
      <c r="D46" s="7"/>
      <c r="E46" s="7"/>
      <c r="F46" s="7"/>
      <c r="G46" s="7"/>
      <c r="H46" s="7"/>
      <c r="I46" s="8"/>
      <c r="K46" s="7" t="s">
        <v>23</v>
      </c>
      <c r="L46" s="7"/>
      <c r="M46" s="7"/>
      <c r="N46" s="7"/>
      <c r="O46" s="7"/>
      <c r="P46" s="7"/>
      <c r="Q46" s="7"/>
      <c r="R46" s="8"/>
    </row>
    <row r="47" spans="1:18" ht="15.75" thickBot="1" x14ac:dyDescent="0.3">
      <c r="A47" s="13" t="s">
        <v>47</v>
      </c>
      <c r="B47" s="5"/>
      <c r="C47" s="5"/>
      <c r="D47" s="5"/>
      <c r="E47" s="5"/>
      <c r="F47" s="70">
        <f>SUM(F35:H46)</f>
        <v>1173</v>
      </c>
      <c r="G47" s="71"/>
      <c r="H47" s="72"/>
      <c r="I47" s="14">
        <f>SUM(I35:I46)</f>
        <v>93631.409999999989</v>
      </c>
      <c r="K47" s="5"/>
      <c r="L47" s="5"/>
      <c r="M47" s="5"/>
      <c r="N47" s="5"/>
      <c r="O47" s="70">
        <f>SUM(O35:Q46)</f>
        <v>448.5</v>
      </c>
      <c r="P47" s="71"/>
      <c r="Q47" s="72"/>
      <c r="R47" s="14">
        <f>SUM(R35:R46)</f>
        <v>35800.244999999995</v>
      </c>
    </row>
    <row r="48" spans="1:18" ht="16.5" thickBot="1" x14ac:dyDescent="0.3">
      <c r="A48" s="13" t="s">
        <v>174</v>
      </c>
      <c r="B48" s="15"/>
      <c r="C48" s="15"/>
      <c r="D48" s="15"/>
      <c r="E48" s="15"/>
      <c r="F48" s="70">
        <f>ROUND(F47+F34,-2)</f>
        <v>1300</v>
      </c>
      <c r="G48" s="71"/>
      <c r="H48" s="72"/>
      <c r="I48" s="14">
        <f>ROUND(I47+I34,-2)</f>
        <v>106800</v>
      </c>
      <c r="K48" s="15"/>
      <c r="L48" s="15"/>
      <c r="M48" s="15"/>
      <c r="N48" s="15"/>
      <c r="O48" s="70">
        <f>ROUND(O47+O34,-2)</f>
        <v>400</v>
      </c>
      <c r="P48" s="71"/>
      <c r="Q48" s="72"/>
      <c r="R48" s="14">
        <f>ROUND(R47+R34,-2)</f>
        <v>32500</v>
      </c>
    </row>
    <row r="49" spans="1:18" ht="16.5" thickBot="1" x14ac:dyDescent="0.3">
      <c r="A49" s="13" t="s">
        <v>175</v>
      </c>
      <c r="B49" s="16"/>
      <c r="C49" s="16"/>
      <c r="D49" s="16"/>
      <c r="E49" s="16"/>
      <c r="F49" s="16"/>
      <c r="G49" s="16"/>
      <c r="H49" s="16"/>
      <c r="I49" s="14">
        <v>0</v>
      </c>
      <c r="K49" s="16"/>
      <c r="L49" s="16"/>
      <c r="M49" s="16"/>
      <c r="N49" s="16"/>
      <c r="O49" s="16"/>
      <c r="P49" s="16"/>
      <c r="Q49" s="16"/>
      <c r="R49" s="14">
        <v>0</v>
      </c>
    </row>
    <row r="50" spans="1:18" ht="16.5" thickBot="1" x14ac:dyDescent="0.3">
      <c r="A50" s="13" t="s">
        <v>176</v>
      </c>
      <c r="B50" s="16"/>
      <c r="C50" s="16"/>
      <c r="D50" s="16"/>
      <c r="E50" s="16"/>
      <c r="F50" s="16"/>
      <c r="G50" s="16"/>
      <c r="H50" s="16"/>
      <c r="I50" s="14">
        <f>ROUND(I34+I47+I49,-3)</f>
        <v>107000</v>
      </c>
      <c r="K50" s="16"/>
      <c r="L50" s="16"/>
      <c r="M50" s="16"/>
      <c r="N50" s="16"/>
      <c r="O50" s="16"/>
      <c r="P50" s="16"/>
      <c r="Q50" s="16"/>
      <c r="R50" s="14">
        <f>ROUND(R34+R47+R49,-2)</f>
        <v>32500</v>
      </c>
    </row>
    <row r="51" spans="1:18" ht="15.75" x14ac:dyDescent="0.25">
      <c r="A51" s="17"/>
    </row>
    <row r="52" spans="1:18" x14ac:dyDescent="0.25">
      <c r="A52" s="18" t="s">
        <v>48</v>
      </c>
      <c r="I52" s="63">
        <f>I50/45</f>
        <v>2377.7777777777778</v>
      </c>
      <c r="R52" s="63">
        <f>R50/45</f>
        <v>722.22222222222217</v>
      </c>
    </row>
    <row r="53" spans="1:18" ht="15.75" x14ac:dyDescent="0.25">
      <c r="A53" s="19" t="s">
        <v>78</v>
      </c>
    </row>
    <row r="54" spans="1:18" ht="15.75" x14ac:dyDescent="0.25">
      <c r="A54" s="19" t="s">
        <v>77</v>
      </c>
    </row>
    <row r="55" spans="1:18" ht="15.75" x14ac:dyDescent="0.25">
      <c r="A55" s="19" t="s">
        <v>49</v>
      </c>
    </row>
    <row r="56" spans="1:18" ht="15.75" x14ac:dyDescent="0.25">
      <c r="A56" s="19" t="s">
        <v>50</v>
      </c>
    </row>
    <row r="57" spans="1:18" ht="15.75" x14ac:dyDescent="0.25">
      <c r="A57" s="19" t="s">
        <v>82</v>
      </c>
    </row>
    <row r="58" spans="1:18" ht="15.75" x14ac:dyDescent="0.25">
      <c r="A58" s="19" t="s">
        <v>92</v>
      </c>
    </row>
    <row r="59" spans="1:18" ht="15.75" x14ac:dyDescent="0.25">
      <c r="A59" s="19" t="s">
        <v>93</v>
      </c>
    </row>
    <row r="60" spans="1:18" ht="15.75" x14ac:dyDescent="0.25">
      <c r="A60" s="19" t="s">
        <v>94</v>
      </c>
    </row>
    <row r="61" spans="1:18" ht="15.75" x14ac:dyDescent="0.25">
      <c r="A61" s="19" t="s">
        <v>96</v>
      </c>
    </row>
    <row r="62" spans="1:18" ht="15.75" x14ac:dyDescent="0.25">
      <c r="A62" s="19" t="s">
        <v>95</v>
      </c>
    </row>
    <row r="63" spans="1:18" ht="15.75" x14ac:dyDescent="0.25">
      <c r="A63" s="19" t="s">
        <v>180</v>
      </c>
    </row>
    <row r="64" spans="1:18" ht="15.75" x14ac:dyDescent="0.25">
      <c r="A64" s="19" t="s">
        <v>179</v>
      </c>
    </row>
    <row r="65" spans="1:1" ht="15.75" x14ac:dyDescent="0.25">
      <c r="A65" s="19" t="s">
        <v>177</v>
      </c>
    </row>
    <row r="66" spans="1:1" ht="15.75" x14ac:dyDescent="0.25">
      <c r="A66" s="19" t="s">
        <v>178</v>
      </c>
    </row>
  </sheetData>
  <mergeCells count="7">
    <mergeCell ref="A3:A5"/>
    <mergeCell ref="F34:H34"/>
    <mergeCell ref="F47:H47"/>
    <mergeCell ref="F48:H48"/>
    <mergeCell ref="O34:Q34"/>
    <mergeCell ref="O47:Q47"/>
    <mergeCell ref="O48:Q48"/>
  </mergeCells>
  <hyperlinks>
    <hyperlink ref="AA2" r:id="rId1" xr:uid="{76AF08DD-8FC8-4FAD-95F2-6D3680C1FB2E}"/>
  </hyperlinks>
  <pageMargins left="0.7" right="0.7" top="0.75" bottom="0.75" header="0.3" footer="0.3"/>
  <pageSetup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9BBB3D-259E-4161-A2C4-34364E2B9D57}">
  <dimension ref="A1:G13"/>
  <sheetViews>
    <sheetView workbookViewId="0">
      <selection activeCell="F9" sqref="F9"/>
    </sheetView>
  </sheetViews>
  <sheetFormatPr defaultRowHeight="15" x14ac:dyDescent="0.25"/>
  <cols>
    <col min="1" max="1" width="17.7109375" customWidth="1"/>
    <col min="2" max="7" width="14.42578125" customWidth="1"/>
  </cols>
  <sheetData>
    <row r="1" spans="1:7" ht="15.75" x14ac:dyDescent="0.25">
      <c r="A1" s="73"/>
      <c r="B1" s="74"/>
      <c r="C1" s="74"/>
      <c r="D1" s="74"/>
      <c r="E1" s="74"/>
      <c r="F1" s="74"/>
      <c r="G1" s="75"/>
    </row>
    <row r="2" spans="1:7" ht="16.5" thickBot="1" x14ac:dyDescent="0.3">
      <c r="A2" s="76" t="s">
        <v>64</v>
      </c>
      <c r="B2" s="77"/>
      <c r="C2" s="77"/>
      <c r="D2" s="77"/>
      <c r="E2" s="77"/>
      <c r="F2" s="77"/>
      <c r="G2" s="78"/>
    </row>
    <row r="3" spans="1:7" ht="15.75" x14ac:dyDescent="0.25">
      <c r="A3" s="25"/>
      <c r="B3" s="23"/>
      <c r="C3" s="23"/>
      <c r="D3" s="23"/>
      <c r="E3" s="23"/>
      <c r="F3" s="23"/>
      <c r="G3" s="26"/>
    </row>
    <row r="4" spans="1:7" x14ac:dyDescent="0.25">
      <c r="A4" s="27" t="s">
        <v>2</v>
      </c>
      <c r="B4" s="27" t="s">
        <v>4</v>
      </c>
      <c r="C4" s="27" t="s">
        <v>6</v>
      </c>
      <c r="D4" s="27" t="s">
        <v>9</v>
      </c>
      <c r="E4" s="27" t="s">
        <v>11</v>
      </c>
      <c r="F4" s="27" t="s">
        <v>14</v>
      </c>
      <c r="G4" s="27" t="s">
        <v>17</v>
      </c>
    </row>
    <row r="5" spans="1:7" ht="38.25" x14ac:dyDescent="0.25">
      <c r="A5" s="28" t="s">
        <v>65</v>
      </c>
      <c r="B5" s="28" t="s">
        <v>66</v>
      </c>
      <c r="C5" s="28" t="s">
        <v>67</v>
      </c>
      <c r="D5" s="28" t="s">
        <v>101</v>
      </c>
      <c r="E5" s="28" t="s">
        <v>68</v>
      </c>
      <c r="F5" s="28" t="s">
        <v>69</v>
      </c>
      <c r="G5" s="28" t="s">
        <v>102</v>
      </c>
    </row>
    <row r="6" spans="1:7" x14ac:dyDescent="0.25">
      <c r="A6" s="29" t="s">
        <v>70</v>
      </c>
      <c r="B6" s="30">
        <v>9000</v>
      </c>
      <c r="C6" s="31">
        <v>0</v>
      </c>
      <c r="D6" s="30">
        <v>0</v>
      </c>
      <c r="E6" s="30">
        <v>1470</v>
      </c>
      <c r="F6" s="31">
        <v>45</v>
      </c>
      <c r="G6" s="30">
        <f>E6*F6</f>
        <v>66150</v>
      </c>
    </row>
    <row r="7" spans="1:7" x14ac:dyDescent="0.25">
      <c r="A7" s="29" t="s">
        <v>71</v>
      </c>
      <c r="B7" s="30">
        <v>7500</v>
      </c>
      <c r="C7" s="31">
        <v>0</v>
      </c>
      <c r="D7" s="30">
        <v>0</v>
      </c>
      <c r="E7" s="30">
        <v>2000</v>
      </c>
      <c r="F7" s="31">
        <v>30</v>
      </c>
      <c r="G7" s="30">
        <f t="shared" ref="G7:G10" si="0">E7*F7</f>
        <v>60000</v>
      </c>
    </row>
    <row r="8" spans="1:7" x14ac:dyDescent="0.25">
      <c r="A8" s="29" t="s">
        <v>72</v>
      </c>
      <c r="B8" s="30">
        <v>7500</v>
      </c>
      <c r="C8" s="31">
        <v>0</v>
      </c>
      <c r="D8" s="30">
        <v>0</v>
      </c>
      <c r="E8" s="30">
        <v>2000</v>
      </c>
      <c r="F8" s="31">
        <v>23</v>
      </c>
      <c r="G8" s="30">
        <f t="shared" si="0"/>
        <v>46000</v>
      </c>
    </row>
    <row r="9" spans="1:7" x14ac:dyDescent="0.25">
      <c r="A9" s="29" t="s">
        <v>73</v>
      </c>
      <c r="B9" s="30">
        <v>7500</v>
      </c>
      <c r="C9" s="31">
        <v>0</v>
      </c>
      <c r="D9" s="30">
        <v>0</v>
      </c>
      <c r="E9" s="30">
        <v>2000</v>
      </c>
      <c r="F9" s="31">
        <v>7</v>
      </c>
      <c r="G9" s="30">
        <f t="shared" si="0"/>
        <v>14000</v>
      </c>
    </row>
    <row r="10" spans="1:7" x14ac:dyDescent="0.25">
      <c r="A10" s="29" t="s">
        <v>74</v>
      </c>
      <c r="B10" s="30">
        <v>100000</v>
      </c>
      <c r="C10" s="31">
        <v>0</v>
      </c>
      <c r="D10" s="30">
        <v>0</v>
      </c>
      <c r="E10" s="30">
        <v>10000</v>
      </c>
      <c r="F10" s="31">
        <v>2</v>
      </c>
      <c r="G10" s="30">
        <f t="shared" si="0"/>
        <v>20000</v>
      </c>
    </row>
    <row r="11" spans="1:7" ht="15.75" x14ac:dyDescent="0.25">
      <c r="A11" s="29" t="s">
        <v>105</v>
      </c>
      <c r="B11" s="31"/>
      <c r="C11" s="31"/>
      <c r="D11" s="30">
        <v>0</v>
      </c>
      <c r="E11" s="31"/>
      <c r="F11" s="31"/>
      <c r="G11" s="30">
        <f>ROUND(SUM(G6:G10),-3)</f>
        <v>206000</v>
      </c>
    </row>
    <row r="12" spans="1:7" ht="16.5" x14ac:dyDescent="0.25">
      <c r="A12" s="24" t="s">
        <v>138</v>
      </c>
    </row>
    <row r="13" spans="1:7" ht="16.5" x14ac:dyDescent="0.25">
      <c r="A13" s="24" t="s">
        <v>106</v>
      </c>
    </row>
  </sheetData>
  <mergeCells count="2">
    <mergeCell ref="A1:G1"/>
    <mergeCell ref="A2:G2"/>
  </mergeCells>
  <pageMargins left="0.7" right="0.7" top="0.75" bottom="0.75" header="0.3" footer="0.3"/>
  <pageSetup paperSize="0" orientation="portrait" horizontalDpi="0" verticalDpi="0" copies="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1D8C16-F5F7-4D63-B715-5A5225BA8ADC}">
  <dimension ref="A1:J36"/>
  <sheetViews>
    <sheetView tabSelected="1" workbookViewId="0">
      <selection activeCell="D5" sqref="D5"/>
    </sheetView>
  </sheetViews>
  <sheetFormatPr defaultRowHeight="15" x14ac:dyDescent="0.25"/>
  <cols>
    <col min="1" max="1" width="31" customWidth="1"/>
    <col min="2" max="4" width="15.28515625" customWidth="1"/>
    <col min="9" max="9" width="10" customWidth="1"/>
  </cols>
  <sheetData>
    <row r="1" spans="1:10" x14ac:dyDescent="0.25">
      <c r="A1" s="62" t="s">
        <v>169</v>
      </c>
      <c r="B1" s="39"/>
      <c r="C1" s="39"/>
      <c r="D1" s="39"/>
      <c r="E1" s="39"/>
      <c r="F1" s="39"/>
      <c r="G1" s="39"/>
      <c r="H1" s="39"/>
      <c r="I1" s="39"/>
      <c r="J1" s="39"/>
    </row>
    <row r="2" spans="1:10" x14ac:dyDescent="0.25">
      <c r="A2" s="39"/>
      <c r="B2" s="39"/>
      <c r="C2" s="39"/>
      <c r="D2" s="39"/>
      <c r="E2" s="40" t="s">
        <v>116</v>
      </c>
      <c r="F2" s="41">
        <f>D33</f>
        <v>49.44</v>
      </c>
      <c r="G2" s="41">
        <f>D32</f>
        <v>66.623999999999995</v>
      </c>
      <c r="H2" s="41">
        <f>D34</f>
        <v>26.751999999999995</v>
      </c>
      <c r="I2" s="39"/>
      <c r="J2" s="39"/>
    </row>
    <row r="3" spans="1:10" ht="72" x14ac:dyDescent="0.25">
      <c r="A3" s="42" t="s">
        <v>117</v>
      </c>
      <c r="B3" s="42" t="s">
        <v>118</v>
      </c>
      <c r="C3" s="42" t="s">
        <v>119</v>
      </c>
      <c r="D3" s="42" t="s">
        <v>120</v>
      </c>
      <c r="E3" s="42" t="s">
        <v>121</v>
      </c>
      <c r="F3" s="42" t="s">
        <v>122</v>
      </c>
      <c r="G3" s="42" t="s">
        <v>123</v>
      </c>
      <c r="H3" s="42" t="s">
        <v>124</v>
      </c>
      <c r="I3" s="42" t="s">
        <v>125</v>
      </c>
      <c r="J3" s="39"/>
    </row>
    <row r="4" spans="1:10" ht="15.75" x14ac:dyDescent="0.25">
      <c r="A4" s="28" t="s">
        <v>155</v>
      </c>
      <c r="B4" s="27">
        <v>40</v>
      </c>
      <c r="C4" s="27">
        <v>1</v>
      </c>
      <c r="D4" s="27">
        <v>40</v>
      </c>
      <c r="E4" s="27">
        <v>0</v>
      </c>
      <c r="F4" s="53">
        <f t="shared" ref="F4:F12" si="0">D4*E4</f>
        <v>0</v>
      </c>
      <c r="G4" s="53">
        <f t="shared" ref="G4:G12" si="1">F4*0.05</f>
        <v>0</v>
      </c>
      <c r="H4" s="53">
        <f t="shared" ref="H4:H12" si="2">F4*0.1</f>
        <v>0</v>
      </c>
      <c r="I4" s="54">
        <f t="shared" ref="I4:I12" si="3">F4*F$2+G4*G$2+H4*H$2</f>
        <v>0</v>
      </c>
      <c r="J4" s="39"/>
    </row>
    <row r="5" spans="1:10" x14ac:dyDescent="0.25">
      <c r="A5" s="28" t="s">
        <v>156</v>
      </c>
      <c r="B5" s="27"/>
      <c r="C5" s="27"/>
      <c r="D5" s="27"/>
      <c r="E5" s="27"/>
      <c r="F5" s="53">
        <f t="shared" si="0"/>
        <v>0</v>
      </c>
      <c r="G5" s="53">
        <f t="shared" si="1"/>
        <v>0</v>
      </c>
      <c r="H5" s="53">
        <f t="shared" si="2"/>
        <v>0</v>
      </c>
      <c r="I5" s="54">
        <f t="shared" si="3"/>
        <v>0</v>
      </c>
      <c r="J5" s="39"/>
    </row>
    <row r="6" spans="1:10" ht="25.5" x14ac:dyDescent="0.25">
      <c r="A6" s="61" t="s">
        <v>157</v>
      </c>
      <c r="B6" s="27" t="s">
        <v>23</v>
      </c>
      <c r="C6" s="27"/>
      <c r="D6" s="27"/>
      <c r="E6" s="27"/>
      <c r="F6" s="53"/>
      <c r="G6" s="53"/>
      <c r="H6" s="53"/>
      <c r="I6" s="54"/>
      <c r="J6" s="39"/>
    </row>
    <row r="7" spans="1:10" ht="15.75" x14ac:dyDescent="0.25">
      <c r="A7" s="61" t="s">
        <v>158</v>
      </c>
      <c r="B7" s="27">
        <v>2</v>
      </c>
      <c r="C7" s="27">
        <v>1</v>
      </c>
      <c r="D7" s="27">
        <v>2</v>
      </c>
      <c r="E7" s="27">
        <v>0</v>
      </c>
      <c r="F7" s="53">
        <f t="shared" si="0"/>
        <v>0</v>
      </c>
      <c r="G7" s="53">
        <f t="shared" si="1"/>
        <v>0</v>
      </c>
      <c r="H7" s="53">
        <f t="shared" si="2"/>
        <v>0</v>
      </c>
      <c r="I7" s="54">
        <f t="shared" si="3"/>
        <v>0</v>
      </c>
      <c r="J7" s="39"/>
    </row>
    <row r="8" spans="1:10" ht="28.5" x14ac:dyDescent="0.25">
      <c r="A8" s="61" t="s">
        <v>159</v>
      </c>
      <c r="B8" s="47">
        <v>1</v>
      </c>
      <c r="C8" s="47">
        <v>0.4</v>
      </c>
      <c r="D8" s="47">
        <v>0.4</v>
      </c>
      <c r="E8" s="47">
        <v>45</v>
      </c>
      <c r="F8" s="53">
        <f t="shared" si="0"/>
        <v>18</v>
      </c>
      <c r="G8" s="53">
        <f t="shared" si="1"/>
        <v>0.9</v>
      </c>
      <c r="H8" s="53">
        <f t="shared" si="2"/>
        <v>1.8</v>
      </c>
      <c r="I8" s="54">
        <f t="shared" si="3"/>
        <v>998.03519999999992</v>
      </c>
      <c r="J8" s="39"/>
    </row>
    <row r="9" spans="1:10" ht="15.75" x14ac:dyDescent="0.25">
      <c r="A9" s="61" t="s">
        <v>160</v>
      </c>
      <c r="B9" s="27">
        <v>2</v>
      </c>
      <c r="C9" s="27">
        <v>1</v>
      </c>
      <c r="D9" s="27">
        <v>2</v>
      </c>
      <c r="E9" s="27">
        <v>0</v>
      </c>
      <c r="F9" s="53">
        <f t="shared" si="0"/>
        <v>0</v>
      </c>
      <c r="G9" s="53">
        <f t="shared" si="1"/>
        <v>0</v>
      </c>
      <c r="H9" s="53">
        <f t="shared" si="2"/>
        <v>0</v>
      </c>
      <c r="I9" s="54">
        <f t="shared" si="3"/>
        <v>0</v>
      </c>
      <c r="J9" s="39"/>
    </row>
    <row r="10" spans="1:10" ht="15.75" x14ac:dyDescent="0.25">
      <c r="A10" s="61" t="s">
        <v>161</v>
      </c>
      <c r="B10" s="27">
        <v>4</v>
      </c>
      <c r="C10" s="27">
        <v>1</v>
      </c>
      <c r="D10" s="27">
        <v>4</v>
      </c>
      <c r="E10" s="27">
        <v>0</v>
      </c>
      <c r="F10" s="53">
        <f t="shared" si="0"/>
        <v>0</v>
      </c>
      <c r="G10" s="53">
        <f t="shared" si="1"/>
        <v>0</v>
      </c>
      <c r="H10" s="53">
        <f t="shared" si="2"/>
        <v>0</v>
      </c>
      <c r="I10" s="54">
        <f t="shared" si="3"/>
        <v>0</v>
      </c>
      <c r="J10" s="39"/>
    </row>
    <row r="11" spans="1:10" ht="15.75" x14ac:dyDescent="0.25">
      <c r="A11" s="61" t="s">
        <v>162</v>
      </c>
      <c r="B11" s="27">
        <v>2</v>
      </c>
      <c r="C11" s="27">
        <v>1</v>
      </c>
      <c r="D11" s="27">
        <v>2</v>
      </c>
      <c r="E11" s="27">
        <v>0</v>
      </c>
      <c r="F11" s="53">
        <f t="shared" si="0"/>
        <v>0</v>
      </c>
      <c r="G11" s="53">
        <f t="shared" si="1"/>
        <v>0</v>
      </c>
      <c r="H11" s="53">
        <f t="shared" si="2"/>
        <v>0</v>
      </c>
      <c r="I11" s="54">
        <f t="shared" si="3"/>
        <v>0</v>
      </c>
      <c r="J11" s="39"/>
    </row>
    <row r="12" spans="1:10" ht="15.75" x14ac:dyDescent="0.25">
      <c r="A12" s="61" t="s">
        <v>163</v>
      </c>
      <c r="B12" s="27">
        <v>4</v>
      </c>
      <c r="C12" s="27">
        <v>1</v>
      </c>
      <c r="D12" s="27">
        <v>4</v>
      </c>
      <c r="E12" s="27">
        <v>0</v>
      </c>
      <c r="F12" s="53">
        <f t="shared" si="0"/>
        <v>0</v>
      </c>
      <c r="G12" s="53">
        <f t="shared" si="1"/>
        <v>0</v>
      </c>
      <c r="H12" s="53">
        <f t="shared" si="2"/>
        <v>0</v>
      </c>
      <c r="I12" s="54">
        <f t="shared" si="3"/>
        <v>0</v>
      </c>
      <c r="J12" s="39"/>
    </row>
    <row r="13" spans="1:10" ht="15.75" x14ac:dyDescent="0.25">
      <c r="A13" s="61" t="s">
        <v>164</v>
      </c>
      <c r="B13" s="47">
        <v>2</v>
      </c>
      <c r="C13" s="47">
        <v>0.4</v>
      </c>
      <c r="D13" s="47">
        <v>0.8</v>
      </c>
      <c r="E13" s="47">
        <v>45</v>
      </c>
      <c r="F13" s="53">
        <f t="shared" ref="F13:F16" si="4">D13*E13</f>
        <v>36</v>
      </c>
      <c r="G13" s="53">
        <f t="shared" ref="G13:G16" si="5">F13*0.05</f>
        <v>1.8</v>
      </c>
      <c r="H13" s="53">
        <f t="shared" ref="H13:H16" si="6">F13*0.1</f>
        <v>3.6</v>
      </c>
      <c r="I13" s="54">
        <f t="shared" ref="I13:I16" si="7">F13*F$2+G13*G$2+H13*H$2</f>
        <v>1996.0703999999998</v>
      </c>
      <c r="J13" s="39"/>
    </row>
    <row r="14" spans="1:10" ht="15.75" x14ac:dyDescent="0.25">
      <c r="A14" s="61" t="s">
        <v>165</v>
      </c>
      <c r="B14" s="47">
        <v>2</v>
      </c>
      <c r="C14" s="47">
        <v>2</v>
      </c>
      <c r="D14" s="47">
        <v>4</v>
      </c>
      <c r="E14" s="47">
        <v>45</v>
      </c>
      <c r="F14" s="53">
        <f t="shared" ref="F14:F15" si="8">D14*E14</f>
        <v>180</v>
      </c>
      <c r="G14" s="53">
        <f t="shared" ref="G14:G15" si="9">F14*0.05</f>
        <v>9</v>
      </c>
      <c r="H14" s="53">
        <f t="shared" ref="H14:H15" si="10">F14*0.1</f>
        <v>18</v>
      </c>
      <c r="I14" s="54">
        <f t="shared" ref="I14:I15" si="11">F14*F$2+G14*G$2+H14*H$2</f>
        <v>9980.351999999999</v>
      </c>
      <c r="J14" s="39"/>
    </row>
    <row r="15" spans="1:10" ht="15.75" x14ac:dyDescent="0.25">
      <c r="A15" s="61" t="s">
        <v>166</v>
      </c>
      <c r="B15" s="27">
        <v>4</v>
      </c>
      <c r="C15" s="27">
        <v>1</v>
      </c>
      <c r="D15" s="27">
        <v>4</v>
      </c>
      <c r="E15" s="27">
        <v>0</v>
      </c>
      <c r="F15" s="53">
        <f t="shared" si="8"/>
        <v>0</v>
      </c>
      <c r="G15" s="53">
        <f t="shared" si="9"/>
        <v>0</v>
      </c>
      <c r="H15" s="53">
        <f t="shared" si="10"/>
        <v>0</v>
      </c>
      <c r="I15" s="54">
        <f t="shared" si="11"/>
        <v>0</v>
      </c>
      <c r="J15" s="39"/>
    </row>
    <row r="16" spans="1:10" ht="15.75" x14ac:dyDescent="0.25">
      <c r="A16" s="61" t="s">
        <v>167</v>
      </c>
      <c r="B16" s="27">
        <v>4</v>
      </c>
      <c r="C16" s="27">
        <v>1</v>
      </c>
      <c r="D16" s="27">
        <v>4</v>
      </c>
      <c r="E16" s="27">
        <v>0</v>
      </c>
      <c r="F16" s="53">
        <f t="shared" si="4"/>
        <v>0</v>
      </c>
      <c r="G16" s="55">
        <f t="shared" si="5"/>
        <v>0</v>
      </c>
      <c r="H16" s="55">
        <f t="shared" si="6"/>
        <v>0</v>
      </c>
      <c r="I16" s="56">
        <f t="shared" si="7"/>
        <v>0</v>
      </c>
      <c r="J16" s="39"/>
    </row>
    <row r="17" spans="1:10" x14ac:dyDescent="0.25">
      <c r="A17" s="43" t="s">
        <v>126</v>
      </c>
      <c r="B17" s="57"/>
      <c r="C17" s="57"/>
      <c r="D17" s="57"/>
      <c r="E17" s="57"/>
      <c r="F17" s="79">
        <f>SUM(F4:H16)</f>
        <v>269.10000000000002</v>
      </c>
      <c r="G17" s="79"/>
      <c r="H17" s="79"/>
      <c r="I17" s="58">
        <f>ROUND(SUM(I4:I16),-2)</f>
        <v>13000</v>
      </c>
      <c r="J17" s="39"/>
    </row>
    <row r="18" spans="1:10" x14ac:dyDescent="0.25">
      <c r="A18" s="39"/>
      <c r="B18" s="39"/>
      <c r="C18" s="39"/>
      <c r="D18" s="39"/>
      <c r="E18" s="39"/>
      <c r="F18" s="39"/>
      <c r="G18" s="39"/>
      <c r="H18" s="39"/>
      <c r="I18" s="39"/>
      <c r="J18" s="39"/>
    </row>
    <row r="19" spans="1:10" x14ac:dyDescent="0.25">
      <c r="A19" s="59" t="s">
        <v>48</v>
      </c>
      <c r="B19" s="39"/>
      <c r="C19" s="39"/>
      <c r="D19" s="39"/>
      <c r="E19" s="39"/>
      <c r="F19" s="39"/>
      <c r="G19" s="39"/>
      <c r="H19" s="39"/>
      <c r="I19" s="39"/>
      <c r="J19" s="39"/>
    </row>
    <row r="20" spans="1:10" ht="15.75" x14ac:dyDescent="0.25">
      <c r="A20" s="60" t="s">
        <v>148</v>
      </c>
      <c r="B20" s="39"/>
      <c r="C20" s="39"/>
      <c r="D20" s="39"/>
      <c r="E20" s="39"/>
      <c r="F20" s="39"/>
      <c r="G20" s="39"/>
      <c r="H20" s="39"/>
      <c r="I20" s="39"/>
      <c r="J20" s="39"/>
    </row>
    <row r="21" spans="1:10" ht="15.75" x14ac:dyDescent="0.25">
      <c r="A21" s="60" t="s">
        <v>149</v>
      </c>
      <c r="B21" s="39"/>
      <c r="C21" s="39"/>
      <c r="D21" s="39"/>
      <c r="E21" s="39"/>
      <c r="F21" s="39"/>
      <c r="G21" s="39"/>
      <c r="H21" s="39"/>
      <c r="I21" s="39"/>
      <c r="J21" s="39"/>
    </row>
    <row r="22" spans="1:10" ht="15.75" x14ac:dyDescent="0.25">
      <c r="A22" s="60" t="s">
        <v>150</v>
      </c>
      <c r="B22" s="39"/>
      <c r="C22" s="39"/>
      <c r="D22" s="39"/>
      <c r="E22" s="39"/>
      <c r="F22" s="39"/>
      <c r="G22" s="39"/>
      <c r="H22" s="39"/>
      <c r="I22" s="39"/>
      <c r="J22" s="39"/>
    </row>
    <row r="23" spans="1:10" ht="15.75" x14ac:dyDescent="0.25">
      <c r="A23" s="60" t="s">
        <v>151</v>
      </c>
      <c r="B23" s="39"/>
      <c r="C23" s="39"/>
      <c r="D23" s="39"/>
      <c r="E23" s="39"/>
      <c r="F23" s="39"/>
      <c r="G23" s="39"/>
      <c r="H23" s="39"/>
      <c r="I23" s="39"/>
      <c r="J23" s="39"/>
    </row>
    <row r="24" spans="1:10" ht="15.75" x14ac:dyDescent="0.25">
      <c r="A24" s="60" t="s">
        <v>152</v>
      </c>
      <c r="B24" s="39"/>
      <c r="C24" s="39"/>
      <c r="D24" s="39"/>
      <c r="E24" s="39"/>
      <c r="F24" s="39"/>
      <c r="G24" s="39"/>
      <c r="H24" s="39"/>
      <c r="I24" s="39"/>
      <c r="J24" s="39"/>
    </row>
    <row r="25" spans="1:10" ht="15.75" x14ac:dyDescent="0.25">
      <c r="A25" s="60" t="s">
        <v>153</v>
      </c>
      <c r="B25" s="39"/>
      <c r="C25" s="39"/>
      <c r="D25" s="39"/>
      <c r="E25" s="39"/>
      <c r="F25" s="39"/>
      <c r="G25" s="39"/>
      <c r="H25" s="39"/>
      <c r="I25" s="39"/>
      <c r="J25" s="39"/>
    </row>
    <row r="26" spans="1:10" ht="15.75" x14ac:dyDescent="0.25">
      <c r="A26" s="60" t="s">
        <v>154</v>
      </c>
      <c r="B26" s="39"/>
      <c r="C26" s="39"/>
      <c r="D26" s="39"/>
      <c r="E26" s="39"/>
      <c r="F26" s="39"/>
      <c r="G26" s="39"/>
      <c r="H26" s="39"/>
      <c r="I26" s="39"/>
      <c r="J26" s="39"/>
    </row>
    <row r="27" spans="1:10" x14ac:dyDescent="0.25">
      <c r="A27" s="39"/>
      <c r="B27" s="39"/>
      <c r="C27" s="39"/>
      <c r="D27" s="39"/>
      <c r="E27" s="39"/>
      <c r="F27" s="39"/>
      <c r="G27" s="39"/>
      <c r="H27" s="39"/>
      <c r="I27" s="39"/>
      <c r="J27" s="39"/>
    </row>
    <row r="28" spans="1:10" x14ac:dyDescent="0.25">
      <c r="A28" s="39"/>
      <c r="B28" s="39"/>
      <c r="C28" s="39"/>
      <c r="D28" s="39"/>
      <c r="E28" s="39"/>
      <c r="F28" s="39"/>
      <c r="G28" s="39"/>
      <c r="H28" s="39"/>
      <c r="I28" s="39"/>
      <c r="J28" s="39"/>
    </row>
    <row r="30" spans="1:10" ht="15.75" thickBot="1" x14ac:dyDescent="0.3"/>
    <row r="31" spans="1:10" ht="19.5" thickBot="1" x14ac:dyDescent="0.3">
      <c r="A31" s="32" t="s">
        <v>107</v>
      </c>
      <c r="B31" s="33" t="s">
        <v>108</v>
      </c>
      <c r="C31" s="33" t="s">
        <v>109</v>
      </c>
      <c r="D31" s="33" t="s">
        <v>110</v>
      </c>
    </row>
    <row r="32" spans="1:10" ht="16.5" thickBot="1" x14ac:dyDescent="0.3">
      <c r="A32" s="34" t="s">
        <v>111</v>
      </c>
      <c r="B32" s="35">
        <v>41.64</v>
      </c>
      <c r="C32" s="36">
        <f>0.6*B32</f>
        <v>24.983999999999998</v>
      </c>
      <c r="D32" s="36">
        <f>B32+C32</f>
        <v>66.623999999999995</v>
      </c>
    </row>
    <row r="33" spans="1:4" ht="16.5" thickBot="1" x14ac:dyDescent="0.3">
      <c r="A33" s="34" t="s">
        <v>112</v>
      </c>
      <c r="B33" s="35">
        <v>30.9</v>
      </c>
      <c r="C33" s="36">
        <f t="shared" ref="C33:C34" si="12">0.6*B33</f>
        <v>18.54</v>
      </c>
      <c r="D33" s="36">
        <f t="shared" ref="D33:D34" si="13">B33+C33</f>
        <v>49.44</v>
      </c>
    </row>
    <row r="34" spans="1:4" ht="16.5" thickBot="1" x14ac:dyDescent="0.3">
      <c r="A34" s="34" t="s">
        <v>113</v>
      </c>
      <c r="B34" s="35">
        <v>16.72</v>
      </c>
      <c r="C34" s="36">
        <f t="shared" si="12"/>
        <v>10.031999999999998</v>
      </c>
      <c r="D34" s="36">
        <f t="shared" si="13"/>
        <v>26.751999999999995</v>
      </c>
    </row>
    <row r="35" spans="1:4" x14ac:dyDescent="0.25">
      <c r="A35" s="37" t="s">
        <v>114</v>
      </c>
    </row>
    <row r="36" spans="1:4" ht="15.75" x14ac:dyDescent="0.25">
      <c r="A36" s="38" t="s">
        <v>115</v>
      </c>
    </row>
  </sheetData>
  <mergeCells count="1">
    <mergeCell ref="F17:H17"/>
  </mergeCells>
  <hyperlinks>
    <hyperlink ref="A35" r:id="rId1" display="https://www.opm.gov/policy-data-oversight/pay-leave/salaries-wages/salary-tables/pdf/2019/GS_h.pdf" xr:uid="{68DE378A-476D-4568-BCA7-081264629CAD}"/>
  </hyperlinks>
  <pageMargins left="0.7" right="0.7" top="0.75" bottom="0.75" header="0.3" footer="0.3"/>
  <pageSetup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47769E-F72E-4431-A6C9-C997215D10C1}">
  <dimension ref="A1:E12"/>
  <sheetViews>
    <sheetView workbookViewId="0">
      <selection activeCell="A7" sqref="A7"/>
    </sheetView>
  </sheetViews>
  <sheetFormatPr defaultRowHeight="15" x14ac:dyDescent="0.25"/>
  <cols>
    <col min="1" max="1" width="44.5703125" customWidth="1"/>
    <col min="2" max="5" width="15.7109375" customWidth="1"/>
  </cols>
  <sheetData>
    <row r="1" spans="1:5" ht="60" x14ac:dyDescent="0.25">
      <c r="A1" s="44" t="s">
        <v>127</v>
      </c>
      <c r="B1" s="44" t="s">
        <v>128</v>
      </c>
      <c r="C1" s="44" t="s">
        <v>129</v>
      </c>
      <c r="D1" s="44" t="s">
        <v>130</v>
      </c>
      <c r="E1" s="44" t="s">
        <v>131</v>
      </c>
    </row>
    <row r="2" spans="1:5" x14ac:dyDescent="0.25">
      <c r="A2" s="45"/>
      <c r="B2" s="45"/>
      <c r="C2" s="45"/>
      <c r="D2" s="46"/>
      <c r="E2" s="47" t="s">
        <v>132</v>
      </c>
    </row>
    <row r="3" spans="1:5" x14ac:dyDescent="0.25">
      <c r="A3" s="48" t="s">
        <v>133</v>
      </c>
      <c r="B3" s="47">
        <v>0</v>
      </c>
      <c r="C3" s="47">
        <v>0</v>
      </c>
      <c r="D3" s="47">
        <v>0</v>
      </c>
      <c r="E3" s="47">
        <v>0</v>
      </c>
    </row>
    <row r="4" spans="1:5" x14ac:dyDescent="0.25">
      <c r="A4" s="48" t="s">
        <v>134</v>
      </c>
      <c r="B4" s="47">
        <v>0</v>
      </c>
      <c r="C4" s="47">
        <v>0</v>
      </c>
      <c r="D4" s="47">
        <v>0</v>
      </c>
      <c r="E4" s="47">
        <v>0</v>
      </c>
    </row>
    <row r="5" spans="1:5" x14ac:dyDescent="0.25">
      <c r="A5" s="48" t="s">
        <v>135</v>
      </c>
      <c r="B5" s="47">
        <v>0</v>
      </c>
      <c r="C5" s="47">
        <v>0</v>
      </c>
      <c r="D5" s="47">
        <v>0</v>
      </c>
      <c r="E5" s="47">
        <v>0</v>
      </c>
    </row>
    <row r="6" spans="1:5" x14ac:dyDescent="0.25">
      <c r="A6" s="48" t="s">
        <v>137</v>
      </c>
      <c r="B6" s="47">
        <f>Burden!E12</f>
        <v>45</v>
      </c>
      <c r="C6" s="47">
        <f>Burden!C12</f>
        <v>0.4</v>
      </c>
      <c r="D6" s="47">
        <v>0</v>
      </c>
      <c r="E6" s="47">
        <f>B6*C6</f>
        <v>18</v>
      </c>
    </row>
    <row r="7" spans="1:5" x14ac:dyDescent="0.25">
      <c r="A7" s="48" t="s">
        <v>142</v>
      </c>
      <c r="B7" s="47">
        <f>Burden!E32</f>
        <v>45</v>
      </c>
      <c r="C7" s="47">
        <f>Burden!C32</f>
        <v>0.4</v>
      </c>
      <c r="D7" s="47">
        <v>1</v>
      </c>
      <c r="E7" s="47">
        <f>B7*C7</f>
        <v>18</v>
      </c>
    </row>
    <row r="8" spans="1:5" x14ac:dyDescent="0.25">
      <c r="A8" s="48" t="s">
        <v>136</v>
      </c>
      <c r="B8" s="47">
        <f>Burden!E33</f>
        <v>45</v>
      </c>
      <c r="C8" s="47">
        <f>Burden!C33</f>
        <v>2</v>
      </c>
      <c r="D8" s="47">
        <v>0</v>
      </c>
      <c r="E8" s="47">
        <f>B8*C8</f>
        <v>90</v>
      </c>
    </row>
    <row r="9" spans="1:5" x14ac:dyDescent="0.25">
      <c r="A9" s="49"/>
      <c r="B9" s="49"/>
      <c r="C9" s="49"/>
      <c r="D9" s="44" t="s">
        <v>75</v>
      </c>
      <c r="E9" s="50">
        <f>SUM(E3:E8)</f>
        <v>126</v>
      </c>
    </row>
    <row r="12" spans="1:5" x14ac:dyDescent="0.25">
      <c r="D12" s="52" t="s">
        <v>140</v>
      </c>
      <c r="E12" s="51">
        <f>Burden!F48/Responses!E9</f>
        <v>122.22222222222223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Burden</vt:lpstr>
      <vt:lpstr>Increment</vt:lpstr>
      <vt:lpstr>OpCosts</vt:lpstr>
      <vt:lpstr>2_EPA</vt:lpstr>
      <vt:lpstr>Responses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Coburn, Jeff</dc:creator>
  <cp:lastModifiedBy>Schultz, Eric</cp:lastModifiedBy>
  <dcterms:created xsi:type="dcterms:W3CDTF">2019-08-12T22:39:09Z</dcterms:created>
  <dcterms:modified xsi:type="dcterms:W3CDTF">2023-01-31T02:42:48Z</dcterms:modified>
</cp:coreProperties>
</file>