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015ADA4-AF5B-4834-BBCE-3B1C0E3DAE65}" xr6:coauthVersionLast="47" xr6:coauthVersionMax="47" xr10:uidLastSave="{00000000-0000-0000-0000-000000000000}"/>
  <bookViews>
    <workbookView xWindow="-110" yWindow="-110" windowWidth="19420" windowHeight="10300" xr2:uid="{00000000-000D-0000-FFFF-FFFF00000000}"/>
  </bookViews>
  <sheets>
    <sheet name="Summary" sheetId="9" r:id="rId1"/>
    <sheet name="Table 1" sheetId="1" r:id="rId2"/>
    <sheet name="Table 2" sheetId="5" r:id="rId3"/>
    <sheet name="Responses" sheetId="6" r:id="rId4"/>
    <sheet name="Capital O&amp;M" sheetId="7" r:id="rId5"/>
    <sheet name="Respondents" sheetId="10" r:id="rId6"/>
  </sheets>
  <definedNames>
    <definedName name="\average" localSheetId="2">'Table 2'!#REF!</definedName>
    <definedName name="\average">'Table 1'!$S$78:$T$269</definedName>
    <definedName name="\j" localSheetId="2">'Table 2'!$T$2</definedName>
    <definedName name="\j">'Table 1'!#REF!</definedName>
    <definedName name="\m" localSheetId="2">'Table 2'!$T$2</definedName>
    <definedName name="\m">'Table 1'!#REF!</definedName>
    <definedName name="criteria1" localSheetId="2">'Table 2'!#REF!</definedName>
    <definedName name="criteria1">'Table 1'!#REF!</definedName>
    <definedName name="criteria2" localSheetId="2">'Table 2'!#REF!</definedName>
    <definedName name="criteria2">'Table 1'!#REF!</definedName>
    <definedName name="database1" localSheetId="2">'Table 2'!#REF!</definedName>
    <definedName name="database1">'Table 1'!$S$222:$T$269</definedName>
    <definedName name="_xlnm.Print_Area" localSheetId="1">'Table 1'!$A$16:$X$297</definedName>
    <definedName name="_xlnm.Print_Area" localSheetId="2">'Table 2'!$A$11:$Y$190</definedName>
    <definedName name="_xlnm.Print_Area">'Table 1'!$A$16:$Q$269</definedName>
    <definedName name="Print_Area_MI" localSheetId="1">'Table 1'!$A$16:$I$269</definedName>
    <definedName name="Print_Area_MI" localSheetId="2">'Table 2'!#REF!</definedName>
    <definedName name="PRINT_AREA_MI">'Table 1'!$A$16:$I$269</definedName>
    <definedName name="_xlnm.Print_Titles" localSheetId="1">'Table 1'!$16:$23</definedName>
    <definedName name="_xlnm.Print_Titles" localSheetId="2">'Table 2'!$12:$18</definedName>
    <definedName name="range1" localSheetId="2">'Table 2'!#REF!</definedName>
    <definedName name="range1">'Table 1'!$S$222:$T$269</definedName>
    <definedName name="Type1" localSheetId="2">'Table 2'!$R$2:$R$3</definedName>
    <definedName name="Type1">'Table 1'!$Q$2:$Q$3</definedName>
    <definedName name="Type2" localSheetId="2">'Table 2'!$R$4:$R$5</definedName>
    <definedName name="Type2">'Table 1'!$Q$4:$Q$5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 i="9" l="1"/>
  <c r="R20" i="5"/>
  <c r="F9" i="10"/>
  <c r="V2" i="1"/>
  <c r="R2" i="1"/>
  <c r="R10" i="5" l="1"/>
  <c r="D10" i="5"/>
  <c r="U34" i="1"/>
  <c r="U32" i="1"/>
  <c r="U30" i="1"/>
  <c r="U27" i="1"/>
  <c r="T34" i="1"/>
  <c r="T32" i="1"/>
  <c r="T30" i="1"/>
  <c r="S34" i="1"/>
  <c r="S32" i="1"/>
  <c r="S30" i="1"/>
  <c r="O34" i="1"/>
  <c r="O32" i="1"/>
  <c r="N27" i="1"/>
  <c r="R3" i="1"/>
  <c r="R8" i="1" s="1"/>
  <c r="R4" i="1"/>
  <c r="R5" i="1"/>
  <c r="R6" i="1"/>
  <c r="R7" i="1"/>
  <c r="R10" i="1" l="1"/>
  <c r="R9" i="1"/>
  <c r="C75" i="7"/>
  <c r="G198" i="1" l="1"/>
  <c r="G11" i="7" l="1"/>
  <c r="G15" i="7"/>
  <c r="E8" i="7"/>
  <c r="G56" i="7"/>
  <c r="G55" i="7"/>
  <c r="G68" i="7"/>
  <c r="G45" i="7"/>
  <c r="G39" i="7"/>
  <c r="G38" i="7"/>
  <c r="G37" i="7"/>
  <c r="G24" i="7"/>
  <c r="G19" i="7"/>
  <c r="G72" i="7"/>
  <c r="G73" i="7"/>
  <c r="G71" i="7"/>
  <c r="G70" i="7"/>
  <c r="G69" i="7"/>
  <c r="D68" i="7"/>
  <c r="D71" i="7"/>
  <c r="C117" i="6"/>
  <c r="C116" i="6" s="1"/>
  <c r="C115" i="6"/>
  <c r="C100" i="6"/>
  <c r="C99" i="6"/>
  <c r="C98" i="6"/>
  <c r="C93" i="6"/>
  <c r="C94" i="6"/>
  <c r="C95" i="6"/>
  <c r="C96" i="6"/>
  <c r="C92" i="6"/>
  <c r="C90" i="6"/>
  <c r="D77" i="6"/>
  <c r="D74" i="6"/>
  <c r="D73" i="6"/>
  <c r="D72" i="6"/>
  <c r="C67" i="6"/>
  <c r="C66" i="6"/>
  <c r="C64" i="6"/>
  <c r="C61" i="6"/>
  <c r="C42" i="6"/>
  <c r="C18" i="6"/>
  <c r="C16" i="6"/>
  <c r="C5" i="6"/>
  <c r="C4" i="6" s="1"/>
  <c r="H5" i="6"/>
  <c r="M2" i="1" l="1"/>
  <c r="D9" i="10"/>
  <c r="E9" i="10"/>
  <c r="C9" i="10"/>
  <c r="C8" i="10"/>
  <c r="D8" i="10"/>
  <c r="E8" i="10"/>
  <c r="F8" i="10"/>
  <c r="B8" i="10"/>
  <c r="C7" i="10"/>
  <c r="F7" i="10" s="1"/>
  <c r="C6" i="10"/>
  <c r="F6" i="10" s="1"/>
  <c r="F5" i="10"/>
  <c r="V74" i="5"/>
  <c r="U74" i="5"/>
  <c r="T74" i="5"/>
  <c r="H74" i="5"/>
  <c r="C16" i="5"/>
  <c r="C19" i="1" l="1"/>
  <c r="C198" i="1"/>
  <c r="C294" i="1"/>
  <c r="C295" i="1" s="1"/>
  <c r="M3" i="1"/>
  <c r="M4" i="1"/>
  <c r="M5" i="1"/>
  <c r="M6" i="1"/>
  <c r="M7" i="1"/>
  <c r="M10" i="1" s="1"/>
  <c r="L150" i="1" s="1"/>
  <c r="L27" i="1"/>
  <c r="L246" i="1" l="1"/>
  <c r="M9" i="1"/>
  <c r="L113" i="1"/>
  <c r="C53" i="6" s="1"/>
  <c r="G32" i="7"/>
  <c r="L84" i="1"/>
  <c r="L100" i="1"/>
  <c r="M8" i="1"/>
  <c r="L28" i="1" l="1"/>
  <c r="G16" i="7"/>
  <c r="C46" i="6"/>
  <c r="G26" i="7"/>
  <c r="C29" i="6"/>
  <c r="L69" i="1"/>
  <c r="D39" i="6"/>
  <c r="L93" i="1"/>
  <c r="L89" i="1"/>
  <c r="G8" i="7" l="1"/>
  <c r="H8" i="7" s="1"/>
  <c r="C37" i="6"/>
  <c r="C36" i="6" s="1"/>
  <c r="C41" i="6"/>
  <c r="G14" i="7"/>
  <c r="H14" i="7" s="1"/>
  <c r="G9" i="7"/>
  <c r="G23" i="7"/>
  <c r="C15" i="6"/>
  <c r="E9" i="7"/>
  <c r="E10" i="7"/>
  <c r="E11" i="7"/>
  <c r="H11" i="7"/>
  <c r="E12" i="7"/>
  <c r="H12" i="7"/>
  <c r="E13" i="7"/>
  <c r="H13" i="7"/>
  <c r="E14" i="7"/>
  <c r="E15" i="7"/>
  <c r="H15" i="7"/>
  <c r="E16" i="7"/>
  <c r="H16" i="7"/>
  <c r="C18" i="7"/>
  <c r="D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C59" i="7"/>
  <c r="D59" i="7"/>
  <c r="E60" i="7"/>
  <c r="F59" i="7"/>
  <c r="E61" i="7"/>
  <c r="E62" i="7"/>
  <c r="E63" i="7"/>
  <c r="E64" i="7"/>
  <c r="E66" i="7"/>
  <c r="E69" i="7"/>
  <c r="E70" i="7"/>
  <c r="C68" i="7"/>
  <c r="H71" i="7"/>
  <c r="E72" i="7"/>
  <c r="E73" i="7"/>
  <c r="F75" i="7"/>
  <c r="G75" i="7"/>
  <c r="H76" i="7"/>
  <c r="H77" i="7"/>
  <c r="H78" i="7"/>
  <c r="D4" i="6"/>
  <c r="D6" i="6"/>
  <c r="D9" i="6"/>
  <c r="D14" i="6"/>
  <c r="E16" i="6"/>
  <c r="D17" i="6"/>
  <c r="C17" i="6"/>
  <c r="D19" i="6"/>
  <c r="C34" i="6"/>
  <c r="D40" i="6"/>
  <c r="E42" i="6"/>
  <c r="D45" i="6"/>
  <c r="E46" i="6"/>
  <c r="E45" i="6" s="1"/>
  <c r="D47" i="6"/>
  <c r="D49" i="6"/>
  <c r="E53" i="6"/>
  <c r="D54" i="6"/>
  <c r="D57" i="6"/>
  <c r="D60" i="6"/>
  <c r="C60" i="6"/>
  <c r="D62" i="6"/>
  <c r="E64" i="6"/>
  <c r="D65" i="6"/>
  <c r="E67" i="6"/>
  <c r="D68" i="6"/>
  <c r="C71" i="6"/>
  <c r="D71" i="6"/>
  <c r="E72" i="6"/>
  <c r="E73" i="6"/>
  <c r="E74" i="6"/>
  <c r="D75" i="6"/>
  <c r="E77" i="6"/>
  <c r="C78" i="6"/>
  <c r="D80" i="6"/>
  <c r="D82" i="6"/>
  <c r="D84" i="6"/>
  <c r="D86" i="6"/>
  <c r="E90" i="6"/>
  <c r="D91" i="6"/>
  <c r="E93" i="6"/>
  <c r="E94" i="6"/>
  <c r="E95" i="6"/>
  <c r="E96" i="6"/>
  <c r="D97" i="6"/>
  <c r="C97" i="6"/>
  <c r="E99" i="6"/>
  <c r="E100" i="6"/>
  <c r="D101" i="6"/>
  <c r="D104" i="6"/>
  <c r="D107" i="6"/>
  <c r="D109" i="6"/>
  <c r="D111" i="6"/>
  <c r="D114" i="6"/>
  <c r="C114" i="6"/>
  <c r="D116" i="6"/>
  <c r="D118" i="6"/>
  <c r="C120" i="6"/>
  <c r="C122" i="6"/>
  <c r="D124" i="6"/>
  <c r="E124" i="6"/>
  <c r="C126" i="6"/>
  <c r="C128" i="6"/>
  <c r="C130" i="6"/>
  <c r="C132" i="6"/>
  <c r="E39" i="6"/>
  <c r="E37" i="6" l="1"/>
  <c r="E71" i="6"/>
  <c r="E98" i="6"/>
  <c r="E97" i="6" s="1"/>
  <c r="E18" i="6"/>
  <c r="E17" i="6" s="1"/>
  <c r="E71" i="7"/>
  <c r="E68" i="7" s="1"/>
  <c r="E18" i="7"/>
  <c r="H75" i="7"/>
  <c r="H72" i="7"/>
  <c r="H19" i="7"/>
  <c r="C45" i="6"/>
  <c r="H73" i="7"/>
  <c r="H56" i="7"/>
  <c r="H32" i="7"/>
  <c r="H24" i="7"/>
  <c r="H9" i="7"/>
  <c r="H69" i="7"/>
  <c r="E59" i="7"/>
  <c r="E117" i="6"/>
  <c r="E116" i="6" s="1"/>
  <c r="C65" i="6"/>
  <c r="H38" i="7"/>
  <c r="H26" i="7"/>
  <c r="E115" i="6"/>
  <c r="E114" i="6" s="1"/>
  <c r="C91" i="6"/>
  <c r="C28" i="6"/>
  <c r="E29" i="6"/>
  <c r="H55" i="7"/>
  <c r="H39" i="7"/>
  <c r="H23" i="7"/>
  <c r="E41" i="6"/>
  <c r="C14" i="6"/>
  <c r="E15" i="6"/>
  <c r="E14" i="6" s="1"/>
  <c r="E5" i="6"/>
  <c r="E4" i="6" s="1"/>
  <c r="H70" i="7"/>
  <c r="H45" i="7"/>
  <c r="H37" i="7"/>
  <c r="E92" i="6"/>
  <c r="E91" i="6" s="1"/>
  <c r="E66" i="6"/>
  <c r="E65" i="6" s="1"/>
  <c r="E61" i="6"/>
  <c r="E60" i="6" s="1"/>
  <c r="F68" i="7"/>
  <c r="F18" i="7"/>
  <c r="H68" i="7" l="1"/>
  <c r="M34" i="1" l="1"/>
  <c r="M32" i="1"/>
  <c r="M30" i="1"/>
  <c r="H34" i="1"/>
  <c r="H32" i="1"/>
  <c r="H30" i="1"/>
  <c r="F198" i="1" l="1"/>
  <c r="V4" i="1"/>
  <c r="V6" i="1"/>
  <c r="V7" i="1"/>
  <c r="V24" i="1"/>
  <c r="W24" i="1"/>
  <c r="X24" i="1"/>
  <c r="V27" i="1"/>
  <c r="W27" i="1"/>
  <c r="X27" i="1"/>
  <c r="V28" i="1"/>
  <c r="W28" i="1"/>
  <c r="X28" i="1"/>
  <c r="V32" i="1"/>
  <c r="W32" i="1"/>
  <c r="X32" i="1"/>
  <c r="V34" i="1"/>
  <c r="W34" i="1"/>
  <c r="X34" i="1"/>
  <c r="V36" i="1"/>
  <c r="W36" i="1"/>
  <c r="X36" i="1"/>
  <c r="V38" i="1"/>
  <c r="W38" i="1"/>
  <c r="X38" i="1"/>
  <c r="V40" i="1"/>
  <c r="W40" i="1"/>
  <c r="X40" i="1"/>
  <c r="V41" i="1"/>
  <c r="W41" i="1"/>
  <c r="X41" i="1"/>
  <c r="V43" i="1"/>
  <c r="W43" i="1"/>
  <c r="X43" i="1"/>
  <c r="V44" i="1"/>
  <c r="W44" i="1"/>
  <c r="X44" i="1"/>
  <c r="S47" i="1"/>
  <c r="V47" i="1"/>
  <c r="W47" i="1"/>
  <c r="X47" i="1"/>
  <c r="S54" i="1"/>
  <c r="V54" i="1"/>
  <c r="W54" i="1"/>
  <c r="X54" i="1"/>
  <c r="V56" i="1"/>
  <c r="W56" i="1"/>
  <c r="X56" i="1"/>
  <c r="V57" i="1"/>
  <c r="W57" i="1"/>
  <c r="X57" i="1"/>
  <c r="V60" i="1"/>
  <c r="W60" i="1"/>
  <c r="X60" i="1"/>
  <c r="V66" i="1"/>
  <c r="W66" i="1"/>
  <c r="X66" i="1"/>
  <c r="V69" i="1"/>
  <c r="W69" i="1"/>
  <c r="X69" i="1"/>
  <c r="S70" i="1"/>
  <c r="V70" i="1"/>
  <c r="W70" i="1"/>
  <c r="X70" i="1"/>
  <c r="S73" i="1"/>
  <c r="V73" i="1"/>
  <c r="W73" i="1"/>
  <c r="X73" i="1"/>
  <c r="V75" i="1"/>
  <c r="W75" i="1"/>
  <c r="X75" i="1"/>
  <c r="V76" i="1"/>
  <c r="W76" i="1"/>
  <c r="X76" i="1"/>
  <c r="V80" i="1"/>
  <c r="W80" i="1"/>
  <c r="X80" i="1"/>
  <c r="V84" i="1"/>
  <c r="W84" i="1"/>
  <c r="X84" i="1"/>
  <c r="V87" i="1"/>
  <c r="W87" i="1"/>
  <c r="X87" i="1"/>
  <c r="V89" i="1"/>
  <c r="W89" i="1"/>
  <c r="X89" i="1"/>
  <c r="V93" i="1"/>
  <c r="W93" i="1"/>
  <c r="X93" i="1"/>
  <c r="S94" i="1"/>
  <c r="V94" i="1"/>
  <c r="W94" i="1"/>
  <c r="X94" i="1"/>
  <c r="V95" i="1"/>
  <c r="W95" i="1"/>
  <c r="X95" i="1"/>
  <c r="V96" i="1"/>
  <c r="W96" i="1"/>
  <c r="X96" i="1"/>
  <c r="V100" i="1"/>
  <c r="W100" i="1"/>
  <c r="X100" i="1"/>
  <c r="V104" i="1"/>
  <c r="W104" i="1"/>
  <c r="X104" i="1"/>
  <c r="V107" i="1"/>
  <c r="W107" i="1"/>
  <c r="X107" i="1"/>
  <c r="V109" i="1"/>
  <c r="W109" i="1"/>
  <c r="X109" i="1"/>
  <c r="V111" i="1"/>
  <c r="W111" i="1"/>
  <c r="X111" i="1"/>
  <c r="V113" i="1"/>
  <c r="W113" i="1"/>
  <c r="X113" i="1"/>
  <c r="V115" i="1"/>
  <c r="W115" i="1"/>
  <c r="X115" i="1"/>
  <c r="V117" i="1"/>
  <c r="W117" i="1"/>
  <c r="X117" i="1"/>
  <c r="V120" i="1"/>
  <c r="W120" i="1"/>
  <c r="X120" i="1"/>
  <c r="V121" i="1"/>
  <c r="W121" i="1"/>
  <c r="X121" i="1"/>
  <c r="S124" i="1"/>
  <c r="V124" i="1"/>
  <c r="W124" i="1"/>
  <c r="X124" i="1"/>
  <c r="V127" i="1"/>
  <c r="W127" i="1"/>
  <c r="X127" i="1"/>
  <c r="S128" i="1"/>
  <c r="V128" i="1"/>
  <c r="W128" i="1"/>
  <c r="X128" i="1"/>
  <c r="S131" i="1"/>
  <c r="V131" i="1"/>
  <c r="W131" i="1"/>
  <c r="X131" i="1"/>
  <c r="S132" i="1"/>
  <c r="V132" i="1"/>
  <c r="W132" i="1"/>
  <c r="X132" i="1"/>
  <c r="V134" i="1"/>
  <c r="W134" i="1"/>
  <c r="X134" i="1"/>
  <c r="V136" i="1"/>
  <c r="W136" i="1"/>
  <c r="X136" i="1"/>
  <c r="V138" i="1"/>
  <c r="W138" i="1"/>
  <c r="X138" i="1"/>
  <c r="V141" i="1"/>
  <c r="W141" i="1"/>
  <c r="X141" i="1"/>
  <c r="V144" i="1"/>
  <c r="W144" i="1"/>
  <c r="X144" i="1"/>
  <c r="V147" i="1"/>
  <c r="W147" i="1"/>
  <c r="X147" i="1"/>
  <c r="V150" i="1"/>
  <c r="W150" i="1"/>
  <c r="X150" i="1"/>
  <c r="S152" i="1"/>
  <c r="V152" i="1"/>
  <c r="W152" i="1"/>
  <c r="X152" i="1"/>
  <c r="S154" i="1"/>
  <c r="V154" i="1"/>
  <c r="W154" i="1"/>
  <c r="X154" i="1"/>
  <c r="V155" i="1"/>
  <c r="W155" i="1"/>
  <c r="X155" i="1"/>
  <c r="V156" i="1"/>
  <c r="W156" i="1"/>
  <c r="X156" i="1"/>
  <c r="V157" i="1"/>
  <c r="W157" i="1"/>
  <c r="X157" i="1"/>
  <c r="V158" i="1"/>
  <c r="W158" i="1"/>
  <c r="X158" i="1"/>
  <c r="S160" i="1"/>
  <c r="V160" i="1"/>
  <c r="W160" i="1"/>
  <c r="X160" i="1"/>
  <c r="S162" i="1"/>
  <c r="V162" i="1"/>
  <c r="W162" i="1"/>
  <c r="X162" i="1"/>
  <c r="S164" i="1"/>
  <c r="V164" i="1"/>
  <c r="W164" i="1"/>
  <c r="X164" i="1"/>
  <c r="V167" i="1"/>
  <c r="W167" i="1"/>
  <c r="X167" i="1"/>
  <c r="V170" i="1"/>
  <c r="W170" i="1"/>
  <c r="X170" i="1"/>
  <c r="V172" i="1"/>
  <c r="W172" i="1"/>
  <c r="X172" i="1"/>
  <c r="V175" i="1"/>
  <c r="W175" i="1"/>
  <c r="X175" i="1"/>
  <c r="V177" i="1"/>
  <c r="W177" i="1"/>
  <c r="X177" i="1"/>
  <c r="V180" i="1"/>
  <c r="W180" i="1"/>
  <c r="X180" i="1"/>
  <c r="V184" i="1"/>
  <c r="W184" i="1"/>
  <c r="X184" i="1"/>
  <c r="V187" i="1"/>
  <c r="W187" i="1"/>
  <c r="X187" i="1"/>
  <c r="V189" i="1"/>
  <c r="W189" i="1"/>
  <c r="X189" i="1"/>
  <c r="S192" i="1"/>
  <c r="V192" i="1"/>
  <c r="W192" i="1"/>
  <c r="X192" i="1"/>
  <c r="S195" i="1"/>
  <c r="V195" i="1"/>
  <c r="W195" i="1"/>
  <c r="X195" i="1"/>
  <c r="V197" i="1"/>
  <c r="W197" i="1"/>
  <c r="X197" i="1"/>
  <c r="S207" i="1"/>
  <c r="T207" i="1"/>
  <c r="U207" i="1"/>
  <c r="V207" i="1"/>
  <c r="S211" i="1"/>
  <c r="T211" i="1"/>
  <c r="U211" i="1"/>
  <c r="S214" i="1"/>
  <c r="T214" i="1"/>
  <c r="U214" i="1"/>
  <c r="S216" i="1"/>
  <c r="T216" i="1"/>
  <c r="U216" i="1"/>
  <c r="V216" i="1"/>
  <c r="S218" i="1"/>
  <c r="T218" i="1"/>
  <c r="U218" i="1"/>
  <c r="S223" i="1"/>
  <c r="T223" i="1"/>
  <c r="U223" i="1"/>
  <c r="S226" i="1"/>
  <c r="T226" i="1"/>
  <c r="U226" i="1"/>
  <c r="S228" i="1"/>
  <c r="T228" i="1"/>
  <c r="U228" i="1"/>
  <c r="S230" i="1"/>
  <c r="T230" i="1"/>
  <c r="U230" i="1"/>
  <c r="S232" i="1"/>
  <c r="T232" i="1"/>
  <c r="U232" i="1"/>
  <c r="S235" i="1"/>
  <c r="T235" i="1"/>
  <c r="U235" i="1"/>
  <c r="S239" i="1"/>
  <c r="T239" i="1"/>
  <c r="U239" i="1"/>
  <c r="S242" i="1"/>
  <c r="T242" i="1"/>
  <c r="U242" i="1"/>
  <c r="S245" i="1"/>
  <c r="T245" i="1"/>
  <c r="U245" i="1"/>
  <c r="S246" i="1"/>
  <c r="T246" i="1"/>
  <c r="U246" i="1"/>
  <c r="S249" i="1"/>
  <c r="T249" i="1"/>
  <c r="U249" i="1"/>
  <c r="V249" i="1"/>
  <c r="S253" i="1"/>
  <c r="T253" i="1"/>
  <c r="U253" i="1"/>
  <c r="V253" i="1"/>
  <c r="S256" i="1"/>
  <c r="T256" i="1"/>
  <c r="U256" i="1"/>
  <c r="V256" i="1"/>
  <c r="S259" i="1"/>
  <c r="T259" i="1"/>
  <c r="U259" i="1"/>
  <c r="V259" i="1"/>
  <c r="S263" i="1"/>
  <c r="T263" i="1"/>
  <c r="U263" i="1"/>
  <c r="V263" i="1"/>
  <c r="S266" i="1"/>
  <c r="T266" i="1"/>
  <c r="U266" i="1"/>
  <c r="S269" i="1"/>
  <c r="T269" i="1"/>
  <c r="U269" i="1"/>
  <c r="S272" i="1"/>
  <c r="T272" i="1"/>
  <c r="U272" i="1"/>
  <c r="S275" i="1"/>
  <c r="T275" i="1"/>
  <c r="U275" i="1"/>
  <c r="S278" i="1"/>
  <c r="T278" i="1"/>
  <c r="U278" i="1"/>
  <c r="S280" i="1"/>
  <c r="T280" i="1"/>
  <c r="U280" i="1"/>
  <c r="S282" i="1"/>
  <c r="T282" i="1"/>
  <c r="U282" i="1"/>
  <c r="S285" i="1"/>
  <c r="T285" i="1"/>
  <c r="U285" i="1"/>
  <c r="S287" i="1"/>
  <c r="T287" i="1"/>
  <c r="U287" i="1"/>
  <c r="S290" i="1"/>
  <c r="T290" i="1"/>
  <c r="U290" i="1"/>
  <c r="V3" i="1" l="1"/>
  <c r="V5" i="1" l="1"/>
  <c r="V10" i="1" l="1"/>
  <c r="L24" i="1" s="1"/>
  <c r="M195" i="1"/>
  <c r="T195" i="1" s="1"/>
  <c r="M70" i="1"/>
  <c r="T70" i="1" s="1"/>
  <c r="S24" i="1" l="1"/>
  <c r="M24" i="1"/>
  <c r="T24" i="1" s="1"/>
  <c r="O184" i="5"/>
  <c r="O185" i="5" s="1"/>
  <c r="O174" i="5"/>
  <c r="W174" i="5" s="1"/>
  <c r="O142" i="5"/>
  <c r="W142" i="5" s="1"/>
  <c r="O140" i="5"/>
  <c r="O143" i="5" s="1"/>
  <c r="O139" i="5"/>
  <c r="W139" i="5" s="1"/>
  <c r="O136" i="5"/>
  <c r="O116" i="5"/>
  <c r="W116" i="5" s="1"/>
  <c r="O105" i="5"/>
  <c r="W105" i="5" s="1"/>
  <c r="O97" i="5"/>
  <c r="O102" i="5" s="1"/>
  <c r="O90" i="5"/>
  <c r="P90" i="5" s="1"/>
  <c r="X90" i="5" s="1"/>
  <c r="O88" i="5"/>
  <c r="O92" i="5" s="1"/>
  <c r="O81" i="5"/>
  <c r="O85" i="5" s="1"/>
  <c r="O23" i="5"/>
  <c r="Q23" i="5" s="1"/>
  <c r="AE16" i="5"/>
  <c r="AC16" i="5"/>
  <c r="AF16" i="5"/>
  <c r="AF18" i="5" s="1"/>
  <c r="AE15" i="5"/>
  <c r="AC15" i="5"/>
  <c r="AF15" i="5"/>
  <c r="Y188" i="5"/>
  <c r="X188" i="5"/>
  <c r="W188" i="5"/>
  <c r="H188" i="5"/>
  <c r="V187" i="5"/>
  <c r="U187" i="5"/>
  <c r="T187" i="5"/>
  <c r="H187" i="5"/>
  <c r="Y185" i="5"/>
  <c r="X185" i="5"/>
  <c r="W185" i="5"/>
  <c r="H185" i="5"/>
  <c r="V184" i="5"/>
  <c r="U184" i="5"/>
  <c r="T184" i="5"/>
  <c r="H184" i="5"/>
  <c r="Y182" i="5"/>
  <c r="X182" i="5"/>
  <c r="W182" i="5"/>
  <c r="H182" i="5"/>
  <c r="V181" i="5"/>
  <c r="U181" i="5"/>
  <c r="T181" i="5"/>
  <c r="H181" i="5"/>
  <c r="V177" i="5"/>
  <c r="U177" i="5"/>
  <c r="T177" i="5"/>
  <c r="H177" i="5"/>
  <c r="Y176" i="5"/>
  <c r="X176" i="5"/>
  <c r="W176" i="5"/>
  <c r="V176" i="5"/>
  <c r="U176" i="5"/>
  <c r="T176" i="5"/>
  <c r="Y175" i="5"/>
  <c r="X175" i="5"/>
  <c r="W175" i="5"/>
  <c r="H175" i="5"/>
  <c r="V174" i="5"/>
  <c r="U174" i="5"/>
  <c r="T174" i="5"/>
  <c r="H174" i="5"/>
  <c r="Y171" i="5"/>
  <c r="X171" i="5"/>
  <c r="W171" i="5"/>
  <c r="H171" i="5"/>
  <c r="V170" i="5"/>
  <c r="U170" i="5"/>
  <c r="T170" i="5"/>
  <c r="H170" i="5"/>
  <c r="V168" i="5"/>
  <c r="U168" i="5"/>
  <c r="T168" i="5"/>
  <c r="H168" i="5"/>
  <c r="V167" i="5"/>
  <c r="U167" i="5"/>
  <c r="T167" i="5"/>
  <c r="H167" i="5"/>
  <c r="Y164" i="5"/>
  <c r="X164" i="5"/>
  <c r="W164" i="5"/>
  <c r="H164" i="5"/>
  <c r="V163" i="5"/>
  <c r="U163" i="5"/>
  <c r="T163" i="5"/>
  <c r="H163" i="5"/>
  <c r="V160" i="5"/>
  <c r="U160" i="5"/>
  <c r="T160" i="5"/>
  <c r="H160" i="5"/>
  <c r="V158" i="5"/>
  <c r="U158" i="5"/>
  <c r="T158" i="5"/>
  <c r="H158" i="5"/>
  <c r="Y155" i="5"/>
  <c r="X155" i="5"/>
  <c r="W155" i="5"/>
  <c r="H155" i="5"/>
  <c r="V154" i="5"/>
  <c r="U154" i="5"/>
  <c r="T154" i="5"/>
  <c r="H154" i="5"/>
  <c r="Y152" i="5"/>
  <c r="X152" i="5"/>
  <c r="W152" i="5"/>
  <c r="H152" i="5"/>
  <c r="V151" i="5"/>
  <c r="U151" i="5"/>
  <c r="T151" i="5"/>
  <c r="H151" i="5"/>
  <c r="Y148" i="5"/>
  <c r="X148" i="5"/>
  <c r="W148" i="5"/>
  <c r="H148" i="5"/>
  <c r="V147" i="5"/>
  <c r="U147" i="5"/>
  <c r="T147" i="5"/>
  <c r="H147" i="5"/>
  <c r="Y143" i="5"/>
  <c r="X143" i="5"/>
  <c r="W143" i="5"/>
  <c r="H143" i="5"/>
  <c r="V142" i="5"/>
  <c r="U142" i="5"/>
  <c r="T142" i="5"/>
  <c r="H142" i="5"/>
  <c r="V140" i="5"/>
  <c r="U140" i="5"/>
  <c r="T140" i="5"/>
  <c r="H140" i="5"/>
  <c r="V139" i="5"/>
  <c r="U139" i="5"/>
  <c r="T139" i="5"/>
  <c r="H139" i="5"/>
  <c r="V137" i="5"/>
  <c r="U137" i="5"/>
  <c r="T137" i="5"/>
  <c r="H137" i="5"/>
  <c r="V136" i="5"/>
  <c r="U136" i="5"/>
  <c r="T136" i="5"/>
  <c r="H136" i="5"/>
  <c r="V134" i="5"/>
  <c r="U134" i="5"/>
  <c r="T134" i="5"/>
  <c r="H134" i="5"/>
  <c r="V131" i="5"/>
  <c r="U131" i="5"/>
  <c r="T131" i="5"/>
  <c r="H131" i="5"/>
  <c r="V130" i="5"/>
  <c r="U130" i="5"/>
  <c r="T130" i="5"/>
  <c r="H130" i="5"/>
  <c r="V128" i="5"/>
  <c r="U128" i="5"/>
  <c r="T128" i="5"/>
  <c r="H128" i="5"/>
  <c r="V125" i="5"/>
  <c r="U125" i="5"/>
  <c r="T125" i="5"/>
  <c r="H125" i="5"/>
  <c r="Y123" i="5"/>
  <c r="X123" i="5"/>
  <c r="W123" i="5"/>
  <c r="H123" i="5"/>
  <c r="V122" i="5"/>
  <c r="U122" i="5"/>
  <c r="T122" i="5"/>
  <c r="H122" i="5"/>
  <c r="Y120" i="5"/>
  <c r="X120" i="5"/>
  <c r="W120" i="5"/>
  <c r="H120" i="5"/>
  <c r="V118" i="5"/>
  <c r="U118" i="5"/>
  <c r="T118" i="5"/>
  <c r="H118" i="5"/>
  <c r="V116" i="5"/>
  <c r="U116" i="5"/>
  <c r="T116" i="5"/>
  <c r="H116" i="5"/>
  <c r="V114" i="5"/>
  <c r="U114" i="5"/>
  <c r="T114" i="5"/>
  <c r="H114" i="5"/>
  <c r="Y111" i="5"/>
  <c r="X111" i="5"/>
  <c r="W111" i="5"/>
  <c r="H111" i="5"/>
  <c r="Y109" i="5"/>
  <c r="X109" i="5"/>
  <c r="W109" i="5"/>
  <c r="H109" i="5"/>
  <c r="V107" i="5"/>
  <c r="U107" i="5"/>
  <c r="T107" i="5"/>
  <c r="H107" i="5"/>
  <c r="V105" i="5"/>
  <c r="U105" i="5"/>
  <c r="T105" i="5"/>
  <c r="H105" i="5"/>
  <c r="Y102" i="5"/>
  <c r="X102" i="5"/>
  <c r="W102" i="5"/>
  <c r="H102" i="5"/>
  <c r="Y100" i="5"/>
  <c r="X100" i="5"/>
  <c r="W100" i="5"/>
  <c r="H100" i="5"/>
  <c r="V98" i="5"/>
  <c r="U98" i="5"/>
  <c r="T98" i="5"/>
  <c r="H98" i="5"/>
  <c r="V97" i="5"/>
  <c r="U97" i="5"/>
  <c r="T97" i="5"/>
  <c r="H97" i="5"/>
  <c r="Y94" i="5"/>
  <c r="X94" i="5"/>
  <c r="W94" i="5"/>
  <c r="H94" i="5"/>
  <c r="Y92" i="5"/>
  <c r="X92" i="5"/>
  <c r="W92" i="5"/>
  <c r="H92" i="5"/>
  <c r="V90" i="5"/>
  <c r="U90" i="5"/>
  <c r="T90" i="5"/>
  <c r="H90" i="5"/>
  <c r="V88" i="5"/>
  <c r="U88" i="5"/>
  <c r="T88" i="5"/>
  <c r="H88" i="5"/>
  <c r="Y85" i="5"/>
  <c r="X85" i="5"/>
  <c r="W85" i="5"/>
  <c r="H85" i="5"/>
  <c r="Y83" i="5"/>
  <c r="X83" i="5"/>
  <c r="W83" i="5"/>
  <c r="H83" i="5"/>
  <c r="V81" i="5"/>
  <c r="U81" i="5"/>
  <c r="T81" i="5"/>
  <c r="H81" i="5"/>
  <c r="V79" i="5"/>
  <c r="U79" i="5"/>
  <c r="T79" i="5"/>
  <c r="H79" i="5"/>
  <c r="Y75" i="5"/>
  <c r="X75" i="5"/>
  <c r="W75" i="5"/>
  <c r="H75" i="5"/>
  <c r="Y70" i="5"/>
  <c r="X70" i="5"/>
  <c r="W70" i="5"/>
  <c r="H70" i="5"/>
  <c r="V69" i="5"/>
  <c r="U69" i="5"/>
  <c r="T69" i="5"/>
  <c r="H69" i="5"/>
  <c r="V67" i="5"/>
  <c r="U67" i="5"/>
  <c r="T67" i="5"/>
  <c r="H67" i="5"/>
  <c r="Y65" i="5"/>
  <c r="X65" i="5"/>
  <c r="W65" i="5"/>
  <c r="H65" i="5"/>
  <c r="V64" i="5"/>
  <c r="U64" i="5"/>
  <c r="T64" i="5"/>
  <c r="H64" i="5"/>
  <c r="V63" i="5"/>
  <c r="U63" i="5"/>
  <c r="T63" i="5"/>
  <c r="H63" i="5"/>
  <c r="V62" i="5"/>
  <c r="U62" i="5"/>
  <c r="T62" i="5"/>
  <c r="H62" i="5"/>
  <c r="V60" i="5"/>
  <c r="U60" i="5"/>
  <c r="T60" i="5"/>
  <c r="H60" i="5"/>
  <c r="Y57" i="5"/>
  <c r="X57" i="5"/>
  <c r="W57" i="5"/>
  <c r="H57" i="5"/>
  <c r="V56" i="5"/>
  <c r="U56" i="5"/>
  <c r="T56" i="5"/>
  <c r="H56" i="5"/>
  <c r="Y53" i="5"/>
  <c r="X53" i="5"/>
  <c r="W53" i="5"/>
  <c r="H53" i="5"/>
  <c r="V52" i="5"/>
  <c r="U52" i="5"/>
  <c r="T52" i="5"/>
  <c r="H52" i="5"/>
  <c r="Y49" i="5"/>
  <c r="X49" i="5"/>
  <c r="W49" i="5"/>
  <c r="H49" i="5"/>
  <c r="V48" i="5"/>
  <c r="U48" i="5"/>
  <c r="T48" i="5"/>
  <c r="H48" i="5"/>
  <c r="Y46" i="5"/>
  <c r="X46" i="5"/>
  <c r="W46" i="5"/>
  <c r="H46" i="5"/>
  <c r="V45" i="5"/>
  <c r="U45" i="5"/>
  <c r="T45" i="5"/>
  <c r="H45" i="5"/>
  <c r="V43" i="5"/>
  <c r="U43" i="5"/>
  <c r="T43" i="5"/>
  <c r="H43" i="5"/>
  <c r="Y40" i="5"/>
  <c r="X40" i="5"/>
  <c r="W40" i="5"/>
  <c r="H40" i="5"/>
  <c r="V39" i="5"/>
  <c r="U39" i="5"/>
  <c r="T39" i="5"/>
  <c r="H39" i="5"/>
  <c r="Y36" i="5"/>
  <c r="X36" i="5"/>
  <c r="W36" i="5"/>
  <c r="H36" i="5"/>
  <c r="V35" i="5"/>
  <c r="U35" i="5"/>
  <c r="T35" i="5"/>
  <c r="H35" i="5"/>
  <c r="Y33" i="5"/>
  <c r="X33" i="5"/>
  <c r="W33" i="5"/>
  <c r="H33" i="5"/>
  <c r="V32" i="5"/>
  <c r="U32" i="5"/>
  <c r="T32" i="5"/>
  <c r="H32" i="5"/>
  <c r="Y29" i="5"/>
  <c r="X29" i="5"/>
  <c r="W29" i="5"/>
  <c r="H29" i="5"/>
  <c r="V28" i="5"/>
  <c r="U28" i="5"/>
  <c r="T28" i="5"/>
  <c r="H28" i="5"/>
  <c r="V27" i="5"/>
  <c r="U27" i="5"/>
  <c r="T27" i="5"/>
  <c r="H27" i="5"/>
  <c r="V25" i="5"/>
  <c r="U25" i="5"/>
  <c r="T25" i="5"/>
  <c r="H25" i="5"/>
  <c r="V23" i="5"/>
  <c r="U23" i="5"/>
  <c r="T23" i="5"/>
  <c r="H23" i="5"/>
  <c r="Y21" i="5"/>
  <c r="X21" i="5"/>
  <c r="W21" i="5"/>
  <c r="H21" i="5"/>
  <c r="V20" i="5"/>
  <c r="U20" i="5"/>
  <c r="T20" i="5"/>
  <c r="H20" i="5"/>
  <c r="F10" i="5"/>
  <c r="F16" i="5" s="1"/>
  <c r="E10" i="5"/>
  <c r="E16" i="5" s="1"/>
  <c r="L74" i="5" l="1"/>
  <c r="AC18" i="5"/>
  <c r="AB18" i="5" s="1"/>
  <c r="AE18" i="5"/>
  <c r="D16" i="5"/>
  <c r="Q90" i="5"/>
  <c r="Y90" i="5" s="1"/>
  <c r="Q88" i="5"/>
  <c r="Y88" i="5" s="1"/>
  <c r="P88" i="5"/>
  <c r="X88" i="5" s="1"/>
  <c r="W23" i="5"/>
  <c r="W88" i="5"/>
  <c r="Q139" i="5"/>
  <c r="Y139" i="5" s="1"/>
  <c r="P97" i="5"/>
  <c r="X97" i="5" s="1"/>
  <c r="Q97" i="5"/>
  <c r="Y97" i="5" s="1"/>
  <c r="P142" i="5"/>
  <c r="X142" i="5" s="1"/>
  <c r="P139" i="5"/>
  <c r="X139" i="5" s="1"/>
  <c r="Q142" i="5"/>
  <c r="Y142" i="5" s="1"/>
  <c r="W97" i="5"/>
  <c r="O120" i="5"/>
  <c r="P120" i="5" s="1"/>
  <c r="U120" i="5" s="1"/>
  <c r="L114" i="5"/>
  <c r="Q140" i="5"/>
  <c r="Y140" i="5" s="1"/>
  <c r="W140" i="5"/>
  <c r="T102" i="5"/>
  <c r="Q102" i="5"/>
  <c r="V102" i="5" s="1"/>
  <c r="P102" i="5"/>
  <c r="U102" i="5" s="1"/>
  <c r="P140" i="5"/>
  <c r="X140" i="5" s="1"/>
  <c r="P105" i="5"/>
  <c r="X105" i="5" s="1"/>
  <c r="Q105" i="5"/>
  <c r="Y105" i="5" s="1"/>
  <c r="O111" i="5"/>
  <c r="T111" i="5" s="1"/>
  <c r="P174" i="5"/>
  <c r="X174" i="5" s="1"/>
  <c r="P23" i="5"/>
  <c r="X23" i="5" s="1"/>
  <c r="Q92" i="5"/>
  <c r="V92" i="5" s="1"/>
  <c r="P92" i="5"/>
  <c r="U92" i="5" s="1"/>
  <c r="T92" i="5"/>
  <c r="W90" i="5"/>
  <c r="P116" i="5"/>
  <c r="X116" i="5" s="1"/>
  <c r="O94" i="5"/>
  <c r="Q116" i="5"/>
  <c r="Y116" i="5" s="1"/>
  <c r="O175" i="5"/>
  <c r="Q174" i="5"/>
  <c r="Y23" i="5"/>
  <c r="AB16" i="5"/>
  <c r="AD16" i="5"/>
  <c r="AD15" i="5"/>
  <c r="AD18" i="5"/>
  <c r="L20" i="5"/>
  <c r="L79" i="5"/>
  <c r="L21" i="5"/>
  <c r="L39" i="5"/>
  <c r="L90" i="5"/>
  <c r="R90" i="5" s="1"/>
  <c r="L185" i="5"/>
  <c r="R185" i="5" s="1"/>
  <c r="L184" i="5"/>
  <c r="L174" i="5"/>
  <c r="L188" i="5"/>
  <c r="L187" i="5"/>
  <c r="L175" i="5"/>
  <c r="L171" i="5"/>
  <c r="L170" i="5"/>
  <c r="L155" i="5"/>
  <c r="L154" i="5"/>
  <c r="L182" i="5"/>
  <c r="L181" i="5"/>
  <c r="L168" i="5"/>
  <c r="L167" i="5"/>
  <c r="L152" i="5"/>
  <c r="L151" i="5"/>
  <c r="L164" i="5"/>
  <c r="L163" i="5"/>
  <c r="L142" i="5"/>
  <c r="R142" i="5" s="1"/>
  <c r="L131" i="5"/>
  <c r="L130" i="5"/>
  <c r="L160" i="5"/>
  <c r="L143" i="5"/>
  <c r="L158" i="5"/>
  <c r="L148" i="5"/>
  <c r="L137" i="5"/>
  <c r="L116" i="5"/>
  <c r="R116" i="5" s="1"/>
  <c r="L147" i="5"/>
  <c r="L140" i="5"/>
  <c r="R140" i="5" s="1"/>
  <c r="L136" i="5"/>
  <c r="L134" i="5"/>
  <c r="L128" i="5"/>
  <c r="L125" i="5"/>
  <c r="L118" i="5"/>
  <c r="L177" i="5"/>
  <c r="L123" i="5"/>
  <c r="L122" i="5"/>
  <c r="L97" i="5"/>
  <c r="R97" i="5" s="1"/>
  <c r="L92" i="5"/>
  <c r="R92" i="5" s="1"/>
  <c r="L70" i="5"/>
  <c r="L69" i="5"/>
  <c r="L67" i="5"/>
  <c r="L49" i="5"/>
  <c r="L48" i="5"/>
  <c r="L120" i="5"/>
  <c r="L111" i="5"/>
  <c r="L109" i="5"/>
  <c r="L105" i="5"/>
  <c r="R105" i="5" s="1"/>
  <c r="L102" i="5"/>
  <c r="R102" i="5" s="1"/>
  <c r="L100" i="5"/>
  <c r="L98" i="5"/>
  <c r="L94" i="5"/>
  <c r="L65" i="5"/>
  <c r="L64" i="5"/>
  <c r="L63" i="5"/>
  <c r="L62" i="5"/>
  <c r="L60" i="5"/>
  <c r="L53" i="5"/>
  <c r="L52" i="5"/>
  <c r="L43" i="5"/>
  <c r="L139" i="5"/>
  <c r="L36" i="5"/>
  <c r="L33" i="5"/>
  <c r="L32" i="5"/>
  <c r="L23" i="5"/>
  <c r="L81" i="5"/>
  <c r="L40" i="5"/>
  <c r="L88" i="5"/>
  <c r="R88" i="5" s="1"/>
  <c r="L85" i="5"/>
  <c r="L83" i="5"/>
  <c r="L57" i="5"/>
  <c r="L56" i="5"/>
  <c r="L46" i="5"/>
  <c r="L29" i="5"/>
  <c r="L28" i="5"/>
  <c r="L27" i="5"/>
  <c r="L107" i="5"/>
  <c r="L75" i="5"/>
  <c r="L45" i="5"/>
  <c r="L35" i="5"/>
  <c r="L25" i="5"/>
  <c r="AB15" i="5"/>
  <c r="Q185" i="5"/>
  <c r="V185" i="5" s="1"/>
  <c r="P185" i="5"/>
  <c r="U185" i="5" s="1"/>
  <c r="T185" i="5"/>
  <c r="W184" i="5"/>
  <c r="Q184" i="5"/>
  <c r="P184" i="5"/>
  <c r="E246" i="1"/>
  <c r="D246" i="1"/>
  <c r="E89" i="1"/>
  <c r="D89" i="1"/>
  <c r="D198" i="1" s="1"/>
  <c r="R94" i="5" l="1"/>
  <c r="R120" i="5"/>
  <c r="Q120" i="5"/>
  <c r="V120" i="5" s="1"/>
  <c r="T120" i="5"/>
  <c r="R111" i="5"/>
  <c r="Q111" i="5"/>
  <c r="V111" i="5" s="1"/>
  <c r="P111" i="5"/>
  <c r="U111" i="5" s="1"/>
  <c r="R175" i="5"/>
  <c r="T175" i="5"/>
  <c r="Q175" i="5"/>
  <c r="V175" i="5" s="1"/>
  <c r="P175" i="5"/>
  <c r="T94" i="5"/>
  <c r="Q94" i="5"/>
  <c r="V94" i="5" s="1"/>
  <c r="P94" i="5"/>
  <c r="U94" i="5" s="1"/>
  <c r="Y174" i="5"/>
  <c r="R139" i="5"/>
  <c r="X184" i="5"/>
  <c r="Y184" i="5"/>
  <c r="R174" i="5"/>
  <c r="R23" i="5"/>
  <c r="R184" i="5"/>
  <c r="U175" i="5" l="1"/>
  <c r="S27" i="1" l="1"/>
  <c r="S84" i="1" l="1"/>
  <c r="L235" i="1"/>
  <c r="D5" i="1"/>
  <c r="F5" i="1"/>
  <c r="E5" i="1"/>
  <c r="S69" i="1"/>
  <c r="V235" i="1" l="1"/>
  <c r="D30" i="6"/>
  <c r="O48" i="5"/>
  <c r="P2" i="5"/>
  <c r="O2" i="5" s="1"/>
  <c r="M69" i="1"/>
  <c r="O35" i="5"/>
  <c r="Q2" i="5"/>
  <c r="E290" i="1"/>
  <c r="E294" i="1" s="1"/>
  <c r="G294" i="1"/>
  <c r="T69" i="1" l="1"/>
  <c r="D28" i="6"/>
  <c r="E30" i="6"/>
  <c r="E28" i="6" s="1"/>
  <c r="W35" i="5"/>
  <c r="Q35" i="5"/>
  <c r="P35" i="5"/>
  <c r="O36" i="5"/>
  <c r="R35" i="5"/>
  <c r="R2" i="5"/>
  <c r="F292" i="1"/>
  <c r="D292" i="1"/>
  <c r="D290" i="1"/>
  <c r="F291" i="1"/>
  <c r="D291" i="1"/>
  <c r="F290" i="1"/>
  <c r="D294" i="1" l="1"/>
  <c r="Q36" i="5"/>
  <c r="V36" i="5" s="1"/>
  <c r="T36" i="5"/>
  <c r="P36" i="5"/>
  <c r="U36" i="5" s="1"/>
  <c r="R36" i="5"/>
  <c r="X35" i="5"/>
  <c r="Y35" i="5"/>
  <c r="H292" i="1"/>
  <c r="W48" i="5"/>
  <c r="O49" i="5"/>
  <c r="R48" i="5"/>
  <c r="Q48" i="5"/>
  <c r="P48" i="5"/>
  <c r="H291" i="1"/>
  <c r="F294" i="1"/>
  <c r="F295" i="1" s="1"/>
  <c r="H294" i="1" l="1"/>
  <c r="Y48" i="5"/>
  <c r="Q143" i="5"/>
  <c r="T143" i="5"/>
  <c r="P143" i="5"/>
  <c r="R143" i="5"/>
  <c r="Q136" i="5"/>
  <c r="Y136" i="5" s="1"/>
  <c r="P136" i="5"/>
  <c r="X136" i="5" s="1"/>
  <c r="O137" i="5"/>
  <c r="R136" i="5"/>
  <c r="W136" i="5"/>
  <c r="R49" i="5"/>
  <c r="Q49" i="5"/>
  <c r="V49" i="5" s="1"/>
  <c r="T49" i="5"/>
  <c r="P49" i="5"/>
  <c r="U49" i="5" s="1"/>
  <c r="X48" i="5"/>
  <c r="E157" i="1"/>
  <c r="E198" i="1" l="1"/>
  <c r="Q85" i="5"/>
  <c r="V85" i="5" s="1"/>
  <c r="P85" i="5"/>
  <c r="U85" i="5" s="1"/>
  <c r="T85" i="5"/>
  <c r="R85" i="5"/>
  <c r="R137" i="5"/>
  <c r="Q137" i="5"/>
  <c r="P137" i="5"/>
  <c r="W137" i="5"/>
  <c r="U143" i="5"/>
  <c r="V143" i="5"/>
  <c r="Q81" i="5"/>
  <c r="Y81" i="5" s="1"/>
  <c r="P81" i="5"/>
  <c r="X81" i="5" s="1"/>
  <c r="R81" i="5"/>
  <c r="W81" i="5"/>
  <c r="H197" i="1"/>
  <c r="E295" i="1" l="1"/>
  <c r="X137" i="5"/>
  <c r="Y137" i="5"/>
  <c r="H287" i="1"/>
  <c r="H47" i="1"/>
  <c r="H44" i="1"/>
  <c r="H43" i="1"/>
  <c r="H41" i="1"/>
  <c r="H40" i="1"/>
  <c r="H36" i="1"/>
  <c r="H136" i="1"/>
  <c r="H134" i="1"/>
  <c r="H104" i="1" l="1"/>
  <c r="S89" i="1" l="1"/>
  <c r="N89" i="1" l="1"/>
  <c r="G295" i="1"/>
  <c r="D295" i="1"/>
  <c r="H89" i="1"/>
  <c r="O89" i="1"/>
  <c r="M89" i="1"/>
  <c r="T89" i="1" s="1"/>
  <c r="U89" i="1" l="1"/>
  <c r="S100" i="1"/>
  <c r="M162" i="1"/>
  <c r="T162" i="1" s="1"/>
  <c r="M164" i="1"/>
  <c r="T164" i="1" s="1"/>
  <c r="M152" i="1"/>
  <c r="T152" i="1" s="1"/>
  <c r="M249" i="1"/>
  <c r="W249" i="1" s="1"/>
  <c r="M124" i="1"/>
  <c r="T124" i="1" s="1"/>
  <c r="M128" i="1"/>
  <c r="T128" i="1" s="1"/>
  <c r="M131" i="1"/>
  <c r="T131" i="1" s="1"/>
  <c r="M132" i="1"/>
  <c r="T132" i="1" s="1"/>
  <c r="M253" i="1"/>
  <c r="W253" i="1" s="1"/>
  <c r="M256" i="1"/>
  <c r="W256" i="1" s="1"/>
  <c r="M259" i="1"/>
  <c r="W259" i="1" s="1"/>
  <c r="M263" i="1"/>
  <c r="W263" i="1" s="1"/>
  <c r="M94" i="1"/>
  <c r="T94" i="1" s="1"/>
  <c r="M73" i="1"/>
  <c r="T73" i="1" s="1"/>
  <c r="V246" i="1"/>
  <c r="M54" i="1"/>
  <c r="T54" i="1" s="1"/>
  <c r="M207" i="1"/>
  <c r="W207" i="1" s="1"/>
  <c r="N249" i="1"/>
  <c r="O249" i="1"/>
  <c r="N253" i="1"/>
  <c r="O253" i="1"/>
  <c r="N256" i="1"/>
  <c r="O256" i="1"/>
  <c r="N259" i="1"/>
  <c r="O259" i="1"/>
  <c r="N263" i="1"/>
  <c r="O263" i="1"/>
  <c r="N207" i="1"/>
  <c r="O207" i="1"/>
  <c r="N152" i="1"/>
  <c r="O152" i="1"/>
  <c r="N195" i="1"/>
  <c r="O195" i="1"/>
  <c r="N162" i="1"/>
  <c r="O162" i="1"/>
  <c r="N164" i="1"/>
  <c r="O164" i="1"/>
  <c r="N124" i="1"/>
  <c r="O124" i="1"/>
  <c r="N128" i="1"/>
  <c r="O128" i="1"/>
  <c r="N131" i="1"/>
  <c r="O131" i="1"/>
  <c r="N132" i="1"/>
  <c r="O132" i="1"/>
  <c r="N94" i="1"/>
  <c r="O94" i="1"/>
  <c r="N73" i="1"/>
  <c r="O73" i="1"/>
  <c r="N54" i="1"/>
  <c r="O54" i="1"/>
  <c r="E19" i="1"/>
  <c r="H211" i="1"/>
  <c r="H60" i="1"/>
  <c r="H214" i="1"/>
  <c r="H66" i="1"/>
  <c r="H69" i="1"/>
  <c r="H216" i="1"/>
  <c r="H73" i="1"/>
  <c r="H218" i="1"/>
  <c r="H75" i="1"/>
  <c r="H223" i="1"/>
  <c r="H80" i="1"/>
  <c r="H226" i="1"/>
  <c r="H228" i="1"/>
  <c r="H230" i="1"/>
  <c r="H232" i="1"/>
  <c r="H235" i="1"/>
  <c r="H239" i="1"/>
  <c r="H84" i="1"/>
  <c r="H87" i="1"/>
  <c r="H242" i="1"/>
  <c r="H290" i="1"/>
  <c r="H245" i="1"/>
  <c r="H246" i="1"/>
  <c r="H28" i="1"/>
  <c r="H280" i="1"/>
  <c r="H282" i="1"/>
  <c r="H285" i="1"/>
  <c r="H192" i="1"/>
  <c r="H195" i="1"/>
  <c r="H187" i="1"/>
  <c r="H189" i="1"/>
  <c r="H175" i="1"/>
  <c r="H177" i="1"/>
  <c r="H180" i="1"/>
  <c r="H184" i="1"/>
  <c r="H272" i="1"/>
  <c r="H275" i="1"/>
  <c r="H278" i="1"/>
  <c r="H269" i="1"/>
  <c r="H138" i="1"/>
  <c r="H141" i="1"/>
  <c r="H147" i="1"/>
  <c r="H38" i="1"/>
  <c r="H150" i="1"/>
  <c r="H152" i="1"/>
  <c r="H144" i="1"/>
  <c r="H249" i="1"/>
  <c r="H127" i="1"/>
  <c r="H128" i="1"/>
  <c r="H131" i="1"/>
  <c r="H132" i="1"/>
  <c r="H253" i="1"/>
  <c r="H256" i="1"/>
  <c r="H259" i="1"/>
  <c r="H263" i="1"/>
  <c r="H266" i="1"/>
  <c r="H93" i="1"/>
  <c r="H94" i="1"/>
  <c r="H95" i="1"/>
  <c r="H96" i="1"/>
  <c r="H100" i="1"/>
  <c r="H107" i="1"/>
  <c r="H109" i="1"/>
  <c r="H111" i="1"/>
  <c r="H113" i="1"/>
  <c r="H120" i="1"/>
  <c r="H121" i="1"/>
  <c r="H24" i="1"/>
  <c r="N70" i="1"/>
  <c r="O70" i="1"/>
  <c r="H27" i="1"/>
  <c r="H207" i="1"/>
  <c r="H54" i="1"/>
  <c r="H154" i="1"/>
  <c r="H156" i="1"/>
  <c r="H157" i="1"/>
  <c r="H158" i="1"/>
  <c r="H155" i="1"/>
  <c r="H160" i="1"/>
  <c r="H162" i="1"/>
  <c r="H164" i="1"/>
  <c r="H167" i="1"/>
  <c r="H170" i="1"/>
  <c r="H172" i="1"/>
  <c r="H76" i="1"/>
  <c r="H70" i="1"/>
  <c r="H198" i="1" l="1"/>
  <c r="U54" i="1"/>
  <c r="U94" i="1"/>
  <c r="U131" i="1"/>
  <c r="U124" i="1"/>
  <c r="U162" i="1"/>
  <c r="U152" i="1"/>
  <c r="X263" i="1"/>
  <c r="X259" i="1"/>
  <c r="U73" i="1"/>
  <c r="U132" i="1"/>
  <c r="U128" i="1"/>
  <c r="U164" i="1"/>
  <c r="U195" i="1"/>
  <c r="X207" i="1"/>
  <c r="U70" i="1"/>
  <c r="X256" i="1"/>
  <c r="X249" i="1"/>
  <c r="X253" i="1"/>
  <c r="P3" i="5"/>
  <c r="O3" i="5" s="1"/>
  <c r="P4" i="5"/>
  <c r="O4" i="5" s="1"/>
  <c r="P5" i="5"/>
  <c r="P7" i="5"/>
  <c r="O7" i="5" s="1"/>
  <c r="P6" i="5"/>
  <c r="O6" i="5" s="1"/>
  <c r="Q3" i="5"/>
  <c r="D19" i="1"/>
  <c r="G5" i="1"/>
  <c r="M27" i="1"/>
  <c r="T27" i="1" s="1"/>
  <c r="N246" i="1"/>
  <c r="O246" i="1"/>
  <c r="M246" i="1"/>
  <c r="W246" i="1" s="1"/>
  <c r="I172" i="1"/>
  <c r="I170" i="1"/>
  <c r="I160" i="1"/>
  <c r="Q160" i="1" s="1"/>
  <c r="I184" i="1"/>
  <c r="I164" i="1"/>
  <c r="Q164" i="1" s="1"/>
  <c r="I162" i="1"/>
  <c r="Q162" i="1" s="1"/>
  <c r="N69" i="1"/>
  <c r="O69" i="1"/>
  <c r="I167" i="1"/>
  <c r="F19" i="1"/>
  <c r="O27" i="1"/>
  <c r="I34" i="1" l="1"/>
  <c r="I30" i="1"/>
  <c r="I24" i="1"/>
  <c r="I32" i="1"/>
  <c r="S93" i="1"/>
  <c r="L38" i="1"/>
  <c r="S38" i="1" s="1"/>
  <c r="G19" i="1"/>
  <c r="I198" i="1"/>
  <c r="U69" i="1"/>
  <c r="X246" i="1"/>
  <c r="S113" i="1"/>
  <c r="L269" i="1"/>
  <c r="V269" i="1" s="1"/>
  <c r="Q7" i="5"/>
  <c r="R7" i="5" s="1"/>
  <c r="P8" i="5"/>
  <c r="O8" i="5" s="1"/>
  <c r="O5" i="5"/>
  <c r="Q5" i="5"/>
  <c r="R3" i="5"/>
  <c r="P10" i="5"/>
  <c r="Q6" i="5"/>
  <c r="R6" i="5" s="1"/>
  <c r="Q4" i="5"/>
  <c r="R4" i="5" s="1"/>
  <c r="L75" i="1"/>
  <c r="L218" i="1"/>
  <c r="V218" i="1" s="1"/>
  <c r="L111" i="1"/>
  <c r="L95" i="1"/>
  <c r="L107" i="1"/>
  <c r="L245" i="1"/>
  <c r="L60" i="1"/>
  <c r="L242" i="1"/>
  <c r="L87" i="1"/>
  <c r="L211" i="1"/>
  <c r="L155" i="1"/>
  <c r="S155" i="1" s="1"/>
  <c r="L197" i="1"/>
  <c r="I291" i="1"/>
  <c r="I292" i="1"/>
  <c r="L290" i="1"/>
  <c r="L292" i="1"/>
  <c r="L291" i="1"/>
  <c r="V291" i="1" s="1"/>
  <c r="L180" i="1"/>
  <c r="L175" i="1"/>
  <c r="L170" i="1"/>
  <c r="L177" i="1"/>
  <c r="L147" i="1"/>
  <c r="L144" i="1"/>
  <c r="L141" i="1"/>
  <c r="L66" i="1"/>
  <c r="L36" i="1"/>
  <c r="S36" i="1" s="1"/>
  <c r="S28" i="1"/>
  <c r="P160" i="1"/>
  <c r="P164" i="1"/>
  <c r="P162" i="1"/>
  <c r="L134" i="1"/>
  <c r="L136" i="1"/>
  <c r="L287" i="1"/>
  <c r="L44" i="1"/>
  <c r="S44" i="1" s="1"/>
  <c r="L41" i="1"/>
  <c r="S41" i="1" s="1"/>
  <c r="L43" i="1"/>
  <c r="S43" i="1" s="1"/>
  <c r="L40" i="1"/>
  <c r="S40" i="1" s="1"/>
  <c r="I144" i="1"/>
  <c r="I121" i="1"/>
  <c r="I285" i="1"/>
  <c r="I95" i="1"/>
  <c r="I287" i="1"/>
  <c r="I47" i="1"/>
  <c r="I43" i="1"/>
  <c r="I44" i="1"/>
  <c r="L184" i="1"/>
  <c r="I41" i="1"/>
  <c r="I40" i="1"/>
  <c r="I192" i="1"/>
  <c r="Q192" i="1" s="1"/>
  <c r="I242" i="1"/>
  <c r="I275" i="1"/>
  <c r="I141" i="1"/>
  <c r="I177" i="1"/>
  <c r="I89" i="1"/>
  <c r="Q89" i="1" s="1"/>
  <c r="I36" i="1"/>
  <c r="I278" i="1"/>
  <c r="I124" i="1"/>
  <c r="Q124" i="1" s="1"/>
  <c r="I87" i="1"/>
  <c r="I131" i="1"/>
  <c r="Q131" i="1" s="1"/>
  <c r="I76" i="1"/>
  <c r="I228" i="1"/>
  <c r="I27" i="1"/>
  <c r="Q27" i="1" s="1"/>
  <c r="I104" i="1"/>
  <c r="I113" i="1"/>
  <c r="I75" i="1"/>
  <c r="I73" i="1"/>
  <c r="Q73" i="1" s="1"/>
  <c r="I132" i="1"/>
  <c r="Q132" i="1" s="1"/>
  <c r="I127" i="1"/>
  <c r="I246" i="1"/>
  <c r="Q246" i="1" s="1"/>
  <c r="I120" i="1"/>
  <c r="I230" i="1"/>
  <c r="I232" i="1"/>
  <c r="I175" i="1"/>
  <c r="I197" i="1"/>
  <c r="I150" i="1"/>
  <c r="I266" i="1"/>
  <c r="I263" i="1"/>
  <c r="Q263" i="1" s="1"/>
  <c r="I187" i="1"/>
  <c r="I70" i="1"/>
  <c r="P70" i="1" s="1"/>
  <c r="I69" i="1"/>
  <c r="Q69" i="1" s="1"/>
  <c r="I218" i="1"/>
  <c r="I107" i="1"/>
  <c r="I189" i="1"/>
  <c r="I216" i="1"/>
  <c r="Q216" i="1" s="1"/>
  <c r="I272" i="1"/>
  <c r="I245" i="1"/>
  <c r="I109" i="1"/>
  <c r="I117" i="1"/>
  <c r="I214" i="1"/>
  <c r="I147" i="1"/>
  <c r="I84" i="1"/>
  <c r="Q84" i="1" s="1"/>
  <c r="I180" i="1"/>
  <c r="I256" i="1"/>
  <c r="Q256" i="1" s="1"/>
  <c r="I259" i="1"/>
  <c r="Q259" i="1" s="1"/>
  <c r="I94" i="1"/>
  <c r="Q94" i="1" s="1"/>
  <c r="I115" i="1"/>
  <c r="I60" i="1"/>
  <c r="I152" i="1"/>
  <c r="Q152" i="1" s="1"/>
  <c r="I38" i="1"/>
  <c r="I96" i="1"/>
  <c r="I54" i="1"/>
  <c r="Q54" i="1" s="1"/>
  <c r="I282" i="1"/>
  <c r="I280" i="1"/>
  <c r="I155" i="1"/>
  <c r="Q155" i="1" s="1"/>
  <c r="I56" i="1"/>
  <c r="I269" i="1"/>
  <c r="I211" i="1"/>
  <c r="I207" i="1"/>
  <c r="Q207" i="1" s="1"/>
  <c r="I156" i="1"/>
  <c r="I290" i="1"/>
  <c r="I253" i="1"/>
  <c r="Q253" i="1" s="1"/>
  <c r="I66" i="1"/>
  <c r="I134" i="1"/>
  <c r="I111" i="1"/>
  <c r="I226" i="1"/>
  <c r="I249" i="1"/>
  <c r="Q249" i="1" s="1"/>
  <c r="I80" i="1"/>
  <c r="I157" i="1"/>
  <c r="I235" i="1"/>
  <c r="Q235" i="1" s="1"/>
  <c r="I158" i="1"/>
  <c r="I154" i="1"/>
  <c r="Q154" i="1" s="1"/>
  <c r="I57" i="1"/>
  <c r="I28" i="1"/>
  <c r="Q28" i="1" s="1"/>
  <c r="I128" i="1"/>
  <c r="Q128" i="1" s="1"/>
  <c r="I239" i="1"/>
  <c r="I93" i="1"/>
  <c r="Q93" i="1" s="1"/>
  <c r="I195" i="1"/>
  <c r="I138" i="1"/>
  <c r="I223" i="1"/>
  <c r="I100" i="1"/>
  <c r="Q100" i="1" s="1"/>
  <c r="I136" i="1"/>
  <c r="L121" i="1"/>
  <c r="L104" i="1"/>
  <c r="M160" i="1"/>
  <c r="T160" i="1" s="1"/>
  <c r="N160" i="1"/>
  <c r="O160" i="1"/>
  <c r="L96" i="1"/>
  <c r="L239" i="1"/>
  <c r="V239" i="1" s="1"/>
  <c r="L187" i="1"/>
  <c r="O170" i="5"/>
  <c r="L278" i="1"/>
  <c r="L189" i="1"/>
  <c r="L282" i="1"/>
  <c r="M235" i="1"/>
  <c r="W235" i="1" s="1"/>
  <c r="L127" i="1"/>
  <c r="L138" i="1"/>
  <c r="L223" i="1"/>
  <c r="V223" i="1" s="1"/>
  <c r="L280" i="1"/>
  <c r="L167" i="1"/>
  <c r="L80" i="1"/>
  <c r="O235" i="1"/>
  <c r="N235" i="1"/>
  <c r="N84" i="1"/>
  <c r="L272" i="1"/>
  <c r="L117" i="1"/>
  <c r="L76" i="1"/>
  <c r="L120" i="1"/>
  <c r="L115" i="1"/>
  <c r="L172" i="1"/>
  <c r="L275" i="1"/>
  <c r="L285" i="1"/>
  <c r="L228" i="1"/>
  <c r="L266" i="1"/>
  <c r="L230" i="1"/>
  <c r="L226" i="1"/>
  <c r="N100" i="1"/>
  <c r="O100" i="1"/>
  <c r="M100" i="1"/>
  <c r="T100" i="1" s="1"/>
  <c r="Q218" i="1" l="1"/>
  <c r="P32" i="1"/>
  <c r="Q32" i="1"/>
  <c r="P24" i="1"/>
  <c r="Q24" i="1"/>
  <c r="Q30" i="1"/>
  <c r="P30" i="1"/>
  <c r="P34" i="1"/>
  <c r="Q34" i="1"/>
  <c r="O10" i="5"/>
  <c r="O39" i="5"/>
  <c r="O40" i="5" s="1"/>
  <c r="Q43" i="1"/>
  <c r="Q41" i="1"/>
  <c r="Q144" i="1"/>
  <c r="S136" i="1"/>
  <c r="G41" i="7"/>
  <c r="H41" i="7" s="1"/>
  <c r="C70" i="6"/>
  <c r="E70" i="6" s="1"/>
  <c r="V242" i="1"/>
  <c r="D33" i="6"/>
  <c r="S75" i="1"/>
  <c r="C20" i="6"/>
  <c r="S144" i="1"/>
  <c r="G64" i="7"/>
  <c r="H64" i="7" s="1"/>
  <c r="C83" i="6"/>
  <c r="V290" i="1"/>
  <c r="G66" i="7"/>
  <c r="H66" i="7" s="1"/>
  <c r="S60" i="1"/>
  <c r="C10" i="6"/>
  <c r="G22" i="7"/>
  <c r="H22" i="7" s="1"/>
  <c r="V292" i="1"/>
  <c r="D35" i="6"/>
  <c r="S104" i="1"/>
  <c r="G30" i="7"/>
  <c r="H30" i="7" s="1"/>
  <c r="C48" i="6"/>
  <c r="V245" i="1"/>
  <c r="D38" i="6"/>
  <c r="V275" i="1"/>
  <c r="D77" i="7"/>
  <c r="E77" i="7" s="1"/>
  <c r="D123" i="6"/>
  <c r="S115" i="1"/>
  <c r="C55" i="6"/>
  <c r="G33" i="7"/>
  <c r="H33" i="7" s="1"/>
  <c r="S167" i="1"/>
  <c r="C102" i="6"/>
  <c r="G46" i="7"/>
  <c r="H46" i="7" s="1"/>
  <c r="S177" i="1"/>
  <c r="G50" i="7"/>
  <c r="H50" i="7" s="1"/>
  <c r="C106" i="6"/>
  <c r="E106" i="6" s="1"/>
  <c r="S107" i="1"/>
  <c r="G63" i="7"/>
  <c r="H63" i="7" s="1"/>
  <c r="C50" i="6"/>
  <c r="S87" i="1"/>
  <c r="G27" i="7"/>
  <c r="H27" i="7" s="1"/>
  <c r="C32" i="6"/>
  <c r="V278" i="1"/>
  <c r="D78" i="7"/>
  <c r="D127" i="6"/>
  <c r="S147" i="1"/>
  <c r="G43" i="7"/>
  <c r="H43" i="7" s="1"/>
  <c r="C85" i="6"/>
  <c r="V230" i="1"/>
  <c r="D26" i="6"/>
  <c r="V280" i="1"/>
  <c r="D129" i="6"/>
  <c r="S121" i="1"/>
  <c r="C59" i="6"/>
  <c r="E59" i="6" s="1"/>
  <c r="V266" i="1"/>
  <c r="D79" i="6"/>
  <c r="S117" i="1"/>
  <c r="C56" i="6"/>
  <c r="E56" i="6" s="1"/>
  <c r="G34" i="7"/>
  <c r="H34" i="7" s="1"/>
  <c r="S187" i="1"/>
  <c r="C112" i="6"/>
  <c r="G53" i="7"/>
  <c r="H53" i="7" s="1"/>
  <c r="S170" i="1"/>
  <c r="C103" i="6"/>
  <c r="E103" i="6" s="1"/>
  <c r="G47" i="7"/>
  <c r="H47" i="7" s="1"/>
  <c r="S197" i="1"/>
  <c r="G57" i="7"/>
  <c r="H57" i="7" s="1"/>
  <c r="C119" i="6"/>
  <c r="S95" i="1"/>
  <c r="G28" i="7"/>
  <c r="H28" i="7" s="1"/>
  <c r="C43" i="6"/>
  <c r="S150" i="1"/>
  <c r="G44" i="7"/>
  <c r="H44" i="7" s="1"/>
  <c r="H10" i="7"/>
  <c r="C88" i="6"/>
  <c r="C125" i="6"/>
  <c r="C124" i="6" s="1"/>
  <c r="G48" i="7"/>
  <c r="H48" i="7" s="1"/>
  <c r="S134" i="1"/>
  <c r="G40" i="7"/>
  <c r="H40" i="7" s="1"/>
  <c r="C69" i="6"/>
  <c r="S80" i="1"/>
  <c r="C23" i="6"/>
  <c r="G25" i="7"/>
  <c r="H25" i="7" s="1"/>
  <c r="S184" i="1"/>
  <c r="G52" i="7"/>
  <c r="H52" i="7" s="1"/>
  <c r="C110" i="6"/>
  <c r="G35" i="7"/>
  <c r="H35" i="7" s="1"/>
  <c r="C58" i="6"/>
  <c r="S111" i="1"/>
  <c r="C52" i="6"/>
  <c r="E52" i="6" s="1"/>
  <c r="G31" i="7"/>
  <c r="H31" i="7" s="1"/>
  <c r="V282" i="1"/>
  <c r="D131" i="6"/>
  <c r="S141" i="1"/>
  <c r="G62" i="7"/>
  <c r="H62" i="7" s="1"/>
  <c r="C81" i="6"/>
  <c r="S189" i="1"/>
  <c r="C113" i="6"/>
  <c r="E113" i="6" s="1"/>
  <c r="G54" i="7"/>
  <c r="H54" i="7" s="1"/>
  <c r="V226" i="1"/>
  <c r="D24" i="6"/>
  <c r="E24" i="6" s="1"/>
  <c r="S76" i="1"/>
  <c r="C21" i="6"/>
  <c r="E21" i="6" s="1"/>
  <c r="G60" i="7"/>
  <c r="V228" i="1"/>
  <c r="D25" i="6"/>
  <c r="E25" i="6" s="1"/>
  <c r="V272" i="1"/>
  <c r="D121" i="6"/>
  <c r="D76" i="7"/>
  <c r="E76" i="7" s="1"/>
  <c r="S138" i="1"/>
  <c r="G42" i="7"/>
  <c r="H42" i="7" s="1"/>
  <c r="C76" i="6"/>
  <c r="S175" i="1"/>
  <c r="C105" i="6"/>
  <c r="G49" i="7"/>
  <c r="H49" i="7" s="1"/>
  <c r="V285" i="1"/>
  <c r="D133" i="6"/>
  <c r="S127" i="1"/>
  <c r="G36" i="7"/>
  <c r="H36" i="7" s="1"/>
  <c r="C63" i="6"/>
  <c r="S96" i="1"/>
  <c r="C44" i="6"/>
  <c r="E44" i="6" s="1"/>
  <c r="G29" i="7"/>
  <c r="H29" i="7" s="1"/>
  <c r="V287" i="1"/>
  <c r="D134" i="6"/>
  <c r="E134" i="6" s="1"/>
  <c r="S66" i="1"/>
  <c r="C12" i="6"/>
  <c r="O163" i="5"/>
  <c r="Q163" i="5" s="1"/>
  <c r="G51" i="7"/>
  <c r="H51" i="7" s="1"/>
  <c r="C108" i="6"/>
  <c r="V211" i="1"/>
  <c r="D13" i="6"/>
  <c r="S120" i="1"/>
  <c r="O74" i="5"/>
  <c r="Q75" i="1"/>
  <c r="Q95" i="1"/>
  <c r="Q60" i="1"/>
  <c r="Q175" i="1"/>
  <c r="N34" i="1"/>
  <c r="Q150" i="1"/>
  <c r="N32" i="1"/>
  <c r="Q87" i="1"/>
  <c r="Q147" i="1"/>
  <c r="Q269" i="1"/>
  <c r="Q113" i="1"/>
  <c r="Q134" i="1"/>
  <c r="Q245" i="1"/>
  <c r="Q107" i="1"/>
  <c r="X235" i="1"/>
  <c r="Q211" i="1"/>
  <c r="Q38" i="1"/>
  <c r="Q290" i="1"/>
  <c r="Q292" i="1"/>
  <c r="Q197" i="1"/>
  <c r="Q141" i="1"/>
  <c r="U160" i="1"/>
  <c r="Q172" i="1"/>
  <c r="S172" i="1"/>
  <c r="U100" i="1"/>
  <c r="Q136" i="1"/>
  <c r="Q111" i="1"/>
  <c r="Q40" i="1"/>
  <c r="Q66" i="1"/>
  <c r="Q180" i="1"/>
  <c r="Q242" i="1"/>
  <c r="Q287" i="1"/>
  <c r="O67" i="5"/>
  <c r="P67" i="5" s="1"/>
  <c r="X67" i="5" s="1"/>
  <c r="O45" i="5"/>
  <c r="R45" i="5" s="1"/>
  <c r="M239" i="1"/>
  <c r="W239" i="1" s="1"/>
  <c r="O147" i="5"/>
  <c r="R147" i="5" s="1"/>
  <c r="O56" i="5"/>
  <c r="Q56" i="5" s="1"/>
  <c r="Q223" i="1"/>
  <c r="Q282" i="1"/>
  <c r="Q189" i="1"/>
  <c r="Q266" i="1"/>
  <c r="Q127" i="1"/>
  <c r="Q228" i="1"/>
  <c r="Q177" i="1"/>
  <c r="Q44" i="1"/>
  <c r="O130" i="5"/>
  <c r="Q130" i="5" s="1"/>
  <c r="O64" i="5"/>
  <c r="P64" i="5" s="1"/>
  <c r="X64" i="5" s="1"/>
  <c r="N76" i="1"/>
  <c r="Q239" i="1"/>
  <c r="Q80" i="1"/>
  <c r="Q230" i="1"/>
  <c r="Q76" i="1"/>
  <c r="Q278" i="1"/>
  <c r="Q285" i="1"/>
  <c r="O107" i="5"/>
  <c r="O109" i="5" s="1"/>
  <c r="O134" i="5"/>
  <c r="W134" i="5" s="1"/>
  <c r="O160" i="5"/>
  <c r="W160" i="5" s="1"/>
  <c r="Q291" i="1"/>
  <c r="O32" i="5"/>
  <c r="O33" i="5" s="1"/>
  <c r="Q138" i="1"/>
  <c r="O154" i="5"/>
  <c r="P154" i="5" s="1"/>
  <c r="O69" i="5"/>
  <c r="Q69" i="5" s="1"/>
  <c r="Y69" i="5" s="1"/>
  <c r="P195" i="1"/>
  <c r="Q195" i="1"/>
  <c r="Q96" i="1"/>
  <c r="Q115" i="1"/>
  <c r="Q272" i="1"/>
  <c r="Q187" i="1"/>
  <c r="Q120" i="1"/>
  <c r="Q104" i="1"/>
  <c r="Q36" i="1"/>
  <c r="Q275" i="1"/>
  <c r="P47" i="1"/>
  <c r="Q47" i="1"/>
  <c r="Q121" i="1"/>
  <c r="O98" i="5"/>
  <c r="W98" i="5" s="1"/>
  <c r="O20" i="5"/>
  <c r="O125" i="5"/>
  <c r="O151" i="5"/>
  <c r="O152" i="5" s="1"/>
  <c r="Q167" i="1"/>
  <c r="Q226" i="1"/>
  <c r="Q280" i="1"/>
  <c r="Q117" i="1"/>
  <c r="O128" i="5"/>
  <c r="R128" i="5" s="1"/>
  <c r="O158" i="5"/>
  <c r="Q158" i="5" s="1"/>
  <c r="O187" i="5"/>
  <c r="O188" i="5" s="1"/>
  <c r="O52" i="5"/>
  <c r="Q52" i="5" s="1"/>
  <c r="O60" i="5"/>
  <c r="Q60" i="5" s="1"/>
  <c r="Q170" i="1"/>
  <c r="Q184" i="1"/>
  <c r="O181" i="5"/>
  <c r="O182" i="5" s="1"/>
  <c r="O25" i="5"/>
  <c r="Q25" i="5" s="1"/>
  <c r="Q8" i="5"/>
  <c r="R8" i="5" s="1"/>
  <c r="R5" i="5"/>
  <c r="I294" i="1"/>
  <c r="I295" i="1" s="1"/>
  <c r="M66" i="1"/>
  <c r="T66" i="1" s="1"/>
  <c r="O177" i="5"/>
  <c r="R177" i="5" s="1"/>
  <c r="M197" i="1"/>
  <c r="T197" i="1" s="1"/>
  <c r="O63" i="5"/>
  <c r="O114" i="5"/>
  <c r="O79" i="5"/>
  <c r="O167" i="5"/>
  <c r="O122" i="5"/>
  <c r="R170" i="5"/>
  <c r="W170" i="5"/>
  <c r="Q170" i="5"/>
  <c r="P170" i="5"/>
  <c r="O171" i="5"/>
  <c r="O43" i="5"/>
  <c r="O245" i="1"/>
  <c r="P170" i="1"/>
  <c r="N121" i="1"/>
  <c r="L156" i="1"/>
  <c r="S156" i="1" s="1"/>
  <c r="P172" i="1"/>
  <c r="M192" i="1"/>
  <c r="T192" i="1" s="1"/>
  <c r="L214" i="1"/>
  <c r="V214" i="1" s="1"/>
  <c r="L56" i="1"/>
  <c r="L109" i="1"/>
  <c r="N197" i="1"/>
  <c r="M167" i="1"/>
  <c r="T167" i="1" s="1"/>
  <c r="M127" i="1"/>
  <c r="T127" i="1" s="1"/>
  <c r="N147" i="1"/>
  <c r="N155" i="1"/>
  <c r="N154" i="1"/>
  <c r="M154" i="1"/>
  <c r="T154" i="1" s="1"/>
  <c r="O154" i="1"/>
  <c r="P155" i="1"/>
  <c r="O197" i="1"/>
  <c r="N290" i="1"/>
  <c r="O290" i="1"/>
  <c r="M290" i="1"/>
  <c r="W290" i="1" s="1"/>
  <c r="O291" i="1"/>
  <c r="N291" i="1"/>
  <c r="M291" i="1"/>
  <c r="W291" i="1" s="1"/>
  <c r="P291" i="1"/>
  <c r="O292" i="1"/>
  <c r="P292" i="1"/>
  <c r="M292" i="1"/>
  <c r="W292" i="1" s="1"/>
  <c r="N292" i="1"/>
  <c r="P197" i="1"/>
  <c r="O155" i="1"/>
  <c r="M155" i="1"/>
  <c r="T155" i="1" s="1"/>
  <c r="N66" i="1"/>
  <c r="O66" i="1"/>
  <c r="M28" i="1"/>
  <c r="N28" i="1"/>
  <c r="O28" i="1"/>
  <c r="P43" i="1"/>
  <c r="O287" i="1"/>
  <c r="N287" i="1"/>
  <c r="M287" i="1"/>
  <c r="W287" i="1" s="1"/>
  <c r="P211" i="1"/>
  <c r="P192" i="1"/>
  <c r="P226" i="1"/>
  <c r="P269" i="1"/>
  <c r="P117" i="1"/>
  <c r="P40" i="1"/>
  <c r="P60" i="1"/>
  <c r="P87" i="1"/>
  <c r="P41" i="1"/>
  <c r="P152" i="1"/>
  <c r="P100" i="1"/>
  <c r="P115" i="1"/>
  <c r="P245" i="1"/>
  <c r="P263" i="1"/>
  <c r="P132" i="1"/>
  <c r="P124" i="1"/>
  <c r="P223" i="1"/>
  <c r="P28" i="1"/>
  <c r="P111" i="1"/>
  <c r="P94" i="1"/>
  <c r="P266" i="1"/>
  <c r="P73" i="1"/>
  <c r="P278" i="1"/>
  <c r="P44" i="1"/>
  <c r="P287" i="1"/>
  <c r="P246" i="1"/>
  <c r="P138" i="1"/>
  <c r="P134" i="1"/>
  <c r="P280" i="1"/>
  <c r="P259" i="1"/>
  <c r="P272" i="1"/>
  <c r="P150" i="1"/>
  <c r="P36" i="1"/>
  <c r="P95" i="1"/>
  <c r="P239" i="1"/>
  <c r="P154" i="1"/>
  <c r="P66" i="1"/>
  <c r="P282" i="1"/>
  <c r="P256" i="1"/>
  <c r="P216" i="1"/>
  <c r="P113" i="1"/>
  <c r="P89" i="1"/>
  <c r="P285" i="1"/>
  <c r="P128" i="1"/>
  <c r="P253" i="1"/>
  <c r="P54" i="1"/>
  <c r="P180" i="1"/>
  <c r="P189" i="1"/>
  <c r="P175" i="1"/>
  <c r="P177" i="1"/>
  <c r="P121" i="1"/>
  <c r="P290" i="1"/>
  <c r="P96" i="1"/>
  <c r="P84" i="1"/>
  <c r="P107" i="1"/>
  <c r="P104" i="1"/>
  <c r="P141" i="1"/>
  <c r="P144" i="1"/>
  <c r="P184" i="1"/>
  <c r="P131" i="1"/>
  <c r="P187" i="1"/>
  <c r="P93" i="1"/>
  <c r="P235" i="1"/>
  <c r="P38" i="1"/>
  <c r="P218" i="1"/>
  <c r="P230" i="1"/>
  <c r="P27" i="1"/>
  <c r="P136" i="1"/>
  <c r="P127" i="1"/>
  <c r="N80" i="1"/>
  <c r="P147" i="1"/>
  <c r="P69" i="1"/>
  <c r="P228" i="1"/>
  <c r="P275" i="1"/>
  <c r="P249" i="1"/>
  <c r="P80" i="1"/>
  <c r="P207" i="1"/>
  <c r="P120" i="1"/>
  <c r="P76" i="1"/>
  <c r="P167" i="1"/>
  <c r="N136" i="1"/>
  <c r="O136" i="1"/>
  <c r="M136" i="1"/>
  <c r="T136" i="1" s="1"/>
  <c r="M134" i="1"/>
  <c r="T134" i="1" s="1"/>
  <c r="N134" i="1"/>
  <c r="O134" i="1"/>
  <c r="N40" i="1"/>
  <c r="M40" i="1"/>
  <c r="T40" i="1" s="1"/>
  <c r="O40" i="1"/>
  <c r="N43" i="1"/>
  <c r="M43" i="1"/>
  <c r="T43" i="1" s="1"/>
  <c r="O43" i="1"/>
  <c r="N41" i="1"/>
  <c r="M41" i="1"/>
  <c r="T41" i="1" s="1"/>
  <c r="O41" i="1"/>
  <c r="M44" i="1"/>
  <c r="T44" i="1" s="1"/>
  <c r="N44" i="1"/>
  <c r="O44" i="1"/>
  <c r="N36" i="1"/>
  <c r="M36" i="1"/>
  <c r="T36" i="1" s="1"/>
  <c r="O36" i="1"/>
  <c r="M47" i="1"/>
  <c r="T47" i="1" s="1"/>
  <c r="N47" i="1"/>
  <c r="O47" i="1"/>
  <c r="M121" i="1"/>
  <c r="T121" i="1" s="1"/>
  <c r="O121" i="1"/>
  <c r="M104" i="1"/>
  <c r="T104" i="1" s="1"/>
  <c r="N104" i="1"/>
  <c r="O104" i="1"/>
  <c r="M96" i="1"/>
  <c r="T96" i="1" s="1"/>
  <c r="O96" i="1"/>
  <c r="O84" i="1"/>
  <c r="U84" i="1" s="1"/>
  <c r="N96" i="1"/>
  <c r="O239" i="1"/>
  <c r="N278" i="1"/>
  <c r="O278" i="1"/>
  <c r="N239" i="1"/>
  <c r="M189" i="1"/>
  <c r="T189" i="1" s="1"/>
  <c r="M278" i="1"/>
  <c r="W278" i="1" s="1"/>
  <c r="O189" i="1"/>
  <c r="N167" i="1"/>
  <c r="N189" i="1"/>
  <c r="O150" i="1"/>
  <c r="N245" i="1"/>
  <c r="M147" i="1"/>
  <c r="T147" i="1" s="1"/>
  <c r="M187" i="1"/>
  <c r="T187" i="1" s="1"/>
  <c r="M245" i="1"/>
  <c r="W245" i="1" s="1"/>
  <c r="O192" i="1"/>
  <c r="N127" i="1"/>
  <c r="O167" i="1"/>
  <c r="N192" i="1"/>
  <c r="O147" i="1"/>
  <c r="M282" i="1"/>
  <c r="W282" i="1" s="1"/>
  <c r="N282" i="1"/>
  <c r="N187" i="1"/>
  <c r="O282" i="1"/>
  <c r="O187" i="1"/>
  <c r="M138" i="1"/>
  <c r="T138" i="1" s="1"/>
  <c r="N138" i="1"/>
  <c r="O138" i="1"/>
  <c r="N150" i="1"/>
  <c r="M150" i="1"/>
  <c r="T150" i="1" s="1"/>
  <c r="M84" i="1"/>
  <c r="T84" i="1" s="1"/>
  <c r="O80" i="1"/>
  <c r="M80" i="1"/>
  <c r="T80" i="1" s="1"/>
  <c r="N223" i="1"/>
  <c r="L232" i="1"/>
  <c r="M280" i="1"/>
  <c r="W280" i="1" s="1"/>
  <c r="M223" i="1"/>
  <c r="W223" i="1" s="1"/>
  <c r="O280" i="1"/>
  <c r="O223" i="1"/>
  <c r="O127" i="1"/>
  <c r="N280" i="1"/>
  <c r="O269" i="1"/>
  <c r="M269" i="1"/>
  <c r="W269" i="1" s="1"/>
  <c r="N269" i="1"/>
  <c r="N285" i="1"/>
  <c r="O285" i="1"/>
  <c r="M285" i="1"/>
  <c r="W285" i="1" s="1"/>
  <c r="O107" i="1"/>
  <c r="N107" i="1"/>
  <c r="M107" i="1"/>
  <c r="T107" i="1" s="1"/>
  <c r="M272" i="1"/>
  <c r="W272" i="1" s="1"/>
  <c r="N272" i="1"/>
  <c r="O272" i="1"/>
  <c r="N226" i="1"/>
  <c r="O226" i="1"/>
  <c r="M226" i="1"/>
  <c r="W226" i="1" s="1"/>
  <c r="O38" i="1"/>
  <c r="N38" i="1"/>
  <c r="M38" i="1"/>
  <c r="T38" i="1" s="1"/>
  <c r="N144" i="1"/>
  <c r="O144" i="1"/>
  <c r="M144" i="1"/>
  <c r="T144" i="1" s="1"/>
  <c r="O275" i="1"/>
  <c r="N275" i="1"/>
  <c r="M275" i="1"/>
  <c r="W275" i="1" s="1"/>
  <c r="M120" i="1"/>
  <c r="T120" i="1" s="1"/>
  <c r="O120" i="1"/>
  <c r="N120" i="1"/>
  <c r="N117" i="1"/>
  <c r="O117" i="1"/>
  <c r="M117" i="1"/>
  <c r="T117" i="1" s="1"/>
  <c r="M230" i="1"/>
  <c r="W230" i="1" s="1"/>
  <c r="N230" i="1"/>
  <c r="O230" i="1"/>
  <c r="M141" i="1"/>
  <c r="T141" i="1" s="1"/>
  <c r="O141" i="1"/>
  <c r="N141" i="1"/>
  <c r="O228" i="1"/>
  <c r="M228" i="1"/>
  <c r="W228" i="1" s="1"/>
  <c r="N228" i="1"/>
  <c r="M218" i="1"/>
  <c r="W218" i="1" s="1"/>
  <c r="P75" i="1"/>
  <c r="O218" i="1"/>
  <c r="N218" i="1"/>
  <c r="M172" i="1"/>
  <c r="T172" i="1" s="1"/>
  <c r="O172" i="1"/>
  <c r="N172" i="1"/>
  <c r="M76" i="1"/>
  <c r="T76" i="1" s="1"/>
  <c r="O76" i="1"/>
  <c r="M95" i="1"/>
  <c r="T95" i="1" s="1"/>
  <c r="N95" i="1"/>
  <c r="O95" i="1"/>
  <c r="N266" i="1"/>
  <c r="M266" i="1"/>
  <c r="W266" i="1" s="1"/>
  <c r="O266" i="1"/>
  <c r="M87" i="1"/>
  <c r="T87" i="1" s="1"/>
  <c r="O87" i="1"/>
  <c r="P242" i="1"/>
  <c r="N87" i="1"/>
  <c r="O115" i="1"/>
  <c r="N115" i="1"/>
  <c r="M115" i="1"/>
  <c r="T115" i="1" s="1"/>
  <c r="O93" i="1"/>
  <c r="N93" i="1"/>
  <c r="M93" i="1"/>
  <c r="T93" i="1" s="1"/>
  <c r="M180" i="1"/>
  <c r="T180" i="1" s="1"/>
  <c r="N180" i="1"/>
  <c r="O180" i="1"/>
  <c r="O175" i="1"/>
  <c r="M175" i="1"/>
  <c r="T175" i="1" s="1"/>
  <c r="N175" i="1"/>
  <c r="N170" i="1"/>
  <c r="M170" i="1"/>
  <c r="T170" i="1" s="1"/>
  <c r="O170" i="1"/>
  <c r="M177" i="1"/>
  <c r="T177" i="1" s="1"/>
  <c r="O177" i="1"/>
  <c r="N177" i="1"/>
  <c r="O60" i="1"/>
  <c r="M60" i="1"/>
  <c r="T60" i="1" s="1"/>
  <c r="N60" i="1"/>
  <c r="M216" i="1"/>
  <c r="W216" i="1" s="1"/>
  <c r="N216" i="1"/>
  <c r="O216" i="1"/>
  <c r="N113" i="1"/>
  <c r="O113" i="1"/>
  <c r="M113" i="1"/>
  <c r="T113" i="1" s="1"/>
  <c r="O111" i="1"/>
  <c r="N111" i="1"/>
  <c r="M111" i="1"/>
  <c r="T111" i="1" s="1"/>
  <c r="N211" i="1"/>
  <c r="O211" i="1"/>
  <c r="M211" i="1"/>
  <c r="W211" i="1" s="1"/>
  <c r="O164" i="5" l="1"/>
  <c r="P164" i="5" s="1"/>
  <c r="U164" i="5" s="1"/>
  <c r="W163" i="5"/>
  <c r="P163" i="5"/>
  <c r="R163" i="5"/>
  <c r="T28" i="1"/>
  <c r="D22" i="6"/>
  <c r="E26" i="6"/>
  <c r="C31" i="6"/>
  <c r="E32" i="6"/>
  <c r="E63" i="6"/>
  <c r="E62" i="6" s="1"/>
  <c r="C62" i="6"/>
  <c r="C75" i="6"/>
  <c r="E76" i="6"/>
  <c r="E75" i="6" s="1"/>
  <c r="H60" i="7"/>
  <c r="E81" i="6"/>
  <c r="E80" i="6" s="1"/>
  <c r="C80" i="6"/>
  <c r="E58" i="6"/>
  <c r="E57" i="6" s="1"/>
  <c r="C57" i="6"/>
  <c r="C68" i="6"/>
  <c r="E69" i="6"/>
  <c r="E68" i="6" s="1"/>
  <c r="C19" i="6"/>
  <c r="E20" i="6"/>
  <c r="E19" i="6" s="1"/>
  <c r="S56" i="1"/>
  <c r="G20" i="7"/>
  <c r="C7" i="6"/>
  <c r="E12" i="6"/>
  <c r="C11" i="6"/>
  <c r="E43" i="6"/>
  <c r="E40" i="6" s="1"/>
  <c r="C40" i="6"/>
  <c r="D78" i="6"/>
  <c r="E79" i="6"/>
  <c r="E78" i="6" s="1"/>
  <c r="C84" i="6"/>
  <c r="E85" i="6"/>
  <c r="E84" i="6" s="1"/>
  <c r="E102" i="6"/>
  <c r="E101" i="6" s="1"/>
  <c r="C101" i="6"/>
  <c r="D36" i="6"/>
  <c r="E38" i="6"/>
  <c r="E36" i="6" s="1"/>
  <c r="C9" i="6"/>
  <c r="E10" i="6"/>
  <c r="E9" i="6" s="1"/>
  <c r="C109" i="6"/>
  <c r="E110" i="6"/>
  <c r="E109" i="6" s="1"/>
  <c r="E50" i="6"/>
  <c r="D31" i="6"/>
  <c r="E33" i="6"/>
  <c r="D132" i="6"/>
  <c r="E133" i="6"/>
  <c r="E132" i="6" s="1"/>
  <c r="D130" i="6"/>
  <c r="E131" i="6"/>
  <c r="E130" i="6" s="1"/>
  <c r="C111" i="6"/>
  <c r="E112" i="6"/>
  <c r="E111" i="6" s="1"/>
  <c r="E48" i="6"/>
  <c r="E47" i="6" s="1"/>
  <c r="C47" i="6"/>
  <c r="V232" i="1"/>
  <c r="V294" i="1" s="1"/>
  <c r="D27" i="6"/>
  <c r="E27" i="6" s="1"/>
  <c r="D11" i="6"/>
  <c r="E13" i="6"/>
  <c r="D120" i="6"/>
  <c r="E121" i="6"/>
  <c r="E120" i="6" s="1"/>
  <c r="C118" i="6"/>
  <c r="E119" i="6"/>
  <c r="E118" i="6" s="1"/>
  <c r="D126" i="6"/>
  <c r="E127" i="6"/>
  <c r="E126" i="6" s="1"/>
  <c r="C54" i="6"/>
  <c r="E55" i="6"/>
  <c r="E54" i="6" s="1"/>
  <c r="C86" i="6"/>
  <c r="E88" i="6"/>
  <c r="E86" i="6" s="1"/>
  <c r="E129" i="6"/>
  <c r="E128" i="6" s="1"/>
  <c r="D128" i="6"/>
  <c r="D75" i="7"/>
  <c r="E78" i="7"/>
  <c r="E75" i="7" s="1"/>
  <c r="E79" i="7" s="1"/>
  <c r="E83" i="6"/>
  <c r="E82" i="6" s="1"/>
  <c r="C82" i="6"/>
  <c r="C51" i="6"/>
  <c r="E51" i="6" s="1"/>
  <c r="G61" i="7"/>
  <c r="H61" i="7" s="1"/>
  <c r="C107" i="6"/>
  <c r="E108" i="6"/>
  <c r="E107" i="6" s="1"/>
  <c r="E105" i="6"/>
  <c r="E104" i="6" s="1"/>
  <c r="C104" i="6"/>
  <c r="C22" i="6"/>
  <c r="E23" i="6"/>
  <c r="E22" i="6" s="1"/>
  <c r="E123" i="6"/>
  <c r="E122" i="6" s="1"/>
  <c r="D122" i="6"/>
  <c r="E35" i="6"/>
  <c r="E34" i="6" s="1"/>
  <c r="D34" i="6"/>
  <c r="W74" i="5"/>
  <c r="P74" i="5"/>
  <c r="X74" i="5" s="1"/>
  <c r="O75" i="5"/>
  <c r="Q74" i="5"/>
  <c r="Y74" i="5" s="1"/>
  <c r="R74" i="5"/>
  <c r="W20" i="5"/>
  <c r="O21" i="5"/>
  <c r="T21" i="5" s="1"/>
  <c r="P56" i="5"/>
  <c r="X56" i="5" s="1"/>
  <c r="O57" i="5"/>
  <c r="Q57" i="5" s="1"/>
  <c r="V57" i="5" s="1"/>
  <c r="R64" i="5"/>
  <c r="W64" i="5"/>
  <c r="Q64" i="5"/>
  <c r="Y64" i="5" s="1"/>
  <c r="W158" i="5"/>
  <c r="W56" i="5"/>
  <c r="P158" i="5"/>
  <c r="X158" i="5" s="1"/>
  <c r="W151" i="5"/>
  <c r="R134" i="5"/>
  <c r="P147" i="5"/>
  <c r="X147" i="5" s="1"/>
  <c r="R107" i="5"/>
  <c r="R158" i="5"/>
  <c r="Q151" i="5"/>
  <c r="Y151" i="5" s="1"/>
  <c r="R56" i="5"/>
  <c r="R160" i="5"/>
  <c r="R151" i="5"/>
  <c r="X216" i="1"/>
  <c r="W32" i="5"/>
  <c r="W52" i="5"/>
  <c r="W130" i="5"/>
  <c r="P69" i="5"/>
  <c r="X69" i="5" s="1"/>
  <c r="R130" i="5"/>
  <c r="W67" i="5"/>
  <c r="X245" i="1"/>
  <c r="P32" i="5"/>
  <c r="X32" i="5" s="1"/>
  <c r="R67" i="5"/>
  <c r="Q20" i="5"/>
  <c r="U175" i="1"/>
  <c r="U187" i="1"/>
  <c r="U36" i="1"/>
  <c r="O70" i="5"/>
  <c r="P70" i="5" s="1"/>
  <c r="U87" i="1"/>
  <c r="Q32" i="5"/>
  <c r="Y32" i="5" s="1"/>
  <c r="X211" i="1"/>
  <c r="U38" i="1"/>
  <c r="X226" i="1"/>
  <c r="X223" i="1"/>
  <c r="U150" i="1"/>
  <c r="U111" i="1"/>
  <c r="U113" i="1"/>
  <c r="U60" i="1"/>
  <c r="U170" i="1"/>
  <c r="U93" i="1"/>
  <c r="X218" i="1"/>
  <c r="X228" i="1"/>
  <c r="U120" i="1"/>
  <c r="X275" i="1"/>
  <c r="U144" i="1"/>
  <c r="X272" i="1"/>
  <c r="X269" i="1"/>
  <c r="U104" i="1"/>
  <c r="X287" i="1"/>
  <c r="U28" i="1"/>
  <c r="Q109" i="1"/>
  <c r="S109" i="1"/>
  <c r="U180" i="1"/>
  <c r="U95" i="1"/>
  <c r="U172" i="1"/>
  <c r="U138" i="1"/>
  <c r="U192" i="1"/>
  <c r="X278" i="1"/>
  <c r="U47" i="1"/>
  <c r="U40" i="1"/>
  <c r="X291" i="1"/>
  <c r="X290" i="1"/>
  <c r="P134" i="5"/>
  <c r="X134" i="5" s="1"/>
  <c r="Q134" i="5"/>
  <c r="U76" i="1"/>
  <c r="X282" i="1"/>
  <c r="U189" i="1"/>
  <c r="U43" i="1"/>
  <c r="U80" i="1"/>
  <c r="U154" i="1"/>
  <c r="U197" i="1"/>
  <c r="U121" i="1"/>
  <c r="W45" i="5"/>
  <c r="U177" i="1"/>
  <c r="U115" i="1"/>
  <c r="X266" i="1"/>
  <c r="U141" i="1"/>
  <c r="X230" i="1"/>
  <c r="U117" i="1"/>
  <c r="U107" i="1"/>
  <c r="X285" i="1"/>
  <c r="X280" i="1"/>
  <c r="U127" i="1"/>
  <c r="U167" i="1"/>
  <c r="X239" i="1"/>
  <c r="U96" i="1"/>
  <c r="U44" i="1"/>
  <c r="U41" i="1"/>
  <c r="U134" i="1"/>
  <c r="U136" i="1"/>
  <c r="U66" i="1"/>
  <c r="X292" i="1"/>
  <c r="U155" i="1"/>
  <c r="U147" i="1"/>
  <c r="O53" i="5"/>
  <c r="Q53" i="5" s="1"/>
  <c r="V53" i="5" s="1"/>
  <c r="P130" i="5"/>
  <c r="X130" i="5" s="1"/>
  <c r="O131" i="5"/>
  <c r="R32" i="5"/>
  <c r="Q67" i="5"/>
  <c r="Y67" i="5" s="1"/>
  <c r="P52" i="5"/>
  <c r="X52" i="5" s="1"/>
  <c r="R52" i="5"/>
  <c r="R69" i="5"/>
  <c r="W69" i="5"/>
  <c r="P20" i="5"/>
  <c r="W154" i="5"/>
  <c r="Q98" i="5"/>
  <c r="Y98" i="5" s="1"/>
  <c r="Q187" i="5"/>
  <c r="Y187" i="5" s="1"/>
  <c r="W125" i="5"/>
  <c r="P60" i="5"/>
  <c r="X60" i="5" s="1"/>
  <c r="Q128" i="5"/>
  <c r="Y128" i="5" s="1"/>
  <c r="W60" i="5"/>
  <c r="Q147" i="5"/>
  <c r="Y147" i="5" s="1"/>
  <c r="O148" i="5"/>
  <c r="R148" i="5" s="1"/>
  <c r="O155" i="5"/>
  <c r="R155" i="5" s="1"/>
  <c r="P160" i="5"/>
  <c r="X160" i="5" s="1"/>
  <c r="W128" i="5"/>
  <c r="P128" i="5"/>
  <c r="R98" i="5"/>
  <c r="P45" i="5"/>
  <c r="X45" i="5" s="1"/>
  <c r="O46" i="5"/>
  <c r="P46" i="5" s="1"/>
  <c r="U46" i="5" s="1"/>
  <c r="P187" i="5"/>
  <c r="X187" i="5" s="1"/>
  <c r="P125" i="5"/>
  <c r="W107" i="5"/>
  <c r="R60" i="5"/>
  <c r="O65" i="5"/>
  <c r="Q65" i="5" s="1"/>
  <c r="V65" i="5" s="1"/>
  <c r="W147" i="5"/>
  <c r="Q154" i="5"/>
  <c r="Y154" i="5" s="1"/>
  <c r="R154" i="5"/>
  <c r="Q160" i="5"/>
  <c r="Y160" i="5" s="1"/>
  <c r="P98" i="5"/>
  <c r="X98" i="5" s="1"/>
  <c r="O100" i="5"/>
  <c r="T100" i="5" s="1"/>
  <c r="Q45" i="5"/>
  <c r="Y45" i="5" s="1"/>
  <c r="R187" i="5"/>
  <c r="W187" i="5"/>
  <c r="R125" i="5"/>
  <c r="Q107" i="5"/>
  <c r="Y107" i="5" s="1"/>
  <c r="Q125" i="5"/>
  <c r="Y125" i="5" s="1"/>
  <c r="P107" i="5"/>
  <c r="X107" i="5" s="1"/>
  <c r="P214" i="1"/>
  <c r="Q214" i="1"/>
  <c r="Q56" i="1"/>
  <c r="Q232" i="1"/>
  <c r="P156" i="1"/>
  <c r="P151" i="5"/>
  <c r="X151" i="5" s="1"/>
  <c r="Q156" i="1"/>
  <c r="P109" i="1"/>
  <c r="Q181" i="5"/>
  <c r="Y181" i="5" s="1"/>
  <c r="P181" i="5"/>
  <c r="X181" i="5" s="1"/>
  <c r="W181" i="5"/>
  <c r="R181" i="5"/>
  <c r="W25" i="5"/>
  <c r="P25" i="5"/>
  <c r="R25" i="5"/>
  <c r="P177" i="5"/>
  <c r="X177" i="5" s="1"/>
  <c r="Q177" i="5"/>
  <c r="Y177" i="5" s="1"/>
  <c r="W177" i="5"/>
  <c r="Q40" i="5"/>
  <c r="V40" i="5" s="1"/>
  <c r="P40" i="5"/>
  <c r="U40" i="5" s="1"/>
  <c r="R40" i="5"/>
  <c r="T40" i="5"/>
  <c r="R39" i="5"/>
  <c r="Q39" i="5"/>
  <c r="P39" i="5"/>
  <c r="W39" i="5"/>
  <c r="N109" i="1"/>
  <c r="Y163" i="5"/>
  <c r="Y52" i="5"/>
  <c r="P152" i="5"/>
  <c r="U152" i="5" s="1"/>
  <c r="Q152" i="5"/>
  <c r="V152" i="5" s="1"/>
  <c r="T152" i="5"/>
  <c r="R152" i="5"/>
  <c r="Y60" i="5"/>
  <c r="Q164" i="5"/>
  <c r="V164" i="5" s="1"/>
  <c r="Y130" i="5"/>
  <c r="P171" i="5"/>
  <c r="U171" i="5" s="1"/>
  <c r="R171" i="5"/>
  <c r="Q171" i="5"/>
  <c r="V171" i="5" s="1"/>
  <c r="T171" i="5"/>
  <c r="R33" i="5"/>
  <c r="T33" i="5"/>
  <c r="P33" i="5"/>
  <c r="U33" i="5" s="1"/>
  <c r="Q33" i="5"/>
  <c r="V33" i="5" s="1"/>
  <c r="P63" i="5"/>
  <c r="X63" i="5" s="1"/>
  <c r="W63" i="5"/>
  <c r="Q63" i="5"/>
  <c r="Y63" i="5" s="1"/>
  <c r="R63" i="5"/>
  <c r="O27" i="5"/>
  <c r="P43" i="5"/>
  <c r="Q43" i="5"/>
  <c r="R43" i="5"/>
  <c r="W43" i="5"/>
  <c r="X170" i="5"/>
  <c r="O123" i="5"/>
  <c r="P122" i="5"/>
  <c r="W122" i="5"/>
  <c r="R122" i="5"/>
  <c r="Q122" i="5"/>
  <c r="X154" i="5"/>
  <c r="Y158" i="5"/>
  <c r="P167" i="5"/>
  <c r="O168" i="5"/>
  <c r="Q167" i="5"/>
  <c r="R167" i="5"/>
  <c r="W167" i="5"/>
  <c r="P188" i="5"/>
  <c r="Q188" i="5"/>
  <c r="R188" i="5"/>
  <c r="T188" i="5"/>
  <c r="O83" i="5"/>
  <c r="W79" i="5"/>
  <c r="R79" i="5"/>
  <c r="Q79" i="5"/>
  <c r="P79" i="5"/>
  <c r="Y56" i="5"/>
  <c r="Y25" i="5"/>
  <c r="O62" i="5"/>
  <c r="X163" i="5"/>
  <c r="Y170" i="5"/>
  <c r="W114" i="5"/>
  <c r="Q114" i="5"/>
  <c r="O118" i="5"/>
  <c r="P114" i="5"/>
  <c r="R114" i="5"/>
  <c r="R182" i="5"/>
  <c r="P182" i="5"/>
  <c r="U182" i="5" s="1"/>
  <c r="Q182" i="5"/>
  <c r="V182" i="5" s="1"/>
  <c r="T182" i="5"/>
  <c r="T109" i="5"/>
  <c r="P109" i="5"/>
  <c r="U109" i="5" s="1"/>
  <c r="R109" i="5"/>
  <c r="Q109" i="5"/>
  <c r="V109" i="5" s="1"/>
  <c r="O109" i="1"/>
  <c r="M109" i="1"/>
  <c r="T109" i="1" s="1"/>
  <c r="P232" i="1"/>
  <c r="P56" i="1"/>
  <c r="O156" i="1"/>
  <c r="L157" i="1"/>
  <c r="S157" i="1" s="1"/>
  <c r="O24" i="1"/>
  <c r="N24" i="1"/>
  <c r="N156" i="1"/>
  <c r="L57" i="1"/>
  <c r="O56" i="1"/>
  <c r="M56" i="1"/>
  <c r="T56" i="1" s="1"/>
  <c r="N56" i="1"/>
  <c r="M156" i="1"/>
  <c r="T156" i="1" s="1"/>
  <c r="O232" i="1"/>
  <c r="N232" i="1"/>
  <c r="M232" i="1"/>
  <c r="W232" i="1" s="1"/>
  <c r="O242" i="1"/>
  <c r="M242" i="1"/>
  <c r="W242" i="1" s="1"/>
  <c r="N242" i="1"/>
  <c r="O75" i="1"/>
  <c r="N75" i="1"/>
  <c r="M75" i="1"/>
  <c r="T75" i="1" s="1"/>
  <c r="O214" i="1"/>
  <c r="M214" i="1"/>
  <c r="W214" i="1" s="1"/>
  <c r="N214" i="1"/>
  <c r="R164" i="5" l="1"/>
  <c r="T164" i="5"/>
  <c r="E11" i="6"/>
  <c r="E31" i="6"/>
  <c r="C49" i="6"/>
  <c r="E49" i="6"/>
  <c r="E7" i="6"/>
  <c r="H20" i="7"/>
  <c r="H59" i="7"/>
  <c r="S57" i="1"/>
  <c r="S198" i="1" s="1"/>
  <c r="C8" i="6"/>
  <c r="E8" i="6" s="1"/>
  <c r="G21" i="7"/>
  <c r="H21" i="7" s="1"/>
  <c r="G59" i="7"/>
  <c r="P57" i="5"/>
  <c r="U57" i="5" s="1"/>
  <c r="R57" i="5"/>
  <c r="T57" i="5"/>
  <c r="X20" i="5"/>
  <c r="Y20" i="5"/>
  <c r="R100" i="5"/>
  <c r="T46" i="5"/>
  <c r="P131" i="5"/>
  <c r="X131" i="5" s="1"/>
  <c r="R131" i="5"/>
  <c r="R70" i="5"/>
  <c r="Q148" i="5"/>
  <c r="V148" i="5" s="1"/>
  <c r="P294" i="1"/>
  <c r="W131" i="5"/>
  <c r="P100" i="5"/>
  <c r="U100" i="5" s="1"/>
  <c r="R46" i="5"/>
  <c r="Y134" i="5"/>
  <c r="T70" i="5"/>
  <c r="T53" i="5"/>
  <c r="Q100" i="5"/>
  <c r="V100" i="5" s="1"/>
  <c r="Q46" i="5"/>
  <c r="V46" i="5" s="1"/>
  <c r="Q131" i="5"/>
  <c r="Y131" i="5" s="1"/>
  <c r="U156" i="1"/>
  <c r="Q70" i="5"/>
  <c r="P53" i="5"/>
  <c r="U53" i="5" s="1"/>
  <c r="X128" i="5"/>
  <c r="R65" i="5"/>
  <c r="R53" i="5"/>
  <c r="P148" i="5"/>
  <c r="U148" i="5" s="1"/>
  <c r="W294" i="1"/>
  <c r="X214" i="1"/>
  <c r="U24" i="1"/>
  <c r="Q155" i="5"/>
  <c r="V155" i="5" s="1"/>
  <c r="Q21" i="5"/>
  <c r="V21" i="5" s="1"/>
  <c r="T148" i="5"/>
  <c r="P65" i="5"/>
  <c r="U65" i="5" s="1"/>
  <c r="U75" i="1"/>
  <c r="R21" i="5"/>
  <c r="T65" i="5"/>
  <c r="U109" i="1"/>
  <c r="U56" i="1"/>
  <c r="P21" i="5"/>
  <c r="U21" i="5" s="1"/>
  <c r="X242" i="1"/>
  <c r="X232" i="1"/>
  <c r="X125" i="5"/>
  <c r="P155" i="5"/>
  <c r="U155" i="5" s="1"/>
  <c r="T155" i="5"/>
  <c r="Q57" i="1"/>
  <c r="Q157" i="1"/>
  <c r="X25" i="5"/>
  <c r="N157" i="1"/>
  <c r="M294" i="1"/>
  <c r="O157" i="1"/>
  <c r="M157" i="1"/>
  <c r="T157" i="1" s="1"/>
  <c r="L158" i="1"/>
  <c r="S158" i="1" s="1"/>
  <c r="O294" i="1"/>
  <c r="N294" i="1"/>
  <c r="O28" i="5"/>
  <c r="R28" i="5" s="1"/>
  <c r="X39" i="5"/>
  <c r="Y39" i="5"/>
  <c r="Y114" i="5"/>
  <c r="X79" i="5"/>
  <c r="Q83" i="5"/>
  <c r="V83" i="5" s="1"/>
  <c r="R83" i="5"/>
  <c r="T83" i="5"/>
  <c r="P83" i="5"/>
  <c r="U83" i="5" s="1"/>
  <c r="U188" i="5"/>
  <c r="Y167" i="5"/>
  <c r="X122" i="5"/>
  <c r="Y43" i="5"/>
  <c r="Q75" i="5"/>
  <c r="T75" i="5"/>
  <c r="R75" i="5"/>
  <c r="P75" i="5"/>
  <c r="V188" i="5"/>
  <c r="U70" i="5"/>
  <c r="X114" i="5"/>
  <c r="R62" i="5"/>
  <c r="Q62" i="5"/>
  <c r="P62" i="5"/>
  <c r="W62" i="5"/>
  <c r="Y79" i="5"/>
  <c r="Q168" i="5"/>
  <c r="Y168" i="5" s="1"/>
  <c r="P168" i="5"/>
  <c r="X168" i="5" s="1"/>
  <c r="R168" i="5"/>
  <c r="W168" i="5"/>
  <c r="Y122" i="5"/>
  <c r="R123" i="5"/>
  <c r="P123" i="5"/>
  <c r="U123" i="5" s="1"/>
  <c r="T123" i="5"/>
  <c r="Q123" i="5"/>
  <c r="V123" i="5" s="1"/>
  <c r="X43" i="5"/>
  <c r="P118" i="5"/>
  <c r="X118" i="5" s="1"/>
  <c r="W118" i="5"/>
  <c r="Q118" i="5"/>
  <c r="Y118" i="5" s="1"/>
  <c r="R118" i="5"/>
  <c r="X167" i="5"/>
  <c r="O29" i="5"/>
  <c r="P27" i="5"/>
  <c r="X27" i="5" s="1"/>
  <c r="Q27" i="5"/>
  <c r="Y27" i="5" s="1"/>
  <c r="R27" i="5"/>
  <c r="W27" i="5"/>
  <c r="N57" i="1"/>
  <c r="P57" i="1"/>
  <c r="O57" i="1"/>
  <c r="M57" i="1"/>
  <c r="T57" i="1" s="1"/>
  <c r="P157" i="1"/>
  <c r="H18" i="7" l="1"/>
  <c r="H79" i="7" s="1"/>
  <c r="G18" i="7"/>
  <c r="E6" i="6"/>
  <c r="E135" i="6" s="1"/>
  <c r="B7" i="9" s="1"/>
  <c r="C6" i="6"/>
  <c r="V70" i="5"/>
  <c r="U57" i="1"/>
  <c r="X294" i="1"/>
  <c r="U157" i="1"/>
  <c r="Q158" i="1"/>
  <c r="M158" i="1"/>
  <c r="T158" i="1" s="1"/>
  <c r="P158" i="1"/>
  <c r="P198" i="1" s="1"/>
  <c r="N158" i="1"/>
  <c r="O158" i="1"/>
  <c r="W28" i="5"/>
  <c r="P28" i="5"/>
  <c r="X28" i="5" s="1"/>
  <c r="Q28" i="5"/>
  <c r="Y28" i="5" s="1"/>
  <c r="U75" i="5"/>
  <c r="R29" i="5"/>
  <c r="T29" i="5"/>
  <c r="Q29" i="5"/>
  <c r="P29" i="5"/>
  <c r="X62" i="5"/>
  <c r="Y62" i="5"/>
  <c r="V75" i="5"/>
  <c r="O184" i="1"/>
  <c r="M184" i="1"/>
  <c r="T184" i="1" s="1"/>
  <c r="N184" i="1"/>
  <c r="P296" i="1" l="1"/>
  <c r="B6" i="9"/>
  <c r="M198" i="1"/>
  <c r="M295" i="1" s="1"/>
  <c r="P190" i="5"/>
  <c r="U184" i="1"/>
  <c r="U158" i="1"/>
  <c r="U29" i="5"/>
  <c r="R189" i="5"/>
  <c r="R190" i="5" s="1"/>
  <c r="V29" i="5"/>
  <c r="E137" i="6" l="1"/>
  <c r="B2" i="9" s="1"/>
  <c r="B4" i="9"/>
  <c r="H295" i="1"/>
  <c r="P295" i="1"/>
  <c r="P297" i="1" l="1"/>
  <c r="B5" i="9" s="1"/>
  <c r="O30" i="1" l="1"/>
  <c r="O198" i="1" l="1"/>
  <c r="O295" i="1" s="1"/>
  <c r="V30" i="1"/>
  <c r="N30" i="1"/>
  <c r="T198" i="1"/>
  <c r="W30" i="1" l="1"/>
  <c r="X30" i="1"/>
  <c r="U198" i="1"/>
  <c r="N198" i="1"/>
  <c r="N295" i="1" s="1"/>
</calcChain>
</file>

<file path=xl/sharedStrings.xml><?xml version="1.0" encoding="utf-8"?>
<sst xmlns="http://schemas.openxmlformats.org/spreadsheetml/2006/main" count="1293" uniqueCount="819">
  <si>
    <t>Conduct a CMS performance evalutaion</t>
  </si>
  <si>
    <t xml:space="preserve">Prepare and submit a written report of the results of the </t>
  </si>
  <si>
    <t>CMS performance evaluation</t>
  </si>
  <si>
    <t xml:space="preserve">Prepare and submit written reports of the results of the </t>
  </si>
  <si>
    <t>Respondents</t>
  </si>
  <si>
    <t>Legal</t>
  </si>
  <si>
    <t>Manager</t>
  </si>
  <si>
    <t>Technical</t>
  </si>
  <si>
    <t>Clerical</t>
  </si>
  <si>
    <t>Consultant</t>
  </si>
  <si>
    <t>Total Hours and Costs</t>
  </si>
  <si>
    <t>Total</t>
  </si>
  <si>
    <t>Capital/</t>
  </si>
  <si>
    <t># of</t>
  </si>
  <si>
    <t>Cost</t>
  </si>
  <si>
    <t>Startup</t>
  </si>
  <si>
    <t>O&amp;M</t>
  </si>
  <si>
    <t>INFORMATION COLLECTION ACTIVITY</t>
  </si>
  <si>
    <t>record</t>
  </si>
  <si>
    <t xml:space="preserve"> </t>
  </si>
  <si>
    <t>standards</t>
  </si>
  <si>
    <t>Prepare and submit a progress report, as applicable</t>
  </si>
  <si>
    <t>Prepare and submit a notification of change in design,</t>
  </si>
  <si>
    <t>operation, or maintenance</t>
  </si>
  <si>
    <t>Revise, as necessary, the performance test plan,</t>
  </si>
  <si>
    <t>Documentation of Compliance, and start-up, shutdown, and</t>
  </si>
  <si>
    <t>malfunction plan to reflect changes that will not adversely</t>
  </si>
  <si>
    <t>affect compliance with emission standards or operating</t>
  </si>
  <si>
    <t>requirements.</t>
  </si>
  <si>
    <t xml:space="preserve">Prepare and submit a particulate matter CEMS correlation </t>
  </si>
  <si>
    <t>test plan</t>
  </si>
  <si>
    <t>EPA</t>
  </si>
  <si>
    <t xml:space="preserve">Investigate the cause of any AWFCO, take appropriate </t>
  </si>
  <si>
    <t xml:space="preserve">Develop and submit a written report documenting excessive </t>
  </si>
  <si>
    <t xml:space="preserve">exceedances and result of the investigation and corrective </t>
  </si>
  <si>
    <t>measures taken</t>
  </si>
  <si>
    <t>Test the AWFCO system and associated alarms weekely and</t>
  </si>
  <si>
    <t>document and record AWFCO operability test procedures and</t>
  </si>
  <si>
    <t>result in the operating record</t>
  </si>
  <si>
    <t xml:space="preserve">Document in the operating record that weekly inspections will </t>
  </si>
  <si>
    <t>unduly restrict or upset operations</t>
  </si>
  <si>
    <t>operating record</t>
  </si>
  <si>
    <t>Develop an ESV operating plan and keep it in the operating</t>
  </si>
  <si>
    <t>Investigate the cause of the ESV opening, take appropriate</t>
  </si>
  <si>
    <t>corrective measures to minimize such future ESV openings,</t>
  </si>
  <si>
    <t>Develop and submit a written report documenting the ESV</t>
  </si>
  <si>
    <t>control to provide control of combustion system leaks</t>
  </si>
  <si>
    <t>months after the date of commencing the previous</t>
  </si>
  <si>
    <t>comprehensive performance test</t>
  </si>
  <si>
    <t>Perform the confirmatory performance test no later than 31</t>
  </si>
  <si>
    <t>Prepare and submit a request that previous emissions test</t>
  </si>
  <si>
    <t>data serve as documentation of conformance with emission</t>
  </si>
  <si>
    <t>Prepare and submit a notification of intention to conduct</t>
  </si>
  <si>
    <t>a perfomance test</t>
  </si>
  <si>
    <t>Prepare and submit the rescheduled notification of intent to</t>
  </si>
  <si>
    <t>conduct a performance test, if test is postponed</t>
  </si>
  <si>
    <t>Prepare and submit a site-specific comprehensive</t>
  </si>
  <si>
    <t>performance test plan</t>
  </si>
  <si>
    <t>Prepare and submit the site-specific confirmatory performance</t>
  </si>
  <si>
    <t xml:space="preserve">Document the mode of operation in the operating record, if a </t>
  </si>
  <si>
    <t>source has tested under two or more operating modes</t>
  </si>
  <si>
    <t>Prepare and submit a notification of compliance</t>
  </si>
  <si>
    <t>Prepare and submit a written request for a time extension, if</t>
  </si>
  <si>
    <t>necessary</t>
  </si>
  <si>
    <t>Develop and implement a feedstream analysis plan and</t>
  </si>
  <si>
    <t>facilities)</t>
  </si>
  <si>
    <t>Perform waste analysis 50 times annually (commercial</t>
  </si>
  <si>
    <t>Prepare and submit an application for use of an alternative</t>
  </si>
  <si>
    <t>monitoring method</t>
  </si>
  <si>
    <t>Prepare and submit an application to waive an operating limit</t>
  </si>
  <si>
    <t>Document in the operating record that replacement carbon</t>
  </si>
  <si>
    <t>will provide the same level of control as the original inhibitor</t>
  </si>
  <si>
    <t>used during the performance test</t>
  </si>
  <si>
    <t>Prepare and submit request to extrapolate mercury feedrate</t>
  </si>
  <si>
    <t>Prepare and submit request to extrapolate semivolatile metal</t>
  </si>
  <si>
    <t>Document in the operating record that replacement sorbent</t>
  </si>
  <si>
    <t>will provide the same level of control as the original sorbent</t>
  </si>
  <si>
    <t xml:space="preserve">Keep the CMS quality control program on record for the life </t>
  </si>
  <si>
    <t>of the affected source or until the affected  source is no</t>
  </si>
  <si>
    <t>longer subject to the provisions of 40 CFR Part 63</t>
  </si>
  <si>
    <t>Submit the CMS quality control program for inspection, if</t>
  </si>
  <si>
    <t>Prepare and submit a notification of CMS performance</t>
  </si>
  <si>
    <t>evaluation</t>
  </si>
  <si>
    <t>Develop and submit a CMS site-specific performance</t>
  </si>
  <si>
    <t>evaluation test plan</t>
  </si>
  <si>
    <t xml:space="preserve">Prepare and submit additional notification requirements for </t>
  </si>
  <si>
    <t>source with CMS</t>
  </si>
  <si>
    <t>will provide the same level of control as original carbon</t>
  </si>
  <si>
    <t>Document in the operating record that replacement inhibitor</t>
  </si>
  <si>
    <t>Request additional time extension for waiving PM and Opacity stnds</t>
  </si>
  <si>
    <t>Alternative hydrocarbon monitoring location for short cement kilns burning haz waste at location other than hot end of kiln</t>
  </si>
  <si>
    <t>Prepare and submit the request for an extension of compliance</t>
  </si>
  <si>
    <t xml:space="preserve">opening and result of the investigation and corrective </t>
  </si>
  <si>
    <t>Prepare and submit a request to use an alternative means of</t>
  </si>
  <si>
    <t>of compliance the methods used to control combustion system leaks</t>
  </si>
  <si>
    <t>Specify in the comprehensive test workplan and the notification</t>
  </si>
  <si>
    <t>Prepare and submit a request for a 6 month time extension for</t>
  </si>
  <si>
    <t>conducting a performance test if test plan has not been approved</t>
  </si>
  <si>
    <t>Notify public of request for time extension</t>
  </si>
  <si>
    <t>Prepare an operation and maintenance plan and</t>
  </si>
  <si>
    <t>Document hazardous waste residence time in operating record</t>
  </si>
  <si>
    <t>Prepare and submit a petition for alternative monitoring</t>
  </si>
  <si>
    <t>location and emission standards</t>
  </si>
  <si>
    <t>record the findings and corrective measures in the operating</t>
  </si>
  <si>
    <t>measures taken, and whether ESV event caused non-compliance</t>
  </si>
  <si>
    <t>Request 60 day extention to complete testing</t>
  </si>
  <si>
    <t>Request additional time for waiving OPLs for pretesting</t>
  </si>
  <si>
    <t>Document in the operating record procedures</t>
  </si>
  <si>
    <t>used to ensure carbon bed lifetime is being</t>
  </si>
  <si>
    <t>sufficiently monitored and controlled</t>
  </si>
  <si>
    <t>Prepare and submit and initial notification</t>
  </si>
  <si>
    <t>Prepare and submit an application of approval of construction</t>
  </si>
  <si>
    <t>as applicable</t>
  </si>
  <si>
    <t>Prepare and submit an application of approval of reconstruction</t>
  </si>
  <si>
    <t>Prepare and submit a request for an adjustment to a time</t>
  </si>
  <si>
    <t>period or postmark deadline</t>
  </si>
  <si>
    <t>Prepare and submit a request to reduce the frequency of</t>
  </si>
  <si>
    <t>excess emissions and CMS performance reports</t>
  </si>
  <si>
    <t>Waiver of recordkeeping and reporting requirements</t>
  </si>
  <si>
    <t>Prepare and submit a waiver of recordkeeping and reporting</t>
  </si>
  <si>
    <t>Prepare and submit request for approval to use data</t>
  </si>
  <si>
    <t>compression techniques to record data on a less frequent</t>
  </si>
  <si>
    <t>basis than required by Section 63.1209</t>
  </si>
  <si>
    <t>Prepare and submit a periodic startup, shutdown, and</t>
  </si>
  <si>
    <t>malfunction report, as applicable</t>
  </si>
  <si>
    <t>Prepare and submit an immediate startup, shutdown, and</t>
  </si>
  <si>
    <t>Prepare and submit an excess emissions and monitoring</t>
  </si>
  <si>
    <t>system performance report and summary report</t>
  </si>
  <si>
    <t>General recordkeeping requirements 63.10(b)</t>
  </si>
  <si>
    <t>Retain files of all information (including all reports and)</t>
  </si>
  <si>
    <t>notifications) for atleast 5 years</t>
  </si>
  <si>
    <t>Additional recordkeeping requirements for source with CMS (63.10(c))</t>
  </si>
  <si>
    <t>systems</t>
  </si>
  <si>
    <t>Develop a Documentation of Compliance and include it in the</t>
  </si>
  <si>
    <t>date due to waste minimization controls</t>
  </si>
  <si>
    <t>Develop and implement a QC program</t>
  </si>
  <si>
    <t>Revise program, if necessary</t>
  </si>
  <si>
    <t>Record program in operating record</t>
  </si>
  <si>
    <t>Develop and implement a QA program</t>
  </si>
  <si>
    <t>Revise or update plan, if necessary</t>
  </si>
  <si>
    <t>Record plan in the operating record</t>
  </si>
  <si>
    <t>Check, record, and quantify the ZD and the CD</t>
  </si>
  <si>
    <t>at least once daily (330 times per year)</t>
  </si>
  <si>
    <t xml:space="preserve">Retain all CEMS measurements in the </t>
  </si>
  <si>
    <t>operating record for at least 5 years</t>
  </si>
  <si>
    <t>Conduct ACA, RATA, or interference reponse test as</t>
  </si>
  <si>
    <t>applicable</t>
  </si>
  <si>
    <t>Prepare and submit a written report of the results of the</t>
  </si>
  <si>
    <t>performance evaluation</t>
  </si>
  <si>
    <t xml:space="preserve">  Prepare and submit a request to use an</t>
  </si>
  <si>
    <t xml:space="preserve">  alternative CEMS span</t>
  </si>
  <si>
    <t>Perform waste analysis four time annually (non-commercial</t>
  </si>
  <si>
    <t>date due to installation of pollution prevention controls</t>
  </si>
  <si>
    <t>Maintain additional records for continuous monitoring</t>
  </si>
  <si>
    <t>Document in the operating record the operating and maintenance</t>
  </si>
  <si>
    <t>plan ramp down procedures, as applicable</t>
  </si>
  <si>
    <t>put in the operating record</t>
  </si>
  <si>
    <t>put plan in the operating record</t>
  </si>
  <si>
    <t>Excessive emissions reporting</t>
  </si>
  <si>
    <t>applicable CAA requirements in lieu of the requirements</t>
  </si>
  <si>
    <t>of Subpart EEE</t>
  </si>
  <si>
    <t>Prepare draft NIC</t>
  </si>
  <si>
    <t>Notify public about meeting and draft NIC</t>
  </si>
  <si>
    <t>Conduct public meeting</t>
  </si>
  <si>
    <t>Prepare and submit final NIC</t>
  </si>
  <si>
    <t>Prepare progress report</t>
  </si>
  <si>
    <t>Make request to use risk based chlorine stnds</t>
  </si>
  <si>
    <t>Incinerators</t>
  </si>
  <si>
    <t>Cement Kilns</t>
  </si>
  <si>
    <t>LWAKs</t>
  </si>
  <si>
    <t>LFB</t>
  </si>
  <si>
    <t>SFB</t>
  </si>
  <si>
    <t>HCl Prod Furn</t>
  </si>
  <si>
    <t>Phase II</t>
  </si>
  <si>
    <t>One-time D/F testing for units w/out numerical D/F stnd</t>
  </si>
  <si>
    <t>Monitor and record feedrates</t>
  </si>
  <si>
    <t>Hours</t>
  </si>
  <si>
    <t>Costs</t>
  </si>
  <si>
    <t>Inflation Adjusted Hourly Rate</t>
  </si>
  <si>
    <t>s/3</t>
  </si>
  <si>
    <t>f/3</t>
  </si>
  <si>
    <t xml:space="preserve">Prepare and submit notification of compliance using the </t>
  </si>
  <si>
    <t xml:space="preserve">emission averaging requirements for cement kilns with in-line </t>
  </si>
  <si>
    <t>Document in operating record compliance with the</t>
  </si>
  <si>
    <t>All</t>
  </si>
  <si>
    <t xml:space="preserve">corrective measures to minimize future AWFCOs, and </t>
  </si>
  <si>
    <t>COMS performance evaluation, as applicable</t>
  </si>
  <si>
    <t>Develop and implement a CMS QC program</t>
  </si>
  <si>
    <t>Phase I</t>
  </si>
  <si>
    <t>Operation and maintenance plan (63.1206 (c)(7))</t>
  </si>
  <si>
    <t xml:space="preserve">Document in the operating record compliance with </t>
  </si>
  <si>
    <t>Inflation Factor</t>
  </si>
  <si>
    <t>Reporting</t>
  </si>
  <si>
    <t>Recordkeeping</t>
  </si>
  <si>
    <t>Reporting (RP) vs. Recordkeeping (RK)</t>
  </si>
  <si>
    <t>Reporting vs. Recordkeeping</t>
  </si>
  <si>
    <t>No. Responses</t>
  </si>
  <si>
    <t>Total Hours</t>
  </si>
  <si>
    <t xml:space="preserve">Capital/O&amp;M </t>
  </si>
  <si>
    <t>RK</t>
  </si>
  <si>
    <t>RP</t>
  </si>
  <si>
    <t>.</t>
  </si>
  <si>
    <t xml:space="preserve"> Base Hourly Wage ICR (burdened)</t>
  </si>
  <si>
    <t>4.  Recordkeeping  requirements</t>
  </si>
  <si>
    <t xml:space="preserve">raw mills </t>
  </si>
  <si>
    <t>1.  Applications</t>
  </si>
  <si>
    <t>2.  Survey and Studies</t>
  </si>
  <si>
    <t>3.  Reporting requirements</t>
  </si>
  <si>
    <t xml:space="preserve">  C. Create Information</t>
  </si>
  <si>
    <t xml:space="preserve">  D. Gather Information</t>
  </si>
  <si>
    <t xml:space="preserve">  E. Write Report</t>
  </si>
  <si>
    <t xml:space="preserve">   A.  Familiarization with Regulatory Requirements (see 3A)</t>
  </si>
  <si>
    <t xml:space="preserve">   B.  Plan activities (see 3B)</t>
  </si>
  <si>
    <t xml:space="preserve">   C.  Implement activities (see 3B)</t>
  </si>
  <si>
    <t xml:space="preserve">   D.  Develop record system </t>
  </si>
  <si>
    <t xml:space="preserve">   E.  Time to enter information</t>
  </si>
  <si>
    <t xml:space="preserve">   F.  Train personnel</t>
  </si>
  <si>
    <t xml:space="preserve">   G.  Audits</t>
  </si>
  <si>
    <t xml:space="preserve"> Subtotal for Recordkeeping Requirements</t>
  </si>
  <si>
    <t>Subtotal for Reporting Requirements</t>
  </si>
  <si>
    <t xml:space="preserve">  B. Required Activities</t>
  </si>
  <si>
    <t>Respondent</t>
  </si>
  <si>
    <t>Labor Costs</t>
  </si>
  <si>
    <t xml:space="preserve">Total </t>
  </si>
  <si>
    <t>Total Labor</t>
  </si>
  <si>
    <t>Hours per Response</t>
  </si>
  <si>
    <t>Total Annual Hour Burden</t>
  </si>
  <si>
    <t>Cost per Response (Capital/Startup and O&amp;M Costs Only)</t>
  </si>
  <si>
    <t>Total Annual Cost Burden (Capital/Startup and O&amp;M Costs Only)</t>
  </si>
  <si>
    <t>Implement an operator training and certification program</t>
  </si>
  <si>
    <t>Keep a record of the plan and records of certification and training activities</t>
  </si>
  <si>
    <t xml:space="preserve"> Notify EPA if alarm limit is exceeded more than 5% of the time in a 6-month block period</t>
  </si>
  <si>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</si>
  <si>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</si>
  <si>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</si>
  <si>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</si>
  <si>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</si>
  <si>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</si>
  <si>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</si>
  <si>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</si>
  <si>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</si>
  <si>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</si>
  <si>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</si>
  <si>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</si>
  <si>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</si>
  <si>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</si>
  <si>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Bag leak/PM Detectors</t>
  </si>
  <si>
    <t>Total O&amp;M, 
(E X F)</t>
  </si>
  <si>
    <t>Correlation testing</t>
  </si>
  <si>
    <t>Comprehensive performance test</t>
  </si>
  <si>
    <t>Mailing costs, notification of change in design</t>
  </si>
  <si>
    <t>Patriculate matter correlation test plan</t>
  </si>
  <si>
    <t>Alternative monitoring location and emissions standards</t>
  </si>
  <si>
    <t>AWF cutoff exceedances</t>
  </si>
  <si>
    <t>ESV Openings</t>
  </si>
  <si>
    <t>Request for alternative means of control of combustion system leaks</t>
  </si>
  <si>
    <t>Extenstion to complete testing</t>
  </si>
  <si>
    <t>Extension for additional time to waive OPLs</t>
  </si>
  <si>
    <t>Confirmatory performance test</t>
  </si>
  <si>
    <t>Data in lieu of comprehensive performance test</t>
  </si>
  <si>
    <t>Site-specific performance test plan</t>
  </si>
  <si>
    <t>Site-specific confirmatory test plan</t>
  </si>
  <si>
    <t>written request for time extension</t>
  </si>
  <si>
    <t>request for extension of 6 month performance test</t>
  </si>
  <si>
    <t>Application for alternative monitoring method</t>
  </si>
  <si>
    <t>Application to waive operating limit</t>
  </si>
  <si>
    <t>Request to extrapolate mercury feedrate limits</t>
  </si>
  <si>
    <t>Request to extrapolate semivolatile metal and and low volatile metal feedrate limits</t>
  </si>
  <si>
    <t>Notification of CMS performance evaluation</t>
  </si>
  <si>
    <t>Additional notification reqs for source with CMS</t>
  </si>
  <si>
    <t>CMS site-specific performance evaluation test plan</t>
  </si>
  <si>
    <t>Report of results of CMS performance evaluation</t>
  </si>
  <si>
    <t>Report of COMS performance evaluation</t>
  </si>
  <si>
    <t>Draft NIC</t>
  </si>
  <si>
    <t>Final NIC</t>
  </si>
  <si>
    <t>Progress report</t>
  </si>
  <si>
    <t xml:space="preserve"> request for an adjustment to a time period or postmark deadline</t>
  </si>
  <si>
    <t xml:space="preserve"> request to reduce the frequency of excess emissions and CMS reports </t>
  </si>
  <si>
    <t>Waiver of recordkeeping and reporting</t>
  </si>
  <si>
    <t>Periodic SSM reports</t>
  </si>
  <si>
    <t>Immediate SSM report</t>
  </si>
  <si>
    <t>Request for approval of data compression techniques</t>
  </si>
  <si>
    <t>Extension of compliance date due to installation of pollution prevention controls</t>
  </si>
  <si>
    <t>Extension of compliance date due to waste minimization controls</t>
  </si>
  <si>
    <t>Request to use alternative CEMs span</t>
  </si>
  <si>
    <t>Request to use risk based chlorine standards</t>
  </si>
  <si>
    <t>Develop operator training and certification program</t>
  </si>
  <si>
    <t>Recordkeeping, General</t>
  </si>
  <si>
    <t>Additional records for CMS</t>
  </si>
  <si>
    <t>Develop documentation of compliance and keep in operating record</t>
  </si>
  <si>
    <t>One-time D/F testing for units w/o D/F standard</t>
  </si>
  <si>
    <t>Notification of intent to conduct  performance test</t>
  </si>
  <si>
    <t>Notification of  rescheduled intent to conduct performance test</t>
  </si>
  <si>
    <t xml:space="preserve">Application  to waive operating limit </t>
  </si>
  <si>
    <t xml:space="preserve">Application for alternative method in lieu of CEMS </t>
  </si>
  <si>
    <t xml:space="preserve">Extension of compliance </t>
  </si>
  <si>
    <t xml:space="preserve">Notification of compliance </t>
  </si>
  <si>
    <t>Notification of compliance using emissions average requirements (cement kilns with in-line raw mills)</t>
  </si>
  <si>
    <t xml:space="preserve">Document alarm limit exceedences and corrective action taken. </t>
  </si>
  <si>
    <t>Specify in the comprehensive test workplan and the notification of compliance the methods used to control combustion system leaks</t>
  </si>
  <si>
    <t>Document in the operating record procedures used to ensure carbon bed lifetime is being sufficiently monitored and controlled</t>
  </si>
  <si>
    <t>Document in the operating record that replacement carbon will provide the same level of control as original carbon used during the performance test</t>
  </si>
  <si>
    <t>Document in the operating record that replacement inhibitor will provide the same level of control as the original inhibitor used during the performance test</t>
  </si>
  <si>
    <t>Document in the operating record that replacement sorbent will provide the same level of control as the original sorbent used during the performance test</t>
  </si>
  <si>
    <t>Document the mode of operation in the operating record, if a source has tested under two or more operating modes</t>
  </si>
  <si>
    <t>Retain files of all information (including all reports and) notifications) for at least 5 years</t>
  </si>
  <si>
    <t>Develop a Documentation of Compliance and include it in the operating record</t>
  </si>
  <si>
    <t>Check, record, and quantify the ZD and the CD at least once daily (330 times per year)</t>
  </si>
  <si>
    <t>Retain all CEMS measurements in the operating record for at least 5 years</t>
  </si>
  <si>
    <t xml:space="preserve">Prepare and submit notification of compliance using the emission averaging requirements for cement kilns with in-line raw mills </t>
  </si>
  <si>
    <t>Prepare and submit a notification of change in design, operation, or maintenance</t>
  </si>
  <si>
    <t>Revise, as necessary, the performance test plan, Documentation of Compliance, and start-up, shutdown, and malfunction plan to reflect changes that will not adversely affect compliance with emission standards or operating requirements.</t>
  </si>
  <si>
    <t>Prepare and submit a particulate matter CEMS correlation test plan</t>
  </si>
  <si>
    <t>Prepare and submit a petition for alternative monitoring location and emission standards</t>
  </si>
  <si>
    <t>Submit for review and approval by EPA</t>
  </si>
  <si>
    <t xml:space="preserve">Develop and submit a written report documenting the ESV opening and result of the investigation and corrective measures taken, and whether ESV event caused non-compliance </t>
  </si>
  <si>
    <t>Develop and submit a written report documenting excessive exceedances and result of the investigation and corrective measures taken</t>
  </si>
  <si>
    <t>Prepare and submit a request to use an alternative means of control to provide control of combustion system leaks</t>
  </si>
  <si>
    <t>Perform comprehensive performance test no later than 61 months after the date of commencing the previous comprehensive performance test</t>
  </si>
  <si>
    <t>Perform the confirmatory performance test no later than 31 months after the date of commencing the previous comprehensive performance test</t>
  </si>
  <si>
    <t>Prepare and submit a request that previous emissions test data serve as documentation of conformance with emission standards</t>
  </si>
  <si>
    <t>Prepare and submit a notification of intention to conduct a perfomance test</t>
  </si>
  <si>
    <t>Prepare and submit the rescheduled notification of intent to conduct a performance test, if test is postponed</t>
  </si>
  <si>
    <t>Prepare and submit a site-specific comprehensive performance test plan</t>
  </si>
  <si>
    <t>Prepare and submit the site-specific confirmatory performance test plan</t>
  </si>
  <si>
    <t>Prepare and submit a written request for a time extension, if necessary</t>
  </si>
  <si>
    <t>Prepare and submit a request for a 6 month time extension for conducting a performance test if test plan has not been approved</t>
  </si>
  <si>
    <t>Submit the plan for review and approval, if requested by the EPA</t>
  </si>
  <si>
    <t>Prepare and submit an application for use of an alternative monitoring method</t>
  </si>
  <si>
    <t>Prepare and submit request to extrapolate mercury feedrate limits</t>
  </si>
  <si>
    <t>Prepare and submit request to extrapolate semivolatile metal and low volatile metal feedrate limits</t>
  </si>
  <si>
    <t>Submit the CMS quality control program for inspection, if requested by the EPA</t>
  </si>
  <si>
    <t>Prepare and submit a notification of CMS performance evaluation</t>
  </si>
  <si>
    <t>Prepare and submit additional notification requirements for source with CMS</t>
  </si>
  <si>
    <t>Develop and submit a CMS site-specific performance evaluation test plan</t>
  </si>
  <si>
    <t>Prepare and submit an application of approval of construction as applicable</t>
  </si>
  <si>
    <t>Prepare and submit an application of approval of reconstruction as applicable</t>
  </si>
  <si>
    <t>Prepare and submit a request for an adjustment to a time period or postmark deadline</t>
  </si>
  <si>
    <t>Prepare and submit a periodic startup, shutdown, and malfunction report, as applicable</t>
  </si>
  <si>
    <t>Prepare and submit an immediate startup, shutdown, and malfunction report, as applicable</t>
  </si>
  <si>
    <t>Prepare and submit an excess emissions and monitoring system performance report and summary report</t>
  </si>
  <si>
    <t>Prepare and submit request for approval to use data compression techniques to record data on a less frequent basis than required by Section 63.1209</t>
  </si>
  <si>
    <t>Prepare and submit the request for an extension of compliance date due to installation of pollution prevention controls</t>
  </si>
  <si>
    <t>Prepare and submit the request for an extension of compliance date due to waste minimization controls</t>
  </si>
  <si>
    <t>Prepare and submit a written report of the results of the performance evaluation</t>
  </si>
  <si>
    <t xml:space="preserve">  Prepare and submit a request to use an  alternative CEMS span</t>
  </si>
  <si>
    <t>Respondents that submit reports</t>
  </si>
  <si>
    <t>Prepare an operation and maintenance plan and put in the operating record</t>
  </si>
  <si>
    <t>Develop an ESV operating plan and keep it in the operating record</t>
  </si>
  <si>
    <t>Document in the operating record that weekly inspections will unduly restrict or upset operations</t>
  </si>
  <si>
    <t>Test the AWFCO system monthly, and record results in operating record</t>
  </si>
  <si>
    <t>Document in the operating record compliance with applicable CAA requirements in lieu of the requirements of Subpart EEE</t>
  </si>
  <si>
    <t>Fac-total (updated)</t>
  </si>
  <si>
    <t>sources</t>
  </si>
  <si>
    <t>Fac</t>
  </si>
  <si>
    <t>Update to current # respondents and assume 100% of burden applied to Federal agencies.</t>
  </si>
  <si>
    <t>Agency</t>
  </si>
  <si>
    <t>Hourly Wage</t>
  </si>
  <si>
    <t>Overhead Multiplier</t>
  </si>
  <si>
    <t>Total Hourly Rate</t>
  </si>
  <si>
    <t>Table 2:  Average Annual EPA Burden and Cost – NESHAP for Hazardous Waste Combustors (40 CFR Part 63, Subpart EEE) (Renewal)</t>
  </si>
  <si>
    <t>Hour and Cost Burden-Federal</t>
  </si>
  <si>
    <t>Hours and Costs Per Respondent or Activity</t>
  </si>
  <si>
    <t>Total Agency Hours Per Year (by Labor Category)</t>
  </si>
  <si>
    <t>Total Person Hrs Per</t>
  </si>
  <si>
    <t>Mailing</t>
  </si>
  <si>
    <t># Of</t>
  </si>
  <si>
    <t>Total Mailing</t>
  </si>
  <si>
    <t>Cost Per Respondent</t>
  </si>
  <si>
    <t>Capital/O&amp;M  Costs</t>
  </si>
  <si>
    <t>Third Party Disclosure</t>
  </si>
  <si>
    <t>Review request to use alternative OPLs for ESP and ISWs</t>
  </si>
  <si>
    <t>Notify applicants of EPA's determination</t>
  </si>
  <si>
    <t>Request feedstream analysis plan</t>
  </si>
  <si>
    <t>Review requests for an extension of compliance date</t>
  </si>
  <si>
    <t>Review requests for extension of the compliance date</t>
  </si>
  <si>
    <t>Review progress reports, if required by EPA</t>
  </si>
  <si>
    <t>Review notifications of changes in design, operation, or</t>
  </si>
  <si>
    <t>maintenance</t>
  </si>
  <si>
    <t>Review of PM CEMS correlation test plans</t>
  </si>
  <si>
    <t>Notify applicants of EPA' determination</t>
  </si>
  <si>
    <t>Review petitions for alternative particulate matter standard</t>
  </si>
  <si>
    <t>for liquid boilers with low feedrates of metals</t>
  </si>
  <si>
    <t>Review startup, shutdown, and malfunction plans, notify</t>
  </si>
  <si>
    <t>applicant of results of review</t>
  </si>
  <si>
    <t>Review excessive exceedance reports</t>
  </si>
  <si>
    <t>Review ESV openings report</t>
  </si>
  <si>
    <t>Review requests for approval of alternative means of</t>
  </si>
  <si>
    <t>combustion system leak control</t>
  </si>
  <si>
    <t>Review requests to base initial compliance data in lieu of a</t>
  </si>
  <si>
    <t>comprehensice performance test</t>
  </si>
  <si>
    <t>Notify applicants of the EPA's determination</t>
  </si>
  <si>
    <t>Review notifications of intention to conduct a performance</t>
  </si>
  <si>
    <t>test</t>
  </si>
  <si>
    <t>Review notifications of delay in conducting a performance</t>
  </si>
  <si>
    <t>Review site-specific comprehensive performance test plans</t>
  </si>
  <si>
    <t>Review site-specific confirmatory performance test plans</t>
  </si>
  <si>
    <t>Review notifications of compliance</t>
  </si>
  <si>
    <t>Review requests for a time extension for Notification of</t>
  </si>
  <si>
    <t>Compliance</t>
  </si>
  <si>
    <t>Notify applicants of the EPA' s determination</t>
  </si>
  <si>
    <t>Notify applicants of EPA' s determination</t>
  </si>
  <si>
    <t>performance test)</t>
  </si>
  <si>
    <t>Review requests for approval of alternative monitoring</t>
  </si>
  <si>
    <t>methods, except for standards that must be monitored with a</t>
  </si>
  <si>
    <t>CEMS</t>
  </si>
  <si>
    <t>Review requests for approval of a waiver of an operating</t>
  </si>
  <si>
    <t>parameter limit</t>
  </si>
  <si>
    <t>Notify applicants of the EPA's determination for approval of</t>
  </si>
  <si>
    <t>alternative monitoring requirements</t>
  </si>
  <si>
    <t>Notify applicants of the EPA's determination for approval of a</t>
  </si>
  <si>
    <t>waiver of an operating parameter limit</t>
  </si>
  <si>
    <t>Review requests for approval to substitute a different brand</t>
  </si>
  <si>
    <t>or type of carbon</t>
  </si>
  <si>
    <t>or type of inhibitor</t>
  </si>
  <si>
    <t>Notify applicants of the EPA's determination for approval to</t>
  </si>
  <si>
    <t>substitute a different brand or type of carbon</t>
  </si>
  <si>
    <t>substitute a different brand or type of inhibitor</t>
  </si>
  <si>
    <t>Review requests for approval to use a CEMS in lieu of</t>
  </si>
  <si>
    <t>operating parameter limtis</t>
  </si>
  <si>
    <t>Notify applicants of the EPA's determination to extrapolate</t>
  </si>
  <si>
    <t>mercury feedrate limits</t>
  </si>
  <si>
    <t>use a CEMS</t>
  </si>
  <si>
    <t>Review requests to extrapolate semivolatile metal and low</t>
  </si>
  <si>
    <t>volatile metal feedrate limits</t>
  </si>
  <si>
    <t>SVM and LVM feedrates</t>
  </si>
  <si>
    <t>or type of sorbent</t>
  </si>
  <si>
    <t>substitute a different brand or type of sorbent</t>
  </si>
  <si>
    <t>Review CMS quality control program</t>
  </si>
  <si>
    <t>Review notifications of CMS performance evaluation</t>
  </si>
  <si>
    <t>Review additional notification requirements for source with</t>
  </si>
  <si>
    <t>CMS</t>
  </si>
  <si>
    <t>Review site-specific performance evaluation test plans</t>
  </si>
  <si>
    <t>Review written reports of the results of the CMS performance</t>
  </si>
  <si>
    <t>Review draft and final NIC</t>
  </si>
  <si>
    <t>Attend public meeting</t>
  </si>
  <si>
    <t>Review intial notifications</t>
  </si>
  <si>
    <t>Review applications of approval of construction</t>
  </si>
  <si>
    <t>Review applications of approval of reconstruction, as</t>
  </si>
  <si>
    <t>Review requests for an adjustment to time periods or</t>
  </si>
  <si>
    <t>postmark deadlines for submittal and review of required</t>
  </si>
  <si>
    <t>informaiton</t>
  </si>
  <si>
    <t xml:space="preserve">Review requests to reduce the frequency of excess </t>
  </si>
  <si>
    <t>emissions and CMS performance reports</t>
  </si>
  <si>
    <t>Review waivers of recordkeeping or reporting</t>
  </si>
  <si>
    <t>Review startup, shutdown, and malfunction report, as</t>
  </si>
  <si>
    <t>Review immediate startup, shutdown, and malfunction</t>
  </si>
  <si>
    <t>report, as applicable</t>
  </si>
  <si>
    <t>Review excess emissions and monitoring system</t>
  </si>
  <si>
    <t>performance reports and summary reports</t>
  </si>
  <si>
    <t>Review requests for approval to use date compression</t>
  </si>
  <si>
    <t>technigues to record data on a less frequent basis</t>
  </si>
  <si>
    <t>Review data collected from CEMS performance evaluation</t>
  </si>
  <si>
    <t>Review requests for approval to use alternative CEMS spans</t>
  </si>
  <si>
    <t>and ranges</t>
  </si>
  <si>
    <t>Review request for use of alternative risk based chlorine standards</t>
  </si>
  <si>
    <t>Review operating record documenting compliance with all</t>
  </si>
  <si>
    <t>applicable CAA requirements and standards when not</t>
  </si>
  <si>
    <t>burning hazardous waste</t>
  </si>
  <si>
    <t>Review determination of hazardous waste residence time</t>
  </si>
  <si>
    <t>Review operator training and certification programs</t>
  </si>
  <si>
    <t>Units, s-total</t>
  </si>
  <si>
    <t>CPMS</t>
  </si>
  <si>
    <t>Submit the plan for review and approval, if requested by the</t>
  </si>
  <si>
    <t>Submit CMS Quality Control Plan for inspection</t>
  </si>
  <si>
    <t>Excess emissions and monitoring system performance report and summary report</t>
  </si>
  <si>
    <t>Written report of the results of performance evaluation</t>
  </si>
  <si>
    <t>a</t>
  </si>
  <si>
    <t>b</t>
  </si>
  <si>
    <t>c</t>
  </si>
  <si>
    <t>Assumes respondents take 4 hours to refamiliarize themselves with rule requirements each year.</t>
  </si>
  <si>
    <t>d</t>
  </si>
  <si>
    <t>Assumes 1 respondent per year will request appoval for establishing set points with extrapolation for PM detectors.</t>
  </si>
  <si>
    <t>e</t>
  </si>
  <si>
    <t>f</t>
  </si>
  <si>
    <t>h</t>
  </si>
  <si>
    <t>HWCs are also required to submit performance evaluation test plan, and conduct a CMS performance test.  We estimate 60% of sources would submit test plans and conduct performance testing along with their comprehensive performance testing.</t>
  </si>
  <si>
    <t>i</t>
  </si>
  <si>
    <t>Assumes that respondents will develop and implement a QC program for 50% of units, and 10% will submit a revised QC program.</t>
  </si>
  <si>
    <t xml:space="preserve">j </t>
  </si>
  <si>
    <t>All sources must meet the QA requirements for CEMS. Assumes all sources will develop a QA program and 11% will submit a revised QA program.</t>
  </si>
  <si>
    <t>k</t>
  </si>
  <si>
    <t xml:space="preserve">Burden for performance evaluations is included in the the notification of performance test and CMS performance evaluations. </t>
  </si>
  <si>
    <t xml:space="preserve">l </t>
  </si>
  <si>
    <t>We estimate that 1 cement kiln with an in-line kiln raw mill will comply with the emission averaging requirements for kilns of this type.  Thus, they will conduct a performance test when the raw mill is on-line and when the mill is off-line, and include the averaging procedures in their Notification of Compliance and operating record.</t>
  </si>
  <si>
    <t xml:space="preserve">m </t>
  </si>
  <si>
    <t xml:space="preserve">Assumes 20% of all facilities operating an HWC will apply for an extension each year. </t>
  </si>
  <si>
    <t>n</t>
  </si>
  <si>
    <t>o</t>
  </si>
  <si>
    <t>p</t>
  </si>
  <si>
    <t>Assumes no respondents will petition for an alternative monitoring location or emission standards.</t>
  </si>
  <si>
    <t>q</t>
  </si>
  <si>
    <t>r</t>
  </si>
  <si>
    <t>s</t>
  </si>
  <si>
    <t>It is estimated that respondents will request approval for 50% of all sources for use of an alternative means to provide control of combustion system leaks (control through a positively sealed combustion chamber).</t>
  </si>
  <si>
    <t>t</t>
  </si>
  <si>
    <t>u</t>
  </si>
  <si>
    <t>v</t>
  </si>
  <si>
    <t>Assumes 20% of sources will request an extension of the comprehensive performance test and 10% of sources will request additional time for waiving OPLs for pretesting.</t>
  </si>
  <si>
    <t>w</t>
  </si>
  <si>
    <t>It is assumed that 60% of units with PCDD/PCDF limits would be required to test over the three-year period of this ICR.</t>
  </si>
  <si>
    <t>x</t>
  </si>
  <si>
    <t xml:space="preserve">y </t>
  </si>
  <si>
    <t>Assumes 60% of respondents must conduct a comprehensive performance test every 3 years and 60% of respondents must conduct a confirmatory performance every 5 years.</t>
  </si>
  <si>
    <t>z</t>
  </si>
  <si>
    <t>All facilities will submit a Notification of Compliance. It is estimated that 10% of facilities conducting the comprehensive performance test will apply for a waiver or time extension.</t>
  </si>
  <si>
    <t xml:space="preserve">aa </t>
  </si>
  <si>
    <t>bb</t>
  </si>
  <si>
    <t xml:space="preserve">g  </t>
  </si>
  <si>
    <t>cc</t>
  </si>
  <si>
    <t>It is estimated that EPA will request additional relevant information for the site-specific CMS performance test plan from 10% of the sources performing the test.</t>
  </si>
  <si>
    <t>dd</t>
  </si>
  <si>
    <t>This requirement only applies to cement kilns without bag leak systems and PM detectors. It is estimated that all existing sources have these systems in place.</t>
  </si>
  <si>
    <t>ee</t>
  </si>
  <si>
    <t>Assumes one respondent will prepare a draft NIC, notify the public about a NIC meeting, conduct the NIC meeting, prepare a final NIC with meeting comments, submit the NIC to EPA, and complete the progress report for one new HWC.</t>
  </si>
  <si>
    <t>ff</t>
  </si>
  <si>
    <t>Assumes one respondent will submit initial notifications for a new HWC.</t>
  </si>
  <si>
    <t>gg</t>
  </si>
  <si>
    <t>We estimate that 25% of all facilities will submit a request for an adjustment to a time period or postmark deadline.</t>
  </si>
  <si>
    <t>hh</t>
  </si>
  <si>
    <t>It is estimated that 10% of facilities will submit a request to reduce frequency of excess emissions and continuous system performance reports from a quarterly (or more frequent basis).</t>
  </si>
  <si>
    <t>ii</t>
  </si>
  <si>
    <t>jj</t>
  </si>
  <si>
    <t>It is anticipated that 25% of facilities will take actions during a startup, shutdown, or malfunction that are consistent with the procedures specified in the facility's startup, shutdown, or malfunction plan. These facilities are required to submit a periodic startup, shutdown, and malfunction report. Another 10% of facilities will take actions that are not consistent with procedures specified in their plans. These facilities acquired to submit an immediate startup, shutdown, and malfunction report.</t>
  </si>
  <si>
    <t>kk</t>
  </si>
  <si>
    <t>It is anticipated that all facilities will submit an excess emissions and continuous monitoring system performance report and summary report.</t>
  </si>
  <si>
    <t>ll</t>
  </si>
  <si>
    <t>It is estimated that 25% of facilities will submit a request for approval to use data compression techniques.</t>
  </si>
  <si>
    <t>mm</t>
  </si>
  <si>
    <t>It is estimated that 10% of sources will submit a one-time request for a compliance extension due to the installation of controls, and that another 10% will submit a one-time request for a compliance extension for waste minimization purposes.</t>
  </si>
  <si>
    <t>nn</t>
  </si>
  <si>
    <t>It is estimated that no source will submit requests to use an alternative CEMS span.</t>
  </si>
  <si>
    <t>oo</t>
  </si>
  <si>
    <t>It is estimated that 25% of facilities will request to comply with the alternative risk based chlorine standards.</t>
  </si>
  <si>
    <t>pp</t>
  </si>
  <si>
    <t xml:space="preserve">Assumes 5% of all respondents will document in the operating record compliance with alternative applicable Clean Air Act requirements and standards.  </t>
  </si>
  <si>
    <t xml:space="preserve">if it is determined that the change will not adversely affect compliance with </t>
  </si>
  <si>
    <t>qq</t>
  </si>
  <si>
    <t>Assumes one respondent will document the hazardous waste residence time in the operating record for a new HWC.</t>
  </si>
  <si>
    <t>rr</t>
  </si>
  <si>
    <t>It is estimated that all sources (units) will have 2 AWFCO per year. We assume 50% of units will conduct weekly AWFCO system inspections, while 50% will conduct monthly system testing;</t>
  </si>
  <si>
    <t>ss</t>
  </si>
  <si>
    <t>tt</t>
  </si>
  <si>
    <t>uu</t>
  </si>
  <si>
    <t>It is estimated that 50% of all facilities will perform the comprehensive performance test under two or more operating modes. These facilities will be required to document what operating mode they are in during subsequent on-going day to day operations.</t>
  </si>
  <si>
    <t>vv</t>
  </si>
  <si>
    <t>It is estimated that it will take 40 hours each year for each of the HWC facilities to maintain copies of all required information (information must be retained for five years).  All sources will need to maintain copies of all required information for continuous monitoring systems.</t>
  </si>
  <si>
    <t>ww</t>
  </si>
  <si>
    <t>It is anticipated that all facilities will develop a Documentation of Compliance to be included in their operating records</t>
  </si>
  <si>
    <t>yy</t>
  </si>
  <si>
    <t>Assumes 10% of respondents will update or develop the operator training and certification program each year. Assumes all respondents are conducting annual training.</t>
  </si>
  <si>
    <t>Labor cost is based on the following hourly labor rates times a 1.6 benefits multiplication factor to account for government overhead expenses: $64.80 for Managerial (GS-13, Step 5, $40.50 x 1.6), $48.08 for Technical (GS-12, Step 1, $30.05 x 1.6) and $26.02 Clerical (GS-6, Step 3, $16.26 x 1.6).  These rates are from the Office of Personnel Management (OPM), 2017 General Schedule, which excludes locality rates of pay.</t>
  </si>
  <si>
    <r>
      <t xml:space="preserve">Operation and Maintenance Plan </t>
    </r>
    <r>
      <rPr>
        <vertAlign val="superscript"/>
        <sz val="8"/>
        <rFont val="Arial"/>
        <family val="2"/>
      </rPr>
      <t>c</t>
    </r>
  </si>
  <si>
    <r>
      <t xml:space="preserve">Analysis of feedstream </t>
    </r>
    <r>
      <rPr>
        <vertAlign val="superscript"/>
        <sz val="8"/>
        <rFont val="Arial"/>
        <family val="2"/>
      </rPr>
      <t>d</t>
    </r>
  </si>
  <si>
    <t xml:space="preserve">d </t>
  </si>
  <si>
    <r>
      <t xml:space="preserve">Extension of the compliance date to install pollution prevention waste minimization controls </t>
    </r>
    <r>
      <rPr>
        <vertAlign val="superscript"/>
        <sz val="8"/>
        <rFont val="Arial"/>
        <family val="2"/>
      </rPr>
      <t>e</t>
    </r>
  </si>
  <si>
    <r>
      <t xml:space="preserve">Extension of compliance with emission standards </t>
    </r>
    <r>
      <rPr>
        <vertAlign val="superscript"/>
        <sz val="8"/>
        <rFont val="Arial"/>
        <family val="2"/>
      </rPr>
      <t>f</t>
    </r>
  </si>
  <si>
    <r>
      <t xml:space="preserve">Changes in design, operation, or maintenance </t>
    </r>
    <r>
      <rPr>
        <vertAlign val="superscript"/>
        <sz val="8"/>
        <rFont val="Arial"/>
        <family val="2"/>
      </rPr>
      <t>g</t>
    </r>
  </si>
  <si>
    <t xml:space="preserve">g </t>
  </si>
  <si>
    <r>
      <t xml:space="preserve">Applicability of particulate matter and opacity standards during PM CEMS correlation tests </t>
    </r>
    <r>
      <rPr>
        <vertAlign val="superscript"/>
        <sz val="8"/>
        <rFont val="Arial"/>
        <family val="2"/>
      </rPr>
      <t>h</t>
    </r>
  </si>
  <si>
    <t xml:space="preserve">It is anticipated that 39 sources (among all HWC) will conduct PM CEMS correlation testing over the 3-year period of this ICR and request a waiver of PM and opacity standards during the testing. </t>
  </si>
  <si>
    <t xml:space="preserve">i </t>
  </si>
  <si>
    <t>Assumes 10% of respondents will submit a petition for an alternative particulate matter standard for liquid fuel boilers with low feedrates.</t>
  </si>
  <si>
    <r>
      <t xml:space="preserve">Startup, shutdown, and malfunction plan </t>
    </r>
    <r>
      <rPr>
        <vertAlign val="superscript"/>
        <sz val="8"/>
        <rFont val="Arial"/>
        <family val="2"/>
      </rPr>
      <t>j</t>
    </r>
  </si>
  <si>
    <r>
      <t xml:space="preserve">Automatic waste feed cutoff </t>
    </r>
    <r>
      <rPr>
        <vertAlign val="superscript"/>
        <sz val="8"/>
        <rFont val="Arial"/>
        <family val="2"/>
      </rPr>
      <t>k</t>
    </r>
  </si>
  <si>
    <t>Assumes 10% of respondents will submit AWFCO excessive exceedance reports.</t>
  </si>
  <si>
    <r>
      <t xml:space="preserve">ESV openings </t>
    </r>
    <r>
      <rPr>
        <vertAlign val="superscript"/>
        <sz val="8"/>
        <rFont val="Arial"/>
        <family val="2"/>
      </rPr>
      <t>l</t>
    </r>
  </si>
  <si>
    <t>l</t>
  </si>
  <si>
    <r>
      <t xml:space="preserve">Combustion system leaks </t>
    </r>
    <r>
      <rPr>
        <vertAlign val="superscript"/>
        <sz val="8"/>
        <rFont val="Arial"/>
        <family val="2"/>
      </rPr>
      <t>m</t>
    </r>
  </si>
  <si>
    <t>m</t>
  </si>
  <si>
    <r>
      <t xml:space="preserve">Data in lieu of the initial comprehensive performance test </t>
    </r>
    <r>
      <rPr>
        <vertAlign val="superscript"/>
        <sz val="8"/>
        <rFont val="Arial"/>
        <family val="2"/>
      </rPr>
      <t>n</t>
    </r>
  </si>
  <si>
    <t xml:space="preserve">n </t>
  </si>
  <si>
    <r>
      <t xml:space="preserve">Notifcation of performance test and CMS performance evaluation and approval of test plan and CMS performance evaluation plan </t>
    </r>
    <r>
      <rPr>
        <vertAlign val="superscript"/>
        <sz val="8"/>
        <rFont val="Arial"/>
        <family val="2"/>
      </rPr>
      <t>o</t>
    </r>
  </si>
  <si>
    <t xml:space="preserve">o </t>
  </si>
  <si>
    <r>
      <t xml:space="preserve">Notification of compliance </t>
    </r>
    <r>
      <rPr>
        <vertAlign val="superscript"/>
        <sz val="8"/>
        <rFont val="Arial"/>
        <family val="2"/>
      </rPr>
      <t>p</t>
    </r>
  </si>
  <si>
    <t xml:space="preserve">p </t>
  </si>
  <si>
    <r>
      <t xml:space="preserve">Alternative compliance, monitoring requirements for standards other than those monitored with a CEMS </t>
    </r>
    <r>
      <rPr>
        <vertAlign val="superscript"/>
        <sz val="8"/>
        <rFont val="Arial"/>
        <family val="2"/>
      </rPr>
      <t>q</t>
    </r>
  </si>
  <si>
    <t>It is estimated that 10% of all facilities will apply for and receive approval to use alternative monitoring requirements to document compliance with the emission standards of Subpart EEE other than CO or HC which are monitored with a CEMS. It is estimated that no facilities will make a request to use alternative operating parameters or methods to CEMS or CEMS in lieu of operating parameters.</t>
  </si>
  <si>
    <t>It is estimated that no facilities will make a request to use alternative operating parameters or methods to CEMS.</t>
  </si>
  <si>
    <r>
      <t xml:space="preserve">Dioxins and furans </t>
    </r>
    <r>
      <rPr>
        <vertAlign val="superscript"/>
        <sz val="8"/>
        <rFont val="Arial"/>
        <family val="2"/>
      </rPr>
      <t>q</t>
    </r>
  </si>
  <si>
    <t xml:space="preserve">operating parameter limtis </t>
  </si>
  <si>
    <r>
      <t xml:space="preserve">Semivolatile and low semivolatile metals </t>
    </r>
    <r>
      <rPr>
        <vertAlign val="superscript"/>
        <sz val="8"/>
        <rFont val="Arial"/>
        <family val="2"/>
      </rPr>
      <t>q, r</t>
    </r>
  </si>
  <si>
    <t xml:space="preserve">Review requests to extrapolate mercury feedrate limits </t>
  </si>
  <si>
    <r>
      <t xml:space="preserve">Mercury </t>
    </r>
    <r>
      <rPr>
        <vertAlign val="superscript"/>
        <sz val="8"/>
        <rFont val="Arial"/>
        <family val="2"/>
      </rPr>
      <t>q, r</t>
    </r>
  </si>
  <si>
    <t>operating parameter limits</t>
  </si>
  <si>
    <r>
      <t xml:space="preserve">Total chlorine (hydrogen chloride and chlorine gas) </t>
    </r>
    <r>
      <rPr>
        <vertAlign val="superscript"/>
        <sz val="8"/>
        <rFont val="Arial"/>
        <family val="2"/>
      </rPr>
      <t>q</t>
    </r>
  </si>
  <si>
    <r>
      <t xml:space="preserve">Quality control program </t>
    </r>
    <r>
      <rPr>
        <vertAlign val="superscript"/>
        <sz val="8"/>
        <rFont val="Arial"/>
        <family val="2"/>
      </rPr>
      <t>s</t>
    </r>
  </si>
  <si>
    <r>
      <t xml:space="preserve">Notification of performance evaluation </t>
    </r>
    <r>
      <rPr>
        <vertAlign val="superscript"/>
        <sz val="8"/>
        <rFont val="Arial"/>
        <family val="2"/>
      </rPr>
      <t>t</t>
    </r>
  </si>
  <si>
    <t xml:space="preserve">t </t>
  </si>
  <si>
    <t>As part of the comprehensive performance test, HWCs will submit a CMS quality control program, notification of performance evaluation and additional notification requirements; we estimate that 50% of sources have submitted a CMS quality control program at this time.</t>
  </si>
  <si>
    <r>
      <t xml:space="preserve">Additional notification requirements for sources with continuous monitoring systems </t>
    </r>
    <r>
      <rPr>
        <vertAlign val="superscript"/>
        <sz val="8"/>
        <rFont val="Arial"/>
        <family val="2"/>
      </rPr>
      <t>t</t>
    </r>
  </si>
  <si>
    <r>
      <t xml:space="preserve">Submission of site-specific performance evaluation test plan </t>
    </r>
    <r>
      <rPr>
        <vertAlign val="superscript"/>
        <sz val="8"/>
        <rFont val="Arial"/>
        <family val="2"/>
      </rPr>
      <t>u</t>
    </r>
  </si>
  <si>
    <t xml:space="preserve">u </t>
  </si>
  <si>
    <r>
      <t xml:space="preserve">Reporting results of continuous monitoring system performance evaluations </t>
    </r>
    <r>
      <rPr>
        <vertAlign val="superscript"/>
        <sz val="8"/>
        <rFont val="Arial"/>
        <family val="2"/>
      </rPr>
      <t>u</t>
    </r>
  </si>
  <si>
    <r>
      <t xml:space="preserve">Notice of Intent to Comply </t>
    </r>
    <r>
      <rPr>
        <vertAlign val="superscript"/>
        <sz val="8"/>
        <rFont val="Arial"/>
        <family val="2"/>
      </rPr>
      <t>v</t>
    </r>
  </si>
  <si>
    <t xml:space="preserve">v </t>
  </si>
  <si>
    <r>
      <t xml:space="preserve">Initial notification </t>
    </r>
    <r>
      <rPr>
        <vertAlign val="superscript"/>
        <sz val="8"/>
        <rFont val="Arial"/>
        <family val="2"/>
      </rPr>
      <t>w</t>
    </r>
  </si>
  <si>
    <t xml:space="preserve">w </t>
  </si>
  <si>
    <r>
      <t xml:space="preserve">Adjustment to time periods or postmark deadlines for submittal and review of equiped communications </t>
    </r>
    <r>
      <rPr>
        <vertAlign val="superscript"/>
        <sz val="8"/>
        <rFont val="Arial"/>
        <family val="2"/>
      </rPr>
      <t>x</t>
    </r>
  </si>
  <si>
    <r>
      <t xml:space="preserve">Request to reduce frequency of excess emissions an continuous monitoring system performance results </t>
    </r>
    <r>
      <rPr>
        <vertAlign val="superscript"/>
        <sz val="8"/>
        <rFont val="Arial"/>
        <family val="2"/>
      </rPr>
      <t>y</t>
    </r>
  </si>
  <si>
    <r>
      <t xml:space="preserve">Waiver of record keeping and reporting requirements </t>
    </r>
    <r>
      <rPr>
        <vertAlign val="superscript"/>
        <sz val="8"/>
        <rFont val="Arial"/>
        <family val="2"/>
      </rPr>
      <t>z</t>
    </r>
  </si>
  <si>
    <t xml:space="preserve">z </t>
  </si>
  <si>
    <r>
      <t xml:space="preserve">Startup shutdown and malfunction reports </t>
    </r>
    <r>
      <rPr>
        <vertAlign val="superscript"/>
        <sz val="8"/>
        <rFont val="Arial"/>
        <family val="2"/>
      </rPr>
      <t>aa</t>
    </r>
  </si>
  <si>
    <t>aa</t>
  </si>
  <si>
    <r>
      <t xml:space="preserve">Excess emissions and continuous monitoring system performance report and summary report </t>
    </r>
    <r>
      <rPr>
        <vertAlign val="superscript"/>
        <sz val="8"/>
        <rFont val="Arial"/>
        <family val="2"/>
      </rPr>
      <t>bb</t>
    </r>
  </si>
  <si>
    <r>
      <t xml:space="preserve">Data compression </t>
    </r>
    <r>
      <rPr>
        <vertAlign val="superscript"/>
        <sz val="8"/>
        <rFont val="Arial"/>
        <family val="2"/>
      </rPr>
      <t>cc</t>
    </r>
  </si>
  <si>
    <r>
      <t xml:space="preserve">Performance Evaluation </t>
    </r>
    <r>
      <rPr>
        <vertAlign val="superscript"/>
        <sz val="8"/>
        <rFont val="Arial"/>
        <family val="2"/>
      </rPr>
      <t>dd</t>
    </r>
  </si>
  <si>
    <r>
      <t xml:space="preserve">Use of alternative CEMS spans </t>
    </r>
    <r>
      <rPr>
        <vertAlign val="superscript"/>
        <sz val="8"/>
        <rFont val="Arial"/>
        <family val="2"/>
      </rPr>
      <t>ee</t>
    </r>
  </si>
  <si>
    <r>
      <t xml:space="preserve">Alternative Risk Based Chlorine Standards </t>
    </r>
    <r>
      <rPr>
        <vertAlign val="superscript"/>
        <sz val="8"/>
        <rFont val="Arial"/>
        <family val="2"/>
      </rPr>
      <t>ff</t>
    </r>
  </si>
  <si>
    <r>
      <t xml:space="preserve">Compliance with alternative MACT standards </t>
    </r>
    <r>
      <rPr>
        <vertAlign val="superscript"/>
        <sz val="8"/>
        <rFont val="Arial"/>
        <family val="2"/>
      </rPr>
      <t>gg</t>
    </r>
  </si>
  <si>
    <r>
      <t xml:space="preserve">Hazardous waste residence time </t>
    </r>
    <r>
      <rPr>
        <vertAlign val="superscript"/>
        <sz val="8"/>
        <rFont val="Arial"/>
        <family val="2"/>
      </rPr>
      <t>hh</t>
    </r>
  </si>
  <si>
    <r>
      <t xml:space="preserve">Operator training and certification </t>
    </r>
    <r>
      <rPr>
        <vertAlign val="superscript"/>
        <sz val="8"/>
        <rFont val="Arial"/>
        <family val="2"/>
      </rPr>
      <t>ii</t>
    </r>
  </si>
  <si>
    <t xml:space="preserve">Assumes 10% of respondents will update or develop the operator training and certification program each year. </t>
  </si>
  <si>
    <t>It is estimated that of the sources reporting annually with ESPs or IWSs, 90% will request to use operating parameter limits instead of continuous particulate detectors.</t>
  </si>
  <si>
    <t>HWCs are also required to submit a performance evaluation test plan, and conduct a CMS performance test.  We estimate 60% of sources would submit test plans and conduct performance testing along with their comprehensive performance testing.</t>
  </si>
  <si>
    <t>It is estimated that 50% of the sources reporting annually will be making design, operation, and maintenance changes to comply with the MACT rule and document change in operating record.</t>
  </si>
  <si>
    <t>It is estimated that 50% of the sources reporting annually will be making design, operation, and maintenance changes to comply with the MACT rule.</t>
  </si>
  <si>
    <t xml:space="preserve">Assumes 1 new respondent will submit one-time D/F testing for units without a numerical D/F standard. </t>
  </si>
  <si>
    <t>Assumes 1 new respondent and 10% of existing respondents reporting annually will develop or revise the SSM plan and resubmit the plan for approval, and 10% of respondents would be required to submit excess emissions reports.</t>
  </si>
  <si>
    <t>Assumes 1 new respondent and 10% of existing respondents reporting annually will develop or revise the SSM plan and resubmit the plan for approval.</t>
  </si>
  <si>
    <t>It is estimated that 50% of hazardous waste incinerators reporting annually have ESVs, and will develop an ESV operating plan.  On average, each unit will have 3 ESV openings per year.</t>
  </si>
  <si>
    <t>It is estimated that 10% of all sources reporting annually will submit a request to use previous emissions test data to serve as documentation of compliance with emission standards.</t>
  </si>
  <si>
    <t>All facilities will submit a Notification of Compliance. It is estimated that 10% of facilities  conducting the comprehensive performance test will apply for a waiver or time extension.</t>
  </si>
  <si>
    <t>It is estimated that no existing sources will chose to use a CEMS for compliance monitoring and that 10% of sources will make a request to set feedrate limits with extrapolation.</t>
  </si>
  <si>
    <t>It is estimated that 1% of all facilities reporting annually will submit a waiver of recordkeeping or reporting requirements.</t>
  </si>
  <si>
    <t xml:space="preserve"> (C) 
Number of Existing Respondents That Keep Records But Do Not Submit Responses</t>
  </si>
  <si>
    <t>Test the AWFCO system and associated alarms weekly and document and record AWFCO operability test procedures and result in the operating record</t>
  </si>
  <si>
    <t>Record the operator training and certification program in the operating record, and keep records of the certification and training activities</t>
  </si>
  <si>
    <t>Cement kilns with in-line raw mills</t>
  </si>
  <si>
    <t>Changes in design, operation, or maintenance</t>
  </si>
  <si>
    <t>Compliance with alternative MACT standards when not burning Hazardous Waste</t>
  </si>
  <si>
    <t>Applicability of particulate matter and opacity standards during particulate matter CEMS correlation tests</t>
  </si>
  <si>
    <t xml:space="preserve">Operation and maintenance plan </t>
  </si>
  <si>
    <t xml:space="preserve">Confirmatory performance test requirements </t>
  </si>
  <si>
    <t xml:space="preserve">Data in lieu of the initial comprehensive performance test </t>
  </si>
  <si>
    <t xml:space="preserve">Waiver of performance tests and request for time extension </t>
  </si>
  <si>
    <t xml:space="preserve">Feedstreams Analysis Plan </t>
  </si>
  <si>
    <t>Alternative compliance monitoring requirements for standards other than those monitored with a CEMS</t>
  </si>
  <si>
    <t>Use of CEMS in lieu of OPLs; or alternative methods in lieu of CEMS</t>
  </si>
  <si>
    <t xml:space="preserve">Operating under different modes of operation </t>
  </si>
  <si>
    <t>Notification of performance evaluation</t>
  </si>
  <si>
    <t xml:space="preserve">Additional notification requirements for CMS </t>
  </si>
  <si>
    <t>Submission of site-specific peformance evaluation test plan</t>
  </si>
  <si>
    <t xml:space="preserve">Adjustment to time periods or postmark deadlines for submittal and review of required communications </t>
  </si>
  <si>
    <t>Request to reduce frequency of excess emissions and continuous monitoring system performance results</t>
  </si>
  <si>
    <t xml:space="preserve">Excess emissions and continuous monitoring system performance report and summary report </t>
  </si>
  <si>
    <t xml:space="preserve">Documentation of Compliance </t>
  </si>
  <si>
    <t>Quality assurance (QA) requirements</t>
  </si>
  <si>
    <t xml:space="preserve">Quality control (QC) requirements </t>
  </si>
  <si>
    <t>Calibration drift (CD) and zero drift (ZD) assessment and daily system audit</t>
  </si>
  <si>
    <t>(D)
Total Annual Responses
(D) = (B+C)</t>
  </si>
  <si>
    <t>hrs/response</t>
  </si>
  <si>
    <t>(B) 
No. of  Responses Submitted  Per Year</t>
  </si>
  <si>
    <t>Extension of the compliance date</t>
  </si>
  <si>
    <t>Assumes 60% of respondents must conduct a comprehensive performance test every 3 years and 60% of respondents must conduct a confirmatory performance every 5 years. It is estimated that 10% of these sources would reschedule the test.</t>
  </si>
  <si>
    <t>zz</t>
  </si>
  <si>
    <t>Totals have been rounded to 3 significant figures. Figures may not add exactly due to rounding.</t>
  </si>
  <si>
    <r>
      <t xml:space="preserve">TOTAL ANNUAL BURDEN AND COST (ROUNDED) </t>
    </r>
    <r>
      <rPr>
        <b/>
        <vertAlign val="superscript"/>
        <sz val="8"/>
        <rFont val="Arial"/>
        <family val="2"/>
      </rPr>
      <t>jj</t>
    </r>
  </si>
  <si>
    <t>Person Hours Per Year 
(by Labor Category)</t>
  </si>
  <si>
    <t>Notify EPA if alarm limit is exceeded more than 5% of the time in a 6-month block period</t>
  </si>
  <si>
    <t>Submittal of one-time D/F testing for units w/out numerical D/F stnd</t>
  </si>
  <si>
    <t>Submittal of comprehensive performance test no later than 61</t>
  </si>
  <si>
    <t>Develop an operator training and certification program</t>
  </si>
  <si>
    <t>Document alarm limit exceedences and corrective action taken.</t>
  </si>
  <si>
    <r>
      <t xml:space="preserve">Respondents </t>
    </r>
    <r>
      <rPr>
        <b/>
        <vertAlign val="superscript"/>
        <sz val="8"/>
        <rFont val="Arial"/>
        <family val="2"/>
      </rPr>
      <t>a</t>
    </r>
  </si>
  <si>
    <t>Test the AWFCO system monthly, and record results in</t>
  </si>
  <si>
    <t>record, and determine if ESV caused non-compliance</t>
  </si>
  <si>
    <t xml:space="preserve">Document design, operation, or maintenance change in operating record </t>
  </si>
  <si>
    <t>Develop or revise a startup, shutdown, and malfunction plan</t>
  </si>
  <si>
    <r>
      <t xml:space="preserve">Costs </t>
    </r>
    <r>
      <rPr>
        <b/>
        <vertAlign val="superscript"/>
        <sz val="8"/>
        <rFont val="Arial"/>
        <family val="2"/>
      </rPr>
      <t>b</t>
    </r>
  </si>
  <si>
    <t>Additional mailing materials and postage costs (non-labor)</t>
  </si>
  <si>
    <t>Provides for one-time requirement for development and implementation of feedstream analysis plans for new respondents.</t>
  </si>
  <si>
    <t>Assumes all HWCs have already developed and implemented feedstream analysis plans under current RCRA requirements (referred to as the waste analysis plan). There is no incremental burden for this requirement.</t>
  </si>
  <si>
    <t>Request for alternative risk based chlorine standards</t>
  </si>
  <si>
    <t>Request to use alternative CEMS spans (63, Subpart EEE Appendix, Section 6.3.5)</t>
  </si>
  <si>
    <t>Performance Evaluation Report</t>
  </si>
  <si>
    <t>Request for approval for data compression</t>
  </si>
  <si>
    <t xml:space="preserve">Periodic and immediate startup, shutdown, and malfunction reports </t>
  </si>
  <si>
    <t xml:space="preserve">Initial notification, applications of construction and reconstruction </t>
  </si>
  <si>
    <t xml:space="preserve">Notices of intent to comply </t>
  </si>
  <si>
    <t>Reporting results of CMS and COMS performance evaluations</t>
  </si>
  <si>
    <t>Total chlorine, CMS quality control plan and operating records</t>
  </si>
  <si>
    <t>Dioxins and furans, operating records</t>
  </si>
  <si>
    <t>Mercury, request to extrapolate feedrate lmits and semivolatile metal and low volatile metal feedrate limits</t>
  </si>
  <si>
    <t>Notification of compliance and time extension</t>
  </si>
  <si>
    <t>Notifications of performance test and CMS perfomance evaluation and approval of test plan CMS performance evaluation plan</t>
  </si>
  <si>
    <t>Comprehensive performance test requirements, D/F testing, and extensions</t>
  </si>
  <si>
    <t>Operator training and certification program</t>
  </si>
  <si>
    <t xml:space="preserve">Combustion system leaks - request for altermative means of control </t>
  </si>
  <si>
    <t>ESV openings - reports and operating plan</t>
  </si>
  <si>
    <t>Automatic waste feed cutoff operating and maintenance plan ramp down procedures</t>
  </si>
  <si>
    <t>Automatic waste feed cutoff exceedances report, testing results, and documentation</t>
  </si>
  <si>
    <t>Startup, shutdown, and malfunction plan and excessive emissions report</t>
  </si>
  <si>
    <t>Extension of compliance with emission standards and compliance report</t>
  </si>
  <si>
    <t>Recordkeeping Costs</t>
  </si>
  <si>
    <t>Public Notification of Intent to Comply</t>
  </si>
  <si>
    <t>Public Notification Costs</t>
  </si>
  <si>
    <t>Operator and Training Program</t>
  </si>
  <si>
    <t xml:space="preserve">Additional notifications </t>
  </si>
  <si>
    <t>Notifications Less Than 25 Pages</t>
  </si>
  <si>
    <t>Notifications, requests for approval, and reports</t>
  </si>
  <si>
    <t>Mailing Costs for Notifications and Reports</t>
  </si>
  <si>
    <t>Updated # units (s) and facilities (f) based on info provided by EPA Regions and industry.</t>
  </si>
  <si>
    <t>Updated labor rates to Sept 2021 values</t>
  </si>
  <si>
    <t>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</si>
  <si>
    <t xml:space="preserve">Review requests to waive a performance test or extension for </t>
  </si>
  <si>
    <t xml:space="preserve">conducting a performance test (other than the initial comprehensive </t>
  </si>
  <si>
    <t>Number of Respondents (Total for 3-Year Period)</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</si>
  <si>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</si>
  <si>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</si>
  <si>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</si>
  <si>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</si>
  <si>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</si>
  <si>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</si>
  <si>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</si>
  <si>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 Total Respondents</t>
  </si>
  <si>
    <r>
      <t>Avg. Respondents with Reporting &amp; Recordkeeping each year</t>
    </r>
    <r>
      <rPr>
        <vertAlign val="superscript"/>
        <sz val="9"/>
        <color rgb="FF000000"/>
        <rFont val="Times New Roman"/>
        <family val="1"/>
      </rPr>
      <t>2</t>
    </r>
  </si>
  <si>
    <t>Number of Respondents (E=A+B+C-D)</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</si>
  <si>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</si>
  <si>
    <r>
      <t>2</t>
    </r>
    <r>
      <rPr>
        <sz val="10"/>
        <rFont val="Times New Roman"/>
        <family val="1"/>
      </rPr>
      <t xml:space="preserve"> The average number of respondents conducting reporting and recordkeeping activities in each year is calculated as 1/3 of the total respondent universe.</t>
    </r>
    <r>
      <rPr>
        <sz val="10"/>
        <color rgb="FFFF0000"/>
        <rFont val="Times New Roman"/>
        <family val="1"/>
      </rPr>
      <t xml:space="preserve"> </t>
    </r>
    <r>
      <rPr>
        <sz val="10"/>
        <color rgb="FF000000"/>
        <rFont val="Times New Roman"/>
        <family val="1"/>
      </rPr>
      <t>Figures may not add exactly due to rounding.</t>
    </r>
  </si>
  <si>
    <t>hide</t>
  </si>
  <si>
    <t>It is estimated that of the sources reporting annually with ESPs or IWSs, 10% will request to use operating parameter limits instead of continuous particulate detectors.</t>
  </si>
  <si>
    <t>Assumes all units with fabric filters (about 60% of sources) will have to purchase, install, and operate bag leak detection systems over the three year period of this ICR.</t>
  </si>
  <si>
    <t>It is anticipated that 65% of sources (among all HWC) will conduct PM CEMS correlation testing over the 3-year period of this ICR and request a waiver of PM and opacity standards during the testing. It is estimated that none of these sources will request an extension of the 96 hours allowed for the waiver.</t>
  </si>
  <si>
    <t>Assumes  10% of existing respondents are updating an O&amp;M plan and 1 new respondent is developing the plan. Further assumes 60% of sources will document alarm limit exceedences and corrective action taken.</t>
  </si>
  <si>
    <t>s-Net changes from previous ICR</t>
  </si>
  <si>
    <t>s-Est New (2023-2025)</t>
  </si>
  <si>
    <t>Units - Previous ICR values</t>
  </si>
  <si>
    <t>Updated facility counts based on revised inventory for 1773.13; some facilities have more than one type of unit; therefore, the total does not sum to the actual total number of facilities, which is 94.</t>
  </si>
  <si>
    <t>Updated labor rates to 2021 values</t>
  </si>
  <si>
    <r>
      <t xml:space="preserve">Alternative particulate matter standard for liquid fuel boilers with low feedrates of metals </t>
    </r>
    <r>
      <rPr>
        <vertAlign val="superscript"/>
        <sz val="8"/>
        <rFont val="Arial"/>
        <family val="2"/>
      </rPr>
      <t>i</t>
    </r>
  </si>
  <si>
    <r>
      <t xml:space="preserve">Waiver of performance tests and request for time extension  </t>
    </r>
    <r>
      <rPr>
        <vertAlign val="superscript"/>
        <sz val="8"/>
        <rFont val="Arial"/>
        <family val="2"/>
      </rPr>
      <t>p</t>
    </r>
  </si>
  <si>
    <r>
      <t>CEMS (CO or THC and O2)</t>
    </r>
    <r>
      <rPr>
        <vertAlign val="superscript"/>
        <sz val="10"/>
        <color rgb="FF000000"/>
        <rFont val="Times New Roman"/>
        <family val="1"/>
      </rPr>
      <t xml:space="preserve"> a</t>
    </r>
  </si>
  <si>
    <r>
      <t xml:space="preserve">PM CEMS </t>
    </r>
    <r>
      <rPr>
        <vertAlign val="superscript"/>
        <sz val="10"/>
        <color rgb="FF000000"/>
        <rFont val="Times New Roman"/>
        <family val="1"/>
      </rPr>
      <t>a</t>
    </r>
  </si>
  <si>
    <t>ICR Summary Information</t>
  </si>
  <si>
    <t>Number of Respondents</t>
  </si>
  <si>
    <t>Total Estimated Burden Hours</t>
  </si>
  <si>
    <t>Total Estimated Costs</t>
  </si>
  <si>
    <t>Annualized Capital O&amp;M</t>
  </si>
  <si>
    <t>Total Annual Responses</t>
  </si>
  <si>
    <t>Form Number</t>
  </si>
  <si>
    <t>Not Applicable</t>
  </si>
  <si>
    <t xml:space="preserve"> (A) 
Information Collection Activity</t>
  </si>
  <si>
    <t xml:space="preserve">The total number of respondents estimated over the next three years is based on approximately 168 existing units at 94 facilities that are subject to the standard, with three new units (one per year) over the same period, resulting in an average of 170 existing respondents and 1 new respondent per year. The overall average number of respondents submitting reports in each year is calculated as one-third of the total respondents and is 57 respondents per year. </t>
  </si>
  <si>
    <r>
      <t>COMs/Opacity Monitoring</t>
    </r>
    <r>
      <rPr>
        <vertAlign val="superscript"/>
        <sz val="10"/>
        <color rgb="FF000000"/>
        <rFont val="Times New Roman"/>
        <family val="1"/>
      </rPr>
      <t xml:space="preserve"> a</t>
    </r>
  </si>
  <si>
    <t>Per</t>
  </si>
  <si>
    <t>Person Hours</t>
  </si>
  <si>
    <r>
      <t xml:space="preserve">Total (Rounded) </t>
    </r>
    <r>
      <rPr>
        <b/>
        <vertAlign val="superscript"/>
        <sz val="10"/>
        <color rgb="FF000000"/>
        <rFont val="Times New Roman"/>
        <family val="1"/>
      </rPr>
      <t>b</t>
    </r>
  </si>
  <si>
    <r>
      <rPr>
        <vertAlign val="superscript"/>
        <sz val="10"/>
        <rFont val="Times New Roman"/>
        <family val="1"/>
      </rPr>
      <t>b</t>
    </r>
    <r>
      <rPr>
        <sz val="10"/>
        <rFont val="Times New Roman"/>
        <family val="1"/>
      </rPr>
      <t xml:space="preserve"> Totals have been rounded to 3 significant figures. Figures may not add exactly due to rounding.</t>
    </r>
  </si>
  <si>
    <r>
      <rPr>
        <vertAlign val="superscript"/>
        <sz val="10"/>
        <color rgb="FF000000"/>
        <rFont val="Times New Roman"/>
        <family val="1"/>
      </rPr>
      <t>a</t>
    </r>
    <r>
      <rPr>
        <sz val="10"/>
        <color rgb="FF000000"/>
        <rFont val="Times New Roman"/>
        <family val="1"/>
      </rPr>
      <t xml:space="preserve"> This O&amp;M cost reflects 1st year O&amp;M cost for new sources only. We have assumed no new sources will incur O&amp;M costs for COMS.</t>
    </r>
  </si>
  <si>
    <r>
      <t xml:space="preserve">Respondents </t>
    </r>
    <r>
      <rPr>
        <b/>
        <vertAlign val="superscript"/>
        <sz val="8"/>
        <rFont val="Times New Roman"/>
        <family val="1"/>
      </rPr>
      <t>a</t>
    </r>
  </si>
  <si>
    <r>
      <t xml:space="preserve">Cost </t>
    </r>
    <r>
      <rPr>
        <b/>
        <vertAlign val="superscript"/>
        <sz val="8"/>
        <rFont val="Times New Roman"/>
        <family val="1"/>
      </rPr>
      <t>b</t>
    </r>
  </si>
  <si>
    <r>
      <t xml:space="preserve">  A. Familiarization with the rule </t>
    </r>
    <r>
      <rPr>
        <b/>
        <vertAlign val="superscript"/>
        <sz val="8"/>
        <rFont val="Times New Roman"/>
        <family val="1"/>
      </rPr>
      <t>c</t>
    </r>
  </si>
  <si>
    <r>
      <t xml:space="preserve">Request for appoval for establishing set points with extrapolation for PM detectors </t>
    </r>
    <r>
      <rPr>
        <vertAlign val="superscript"/>
        <sz val="8"/>
        <rFont val="Times New Roman"/>
        <family val="1"/>
      </rPr>
      <t>d</t>
    </r>
  </si>
  <si>
    <r>
      <t xml:space="preserve">Recommend alternative OPLs for units with ESP or IWSs </t>
    </r>
    <r>
      <rPr>
        <vertAlign val="superscript"/>
        <sz val="8"/>
        <rFont val="Times New Roman"/>
        <family val="1"/>
      </rPr>
      <t>e</t>
    </r>
  </si>
  <si>
    <r>
      <t xml:space="preserve">Feedstreams Analysis  Plan (63.1209(c)(2)) </t>
    </r>
    <r>
      <rPr>
        <vertAlign val="superscript"/>
        <sz val="8"/>
        <rFont val="Times New Roman"/>
        <family val="1"/>
      </rPr>
      <t>f</t>
    </r>
  </si>
  <si>
    <r>
      <t xml:space="preserve">Quality control program (63.1209(d) and 63.8(d) </t>
    </r>
    <r>
      <rPr>
        <vertAlign val="superscript"/>
        <sz val="8"/>
        <rFont val="Times New Roman"/>
        <family val="1"/>
      </rPr>
      <t>g</t>
    </r>
  </si>
  <si>
    <r>
      <t xml:space="preserve">Conduct of performance evaluation and performance evaluation dates (63.1209(d) and 63.8(e)(4)) </t>
    </r>
    <r>
      <rPr>
        <vertAlign val="superscript"/>
        <sz val="8"/>
        <rFont val="Times New Roman"/>
        <family val="1"/>
      </rPr>
      <t>h</t>
    </r>
  </si>
  <si>
    <r>
      <t xml:space="preserve">Quality control (QC) requirements (63, Subpart EEE Appendix, Section 1.1) </t>
    </r>
    <r>
      <rPr>
        <vertAlign val="superscript"/>
        <sz val="8"/>
        <rFont val="Times New Roman"/>
        <family val="1"/>
      </rPr>
      <t>i</t>
    </r>
  </si>
  <si>
    <r>
      <t xml:space="preserve">Quality assurance (QA) requirements (63, Subpart EEE Appendix, Section 1.1) </t>
    </r>
    <r>
      <rPr>
        <vertAlign val="superscript"/>
        <sz val="8"/>
        <rFont val="Times New Roman"/>
        <family val="1"/>
      </rPr>
      <t>j</t>
    </r>
  </si>
  <si>
    <r>
      <t xml:space="preserve">Performance Evaluation (Appendix EEE, Section 5) </t>
    </r>
    <r>
      <rPr>
        <vertAlign val="superscript"/>
        <sz val="8"/>
        <rFont val="Times New Roman"/>
        <family val="1"/>
      </rPr>
      <t>k</t>
    </r>
  </si>
  <si>
    <r>
      <t xml:space="preserve">Cement kilns with in-line raw mills (63.1220(d)) </t>
    </r>
    <r>
      <rPr>
        <vertAlign val="superscript"/>
        <sz val="8"/>
        <rFont val="Times New Roman"/>
        <family val="1"/>
      </rPr>
      <t>l</t>
    </r>
  </si>
  <si>
    <r>
      <t xml:space="preserve">Extension of compliance with emission standards (63.1206(b)(4), 63.6(i), 63.1213, and 63.9(c)) </t>
    </r>
    <r>
      <rPr>
        <vertAlign val="superscript"/>
        <sz val="8"/>
        <rFont val="Times New Roman"/>
        <family val="1"/>
      </rPr>
      <t>m</t>
    </r>
  </si>
  <si>
    <r>
      <t xml:space="preserve">Changes in design, operation, or maintenance (63.1206(b)(5)) </t>
    </r>
    <r>
      <rPr>
        <vertAlign val="superscript"/>
        <sz val="8"/>
        <rFont val="Times New Roman"/>
        <family val="1"/>
      </rPr>
      <t>n</t>
    </r>
  </si>
  <si>
    <r>
      <t xml:space="preserve">Compliance with alternative MACT standards when not burning Hazardous Waste(63.1206(b)(1)(ii)) </t>
    </r>
    <r>
      <rPr>
        <vertAlign val="superscript"/>
        <sz val="8"/>
        <rFont val="Times New Roman"/>
        <family val="1"/>
      </rPr>
      <t>n</t>
    </r>
  </si>
  <si>
    <r>
      <t xml:space="preserve">Applicability of particulate matter and opacity standards during particulate matter CEMS correlation tests (63.1206(b)(8)) </t>
    </r>
    <r>
      <rPr>
        <vertAlign val="superscript"/>
        <sz val="8"/>
        <rFont val="Times New Roman"/>
        <family val="1"/>
      </rPr>
      <t>o</t>
    </r>
  </si>
  <si>
    <r>
      <t xml:space="preserve">Alternative hydrocarbon monitoring location for short cement kilns burning haz waste at location other than hot end of kiln </t>
    </r>
    <r>
      <rPr>
        <vertAlign val="superscript"/>
        <sz val="8"/>
        <rFont val="Times New Roman"/>
        <family val="1"/>
      </rPr>
      <t>p</t>
    </r>
  </si>
  <si>
    <r>
      <t xml:space="preserve">Startup, shutdown, and malfunction plan (63.1206(c)(2) and 63.6(e)(3)) </t>
    </r>
    <r>
      <rPr>
        <vertAlign val="superscript"/>
        <sz val="8"/>
        <rFont val="Times New Roman"/>
        <family val="1"/>
      </rPr>
      <t>q</t>
    </r>
  </si>
  <si>
    <r>
      <t xml:space="preserve">Automatic waste feed cutoff (63.1206(c)(3)) </t>
    </r>
    <r>
      <rPr>
        <vertAlign val="superscript"/>
        <sz val="8"/>
        <rFont val="Times New Roman"/>
        <family val="1"/>
      </rPr>
      <t>q</t>
    </r>
  </si>
  <si>
    <r>
      <t xml:space="preserve">ESV openings (63.1206(c)(4)) </t>
    </r>
    <r>
      <rPr>
        <vertAlign val="superscript"/>
        <sz val="8"/>
        <rFont val="Times New Roman"/>
        <family val="1"/>
      </rPr>
      <t>r</t>
    </r>
  </si>
  <si>
    <r>
      <t xml:space="preserve">Combustion system leaks (63.1206(c)(5)) </t>
    </r>
    <r>
      <rPr>
        <vertAlign val="superscript"/>
        <sz val="8"/>
        <rFont val="Times New Roman"/>
        <family val="1"/>
      </rPr>
      <t>s</t>
    </r>
  </si>
  <si>
    <r>
      <t xml:space="preserve">Operation and maintenance plan (63.1206 (c)(7)) </t>
    </r>
    <r>
      <rPr>
        <vertAlign val="superscript"/>
        <sz val="8"/>
        <rFont val="Times New Roman"/>
        <family val="1"/>
      </rPr>
      <t>t</t>
    </r>
  </si>
  <si>
    <r>
      <t xml:space="preserve">Comprehensive performance test requirements (63.1207(b)(1)) </t>
    </r>
    <r>
      <rPr>
        <vertAlign val="superscript"/>
        <sz val="8"/>
        <rFont val="Times New Roman"/>
        <family val="1"/>
      </rPr>
      <t>h, u, v</t>
    </r>
  </si>
  <si>
    <r>
      <t xml:space="preserve">Confirmatory performance test requirements (63.1207(b)(2)) </t>
    </r>
    <r>
      <rPr>
        <vertAlign val="superscript"/>
        <sz val="8"/>
        <rFont val="Times New Roman"/>
        <family val="1"/>
      </rPr>
      <t>w</t>
    </r>
  </si>
  <si>
    <r>
      <t xml:space="preserve">Data in lieu of the initial comprehensive performance test (63.1207(c)(2)) </t>
    </r>
    <r>
      <rPr>
        <vertAlign val="superscript"/>
        <sz val="8"/>
        <rFont val="Times New Roman"/>
        <family val="1"/>
      </rPr>
      <t>x</t>
    </r>
  </si>
  <si>
    <r>
      <t xml:space="preserve">Notification of performance test and CMS perfomance evaluation and approval of test plan CMS performance evaluation plan (63.1207(e)) </t>
    </r>
    <r>
      <rPr>
        <vertAlign val="superscript"/>
        <sz val="8"/>
        <rFont val="Times New Roman"/>
        <family val="1"/>
      </rPr>
      <t>k, y</t>
    </r>
  </si>
  <si>
    <r>
      <t xml:space="preserve">Notification of compliance (63.1207(j), 63.9(h), 63.7(g), 63.10(d)(2) and 63.1210(d)) </t>
    </r>
    <r>
      <rPr>
        <vertAlign val="superscript"/>
        <sz val="8"/>
        <rFont val="Times New Roman"/>
        <family val="1"/>
      </rPr>
      <t>z</t>
    </r>
  </si>
  <si>
    <r>
      <t xml:space="preserve">Waiver of performance tests and request for time extension (63.1207(h) and 63.1207(m)) </t>
    </r>
    <r>
      <rPr>
        <vertAlign val="superscript"/>
        <sz val="8"/>
        <rFont val="Times New Roman"/>
        <family val="1"/>
      </rPr>
      <t>z</t>
    </r>
  </si>
  <si>
    <r>
      <t>Feedstreams Analysis  Plan (63.1209(c)(2))</t>
    </r>
    <r>
      <rPr>
        <vertAlign val="superscript"/>
        <sz val="8"/>
        <rFont val="Times New Roman"/>
        <family val="1"/>
      </rPr>
      <t xml:space="preserve"> </t>
    </r>
  </si>
  <si>
    <r>
      <t xml:space="preserve">Alternative compliance monitoring requirements for standards other than those monitored with a CEMS (63.1209(g)(1)) </t>
    </r>
    <r>
      <rPr>
        <vertAlign val="superscript"/>
        <sz val="8"/>
        <rFont val="Times New Roman"/>
        <family val="1"/>
      </rPr>
      <t>aa</t>
    </r>
  </si>
  <si>
    <r>
      <t xml:space="preserve">Use of CEMS in lieu of OPLs; or alternative methods in lieu of CEMS (63.1209(a)(5)) </t>
    </r>
    <r>
      <rPr>
        <vertAlign val="superscript"/>
        <sz val="8"/>
        <rFont val="Times New Roman"/>
        <family val="1"/>
      </rPr>
      <t>aa</t>
    </r>
  </si>
  <si>
    <r>
      <t xml:space="preserve">limits </t>
    </r>
    <r>
      <rPr>
        <vertAlign val="superscript"/>
        <sz val="8"/>
        <rFont val="Times New Roman"/>
        <family val="1"/>
      </rPr>
      <t>bb</t>
    </r>
  </si>
  <si>
    <r>
      <t xml:space="preserve">and low volatile metal feedrate limits </t>
    </r>
    <r>
      <rPr>
        <vertAlign val="superscript"/>
        <sz val="8"/>
        <rFont val="Times New Roman"/>
        <family val="1"/>
      </rPr>
      <t>bb</t>
    </r>
  </si>
  <si>
    <r>
      <t xml:space="preserve">requested by the EPA </t>
    </r>
    <r>
      <rPr>
        <vertAlign val="superscript"/>
        <sz val="8"/>
        <rFont val="Times New Roman"/>
        <family val="1"/>
      </rPr>
      <t>cc</t>
    </r>
  </si>
  <si>
    <r>
      <t xml:space="preserve">Notification of performance evaluation (63.1209(d) and 63.8(e)(2)) </t>
    </r>
    <r>
      <rPr>
        <vertAlign val="superscript"/>
        <sz val="8"/>
        <rFont val="Times New Roman"/>
        <family val="1"/>
      </rPr>
      <t>g</t>
    </r>
  </si>
  <si>
    <r>
      <t xml:space="preserve">Additional notification requirements for CMS (63.9(g)(2) and (3)) </t>
    </r>
    <r>
      <rPr>
        <vertAlign val="superscript"/>
        <sz val="8"/>
        <rFont val="Times New Roman"/>
        <family val="1"/>
      </rPr>
      <t>g</t>
    </r>
  </si>
  <si>
    <r>
      <t xml:space="preserve">Submission of site-specific peformance evaluation test plan (63.1209(d) and 63.8(e)(3)) </t>
    </r>
    <r>
      <rPr>
        <vertAlign val="superscript"/>
        <sz val="8"/>
        <rFont val="Times New Roman"/>
        <family val="1"/>
      </rPr>
      <t>h</t>
    </r>
  </si>
  <si>
    <r>
      <t xml:space="preserve">Reporting results of CMS performance evaluations (63.10(e)(2)) </t>
    </r>
    <r>
      <rPr>
        <vertAlign val="superscript"/>
        <sz val="8"/>
        <rFont val="Times New Roman"/>
        <family val="1"/>
      </rPr>
      <t>h</t>
    </r>
  </si>
  <si>
    <r>
      <t xml:space="preserve">COMS performance evaluation, as applicable </t>
    </r>
    <r>
      <rPr>
        <vertAlign val="superscript"/>
        <sz val="8"/>
        <rFont val="Times New Roman"/>
        <family val="1"/>
      </rPr>
      <t>dd</t>
    </r>
  </si>
  <si>
    <r>
      <t xml:space="preserve">Notice of intent to comply 63.1206(b)-(d) </t>
    </r>
    <r>
      <rPr>
        <vertAlign val="superscript"/>
        <sz val="8"/>
        <rFont val="Times New Roman"/>
        <family val="1"/>
      </rPr>
      <t>ee</t>
    </r>
  </si>
  <si>
    <r>
      <t xml:space="preserve">Initial notification 63.9(b) and 63.5(d) </t>
    </r>
    <r>
      <rPr>
        <vertAlign val="superscript"/>
        <sz val="8"/>
        <rFont val="Times New Roman"/>
        <family val="1"/>
      </rPr>
      <t>ff</t>
    </r>
  </si>
  <si>
    <r>
      <t xml:space="preserve">Adjustment to time periods or postmark deadlines for submittal and review of required communications 63.9(i) </t>
    </r>
    <r>
      <rPr>
        <vertAlign val="superscript"/>
        <sz val="8"/>
        <rFont val="Times New Roman"/>
        <family val="1"/>
      </rPr>
      <t>gg</t>
    </r>
  </si>
  <si>
    <r>
      <t xml:space="preserve">Request to reduce frequency of excess emissions and continuous monitoring system performance results 63.10(e)(3)(ii) </t>
    </r>
    <r>
      <rPr>
        <vertAlign val="superscript"/>
        <sz val="8"/>
        <rFont val="Times New Roman"/>
        <family val="1"/>
      </rPr>
      <t>hh</t>
    </r>
  </si>
  <si>
    <r>
      <t xml:space="preserve">Waiver of recordkeeping and reporting requirements </t>
    </r>
    <r>
      <rPr>
        <vertAlign val="superscript"/>
        <sz val="8"/>
        <rFont val="Times New Roman"/>
        <family val="1"/>
      </rPr>
      <t>ii</t>
    </r>
  </si>
  <si>
    <r>
      <t xml:space="preserve">Startup, shutdown, and malfunction reports 63.10(d)(5)(i) and (ii) </t>
    </r>
    <r>
      <rPr>
        <vertAlign val="superscript"/>
        <sz val="8"/>
        <rFont val="Times New Roman"/>
        <family val="1"/>
      </rPr>
      <t>jj</t>
    </r>
  </si>
  <si>
    <r>
      <t xml:space="preserve">Excess emissions and continuous monitoring system performance report and summary report 63.10(e)(3) </t>
    </r>
    <r>
      <rPr>
        <vertAlign val="superscript"/>
        <sz val="8"/>
        <rFont val="Times New Roman"/>
        <family val="1"/>
      </rPr>
      <t>kk</t>
    </r>
  </si>
  <si>
    <r>
      <t xml:space="preserve">Data compression </t>
    </r>
    <r>
      <rPr>
        <vertAlign val="superscript"/>
        <sz val="8"/>
        <rFont val="Times New Roman"/>
        <family val="1"/>
      </rPr>
      <t>ll</t>
    </r>
  </si>
  <si>
    <r>
      <t xml:space="preserve">Extension of the compliance date to install pollution prevention or waste minimization controls (63.1213) </t>
    </r>
    <r>
      <rPr>
        <vertAlign val="superscript"/>
        <sz val="8"/>
        <rFont val="Times New Roman"/>
        <family val="1"/>
      </rPr>
      <t>mm</t>
    </r>
  </si>
  <si>
    <r>
      <t xml:space="preserve">Use of alternative CEMS spans (63, Subpart EEE Appendix, Section 6.3.5) </t>
    </r>
    <r>
      <rPr>
        <vertAlign val="superscript"/>
        <sz val="8"/>
        <rFont val="Times New Roman"/>
        <family val="1"/>
      </rPr>
      <t>nn</t>
    </r>
  </si>
  <si>
    <r>
      <t xml:space="preserve">Alternative risk based chlorine standards </t>
    </r>
    <r>
      <rPr>
        <vertAlign val="superscript"/>
        <sz val="8"/>
        <rFont val="Times New Roman"/>
        <family val="1"/>
      </rPr>
      <t>oo</t>
    </r>
  </si>
  <si>
    <r>
      <t xml:space="preserve">raw mills </t>
    </r>
    <r>
      <rPr>
        <vertAlign val="superscript"/>
        <sz val="8"/>
        <rFont val="Times New Roman"/>
        <family val="1"/>
      </rPr>
      <t>l</t>
    </r>
  </si>
  <si>
    <r>
      <t xml:space="preserve">Compliance with alternative MACT standards when not burning Hazardous Waste(63.1206(b)(1)(ii)) </t>
    </r>
    <r>
      <rPr>
        <vertAlign val="superscript"/>
        <sz val="8"/>
        <rFont val="Times New Roman"/>
        <family val="1"/>
      </rPr>
      <t>pp</t>
    </r>
  </si>
  <si>
    <r>
      <t xml:space="preserve">emission standards or operating requirements </t>
    </r>
    <r>
      <rPr>
        <vertAlign val="superscript"/>
        <sz val="8"/>
        <rFont val="Times New Roman"/>
        <family val="1"/>
      </rPr>
      <t>n</t>
    </r>
  </si>
  <si>
    <r>
      <t xml:space="preserve">Hazardous waste residence time </t>
    </r>
    <r>
      <rPr>
        <vertAlign val="superscript"/>
        <sz val="8"/>
        <rFont val="Times New Roman"/>
        <family val="1"/>
      </rPr>
      <t>qq</t>
    </r>
  </si>
  <si>
    <r>
      <t xml:space="preserve">Automatic waste feed cutoff (63.1206(c)(3)) </t>
    </r>
    <r>
      <rPr>
        <vertAlign val="superscript"/>
        <sz val="8"/>
        <rFont val="Times New Roman"/>
        <family val="1"/>
      </rPr>
      <t>rr</t>
    </r>
  </si>
  <si>
    <r>
      <t xml:space="preserve">Operation and maintenance plan (63.1206 (c)(7)) </t>
    </r>
    <r>
      <rPr>
        <vertAlign val="superscript"/>
        <sz val="8"/>
        <rFont val="Times New Roman"/>
        <family val="1"/>
      </rPr>
      <t>ss, t</t>
    </r>
  </si>
  <si>
    <r>
      <t xml:space="preserve">Dioxins and furans (63.1209(k)) </t>
    </r>
    <r>
      <rPr>
        <vertAlign val="superscript"/>
        <sz val="8"/>
        <rFont val="Times New Roman"/>
        <family val="1"/>
      </rPr>
      <t>tt</t>
    </r>
  </si>
  <si>
    <r>
      <t xml:space="preserve">Total chlorine (hydrochloride and chlorine gas) (63.1209(o)) </t>
    </r>
    <r>
      <rPr>
        <vertAlign val="superscript"/>
        <sz val="8"/>
        <rFont val="Times New Roman"/>
        <family val="1"/>
      </rPr>
      <t>tt</t>
    </r>
  </si>
  <si>
    <r>
      <t xml:space="preserve">Operating under different modes of operation (63.1207(g) and 63.1209(r)) </t>
    </r>
    <r>
      <rPr>
        <vertAlign val="superscript"/>
        <sz val="8"/>
        <rFont val="Times New Roman"/>
        <family val="1"/>
      </rPr>
      <t>g, uu</t>
    </r>
  </si>
  <si>
    <r>
      <t xml:space="preserve">General recordkeeping requirements 63.10(b) </t>
    </r>
    <r>
      <rPr>
        <vertAlign val="superscript"/>
        <sz val="8"/>
        <rFont val="Times New Roman"/>
        <family val="1"/>
      </rPr>
      <t>vv</t>
    </r>
  </si>
  <si>
    <r>
      <t xml:space="preserve">Additional recordkeeping requirements for source with CMS (63.10(c)) </t>
    </r>
    <r>
      <rPr>
        <vertAlign val="superscript"/>
        <sz val="8"/>
        <rFont val="Times New Roman"/>
        <family val="1"/>
      </rPr>
      <t>vv</t>
    </r>
  </si>
  <si>
    <r>
      <t xml:space="preserve">Documentation of Compliance 63.1211(d) </t>
    </r>
    <r>
      <rPr>
        <vertAlign val="superscript"/>
        <sz val="8"/>
        <rFont val="Times New Roman"/>
        <family val="1"/>
      </rPr>
      <t>ww</t>
    </r>
  </si>
  <si>
    <r>
      <t>Quality control (QC) requirements (63, Subpart EEE Appendix, Section 1.1)</t>
    </r>
    <r>
      <rPr>
        <vertAlign val="superscript"/>
        <sz val="8"/>
        <rFont val="Times New Roman"/>
        <family val="1"/>
      </rPr>
      <t xml:space="preserve"> j</t>
    </r>
  </si>
  <si>
    <r>
      <t xml:space="preserve">Calibration drift (CD) and zero drift (ZD) assessment and daily system audit (63, Subpart EEE Appendix, Section 4) </t>
    </r>
    <r>
      <rPr>
        <vertAlign val="superscript"/>
        <sz val="8"/>
        <rFont val="Times New Roman"/>
        <family val="1"/>
      </rPr>
      <t>j</t>
    </r>
  </si>
  <si>
    <r>
      <t xml:space="preserve">Operator training and certification (63.1206(c)(6)) </t>
    </r>
    <r>
      <rPr>
        <vertAlign val="superscript"/>
        <sz val="8"/>
        <rFont val="Times New Roman"/>
        <family val="1"/>
      </rPr>
      <t>yy</t>
    </r>
  </si>
  <si>
    <r>
      <t xml:space="preserve">TOTAL LABOR BURDEN AND COSTS (ROUNDED) </t>
    </r>
    <r>
      <rPr>
        <b/>
        <vertAlign val="superscript"/>
        <sz val="8"/>
        <rFont val="Times New Roman"/>
        <family val="1"/>
      </rPr>
      <t>zz</t>
    </r>
  </si>
  <si>
    <r>
      <t xml:space="preserve">TOTAL CAPITAL AND O&amp;M COST (ROUNDED) </t>
    </r>
    <r>
      <rPr>
        <b/>
        <vertAlign val="superscript"/>
        <sz val="8"/>
        <rFont val="Times New Roman"/>
        <family val="1"/>
      </rPr>
      <t>zz</t>
    </r>
  </si>
  <si>
    <r>
      <t xml:space="preserve">GRAND TOTAL (ROUNDED) </t>
    </r>
    <r>
      <rPr>
        <b/>
        <vertAlign val="superscript"/>
        <sz val="8"/>
        <rFont val="Times New Roman"/>
        <family val="1"/>
      </rPr>
      <t>zz</t>
    </r>
  </si>
  <si>
    <t>Table 1: Annual Respondent Burden and Cost - NESHAP for Hazardous Waste Combustors (40 CFR 63, Subpart EEE) (Renewal)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</si>
</sst>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General_)"/>
    <numFmt numFmtId="165" formatCode="#,##0.0"/>
    <numFmt numFmtId="166" formatCode="0.0"/>
    <numFmt numFmtId="167" formatCode="&quot;$&quot;#,##0.00"/>
    <numFmt numFmtId="168" formatCode="&quot;$&quot;#,##0"/>
    <numFmt numFmtId="169" formatCode="_(&quot;$&quot;* #,##0_);_(&quot;$&quot;* \(#,##0\);_(&quot;$&quot;* &quot;-&quot;??_);_(@_)"/>
    <numFmt numFmtId="170" formatCode="_(* #,##0_);_(* \(#,##0\);_(* &quot;-&quot;??_);_(@_)"/>
    <numFmt numFmtId="171" formatCode="0_);\(0\)"/>
    <numFmt numFmtId="172" formatCode="0.00_);\(0.00\)"/>
    <numFmt numFmtId="173" formatCode="0.000"/>
    <numFmt numFmtId="174" formatCode="0.0000"/>
  </numFmts>
  <fonts count="48" x14ac:knownFonts="1">
    <font>
      <sz val="8"/>
      <name val="Helv"/>
    </font>
    <font>
      <sz val="11"/>
      <color theme="1"/>
      <name val="Calibri"/>
      <family val="2"/>
      <scheme val="minor"/>
    </font>
    <font>
      <sz val="10"/>
      <name val="Arial"/>
      <family val="2"/>
    </font>
    <font>
      <sz val="8"/>
      <name val="Arial"/>
      <family val="2"/>
    </font>
    <font>
      <b/>
      <sz val="8"/>
      <name val="Arial"/>
      <family val="2"/>
    </font>
    <font>
      <b/>
      <sz val="10"/>
      <name val="Arial"/>
      <family val="2"/>
    </font>
    <font>
      <sz val="8"/>
      <name val="Arial"/>
      <family val="2"/>
    </font>
    <font>
      <sz val="8"/>
      <color rgb="FFFF0000"/>
      <name val="Arial"/>
      <family val="2"/>
    </font>
    <font>
      <sz val="8"/>
      <color rgb="FFFF0000"/>
      <name val="Helv"/>
    </font>
    <font>
      <sz val="10"/>
      <name val="Times New Roman"/>
      <family val="1"/>
    </font>
    <font>
      <b/>
      <sz val="8"/>
      <color rgb="FF000000"/>
      <name val="Times New Roman"/>
      <family val="1"/>
    </font>
    <font>
      <sz val="8"/>
      <name val="Helv"/>
    </font>
    <font>
      <sz val="10"/>
      <color rgb="FF000000"/>
      <name val="Times New Roman"/>
      <family val="1"/>
    </font>
    <font>
      <sz val="8"/>
      <color theme="0" tint="-0.249977111117893"/>
      <name val="Arial"/>
      <family val="2"/>
    </font>
    <font>
      <b/>
      <sz val="10"/>
      <color rgb="FF000000"/>
      <name val="Times New Roman"/>
      <family val="1"/>
    </font>
    <font>
      <b/>
      <i/>
      <sz val="10"/>
      <color rgb="FF000000"/>
      <name val="Times New Roman"/>
      <family val="1"/>
    </font>
    <font>
      <b/>
      <sz val="8"/>
      <name val="Helv"/>
    </font>
    <font>
      <vertAlign val="superscript"/>
      <sz val="8"/>
      <name val="Arial"/>
      <family val="2"/>
    </font>
    <font>
      <b/>
      <vertAlign val="superscript"/>
      <sz val="8"/>
      <name val="Arial"/>
      <family val="2"/>
    </font>
    <font>
      <vertAlign val="superscript"/>
      <sz val="10"/>
      <name val="Arial"/>
      <family val="2"/>
    </font>
    <font>
      <sz val="12"/>
      <color rgb="FF000000"/>
      <name val="Times New Roman"/>
      <family val="1"/>
    </font>
    <font>
      <b/>
      <sz val="12"/>
      <color rgb="FF000000"/>
      <name val="Times New Roman"/>
      <family val="1"/>
    </font>
    <font>
      <sz val="9"/>
      <color rgb="FF000000"/>
      <name val="Times New Roman"/>
      <family val="1"/>
    </font>
    <font>
      <vertAlign val="superscript"/>
      <sz val="10"/>
      <color rgb="FF000000"/>
      <name val="Times New Roman"/>
      <family val="1"/>
    </font>
    <font>
      <vertAlign val="superscript"/>
      <sz val="9"/>
      <color rgb="FF000000"/>
      <name val="Times New Roman"/>
      <family val="1"/>
    </font>
    <font>
      <vertAlign val="superscript"/>
      <sz val="10"/>
      <name val="Times New Roman"/>
      <family val="1"/>
    </font>
    <font>
      <vertAlign val="superscript"/>
      <sz val="12"/>
      <color rgb="FF000000"/>
      <name val="Times New Roman"/>
      <family val="1"/>
    </font>
    <font>
      <sz val="10"/>
      <color rgb="FFFF0000"/>
      <name val="Times New Roman"/>
      <family val="1"/>
    </font>
    <font>
      <b/>
      <sz val="8"/>
      <color rgb="FF7030A0"/>
      <name val="Helv"/>
    </font>
    <font>
      <b/>
      <sz val="9"/>
      <name val="Times New Roman"/>
      <family val="1"/>
    </font>
    <font>
      <sz val="9"/>
      <name val="Times New Roman"/>
      <family val="1"/>
    </font>
    <font>
      <i/>
      <sz val="9"/>
      <name val="Times New Roman"/>
      <family val="1"/>
    </font>
    <font>
      <sz val="9"/>
      <color indexed="10"/>
      <name val="Times New Roman"/>
      <family val="1"/>
    </font>
    <font>
      <sz val="9"/>
      <color rgb="FFFF0000"/>
      <name val="Times New Roman"/>
      <family val="1"/>
    </font>
    <font>
      <b/>
      <vertAlign val="superscript"/>
      <sz val="10"/>
      <color rgb="FF000000"/>
      <name val="Times New Roman"/>
      <family val="1"/>
    </font>
    <font>
      <sz val="8"/>
      <name val="Times New Roman"/>
      <family val="1"/>
    </font>
    <font>
      <b/>
      <sz val="8"/>
      <name val="Times New Roman"/>
      <family val="1"/>
    </font>
    <font>
      <b/>
      <vertAlign val="superscript"/>
      <sz val="8"/>
      <name val="Times New Roman"/>
      <family val="1"/>
    </font>
    <font>
      <vertAlign val="superscript"/>
      <sz val="8"/>
      <name val="Times New Roman"/>
      <family val="1"/>
    </font>
    <font>
      <sz val="8"/>
      <color theme="1"/>
      <name val="Times New Roman"/>
      <family val="1"/>
    </font>
    <font>
      <sz val="8"/>
      <color rgb="FFFF0000"/>
      <name val="Times New Roman"/>
      <family val="1"/>
    </font>
    <font>
      <sz val="8"/>
      <color indexed="10"/>
      <name val="Times New Roman"/>
      <family val="1"/>
    </font>
    <font>
      <strike/>
      <sz val="8"/>
      <name val="Times New Roman"/>
      <family val="1"/>
    </font>
    <font>
      <sz val="8"/>
      <color rgb="FF92D050"/>
      <name val="Times New Roman"/>
      <family val="1"/>
    </font>
    <font>
      <b/>
      <i/>
      <sz val="8"/>
      <name val="Times New Roman"/>
      <family val="1"/>
    </font>
    <font>
      <strike/>
      <sz val="8"/>
      <color rgb="FFFF0000"/>
      <name val="Times New Roman"/>
      <family val="1"/>
    </font>
    <font>
      <b/>
      <i/>
      <sz val="8"/>
      <color theme="0"/>
      <name val="Times New Roman"/>
      <family val="1"/>
    </font>
    <font>
      <sz val="11"/>
      <name val="Calibri"/>
      <family val="2"/>
      <scheme val="minor"/>
    </font>
  </fonts>
  <fills count="7">
    <fill>
      <patternFill patternType="none"/>
    </fill>
    <fill>
      <patternFill patternType="gray125"/>
    </fill>
    <fill>
      <patternFill patternType="solid">
        <fgColor indexed="9"/>
      </patternFill>
    </fill>
    <fill>
      <patternFill patternType="solid">
        <fgColor indexed="9"/>
        <bgColor indexed="64"/>
      </patternFill>
    </fill>
    <fill>
      <patternFill patternType="solid">
        <fgColor indexed="9"/>
        <bgColor indexed="8"/>
      </patternFill>
    </fill>
    <fill>
      <patternFill patternType="solid">
        <fgColor rgb="FFFF0000"/>
        <bgColor indexed="64"/>
      </patternFill>
    </fill>
    <fill>
      <patternFill patternType="solid">
        <fgColor theme="8" tint="0.39997558519241921"/>
        <bgColor indexed="64"/>
      </patternFill>
    </fill>
  </fills>
  <borders count="9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8"/>
      </bottom>
      <diagonal/>
    </border>
    <border>
      <left style="thin">
        <color indexed="64"/>
      </left>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style="thin">
        <color indexed="8"/>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style="thin">
        <color indexed="64"/>
      </bottom>
      <diagonal/>
    </border>
    <border>
      <left/>
      <right style="thin">
        <color indexed="8"/>
      </right>
      <top/>
      <bottom/>
      <diagonal/>
    </border>
    <border>
      <left style="thin">
        <color indexed="64"/>
      </left>
      <right style="thin">
        <color indexed="64"/>
      </right>
      <top style="thin">
        <color indexed="64"/>
      </top>
      <bottom/>
      <diagonal/>
    </border>
    <border>
      <left/>
      <right style="thin">
        <color indexed="8"/>
      </right>
      <top/>
      <bottom style="thin">
        <color indexed="64"/>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8"/>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8"/>
      </left>
      <right style="thin">
        <color indexed="64"/>
      </right>
      <top style="thin">
        <color indexed="64"/>
      </top>
      <bottom style="thin">
        <color indexed="8"/>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style="medium">
        <color indexed="64"/>
      </right>
      <top/>
      <bottom/>
      <diagonal/>
    </border>
    <border>
      <left/>
      <right/>
      <top style="thin">
        <color indexed="64"/>
      </top>
      <bottom style="thin">
        <color indexed="8"/>
      </bottom>
      <diagonal/>
    </border>
    <border>
      <left/>
      <right/>
      <top/>
      <bottom style="medium">
        <color rgb="FFFFFFFF"/>
      </bottom>
      <diagonal/>
    </border>
    <border>
      <left/>
      <right style="medium">
        <color rgb="FFFFFFFF"/>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indexed="64"/>
      </left>
      <right style="medium">
        <color rgb="FFFFFFFF"/>
      </right>
      <top/>
      <bottom/>
      <diagonal/>
    </border>
    <border>
      <left style="thin">
        <color indexed="64"/>
      </left>
      <right style="thin">
        <color indexed="64"/>
      </right>
      <top style="medium">
        <color indexed="64"/>
      </top>
      <bottom style="medium">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8"/>
      </top>
      <bottom style="thin">
        <color indexed="8"/>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diagonal/>
    </border>
  </borders>
  <cellStyleXfs count="6">
    <xf numFmtId="164" fontId="0" fillId="0" borderId="0"/>
    <xf numFmtId="43" fontId="2" fillId="0" borderId="0" applyFont="0" applyFill="0" applyBorder="0" applyAlignment="0" applyProtection="0"/>
    <xf numFmtId="44" fontId="2" fillId="0" borderId="0" applyFont="0" applyFill="0" applyBorder="0" applyAlignment="0" applyProtection="0"/>
    <xf numFmtId="9" fontId="11" fillId="0" borderId="0" applyFont="0" applyFill="0" applyBorder="0" applyAlignment="0" applyProtection="0"/>
    <xf numFmtId="0" fontId="1" fillId="0" borderId="0"/>
    <xf numFmtId="44" fontId="1" fillId="0" borderId="0" applyFont="0" applyFill="0" applyBorder="0" applyAlignment="0" applyProtection="0"/>
  </cellStyleXfs>
  <cellXfs count="1390">
    <xf numFmtId="164" fontId="0" fillId="0" borderId="0" xfId="0"/>
    <xf numFmtId="164" fontId="3" fillId="0" borderId="0" xfId="0" applyFont="1"/>
    <xf numFmtId="164" fontId="3" fillId="3" borderId="0" xfId="0" applyFont="1" applyFill="1"/>
    <xf numFmtId="166" fontId="4" fillId="3" borderId="0" xfId="0" applyNumberFormat="1" applyFont="1" applyFill="1"/>
    <xf numFmtId="166" fontId="3" fillId="0" borderId="0" xfId="0" applyNumberFormat="1" applyFont="1"/>
    <xf numFmtId="168" fontId="3" fillId="0" borderId="0" xfId="0" applyNumberFormat="1" applyFont="1"/>
    <xf numFmtId="165" fontId="3" fillId="0" borderId="0" xfId="1" applyNumberFormat="1" applyFont="1"/>
    <xf numFmtId="168" fontId="3" fillId="0" borderId="0" xfId="1" applyNumberFormat="1" applyFont="1"/>
    <xf numFmtId="166" fontId="3" fillId="3" borderId="1" xfId="0" applyNumberFormat="1" applyFont="1" applyFill="1" applyBorder="1"/>
    <xf numFmtId="168" fontId="3" fillId="3" borderId="0" xfId="0" applyNumberFormat="1" applyFont="1" applyFill="1" applyAlignment="1">
      <alignment horizontal="right"/>
    </xf>
    <xf numFmtId="168" fontId="3" fillId="3" borderId="6" xfId="0" applyNumberFormat="1" applyFont="1" applyFill="1" applyBorder="1" applyAlignment="1">
      <alignment horizontal="right"/>
    </xf>
    <xf numFmtId="168" fontId="3" fillId="3" borderId="20" xfId="0" applyNumberFormat="1" applyFont="1" applyFill="1" applyBorder="1" applyAlignment="1">
      <alignment horizontal="right"/>
    </xf>
    <xf numFmtId="168" fontId="3" fillId="3" borderId="4" xfId="0" applyNumberFormat="1" applyFont="1" applyFill="1" applyBorder="1" applyAlignment="1">
      <alignment horizontal="right"/>
    </xf>
    <xf numFmtId="168" fontId="3" fillId="3" borderId="25" xfId="0" applyNumberFormat="1" applyFont="1" applyFill="1" applyBorder="1" applyAlignment="1">
      <alignment horizontal="right"/>
    </xf>
    <xf numFmtId="168" fontId="3" fillId="3" borderId="2" xfId="0" applyNumberFormat="1" applyFont="1" applyFill="1" applyBorder="1" applyAlignment="1">
      <alignment horizontal="right"/>
    </xf>
    <xf numFmtId="168" fontId="3" fillId="3" borderId="19" xfId="0" applyNumberFormat="1" applyFont="1" applyFill="1" applyBorder="1" applyAlignment="1">
      <alignment horizontal="right"/>
    </xf>
    <xf numFmtId="168" fontId="3" fillId="3" borderId="31" xfId="0" applyNumberFormat="1" applyFont="1" applyFill="1" applyBorder="1" applyAlignment="1">
      <alignment horizontal="right"/>
    </xf>
    <xf numFmtId="164" fontId="3" fillId="0" borderId="37" xfId="0" applyFont="1" applyBorder="1"/>
    <xf numFmtId="164" fontId="3" fillId="3" borderId="37" xfId="0" applyFont="1" applyFill="1" applyBorder="1"/>
    <xf numFmtId="168" fontId="3" fillId="4" borderId="38" xfId="0" applyNumberFormat="1" applyFont="1" applyFill="1" applyBorder="1" applyAlignment="1">
      <alignment horizontal="right"/>
    </xf>
    <xf numFmtId="168" fontId="3" fillId="4" borderId="39" xfId="0" applyNumberFormat="1" applyFont="1" applyFill="1" applyBorder="1" applyAlignment="1">
      <alignment horizontal="right"/>
    </xf>
    <xf numFmtId="164" fontId="3" fillId="3" borderId="4" xfId="0" applyFont="1" applyFill="1" applyBorder="1"/>
    <xf numFmtId="164" fontId="3" fillId="3" borderId="1" xfId="0" applyFont="1" applyFill="1" applyBorder="1"/>
    <xf numFmtId="164" fontId="3" fillId="3" borderId="27" xfId="0" applyFont="1" applyFill="1" applyBorder="1"/>
    <xf numFmtId="164" fontId="3" fillId="0" borderId="1" xfId="0" applyFont="1" applyBorder="1"/>
    <xf numFmtId="168" fontId="3" fillId="3" borderId="25" xfId="0" applyNumberFormat="1" applyFont="1" applyFill="1" applyBorder="1" applyAlignment="1">
      <alignment horizontal="center"/>
    </xf>
    <xf numFmtId="168" fontId="3" fillId="3" borderId="30" xfId="0" applyNumberFormat="1" applyFont="1" applyFill="1" applyBorder="1" applyAlignment="1">
      <alignment horizontal="right"/>
    </xf>
    <xf numFmtId="168" fontId="3" fillId="3" borderId="19" xfId="0" applyNumberFormat="1" applyFont="1" applyFill="1" applyBorder="1" applyAlignment="1">
      <alignment horizontal="center"/>
    </xf>
    <xf numFmtId="168" fontId="3" fillId="4" borderId="39" xfId="0" applyNumberFormat="1" applyFont="1" applyFill="1" applyBorder="1"/>
    <xf numFmtId="168" fontId="3" fillId="4" borderId="4" xfId="0" applyNumberFormat="1" applyFont="1" applyFill="1" applyBorder="1" applyAlignment="1">
      <alignment horizontal="right"/>
    </xf>
    <xf numFmtId="168" fontId="3" fillId="4" borderId="25" xfId="0" applyNumberFormat="1" applyFont="1" applyFill="1" applyBorder="1" applyAlignment="1">
      <alignment horizontal="right"/>
    </xf>
    <xf numFmtId="168" fontId="3" fillId="4" borderId="12" xfId="0" applyNumberFormat="1" applyFont="1" applyFill="1" applyBorder="1"/>
    <xf numFmtId="168" fontId="3" fillId="4" borderId="31" xfId="0" applyNumberFormat="1" applyFont="1" applyFill="1" applyBorder="1" applyAlignment="1">
      <alignment horizontal="right"/>
    </xf>
    <xf numFmtId="2" fontId="3" fillId="3" borderId="4" xfId="0" applyNumberFormat="1" applyFont="1" applyFill="1" applyBorder="1"/>
    <xf numFmtId="168" fontId="3" fillId="3" borderId="32" xfId="0" applyNumberFormat="1" applyFont="1" applyFill="1" applyBorder="1" applyAlignment="1">
      <alignment horizontal="right"/>
    </xf>
    <xf numFmtId="168" fontId="3" fillId="3" borderId="27" xfId="0" applyNumberFormat="1" applyFont="1" applyFill="1" applyBorder="1" applyAlignment="1">
      <alignment horizontal="right"/>
    </xf>
    <xf numFmtId="168" fontId="3" fillId="3" borderId="25" xfId="0" applyNumberFormat="1" applyFont="1" applyFill="1" applyBorder="1"/>
    <xf numFmtId="168" fontId="3" fillId="4" borderId="25" xfId="0" applyNumberFormat="1" applyFont="1" applyFill="1" applyBorder="1"/>
    <xf numFmtId="168" fontId="3" fillId="4" borderId="2" xfId="0" applyNumberFormat="1" applyFont="1" applyFill="1" applyBorder="1"/>
    <xf numFmtId="168" fontId="3" fillId="3" borderId="19" xfId="0" applyNumberFormat="1" applyFont="1" applyFill="1" applyBorder="1"/>
    <xf numFmtId="164" fontId="4" fillId="0" borderId="0" xfId="0" quotePrefix="1" applyFont="1" applyAlignment="1">
      <alignment horizontal="left"/>
    </xf>
    <xf numFmtId="166" fontId="3" fillId="0" borderId="0" xfId="0" applyNumberFormat="1" applyFont="1" applyAlignment="1">
      <alignment horizontal="center"/>
    </xf>
    <xf numFmtId="165" fontId="3" fillId="0" borderId="0" xfId="1" applyNumberFormat="1" applyFont="1" applyFill="1" applyProtection="1"/>
    <xf numFmtId="1" fontId="3" fillId="0" borderId="0" xfId="1" applyNumberFormat="1" applyFont="1" applyFill="1" applyProtection="1"/>
    <xf numFmtId="164" fontId="3" fillId="0" borderId="0" xfId="0" quotePrefix="1" applyFont="1" applyAlignment="1">
      <alignment horizontal="justify"/>
    </xf>
    <xf numFmtId="164" fontId="3" fillId="0" borderId="0" xfId="0" applyFont="1" applyAlignment="1">
      <alignment horizontal="justify"/>
    </xf>
    <xf numFmtId="1" fontId="3" fillId="0" borderId="0" xfId="0" applyNumberFormat="1" applyFont="1"/>
    <xf numFmtId="2" fontId="3" fillId="0" borderId="0" xfId="0" applyNumberFormat="1" applyFont="1"/>
    <xf numFmtId="164" fontId="4" fillId="0" borderId="0" xfId="0" applyFont="1" applyAlignment="1">
      <alignment horizontal="justify"/>
    </xf>
    <xf numFmtId="168" fontId="3" fillId="0" borderId="0" xfId="1" applyNumberFormat="1" applyFont="1" applyFill="1" applyProtection="1"/>
    <xf numFmtId="167" fontId="3" fillId="0" borderId="0" xfId="1" applyNumberFormat="1" applyFont="1" applyFill="1" applyProtection="1"/>
    <xf numFmtId="167" fontId="3" fillId="0" borderId="0" xfId="0" applyNumberFormat="1" applyFont="1"/>
    <xf numFmtId="3" fontId="3" fillId="0" borderId="0" xfId="0" applyNumberFormat="1" applyFont="1"/>
    <xf numFmtId="3" fontId="3" fillId="0" borderId="0" xfId="1" applyNumberFormat="1" applyFont="1" applyFill="1" applyProtection="1"/>
    <xf numFmtId="168" fontId="6" fillId="0" borderId="37" xfId="0" applyNumberFormat="1" applyFont="1" applyBorder="1" applyAlignment="1">
      <alignment horizontal="centerContinuous" vertical="top"/>
    </xf>
    <xf numFmtId="164" fontId="6" fillId="0" borderId="31" xfId="0" applyFont="1" applyBorder="1" applyAlignment="1">
      <alignment horizontal="centerContinuous" vertical="top"/>
    </xf>
    <xf numFmtId="168" fontId="6" fillId="0" borderId="27" xfId="0" applyNumberFormat="1" applyFont="1" applyBorder="1" applyAlignment="1">
      <alignment horizontal="centerContinuous"/>
    </xf>
    <xf numFmtId="168" fontId="6" fillId="0" borderId="27" xfId="0" applyNumberFormat="1" applyFont="1" applyBorder="1" applyAlignment="1">
      <alignment horizontal="center"/>
    </xf>
    <xf numFmtId="168" fontId="6" fillId="0" borderId="32" xfId="0" applyNumberFormat="1" applyFont="1" applyBorder="1" applyAlignment="1">
      <alignment horizontal="center" vertical="center" wrapText="1"/>
    </xf>
    <xf numFmtId="164" fontId="4" fillId="3" borderId="0" xfId="0" applyFont="1" applyFill="1" applyAlignment="1">
      <alignment horizontal="center"/>
    </xf>
    <xf numFmtId="1" fontId="3" fillId="0" borderId="1" xfId="0" applyNumberFormat="1" applyFont="1" applyBorder="1"/>
    <xf numFmtId="168" fontId="6" fillId="0" borderId="4" xfId="0" applyNumberFormat="1" applyFont="1" applyBorder="1"/>
    <xf numFmtId="1" fontId="3" fillId="0" borderId="4" xfId="0" applyNumberFormat="1" applyFont="1" applyBorder="1"/>
    <xf numFmtId="164" fontId="3" fillId="0" borderId="4" xfId="0" applyFont="1" applyBorder="1"/>
    <xf numFmtId="1" fontId="3" fillId="0" borderId="37" xfId="0" applyNumberFormat="1" applyFont="1" applyBorder="1"/>
    <xf numFmtId="1" fontId="6" fillId="0" borderId="4" xfId="0" applyNumberFormat="1" applyFont="1" applyBorder="1"/>
    <xf numFmtId="1" fontId="3" fillId="3" borderId="1" xfId="0" applyNumberFormat="1" applyFont="1" applyFill="1" applyBorder="1"/>
    <xf numFmtId="1" fontId="3" fillId="3" borderId="0" xfId="0" applyNumberFormat="1" applyFont="1" applyFill="1"/>
    <xf numFmtId="1" fontId="3" fillId="3" borderId="4" xfId="0" applyNumberFormat="1" applyFont="1" applyFill="1" applyBorder="1"/>
    <xf numFmtId="1" fontId="4" fillId="3" borderId="0" xfId="0" applyNumberFormat="1" applyFont="1" applyFill="1" applyAlignment="1">
      <alignment horizontal="center"/>
    </xf>
    <xf numFmtId="1" fontId="3" fillId="3" borderId="27" xfId="0" applyNumberFormat="1" applyFont="1" applyFill="1" applyBorder="1"/>
    <xf numFmtId="1" fontId="3" fillId="3" borderId="37" xfId="0" applyNumberFormat="1" applyFont="1" applyFill="1" applyBorder="1"/>
    <xf numFmtId="168" fontId="3" fillId="4" borderId="16" xfId="0" applyNumberFormat="1" applyFont="1" applyFill="1" applyBorder="1" applyAlignment="1">
      <alignment horizontal="right"/>
    </xf>
    <xf numFmtId="168" fontId="3" fillId="4" borderId="19" xfId="0" applyNumberFormat="1" applyFont="1" applyFill="1" applyBorder="1" applyAlignment="1">
      <alignment horizontal="right"/>
    </xf>
    <xf numFmtId="0" fontId="3" fillId="0" borderId="20" xfId="0" applyNumberFormat="1" applyFont="1" applyBorder="1"/>
    <xf numFmtId="0" fontId="3" fillId="0" borderId="27" xfId="0" applyNumberFormat="1" applyFont="1" applyBorder="1"/>
    <xf numFmtId="0" fontId="3" fillId="0" borderId="32" xfId="0" applyNumberFormat="1" applyFont="1" applyBorder="1"/>
    <xf numFmtId="0" fontId="3" fillId="0" borderId="30" xfId="0" applyNumberFormat="1" applyFont="1" applyBorder="1"/>
    <xf numFmtId="164" fontId="3" fillId="0" borderId="67" xfId="0" applyFont="1" applyBorder="1"/>
    <xf numFmtId="164" fontId="3" fillId="0" borderId="68" xfId="0" applyFont="1" applyBorder="1"/>
    <xf numFmtId="164" fontId="3" fillId="0" borderId="69" xfId="0" applyFont="1" applyBorder="1"/>
    <xf numFmtId="164" fontId="3" fillId="0" borderId="70" xfId="0" applyFont="1" applyBorder="1"/>
    <xf numFmtId="168" fontId="6" fillId="0" borderId="69" xfId="0" applyNumberFormat="1" applyFont="1" applyBorder="1"/>
    <xf numFmtId="4" fontId="3" fillId="0" borderId="0" xfId="0" applyNumberFormat="1" applyFont="1"/>
    <xf numFmtId="168" fontId="3" fillId="0" borderId="25" xfId="0" applyNumberFormat="1" applyFont="1" applyBorder="1" applyAlignment="1">
      <alignment horizontal="right"/>
    </xf>
    <xf numFmtId="168" fontId="3" fillId="3" borderId="31" xfId="0" applyNumberFormat="1" applyFont="1" applyFill="1" applyBorder="1" applyAlignment="1">
      <alignment horizontal="center"/>
    </xf>
    <xf numFmtId="164" fontId="3" fillId="0" borderId="31" xfId="0" applyFont="1" applyBorder="1"/>
    <xf numFmtId="164" fontId="10" fillId="0" borderId="30" xfId="0" applyFont="1" applyBorder="1" applyAlignment="1">
      <alignment vertical="center"/>
    </xf>
    <xf numFmtId="1" fontId="3" fillId="0" borderId="30" xfId="0" applyNumberFormat="1" applyFont="1" applyBorder="1"/>
    <xf numFmtId="164" fontId="3" fillId="0" borderId="30" xfId="0" applyFont="1" applyBorder="1"/>
    <xf numFmtId="168" fontId="3" fillId="3" borderId="30" xfId="0" applyNumberFormat="1" applyFont="1" applyFill="1" applyBorder="1" applyAlignment="1">
      <alignment horizontal="center"/>
    </xf>
    <xf numFmtId="164" fontId="0" fillId="0" borderId="30" xfId="0" applyBorder="1"/>
    <xf numFmtId="168" fontId="6" fillId="0" borderId="30" xfId="0" applyNumberFormat="1" applyFont="1" applyBorder="1" applyAlignment="1">
      <alignment horizontal="center" vertical="center" wrapText="1"/>
    </xf>
    <xf numFmtId="168" fontId="3" fillId="0" borderId="4" xfId="0" applyNumberFormat="1" applyFont="1" applyBorder="1" applyAlignment="1">
      <alignment horizontal="right"/>
    </xf>
    <xf numFmtId="1" fontId="6" fillId="0" borderId="30" xfId="0" applyNumberFormat="1" applyFont="1" applyBorder="1"/>
    <xf numFmtId="168" fontId="6" fillId="0" borderId="30" xfId="0" applyNumberFormat="1" applyFont="1" applyBorder="1"/>
    <xf numFmtId="1" fontId="3" fillId="0" borderId="73" xfId="0" applyNumberFormat="1" applyFont="1" applyBorder="1"/>
    <xf numFmtId="164" fontId="3" fillId="3" borderId="73" xfId="0" applyFont="1" applyFill="1" applyBorder="1"/>
    <xf numFmtId="1" fontId="3" fillId="3" borderId="73" xfId="0" applyNumberFormat="1" applyFont="1" applyFill="1" applyBorder="1"/>
    <xf numFmtId="164" fontId="3" fillId="0" borderId="73" xfId="0" applyFont="1" applyBorder="1"/>
    <xf numFmtId="164" fontId="3" fillId="0" borderId="25" xfId="0" applyFont="1" applyBorder="1"/>
    <xf numFmtId="164" fontId="3" fillId="0" borderId="2" xfId="0" applyFont="1" applyBorder="1"/>
    <xf numFmtId="168" fontId="3" fillId="4" borderId="12" xfId="0" applyNumberFormat="1" applyFont="1" applyFill="1" applyBorder="1" applyAlignment="1">
      <alignment horizontal="right"/>
    </xf>
    <xf numFmtId="164" fontId="10" fillId="0" borderId="77" xfId="0" applyFont="1" applyBorder="1" applyAlignment="1">
      <alignment vertical="center"/>
    </xf>
    <xf numFmtId="0" fontId="7" fillId="0" borderId="32" xfId="0" applyNumberFormat="1" applyFont="1" applyBorder="1"/>
    <xf numFmtId="165" fontId="3" fillId="0" borderId="0" xfId="1" applyNumberFormat="1" applyFont="1" applyFill="1"/>
    <xf numFmtId="164" fontId="6" fillId="0" borderId="0" xfId="0" applyFont="1"/>
    <xf numFmtId="164" fontId="6" fillId="0" borderId="0" xfId="0" applyFont="1" applyAlignment="1">
      <alignment horizontal="center" vertical="center" wrapText="1"/>
    </xf>
    <xf numFmtId="0" fontId="7" fillId="0" borderId="30" xfId="0" applyNumberFormat="1" applyFont="1" applyBorder="1"/>
    <xf numFmtId="3" fontId="3" fillId="0" borderId="4" xfId="0" applyNumberFormat="1" applyFont="1" applyBorder="1"/>
    <xf numFmtId="3" fontId="3" fillId="0" borderId="37" xfId="0" applyNumberFormat="1" applyFont="1" applyBorder="1"/>
    <xf numFmtId="0" fontId="12" fillId="0" borderId="0" xfId="4" applyFont="1" applyAlignment="1">
      <alignment horizontal="center" vertical="top" wrapText="1"/>
    </xf>
    <xf numFmtId="3" fontId="3" fillId="2" borderId="30" xfId="1" applyNumberFormat="1" applyFont="1" applyFill="1" applyBorder="1" applyAlignment="1" applyProtection="1">
      <alignment horizontal="right"/>
    </xf>
    <xf numFmtId="168" fontId="3" fillId="2" borderId="30" xfId="1" applyNumberFormat="1" applyFont="1" applyFill="1" applyBorder="1" applyAlignment="1" applyProtection="1">
      <alignment horizontal="right"/>
    </xf>
    <xf numFmtId="1" fontId="3" fillId="2" borderId="30" xfId="1" applyNumberFormat="1" applyFont="1" applyFill="1" applyBorder="1" applyAlignment="1" applyProtection="1">
      <alignment horizontal="right"/>
    </xf>
    <xf numFmtId="164" fontId="3" fillId="0" borderId="19" xfId="0" applyFont="1" applyBorder="1"/>
    <xf numFmtId="164" fontId="3" fillId="3" borderId="30" xfId="0" applyFont="1" applyFill="1" applyBorder="1"/>
    <xf numFmtId="1" fontId="3" fillId="3" borderId="30" xfId="0" applyNumberFormat="1" applyFont="1" applyFill="1" applyBorder="1"/>
    <xf numFmtId="0" fontId="7" fillId="3" borderId="30" xfId="0" applyNumberFormat="1" applyFont="1" applyFill="1" applyBorder="1" applyAlignment="1">
      <alignment horizontal="left"/>
    </xf>
    <xf numFmtId="168" fontId="6" fillId="0" borderId="31" xfId="0" applyNumberFormat="1" applyFont="1" applyBorder="1" applyAlignment="1">
      <alignment horizontal="center" vertical="center" wrapText="1"/>
    </xf>
    <xf numFmtId="165" fontId="3" fillId="3" borderId="31" xfId="1" applyNumberFormat="1" applyFont="1" applyFill="1" applyBorder="1" applyAlignment="1" applyProtection="1">
      <alignment horizontal="center"/>
    </xf>
    <xf numFmtId="1" fontId="6" fillId="0" borderId="31" xfId="0" applyNumberFormat="1" applyFont="1" applyBorder="1"/>
    <xf numFmtId="1" fontId="3" fillId="0" borderId="31" xfId="0" applyNumberFormat="1" applyFont="1" applyBorder="1"/>
    <xf numFmtId="1" fontId="3" fillId="2" borderId="31" xfId="1" applyNumberFormat="1" applyFont="1" applyFill="1" applyBorder="1" applyAlignment="1" applyProtection="1">
      <alignment horizontal="right"/>
    </xf>
    <xf numFmtId="0" fontId="3" fillId="0" borderId="19" xfId="0" applyNumberFormat="1" applyFont="1" applyBorder="1"/>
    <xf numFmtId="0" fontId="3" fillId="3" borderId="74" xfId="0" applyNumberFormat="1" applyFont="1" applyFill="1" applyBorder="1"/>
    <xf numFmtId="0" fontId="3" fillId="0" borderId="31" xfId="0" applyNumberFormat="1" applyFont="1" applyBorder="1"/>
    <xf numFmtId="0" fontId="3" fillId="3" borderId="19" xfId="0" applyNumberFormat="1" applyFont="1" applyFill="1" applyBorder="1"/>
    <xf numFmtId="0" fontId="3" fillId="3" borderId="30" xfId="0" applyNumberFormat="1" applyFont="1" applyFill="1" applyBorder="1"/>
    <xf numFmtId="0" fontId="3" fillId="3" borderId="2" xfId="0" applyNumberFormat="1" applyFont="1" applyFill="1" applyBorder="1"/>
    <xf numFmtId="0" fontId="3" fillId="3" borderId="25" xfId="0" applyNumberFormat="1" applyFont="1" applyFill="1" applyBorder="1"/>
    <xf numFmtId="0" fontId="3" fillId="3" borderId="27" xfId="0" applyNumberFormat="1" applyFont="1" applyFill="1" applyBorder="1"/>
    <xf numFmtId="0" fontId="3" fillId="0" borderId="25" xfId="0" applyNumberFormat="1" applyFont="1" applyBorder="1"/>
    <xf numFmtId="0" fontId="3" fillId="0" borderId="2" xfId="0" applyNumberFormat="1" applyFont="1" applyBorder="1"/>
    <xf numFmtId="164" fontId="6" fillId="0" borderId="37" xfId="0" applyFont="1" applyBorder="1" applyAlignment="1">
      <alignment horizontal="centerContinuous" vertical="top"/>
    </xf>
    <xf numFmtId="168" fontId="6" fillId="0" borderId="2" xfId="0" applyNumberFormat="1" applyFont="1" applyBorder="1" applyAlignment="1">
      <alignment horizontal="centerContinuous"/>
    </xf>
    <xf numFmtId="168" fontId="6" fillId="0" borderId="2" xfId="0" applyNumberFormat="1" applyFont="1" applyBorder="1" applyAlignment="1">
      <alignment horizontal="center"/>
    </xf>
    <xf numFmtId="168" fontId="6" fillId="0" borderId="25" xfId="0" applyNumberFormat="1" applyFont="1" applyBorder="1" applyAlignment="1">
      <alignment horizontal="center" vertical="center" wrapText="1"/>
    </xf>
    <xf numFmtId="164" fontId="5" fillId="3" borderId="3" xfId="0" applyFont="1" applyFill="1" applyBorder="1" applyAlignment="1">
      <alignment horizontal="left"/>
    </xf>
    <xf numFmtId="164" fontId="4" fillId="3" borderId="1" xfId="0" quotePrefix="1" applyFont="1" applyFill="1" applyBorder="1" applyAlignment="1">
      <alignment horizontal="left"/>
    </xf>
    <xf numFmtId="166" fontId="3" fillId="0" borderId="1" xfId="0" applyNumberFormat="1" applyFont="1" applyBorder="1"/>
    <xf numFmtId="168" fontId="3" fillId="0" borderId="1" xfId="0" applyNumberFormat="1" applyFont="1" applyBorder="1"/>
    <xf numFmtId="165" fontId="3" fillId="0" borderId="1" xfId="1" applyNumberFormat="1" applyFont="1" applyFill="1" applyBorder="1"/>
    <xf numFmtId="165" fontId="3" fillId="0" borderId="1" xfId="1" applyNumberFormat="1" applyFont="1" applyBorder="1"/>
    <xf numFmtId="168" fontId="3" fillId="0" borderId="1" xfId="1" applyNumberFormat="1" applyFont="1" applyBorder="1"/>
    <xf numFmtId="168" fontId="3" fillId="3" borderId="16" xfId="0" applyNumberFormat="1" applyFont="1" applyFill="1" applyBorder="1" applyAlignment="1">
      <alignment horizontal="right"/>
    </xf>
    <xf numFmtId="164" fontId="4" fillId="0" borderId="0" xfId="0" applyFont="1"/>
    <xf numFmtId="164" fontId="3" fillId="0" borderId="30" xfId="0" applyFont="1" applyBorder="1" applyAlignment="1">
      <alignment horizontal="center" vertical="center" wrapText="1"/>
    </xf>
    <xf numFmtId="37" fontId="3" fillId="0" borderId="30" xfId="0" applyNumberFormat="1" applyFont="1" applyBorder="1"/>
    <xf numFmtId="5" fontId="3" fillId="0" borderId="30" xfId="0" applyNumberFormat="1" applyFont="1" applyBorder="1"/>
    <xf numFmtId="1" fontId="3" fillId="3" borderId="0" xfId="1" applyNumberFormat="1" applyFont="1" applyFill="1" applyProtection="1">
      <protection locked="0"/>
    </xf>
    <xf numFmtId="166" fontId="7" fillId="0" borderId="0" xfId="0" applyNumberFormat="1" applyFont="1"/>
    <xf numFmtId="1" fontId="13" fillId="0" borderId="0" xfId="1" applyNumberFormat="1" applyFont="1" applyFill="1" applyProtection="1"/>
    <xf numFmtId="3" fontId="13" fillId="0" borderId="0" xfId="1" applyNumberFormat="1" applyFont="1" applyFill="1" applyProtection="1"/>
    <xf numFmtId="164" fontId="13" fillId="0" borderId="0" xfId="0" applyFont="1"/>
    <xf numFmtId="166" fontId="13" fillId="0" borderId="0" xfId="0" applyNumberFormat="1" applyFont="1"/>
    <xf numFmtId="165" fontId="7" fillId="0" borderId="0" xfId="1" applyNumberFormat="1" applyFont="1" applyFill="1"/>
    <xf numFmtId="164" fontId="3" fillId="0" borderId="0" xfId="1" applyNumberFormat="1" applyFont="1" applyFill="1" applyProtection="1"/>
    <xf numFmtId="164" fontId="12" fillId="0" borderId="80" xfId="0" applyFont="1" applyBorder="1" applyAlignment="1">
      <alignment horizontal="left" vertical="center" wrapText="1" indent="1"/>
    </xf>
    <xf numFmtId="164" fontId="12" fillId="0" borderId="80" xfId="0" applyFont="1" applyBorder="1" applyAlignment="1">
      <alignment horizontal="center" vertical="center" wrapText="1"/>
    </xf>
    <xf numFmtId="164" fontId="12" fillId="0" borderId="80" xfId="0" applyFont="1" applyBorder="1" applyAlignment="1">
      <alignment vertical="center" wrapText="1" indent="1"/>
    </xf>
    <xf numFmtId="164" fontId="14" fillId="0" borderId="85" xfId="0" applyFont="1" applyBorder="1" applyAlignment="1">
      <alignment horizontal="left" vertical="center" wrapText="1" indent="1"/>
    </xf>
    <xf numFmtId="164" fontId="12" fillId="0" borderId="67" xfId="0" applyFont="1" applyBorder="1" applyAlignment="1">
      <alignment horizontal="left" vertical="center" wrapText="1" indent="1"/>
    </xf>
    <xf numFmtId="164" fontId="12" fillId="0" borderId="85" xfId="0" applyFont="1" applyBorder="1" applyAlignment="1">
      <alignment horizontal="center" vertical="center" wrapText="1"/>
    </xf>
    <xf numFmtId="164" fontId="12" fillId="0" borderId="67" xfId="0" applyFont="1" applyBorder="1" applyAlignment="1">
      <alignment horizontal="center" vertical="center" wrapText="1"/>
    </xf>
    <xf numFmtId="164" fontId="12" fillId="0" borderId="85" xfId="0" applyFont="1" applyBorder="1" applyAlignment="1">
      <alignment vertical="center" wrapText="1" indent="1"/>
    </xf>
    <xf numFmtId="164" fontId="12" fillId="0" borderId="67" xfId="0" applyFont="1" applyBorder="1" applyAlignment="1">
      <alignment vertical="center" wrapText="1" indent="1"/>
    </xf>
    <xf numFmtId="164" fontId="12" fillId="0" borderId="30" xfId="0" applyFont="1" applyBorder="1" applyAlignment="1">
      <alignment vertical="center" wrapText="1" indent="1"/>
    </xf>
    <xf numFmtId="168" fontId="12" fillId="0" borderId="30" xfId="2" applyNumberFormat="1" applyFont="1" applyBorder="1" applyAlignment="1">
      <alignment vertical="center" wrapText="1" indent="1"/>
    </xf>
    <xf numFmtId="1" fontId="12" fillId="0" borderId="30" xfId="0" applyNumberFormat="1" applyFont="1" applyBorder="1" applyAlignment="1">
      <alignment vertical="center" wrapText="1" indent="1"/>
    </xf>
    <xf numFmtId="168" fontId="12" fillId="0" borderId="30" xfId="0" applyNumberFormat="1" applyFont="1" applyBorder="1" applyAlignment="1">
      <alignment vertical="center" wrapText="1" indent="1"/>
    </xf>
    <xf numFmtId="168" fontId="12" fillId="0" borderId="30" xfId="2" applyNumberFormat="1" applyFont="1" applyFill="1" applyBorder="1" applyAlignment="1">
      <alignment vertical="center" wrapText="1" indent="1"/>
    </xf>
    <xf numFmtId="164" fontId="9" fillId="0" borderId="30" xfId="0" applyFont="1" applyBorder="1" applyAlignment="1">
      <alignment vertical="center" wrapText="1" indent="1"/>
    </xf>
    <xf numFmtId="164" fontId="14" fillId="0" borderId="30" xfId="0" applyFont="1" applyBorder="1" applyAlignment="1">
      <alignment vertical="center" wrapText="1" indent="1"/>
    </xf>
    <xf numFmtId="164" fontId="16" fillId="0" borderId="30" xfId="0" applyFont="1" applyBorder="1"/>
    <xf numFmtId="168" fontId="14" fillId="0" borderId="30" xfId="0" applyNumberFormat="1" applyFont="1" applyBorder="1" applyAlignment="1">
      <alignment vertical="center" wrapText="1" indent="1"/>
    </xf>
    <xf numFmtId="168" fontId="9" fillId="0" borderId="30" xfId="0" applyNumberFormat="1" applyFont="1" applyBorder="1" applyAlignment="1">
      <alignment vertical="center" wrapText="1" indent="1"/>
    </xf>
    <xf numFmtId="168" fontId="9" fillId="0" borderId="30" xfId="2" applyNumberFormat="1" applyFont="1" applyBorder="1" applyAlignment="1">
      <alignment vertical="center" wrapText="1" indent="1"/>
    </xf>
    <xf numFmtId="164" fontId="3" fillId="0" borderId="0" xfId="0" applyFont="1" applyProtection="1">
      <protection locked="0"/>
    </xf>
    <xf numFmtId="164" fontId="3" fillId="0" borderId="0" xfId="0" quotePrefix="1" applyFont="1" applyProtection="1">
      <protection locked="0"/>
    </xf>
    <xf numFmtId="164" fontId="3" fillId="3" borderId="0" xfId="0" applyFont="1" applyFill="1" applyProtection="1">
      <protection locked="0"/>
    </xf>
    <xf numFmtId="164" fontId="3" fillId="3" borderId="0" xfId="0" quotePrefix="1" applyFont="1" applyFill="1" applyAlignment="1" applyProtection="1">
      <alignment horizontal="left"/>
      <protection locked="0"/>
    </xf>
    <xf numFmtId="166" fontId="3" fillId="3" borderId="0" xfId="0" applyNumberFormat="1" applyFont="1" applyFill="1" applyAlignment="1" applyProtection="1">
      <alignment horizontal="center"/>
      <protection locked="0"/>
    </xf>
    <xf numFmtId="166" fontId="3" fillId="3" borderId="0" xfId="0" applyNumberFormat="1" applyFont="1" applyFill="1" applyAlignment="1" applyProtection="1">
      <alignment horizontal="left"/>
      <protection locked="0"/>
    </xf>
    <xf numFmtId="166" fontId="3" fillId="3" borderId="0" xfId="0" applyNumberFormat="1" applyFont="1" applyFill="1" applyProtection="1">
      <protection locked="0"/>
    </xf>
    <xf numFmtId="3" fontId="3" fillId="3" borderId="0" xfId="0" applyNumberFormat="1" applyFont="1" applyFill="1" applyProtection="1">
      <protection locked="0"/>
    </xf>
    <xf numFmtId="168" fontId="3" fillId="3" borderId="0" xfId="0" applyNumberFormat="1" applyFont="1" applyFill="1" applyProtection="1">
      <protection locked="0"/>
    </xf>
    <xf numFmtId="165" fontId="3" fillId="3" borderId="0" xfId="1" applyNumberFormat="1" applyFont="1" applyFill="1" applyProtection="1">
      <protection locked="0"/>
    </xf>
    <xf numFmtId="166" fontId="7" fillId="3" borderId="0" xfId="1" applyNumberFormat="1" applyFont="1" applyFill="1" applyProtection="1">
      <protection locked="0"/>
    </xf>
    <xf numFmtId="2" fontId="3" fillId="3" borderId="0" xfId="0" applyNumberFormat="1" applyFont="1" applyFill="1" applyAlignment="1" applyProtection="1">
      <alignment horizontal="left"/>
      <protection locked="0"/>
    </xf>
    <xf numFmtId="170" fontId="3" fillId="3" borderId="0" xfId="1" applyNumberFormat="1" applyFont="1" applyFill="1" applyBorder="1" applyProtection="1">
      <protection locked="0"/>
    </xf>
    <xf numFmtId="7" fontId="3" fillId="3" borderId="0" xfId="0" applyNumberFormat="1" applyFont="1" applyFill="1" applyProtection="1">
      <protection locked="0"/>
    </xf>
    <xf numFmtId="164" fontId="3" fillId="3" borderId="0" xfId="0" quotePrefix="1" applyFont="1" applyFill="1" applyAlignment="1" applyProtection="1">
      <alignment horizontal="justify"/>
      <protection locked="0"/>
    </xf>
    <xf numFmtId="2" fontId="3" fillId="3" borderId="0" xfId="0" applyNumberFormat="1" applyFont="1" applyFill="1" applyProtection="1">
      <protection locked="0"/>
    </xf>
    <xf numFmtId="164" fontId="3" fillId="3" borderId="0" xfId="0" applyFont="1" applyFill="1" applyAlignment="1" applyProtection="1">
      <alignment horizontal="justify"/>
      <protection locked="0"/>
    </xf>
    <xf numFmtId="166" fontId="3" fillId="3" borderId="0" xfId="1" applyNumberFormat="1" applyFont="1" applyFill="1" applyProtection="1">
      <protection locked="0"/>
    </xf>
    <xf numFmtId="3" fontId="3" fillId="3" borderId="0" xfId="1" applyNumberFormat="1" applyFont="1" applyFill="1" applyProtection="1">
      <protection locked="0"/>
    </xf>
    <xf numFmtId="166" fontId="4" fillId="3" borderId="0" xfId="0" applyNumberFormat="1" applyFont="1" applyFill="1" applyProtection="1">
      <protection locked="0"/>
    </xf>
    <xf numFmtId="3" fontId="4" fillId="3" borderId="0" xfId="0" applyNumberFormat="1" applyFont="1" applyFill="1" applyProtection="1">
      <protection locked="0"/>
    </xf>
    <xf numFmtId="164" fontId="5" fillId="3" borderId="3" xfId="0" quotePrefix="1" applyFont="1" applyFill="1" applyBorder="1" applyAlignment="1" applyProtection="1">
      <alignment horizontal="left"/>
      <protection locked="0"/>
    </xf>
    <xf numFmtId="164" fontId="4" fillId="3" borderId="1" xfId="0" quotePrefix="1" applyFont="1" applyFill="1" applyBorder="1" applyAlignment="1" applyProtection="1">
      <alignment horizontal="left"/>
      <protection locked="0"/>
    </xf>
    <xf numFmtId="166" fontId="3" fillId="3" borderId="1" xfId="0" applyNumberFormat="1" applyFont="1" applyFill="1" applyBorder="1" applyAlignment="1" applyProtection="1">
      <alignment horizontal="right"/>
      <protection locked="0"/>
    </xf>
    <xf numFmtId="3" fontId="3" fillId="3" borderId="1" xfId="0" applyNumberFormat="1" applyFont="1" applyFill="1" applyBorder="1" applyAlignment="1" applyProtection="1">
      <alignment horizontal="right"/>
      <protection locked="0"/>
    </xf>
    <xf numFmtId="168" fontId="3" fillId="3" borderId="1" xfId="0" applyNumberFormat="1" applyFont="1" applyFill="1" applyBorder="1" applyAlignment="1" applyProtection="1">
      <alignment horizontal="right"/>
      <protection locked="0"/>
    </xf>
    <xf numFmtId="165" fontId="3" fillId="3" borderId="1" xfId="1" applyNumberFormat="1" applyFont="1" applyFill="1" applyBorder="1" applyAlignment="1" applyProtection="1">
      <alignment horizontal="right"/>
      <protection locked="0"/>
    </xf>
    <xf numFmtId="166" fontId="3" fillId="3" borderId="1" xfId="1" applyNumberFormat="1" applyFont="1" applyFill="1" applyBorder="1" applyAlignment="1" applyProtection="1">
      <alignment horizontal="right"/>
      <protection locked="0"/>
    </xf>
    <xf numFmtId="168" fontId="3" fillId="3" borderId="2" xfId="0" applyNumberFormat="1" applyFont="1" applyFill="1" applyBorder="1" applyAlignment="1" applyProtection="1">
      <alignment horizontal="right"/>
      <protection locked="0"/>
    </xf>
    <xf numFmtId="164" fontId="3" fillId="3" borderId="53" xfId="0" applyFont="1" applyFill="1" applyBorder="1" applyProtection="1">
      <protection locked="0"/>
    </xf>
    <xf numFmtId="164" fontId="3" fillId="3" borderId="31" xfId="0" applyFont="1" applyFill="1" applyBorder="1" applyProtection="1">
      <protection locked="0"/>
    </xf>
    <xf numFmtId="166" fontId="3" fillId="3" borderId="53" xfId="0" applyNumberFormat="1" applyFont="1" applyFill="1" applyBorder="1" applyAlignment="1" applyProtection="1">
      <alignment horizontal="centerContinuous"/>
      <protection locked="0"/>
    </xf>
    <xf numFmtId="164" fontId="3" fillId="3" borderId="13" xfId="0" applyFont="1" applyFill="1" applyBorder="1" applyProtection="1">
      <protection locked="0"/>
    </xf>
    <xf numFmtId="164" fontId="3" fillId="3" borderId="19" xfId="0" applyFont="1" applyFill="1" applyBorder="1" applyProtection="1">
      <protection locked="0"/>
    </xf>
    <xf numFmtId="166" fontId="3" fillId="3" borderId="13" xfId="0" applyNumberFormat="1" applyFont="1" applyFill="1" applyBorder="1" applyAlignment="1" applyProtection="1">
      <alignment horizontal="centerContinuous"/>
      <protection locked="0"/>
    </xf>
    <xf numFmtId="164" fontId="3" fillId="0" borderId="53" xfId="0" applyFont="1" applyBorder="1" applyAlignment="1">
      <alignment horizontal="centerContinuous" vertical="top"/>
    </xf>
    <xf numFmtId="168" fontId="3" fillId="0" borderId="37" xfId="0" applyNumberFormat="1" applyFont="1" applyBorder="1" applyAlignment="1">
      <alignment horizontal="centerContinuous" vertical="top"/>
    </xf>
    <xf numFmtId="164" fontId="3" fillId="0" borderId="31" xfId="0" applyFont="1" applyBorder="1" applyAlignment="1">
      <alignment horizontal="centerContinuous" vertical="top"/>
    </xf>
    <xf numFmtId="166" fontId="3" fillId="3" borderId="13" xfId="0" applyNumberFormat="1" applyFont="1" applyFill="1" applyBorder="1" applyAlignment="1" applyProtection="1">
      <alignment horizontal="center"/>
      <protection locked="0"/>
    </xf>
    <xf numFmtId="168" fontId="3" fillId="3" borderId="19" xfId="0" applyNumberFormat="1" applyFont="1" applyFill="1" applyBorder="1" applyAlignment="1" applyProtection="1">
      <alignment horizontal="center"/>
      <protection locked="0"/>
    </xf>
    <xf numFmtId="168" fontId="3" fillId="0" borderId="27" xfId="0" applyNumberFormat="1" applyFont="1" applyBorder="1" applyAlignment="1">
      <alignment horizontal="centerContinuous"/>
    </xf>
    <xf numFmtId="172" fontId="3" fillId="0" borderId="30" xfId="0" applyNumberFormat="1" applyFont="1" applyBorder="1"/>
    <xf numFmtId="168" fontId="3" fillId="0" borderId="27" xfId="0" applyNumberFormat="1" applyFont="1" applyBorder="1" applyAlignment="1">
      <alignment horizontal="center"/>
    </xf>
    <xf numFmtId="164" fontId="3" fillId="3" borderId="13" xfId="0" applyFont="1" applyFill="1" applyBorder="1" applyAlignment="1" applyProtection="1">
      <alignment horizontal="left"/>
      <protection locked="0"/>
    </xf>
    <xf numFmtId="164" fontId="3" fillId="3" borderId="19" xfId="0" applyFont="1" applyFill="1" applyBorder="1" applyAlignment="1" applyProtection="1">
      <alignment horizontal="left"/>
      <protection locked="0"/>
    </xf>
    <xf numFmtId="168" fontId="3" fillId="0" borderId="32" xfId="0" applyNumberFormat="1" applyFont="1" applyBorder="1" applyAlignment="1">
      <alignment horizontal="center" vertical="center" wrapText="1"/>
    </xf>
    <xf numFmtId="164" fontId="3" fillId="3" borderId="11" xfId="0" applyFont="1" applyFill="1" applyBorder="1" applyAlignment="1" applyProtection="1">
      <alignment horizontal="left"/>
      <protection locked="0"/>
    </xf>
    <xf numFmtId="164" fontId="3" fillId="3" borderId="25" xfId="0" applyFont="1" applyFill="1" applyBorder="1" applyAlignment="1" applyProtection="1">
      <alignment horizontal="left"/>
      <protection locked="0"/>
    </xf>
    <xf numFmtId="166" fontId="3" fillId="3" borderId="11" xfId="0" applyNumberFormat="1" applyFont="1" applyFill="1" applyBorder="1" applyAlignment="1" applyProtection="1">
      <alignment horizontal="center"/>
      <protection locked="0"/>
    </xf>
    <xf numFmtId="166" fontId="3" fillId="3" borderId="4" xfId="0" applyNumberFormat="1" applyFont="1" applyFill="1" applyBorder="1" applyAlignment="1" applyProtection="1">
      <alignment horizontal="center"/>
      <protection locked="0"/>
    </xf>
    <xf numFmtId="3" fontId="3" fillId="3" borderId="4" xfId="0" applyNumberFormat="1" applyFont="1" applyFill="1" applyBorder="1" applyAlignment="1" applyProtection="1">
      <alignment horizontal="center"/>
      <protection locked="0"/>
    </xf>
    <xf numFmtId="168" fontId="3" fillId="3" borderId="4" xfId="0" applyNumberFormat="1" applyFont="1" applyFill="1" applyBorder="1" applyAlignment="1" applyProtection="1">
      <alignment horizontal="center"/>
      <protection locked="0"/>
    </xf>
    <xf numFmtId="168" fontId="3" fillId="3" borderId="25" xfId="0" applyNumberFormat="1" applyFont="1" applyFill="1" applyBorder="1" applyAlignment="1" applyProtection="1">
      <alignment horizontal="center"/>
      <protection locked="0"/>
    </xf>
    <xf numFmtId="166" fontId="3" fillId="3" borderId="4" xfId="1" applyNumberFormat="1" applyFont="1" applyFill="1" applyBorder="1" applyAlignment="1" applyProtection="1">
      <alignment horizontal="center"/>
      <protection locked="0"/>
    </xf>
    <xf numFmtId="0" fontId="3" fillId="0" borderId="63" xfId="0" applyNumberFormat="1" applyFont="1" applyBorder="1"/>
    <xf numFmtId="165" fontId="3" fillId="3" borderId="62" xfId="1" applyNumberFormat="1" applyFont="1" applyFill="1" applyBorder="1" applyAlignment="1" applyProtection="1">
      <alignment horizontal="center"/>
    </xf>
    <xf numFmtId="168" fontId="3" fillId="3" borderId="63" xfId="0" applyNumberFormat="1" applyFont="1" applyFill="1" applyBorder="1" applyAlignment="1">
      <alignment horizontal="center"/>
    </xf>
    <xf numFmtId="164" fontId="3" fillId="0" borderId="63" xfId="0" applyFont="1" applyBorder="1"/>
    <xf numFmtId="3" fontId="3" fillId="0" borderId="86" xfId="0" applyNumberFormat="1" applyFont="1" applyBorder="1"/>
    <xf numFmtId="3" fontId="3" fillId="0" borderId="64" xfId="0" applyNumberFormat="1" applyFont="1" applyBorder="1"/>
    <xf numFmtId="1" fontId="3" fillId="0" borderId="64" xfId="0" applyNumberFormat="1" applyFont="1" applyBorder="1"/>
    <xf numFmtId="3" fontId="3" fillId="3" borderId="13" xfId="0" applyNumberFormat="1" applyFont="1" applyFill="1" applyBorder="1" applyProtection="1">
      <protection locked="0"/>
    </xf>
    <xf numFmtId="3" fontId="3" fillId="3" borderId="0" xfId="1" applyNumberFormat="1" applyFont="1" applyFill="1" applyBorder="1" applyProtection="1">
      <protection locked="0"/>
    </xf>
    <xf numFmtId="166" fontId="3" fillId="0" borderId="37" xfId="1" applyNumberFormat="1" applyFont="1" applyFill="1" applyBorder="1" applyAlignment="1" applyProtection="1">
      <alignment horizontal="right"/>
      <protection locked="0"/>
    </xf>
    <xf numFmtId="168" fontId="3" fillId="0" borderId="31" xfId="0" applyNumberFormat="1" applyFont="1" applyBorder="1" applyAlignment="1" applyProtection="1">
      <alignment horizontal="right"/>
      <protection locked="0"/>
    </xf>
    <xf numFmtId="166" fontId="3" fillId="2" borderId="20" xfId="0" applyNumberFormat="1" applyFont="1" applyFill="1" applyBorder="1" applyAlignment="1" applyProtection="1">
      <alignment horizontal="right"/>
      <protection locked="0"/>
    </xf>
    <xf numFmtId="3" fontId="3" fillId="2" borderId="20" xfId="0" applyNumberFormat="1" applyFont="1" applyFill="1" applyBorder="1" applyAlignment="1" applyProtection="1">
      <alignment horizontal="right"/>
      <protection locked="0"/>
    </xf>
    <xf numFmtId="168" fontId="3" fillId="3" borderId="20" xfId="0" applyNumberFormat="1" applyFont="1" applyFill="1" applyBorder="1" applyAlignment="1" applyProtection="1">
      <alignment horizontal="right"/>
      <protection locked="0"/>
    </xf>
    <xf numFmtId="168" fontId="3" fillId="0" borderId="20" xfId="0" applyNumberFormat="1" applyFont="1" applyBorder="1" applyAlignment="1" applyProtection="1">
      <alignment horizontal="right"/>
      <protection locked="0"/>
    </xf>
    <xf numFmtId="166" fontId="3" fillId="2" borderId="32" xfId="0" applyNumberFormat="1" applyFont="1" applyFill="1" applyBorder="1" applyAlignment="1" applyProtection="1">
      <alignment horizontal="right"/>
      <protection locked="0"/>
    </xf>
    <xf numFmtId="166" fontId="3" fillId="2" borderId="4" xfId="0" applyNumberFormat="1" applyFont="1" applyFill="1" applyBorder="1" applyAlignment="1" applyProtection="1">
      <alignment horizontal="right"/>
      <protection locked="0"/>
    </xf>
    <xf numFmtId="166" fontId="3" fillId="3" borderId="7" xfId="0" applyNumberFormat="1" applyFont="1" applyFill="1" applyBorder="1" applyAlignment="1" applyProtection="1">
      <alignment horizontal="right"/>
      <protection locked="0"/>
    </xf>
    <xf numFmtId="3" fontId="3" fillId="3" borderId="7" xfId="0" applyNumberFormat="1" applyFont="1" applyFill="1" applyBorder="1" applyAlignment="1" applyProtection="1">
      <alignment horizontal="right"/>
      <protection locked="0"/>
    </xf>
    <xf numFmtId="168" fontId="3" fillId="3" borderId="7" xfId="0" applyNumberFormat="1" applyFont="1" applyFill="1" applyBorder="1" applyAlignment="1" applyProtection="1">
      <alignment horizontal="right"/>
      <protection locked="0"/>
    </xf>
    <xf numFmtId="168" fontId="3" fillId="3" borderId="49" xfId="0" applyNumberFormat="1" applyFont="1" applyFill="1" applyBorder="1" applyAlignment="1" applyProtection="1">
      <alignment horizontal="right"/>
      <protection locked="0"/>
    </xf>
    <xf numFmtId="166" fontId="3" fillId="0" borderId="7" xfId="1" applyNumberFormat="1" applyFont="1" applyFill="1" applyBorder="1" applyAlignment="1" applyProtection="1">
      <alignment horizontal="right"/>
      <protection locked="0"/>
    </xf>
    <xf numFmtId="166" fontId="3" fillId="0" borderId="9" xfId="1" applyNumberFormat="1" applyFont="1" applyFill="1" applyBorder="1" applyAlignment="1" applyProtection="1">
      <alignment horizontal="right"/>
      <protection locked="0"/>
    </xf>
    <xf numFmtId="168" fontId="3" fillId="0" borderId="10" xfId="0" applyNumberFormat="1" applyFont="1" applyBorder="1" applyAlignment="1" applyProtection="1">
      <alignment horizontal="right"/>
      <protection locked="0"/>
    </xf>
    <xf numFmtId="166" fontId="3" fillId="3" borderId="20" xfId="0" applyNumberFormat="1" applyFont="1" applyFill="1" applyBorder="1" applyAlignment="1" applyProtection="1">
      <alignment horizontal="right"/>
      <protection locked="0"/>
    </xf>
    <xf numFmtId="166" fontId="3" fillId="3" borderId="0" xfId="0" applyNumberFormat="1" applyFont="1" applyFill="1" applyAlignment="1" applyProtection="1">
      <alignment horizontal="right"/>
      <protection locked="0"/>
    </xf>
    <xf numFmtId="166" fontId="3" fillId="3" borderId="43" xfId="0" applyNumberFormat="1" applyFont="1" applyFill="1" applyBorder="1" applyAlignment="1" applyProtection="1">
      <alignment horizontal="right"/>
      <protection locked="0"/>
    </xf>
    <xf numFmtId="3" fontId="3" fillId="3" borderId="43" xfId="0" applyNumberFormat="1" applyFont="1" applyFill="1" applyBorder="1" applyAlignment="1" applyProtection="1">
      <alignment horizontal="right"/>
      <protection locked="0"/>
    </xf>
    <xf numFmtId="168" fontId="3" fillId="3" borderId="43" xfId="0" applyNumberFormat="1" applyFont="1" applyFill="1" applyBorder="1" applyAlignment="1" applyProtection="1">
      <alignment horizontal="right"/>
      <protection locked="0"/>
    </xf>
    <xf numFmtId="168" fontId="3" fillId="3" borderId="10" xfId="0" applyNumberFormat="1" applyFont="1" applyFill="1" applyBorder="1" applyAlignment="1" applyProtection="1">
      <alignment horizontal="right"/>
      <protection locked="0"/>
    </xf>
    <xf numFmtId="166" fontId="3" fillId="0" borderId="43" xfId="1" applyNumberFormat="1" applyFont="1" applyFill="1" applyBorder="1" applyAlignment="1" applyProtection="1">
      <alignment horizontal="right"/>
      <protection locked="0"/>
    </xf>
    <xf numFmtId="2" fontId="3" fillId="3" borderId="4" xfId="0" applyNumberFormat="1" applyFont="1" applyFill="1" applyBorder="1" applyProtection="1">
      <protection locked="0"/>
    </xf>
    <xf numFmtId="3" fontId="3" fillId="3" borderId="4" xfId="1" applyNumberFormat="1" applyFont="1" applyFill="1" applyBorder="1" applyProtection="1">
      <protection locked="0"/>
    </xf>
    <xf numFmtId="164" fontId="3" fillId="3" borderId="4" xfId="0" applyFont="1" applyFill="1" applyBorder="1" applyProtection="1">
      <protection locked="0"/>
    </xf>
    <xf numFmtId="3" fontId="3" fillId="3" borderId="4" xfId="0" applyNumberFormat="1" applyFont="1" applyFill="1" applyBorder="1" applyProtection="1">
      <protection locked="0"/>
    </xf>
    <xf numFmtId="166" fontId="3" fillId="3" borderId="18" xfId="0" applyNumberFormat="1" applyFont="1" applyFill="1" applyBorder="1" applyAlignment="1" applyProtection="1">
      <alignment horizontal="right"/>
      <protection locked="0"/>
    </xf>
    <xf numFmtId="3" fontId="3" fillId="3" borderId="18" xfId="0" applyNumberFormat="1" applyFont="1" applyFill="1" applyBorder="1" applyAlignment="1" applyProtection="1">
      <alignment horizontal="right"/>
      <protection locked="0"/>
    </xf>
    <xf numFmtId="168" fontId="3" fillId="3" borderId="18" xfId="0" applyNumberFormat="1" applyFont="1" applyFill="1" applyBorder="1" applyAlignment="1" applyProtection="1">
      <alignment horizontal="right"/>
      <protection locked="0"/>
    </xf>
    <xf numFmtId="168" fontId="3" fillId="3" borderId="33" xfId="0" applyNumberFormat="1" applyFont="1" applyFill="1" applyBorder="1" applyAlignment="1" applyProtection="1">
      <alignment horizontal="right"/>
      <protection locked="0"/>
    </xf>
    <xf numFmtId="168" fontId="3" fillId="0" borderId="33" xfId="0" applyNumberFormat="1" applyFont="1" applyBorder="1" applyAlignment="1" applyProtection="1">
      <alignment horizontal="right"/>
      <protection locked="0"/>
    </xf>
    <xf numFmtId="168" fontId="3" fillId="3" borderId="32" xfId="0" applyNumberFormat="1" applyFont="1" applyFill="1" applyBorder="1" applyAlignment="1" applyProtection="1">
      <alignment horizontal="right"/>
      <protection locked="0"/>
    </xf>
    <xf numFmtId="164" fontId="3" fillId="3" borderId="11" xfId="0" applyFont="1" applyFill="1" applyBorder="1" applyProtection="1">
      <protection locked="0"/>
    </xf>
    <xf numFmtId="3" fontId="3" fillId="3" borderId="20" xfId="0" applyNumberFormat="1" applyFont="1" applyFill="1" applyBorder="1" applyAlignment="1" applyProtection="1">
      <alignment horizontal="right"/>
      <protection locked="0"/>
    </xf>
    <xf numFmtId="166" fontId="3" fillId="3" borderId="32" xfId="0" applyNumberFormat="1" applyFont="1" applyFill="1" applyBorder="1" applyAlignment="1" applyProtection="1">
      <alignment horizontal="right"/>
      <protection locked="0"/>
    </xf>
    <xf numFmtId="164" fontId="3" fillId="3" borderId="30" xfId="0" applyFont="1" applyFill="1" applyBorder="1" applyAlignment="1" applyProtection="1">
      <alignment horizontal="left"/>
      <protection locked="0"/>
    </xf>
    <xf numFmtId="166" fontId="3" fillId="3" borderId="30" xfId="0" applyNumberFormat="1" applyFont="1" applyFill="1" applyBorder="1" applyAlignment="1" applyProtection="1">
      <alignment horizontal="right"/>
      <protection locked="0"/>
    </xf>
    <xf numFmtId="164" fontId="3" fillId="4" borderId="53" xfId="0" applyFont="1" applyFill="1" applyBorder="1" applyAlignment="1" applyProtection="1">
      <alignment horizontal="left"/>
      <protection locked="0"/>
    </xf>
    <xf numFmtId="164" fontId="3" fillId="4" borderId="37" xfId="0" applyFont="1" applyFill="1" applyBorder="1" applyAlignment="1" applyProtection="1">
      <alignment horizontal="left"/>
      <protection locked="0"/>
    </xf>
    <xf numFmtId="166" fontId="3" fillId="4" borderId="37" xfId="0" applyNumberFormat="1" applyFont="1" applyFill="1" applyBorder="1" applyAlignment="1" applyProtection="1">
      <alignment horizontal="right"/>
      <protection locked="0"/>
    </xf>
    <xf numFmtId="3" fontId="3" fillId="4" borderId="37" xfId="0" applyNumberFormat="1" applyFont="1" applyFill="1" applyBorder="1" applyAlignment="1" applyProtection="1">
      <alignment horizontal="right"/>
      <protection locked="0"/>
    </xf>
    <xf numFmtId="168" fontId="3" fillId="4" borderId="37" xfId="0" applyNumberFormat="1" applyFont="1" applyFill="1" applyBorder="1" applyAlignment="1" applyProtection="1">
      <alignment horizontal="right"/>
      <protection locked="0"/>
    </xf>
    <xf numFmtId="168" fontId="3" fillId="4" borderId="31" xfId="0" applyNumberFormat="1" applyFont="1" applyFill="1" applyBorder="1" applyAlignment="1" applyProtection="1">
      <alignment horizontal="right"/>
      <protection locked="0"/>
    </xf>
    <xf numFmtId="166" fontId="3" fillId="4" borderId="37" xfId="1" applyNumberFormat="1" applyFont="1" applyFill="1" applyBorder="1" applyAlignment="1" applyProtection="1">
      <alignment horizontal="right"/>
      <protection locked="0"/>
    </xf>
    <xf numFmtId="164" fontId="3" fillId="3" borderId="11" xfId="0" quotePrefix="1" applyFont="1" applyFill="1" applyBorder="1" applyAlignment="1" applyProtection="1">
      <alignment horizontal="left"/>
      <protection locked="0"/>
    </xf>
    <xf numFmtId="164" fontId="3" fillId="3" borderId="4" xfId="0" applyFont="1" applyFill="1" applyBorder="1" applyAlignment="1" applyProtection="1">
      <alignment horizontal="left"/>
      <protection locked="0"/>
    </xf>
    <xf numFmtId="166" fontId="3" fillId="3" borderId="11" xfId="0" applyNumberFormat="1" applyFont="1" applyFill="1" applyBorder="1" applyAlignment="1" applyProtection="1">
      <alignment horizontal="right"/>
      <protection locked="0"/>
    </xf>
    <xf numFmtId="3" fontId="3" fillId="3" borderId="11" xfId="0" applyNumberFormat="1" applyFont="1" applyFill="1" applyBorder="1" applyAlignment="1" applyProtection="1">
      <alignment horizontal="right"/>
      <protection locked="0"/>
    </xf>
    <xf numFmtId="168" fontId="3" fillId="3" borderId="11" xfId="0" applyNumberFormat="1" applyFont="1" applyFill="1" applyBorder="1" applyAlignment="1" applyProtection="1">
      <alignment horizontal="right"/>
      <protection locked="0"/>
    </xf>
    <xf numFmtId="166" fontId="3" fillId="3" borderId="25" xfId="1" applyNumberFormat="1" applyFont="1" applyFill="1" applyBorder="1" applyAlignment="1" applyProtection="1">
      <alignment horizontal="right"/>
      <protection locked="0"/>
    </xf>
    <xf numFmtId="168" fontId="3" fillId="3" borderId="25" xfId="0" applyNumberFormat="1" applyFont="1" applyFill="1" applyBorder="1" applyAlignment="1" applyProtection="1">
      <alignment horizontal="right"/>
      <protection locked="0"/>
    </xf>
    <xf numFmtId="3" fontId="3" fillId="0" borderId="30" xfId="0" applyNumberFormat="1" applyFont="1" applyBorder="1"/>
    <xf numFmtId="3" fontId="3" fillId="0" borderId="31" xfId="0" applyNumberFormat="1" applyFont="1" applyBorder="1"/>
    <xf numFmtId="166" fontId="3" fillId="3" borderId="13" xfId="0" applyNumberFormat="1" applyFont="1" applyFill="1" applyBorder="1" applyAlignment="1" applyProtection="1">
      <alignment horizontal="right"/>
      <protection locked="0"/>
    </xf>
    <xf numFmtId="3" fontId="3" fillId="3" borderId="13" xfId="0" applyNumberFormat="1" applyFont="1" applyFill="1" applyBorder="1" applyAlignment="1" applyProtection="1">
      <alignment horizontal="right"/>
      <protection locked="0"/>
    </xf>
    <xf numFmtId="168" fontId="3" fillId="3" borderId="13" xfId="0" applyNumberFormat="1" applyFont="1" applyFill="1" applyBorder="1" applyAlignment="1" applyProtection="1">
      <alignment horizontal="right"/>
      <protection locked="0"/>
    </xf>
    <xf numFmtId="166" fontId="3" fillId="3" borderId="19" xfId="1" applyNumberFormat="1" applyFont="1" applyFill="1" applyBorder="1" applyAlignment="1" applyProtection="1">
      <alignment horizontal="right"/>
      <protection locked="0"/>
    </xf>
    <xf numFmtId="168" fontId="3" fillId="0" borderId="25" xfId="0" applyNumberFormat="1" applyFont="1" applyBorder="1" applyAlignment="1" applyProtection="1">
      <alignment horizontal="right"/>
      <protection locked="0"/>
    </xf>
    <xf numFmtId="168" fontId="3" fillId="3" borderId="19" xfId="0" applyNumberFormat="1" applyFont="1" applyFill="1" applyBorder="1" applyAlignment="1" applyProtection="1">
      <alignment horizontal="right"/>
      <protection locked="0"/>
    </xf>
    <xf numFmtId="2" fontId="3" fillId="3" borderId="30" xfId="0" applyNumberFormat="1" applyFont="1" applyFill="1" applyBorder="1" applyProtection="1">
      <protection locked="0"/>
    </xf>
    <xf numFmtId="164" fontId="3" fillId="4" borderId="11" xfId="0" applyFont="1" applyFill="1" applyBorder="1" applyAlignment="1" applyProtection="1">
      <alignment horizontal="left"/>
      <protection locked="0"/>
    </xf>
    <xf numFmtId="164" fontId="3" fillId="4" borderId="4" xfId="0" applyFont="1" applyFill="1" applyBorder="1" applyAlignment="1" applyProtection="1">
      <alignment horizontal="left"/>
      <protection locked="0"/>
    </xf>
    <xf numFmtId="166" fontId="3" fillId="4" borderId="4" xfId="0" applyNumberFormat="1" applyFont="1" applyFill="1" applyBorder="1" applyProtection="1">
      <protection locked="0"/>
    </xf>
    <xf numFmtId="3" fontId="3" fillId="4" borderId="4" xfId="0" applyNumberFormat="1" applyFont="1" applyFill="1" applyBorder="1" applyProtection="1">
      <protection locked="0"/>
    </xf>
    <xf numFmtId="168" fontId="3" fillId="4" borderId="4" xfId="0" applyNumberFormat="1" applyFont="1" applyFill="1" applyBorder="1" applyProtection="1">
      <protection locked="0"/>
    </xf>
    <xf numFmtId="168" fontId="3" fillId="4" borderId="25" xfId="0" applyNumberFormat="1" applyFont="1" applyFill="1" applyBorder="1" applyProtection="1">
      <protection locked="0"/>
    </xf>
    <xf numFmtId="166" fontId="3" fillId="4" borderId="4" xfId="1" applyNumberFormat="1" applyFont="1" applyFill="1" applyBorder="1" applyProtection="1">
      <protection locked="0"/>
    </xf>
    <xf numFmtId="2" fontId="3" fillId="3" borderId="87" xfId="0" applyNumberFormat="1" applyFont="1" applyFill="1" applyBorder="1" applyProtection="1">
      <protection locked="0"/>
    </xf>
    <xf numFmtId="164" fontId="3" fillId="3" borderId="53" xfId="0" applyFont="1" applyFill="1" applyBorder="1" applyAlignment="1" applyProtection="1">
      <alignment horizontal="left"/>
      <protection locked="0"/>
    </xf>
    <xf numFmtId="164" fontId="3" fillId="3" borderId="31" xfId="0" applyFont="1" applyFill="1" applyBorder="1" applyAlignment="1" applyProtection="1">
      <alignment horizontal="left"/>
      <protection locked="0"/>
    </xf>
    <xf numFmtId="166" fontId="3" fillId="3" borderId="4" xfId="0" applyNumberFormat="1" applyFont="1" applyFill="1" applyBorder="1" applyAlignment="1" applyProtection="1">
      <alignment horizontal="right"/>
      <protection locked="0"/>
    </xf>
    <xf numFmtId="166" fontId="3" fillId="3" borderId="7" xfId="1" applyNumberFormat="1" applyFont="1" applyFill="1" applyBorder="1" applyAlignment="1" applyProtection="1">
      <alignment horizontal="right"/>
      <protection locked="0"/>
    </xf>
    <xf numFmtId="164" fontId="3" fillId="3" borderId="50" xfId="0" applyFont="1" applyFill="1" applyBorder="1" applyAlignment="1" applyProtection="1">
      <alignment horizontal="left"/>
      <protection locked="0"/>
    </xf>
    <xf numFmtId="3" fontId="3" fillId="3" borderId="4" xfId="0" applyNumberFormat="1" applyFont="1" applyFill="1" applyBorder="1" applyAlignment="1" applyProtection="1">
      <alignment horizontal="right"/>
      <protection locked="0"/>
    </xf>
    <xf numFmtId="168" fontId="3" fillId="3" borderId="4" xfId="0" applyNumberFormat="1" applyFont="1" applyFill="1" applyBorder="1" applyAlignment="1" applyProtection="1">
      <alignment horizontal="right"/>
      <protection locked="0"/>
    </xf>
    <xf numFmtId="165" fontId="3" fillId="0" borderId="4" xfId="1" applyNumberFormat="1" applyFont="1" applyFill="1" applyBorder="1" applyAlignment="1" applyProtection="1">
      <alignment horizontal="right"/>
      <protection locked="0"/>
    </xf>
    <xf numFmtId="166" fontId="3" fillId="3" borderId="4" xfId="1" applyNumberFormat="1" applyFont="1" applyFill="1" applyBorder="1" applyAlignment="1" applyProtection="1">
      <alignment horizontal="right"/>
      <protection locked="0"/>
    </xf>
    <xf numFmtId="166" fontId="3" fillId="3" borderId="29" xfId="0" applyNumberFormat="1" applyFont="1" applyFill="1" applyBorder="1" applyAlignment="1" applyProtection="1">
      <alignment horizontal="right"/>
      <protection locked="0"/>
    </xf>
    <xf numFmtId="168" fontId="3" fillId="0" borderId="49" xfId="0" applyNumberFormat="1" applyFont="1" applyBorder="1" applyAlignment="1" applyProtection="1">
      <alignment horizontal="right"/>
      <protection locked="0"/>
    </xf>
    <xf numFmtId="165" fontId="3" fillId="0" borderId="6" xfId="1" applyNumberFormat="1" applyFont="1" applyFill="1" applyBorder="1" applyAlignment="1" applyProtection="1">
      <alignment horizontal="right"/>
      <protection locked="0"/>
    </xf>
    <xf numFmtId="2" fontId="3" fillId="3" borderId="11" xfId="0" applyNumberFormat="1" applyFont="1" applyFill="1" applyBorder="1" applyProtection="1">
      <protection locked="0"/>
    </xf>
    <xf numFmtId="3" fontId="3" fillId="0" borderId="88" xfId="0" applyNumberFormat="1" applyFont="1" applyBorder="1"/>
    <xf numFmtId="3" fontId="3" fillId="0" borderId="89" xfId="0" applyNumberFormat="1" applyFont="1" applyBorder="1"/>
    <xf numFmtId="1" fontId="3" fillId="0" borderId="89" xfId="0" applyNumberFormat="1" applyFont="1" applyBorder="1"/>
    <xf numFmtId="164" fontId="3" fillId="3" borderId="53" xfId="0" quotePrefix="1" applyFont="1" applyFill="1" applyBorder="1" applyAlignment="1" applyProtection="1">
      <alignment horizontal="left"/>
      <protection locked="0"/>
    </xf>
    <xf numFmtId="166" fontId="3" fillId="0" borderId="25" xfId="1" applyNumberFormat="1" applyFont="1" applyFill="1" applyBorder="1" applyAlignment="1" applyProtection="1">
      <alignment horizontal="right"/>
      <protection locked="0"/>
    </xf>
    <xf numFmtId="3" fontId="3" fillId="3" borderId="30" xfId="0" applyNumberFormat="1" applyFont="1" applyFill="1" applyBorder="1" applyAlignment="1" applyProtection="1">
      <alignment horizontal="right"/>
      <protection locked="0"/>
    </xf>
    <xf numFmtId="168" fontId="3" fillId="3" borderId="30" xfId="0" applyNumberFormat="1" applyFont="1" applyFill="1" applyBorder="1" applyAlignment="1" applyProtection="1">
      <alignment horizontal="right"/>
      <protection locked="0"/>
    </xf>
    <xf numFmtId="164" fontId="3" fillId="3" borderId="13" xfId="0" quotePrefix="1" applyFont="1" applyFill="1" applyBorder="1" applyAlignment="1" applyProtection="1">
      <alignment horizontal="left"/>
      <protection locked="0"/>
    </xf>
    <xf numFmtId="164" fontId="3" fillId="3" borderId="0" xfId="0" applyFont="1" applyFill="1" applyAlignment="1" applyProtection="1">
      <alignment horizontal="left"/>
      <protection locked="0"/>
    </xf>
    <xf numFmtId="3" fontId="3" fillId="3" borderId="32" xfId="0" applyNumberFormat="1" applyFont="1" applyFill="1" applyBorder="1" applyAlignment="1" applyProtection="1">
      <alignment horizontal="right"/>
      <protection locked="0"/>
    </xf>
    <xf numFmtId="166" fontId="3" fillId="3" borderId="32" xfId="1" applyNumberFormat="1" applyFont="1" applyFill="1" applyBorder="1" applyAlignment="1" applyProtection="1">
      <alignment horizontal="right"/>
      <protection locked="0"/>
    </xf>
    <xf numFmtId="165" fontId="3" fillId="0" borderId="25" xfId="1" applyNumberFormat="1" applyFont="1" applyFill="1" applyBorder="1" applyAlignment="1" applyProtection="1">
      <alignment horizontal="right"/>
      <protection locked="0"/>
    </xf>
    <xf numFmtId="165" fontId="3" fillId="0" borderId="19" xfId="1" applyNumberFormat="1" applyFont="1" applyFill="1" applyBorder="1" applyAlignment="1" applyProtection="1">
      <alignment horizontal="right"/>
      <protection locked="0"/>
    </xf>
    <xf numFmtId="168" fontId="3" fillId="0" borderId="32" xfId="0" applyNumberFormat="1" applyFont="1" applyBorder="1" applyAlignment="1" applyProtection="1">
      <alignment horizontal="right"/>
      <protection locked="0"/>
    </xf>
    <xf numFmtId="164" fontId="3" fillId="3" borderId="2" xfId="0" applyFont="1" applyFill="1" applyBorder="1" applyProtection="1">
      <protection locked="0"/>
    </xf>
    <xf numFmtId="166" fontId="3" fillId="3" borderId="27" xfId="0" applyNumberFormat="1" applyFont="1" applyFill="1" applyBorder="1" applyAlignment="1" applyProtection="1">
      <alignment horizontal="right"/>
      <protection locked="0"/>
    </xf>
    <xf numFmtId="166" fontId="3" fillId="3" borderId="59" xfId="0" applyNumberFormat="1" applyFont="1" applyFill="1" applyBorder="1" applyAlignment="1" applyProtection="1">
      <alignment horizontal="right"/>
      <protection locked="0"/>
    </xf>
    <xf numFmtId="3" fontId="3" fillId="3" borderId="59" xfId="0" applyNumberFormat="1" applyFont="1" applyFill="1" applyBorder="1" applyAlignment="1" applyProtection="1">
      <alignment horizontal="right"/>
      <protection locked="0"/>
    </xf>
    <xf numFmtId="168" fontId="3" fillId="3" borderId="59" xfId="0" applyNumberFormat="1" applyFont="1" applyFill="1" applyBorder="1" applyAlignment="1" applyProtection="1">
      <alignment horizontal="right"/>
      <protection locked="0"/>
    </xf>
    <xf numFmtId="168" fontId="3" fillId="0" borderId="72" xfId="0" applyNumberFormat="1" applyFont="1" applyBorder="1" applyAlignment="1" applyProtection="1">
      <alignment horizontal="right"/>
      <protection locked="0"/>
    </xf>
    <xf numFmtId="165" fontId="3" fillId="0" borderId="2" xfId="1" applyNumberFormat="1" applyFont="1" applyFill="1" applyBorder="1" applyAlignment="1" applyProtection="1">
      <alignment horizontal="right"/>
      <protection locked="0"/>
    </xf>
    <xf numFmtId="166" fontId="3" fillId="3" borderId="59" xfId="1" applyNumberFormat="1" applyFont="1" applyFill="1" applyBorder="1" applyAlignment="1" applyProtection="1">
      <alignment horizontal="right"/>
      <protection locked="0"/>
    </xf>
    <xf numFmtId="168" fontId="3" fillId="3" borderId="36" xfId="0" applyNumberFormat="1" applyFont="1" applyFill="1" applyBorder="1" applyAlignment="1" applyProtection="1">
      <alignment horizontal="right"/>
      <protection locked="0"/>
    </xf>
    <xf numFmtId="2" fontId="3" fillId="3" borderId="1" xfId="0" applyNumberFormat="1" applyFont="1" applyFill="1" applyBorder="1" applyProtection="1">
      <protection locked="0"/>
    </xf>
    <xf numFmtId="164" fontId="3" fillId="3" borderId="1" xfId="0" applyFont="1" applyFill="1" applyBorder="1" applyProtection="1">
      <protection locked="0"/>
    </xf>
    <xf numFmtId="3" fontId="3" fillId="3" borderId="25" xfId="0" applyNumberFormat="1" applyFont="1" applyFill="1" applyBorder="1" applyAlignment="1" applyProtection="1">
      <alignment horizontal="center"/>
      <protection locked="0"/>
    </xf>
    <xf numFmtId="164" fontId="3" fillId="3" borderId="3" xfId="0" applyFont="1" applyFill="1" applyBorder="1" applyAlignment="1" applyProtection="1">
      <alignment horizontal="left"/>
      <protection locked="0"/>
    </xf>
    <xf numFmtId="166" fontId="3" fillId="3" borderId="19" xfId="0" applyNumberFormat="1" applyFont="1" applyFill="1" applyBorder="1" applyAlignment="1" applyProtection="1">
      <alignment horizontal="center"/>
      <protection locked="0"/>
    </xf>
    <xf numFmtId="3" fontId="3" fillId="3" borderId="19" xfId="0" applyNumberFormat="1" applyFont="1" applyFill="1" applyBorder="1" applyAlignment="1" applyProtection="1">
      <alignment horizontal="center"/>
      <protection locked="0"/>
    </xf>
    <xf numFmtId="166" fontId="3" fillId="3" borderId="19" xfId="1" applyNumberFormat="1" applyFont="1" applyFill="1" applyBorder="1" applyAlignment="1" applyProtection="1">
      <alignment horizontal="center"/>
      <protection locked="0"/>
    </xf>
    <xf numFmtId="166" fontId="3" fillId="3" borderId="25" xfId="0" applyNumberFormat="1" applyFont="1" applyFill="1" applyBorder="1" applyAlignment="1" applyProtection="1">
      <alignment horizontal="right"/>
      <protection locked="0"/>
    </xf>
    <xf numFmtId="3" fontId="3" fillId="3" borderId="25" xfId="0" applyNumberFormat="1" applyFont="1" applyFill="1" applyBorder="1" applyAlignment="1" applyProtection="1">
      <alignment horizontal="right"/>
      <protection locked="0"/>
    </xf>
    <xf numFmtId="164" fontId="3" fillId="3" borderId="2" xfId="0" applyFont="1" applyFill="1" applyBorder="1" applyAlignment="1" applyProtection="1">
      <alignment horizontal="left"/>
      <protection locked="0"/>
    </xf>
    <xf numFmtId="3" fontId="3" fillId="3" borderId="27" xfId="0" applyNumberFormat="1" applyFont="1" applyFill="1" applyBorder="1" applyAlignment="1" applyProtection="1">
      <alignment horizontal="right"/>
      <protection locked="0"/>
    </xf>
    <xf numFmtId="168" fontId="3" fillId="3" borderId="27" xfId="0" applyNumberFormat="1" applyFont="1" applyFill="1" applyBorder="1" applyAlignment="1" applyProtection="1">
      <alignment horizontal="right"/>
      <protection locked="0"/>
    </xf>
    <xf numFmtId="166" fontId="3" fillId="3" borderId="27" xfId="1" applyNumberFormat="1" applyFont="1" applyFill="1" applyBorder="1" applyAlignment="1" applyProtection="1">
      <alignment horizontal="right"/>
      <protection locked="0"/>
    </xf>
    <xf numFmtId="166" fontId="3" fillId="3" borderId="2" xfId="0" applyNumberFormat="1" applyFont="1" applyFill="1" applyBorder="1" applyAlignment="1" applyProtection="1">
      <alignment horizontal="right"/>
      <protection locked="0"/>
    </xf>
    <xf numFmtId="3" fontId="3" fillId="3" borderId="2" xfId="0" applyNumberFormat="1" applyFont="1" applyFill="1" applyBorder="1" applyAlignment="1" applyProtection="1">
      <alignment horizontal="right"/>
      <protection locked="0"/>
    </xf>
    <xf numFmtId="166" fontId="3" fillId="3" borderId="2" xfId="1" applyNumberFormat="1" applyFont="1" applyFill="1" applyBorder="1" applyAlignment="1" applyProtection="1">
      <alignment horizontal="right"/>
      <protection locked="0"/>
    </xf>
    <xf numFmtId="166" fontId="3" fillId="3" borderId="19" xfId="0" applyNumberFormat="1" applyFont="1" applyFill="1" applyBorder="1" applyAlignment="1" applyProtection="1">
      <alignment horizontal="right"/>
      <protection locked="0"/>
    </xf>
    <xf numFmtId="3" fontId="3" fillId="3" borderId="19" xfId="0" applyNumberFormat="1" applyFont="1" applyFill="1" applyBorder="1" applyAlignment="1" applyProtection="1">
      <alignment horizontal="right"/>
      <protection locked="0"/>
    </xf>
    <xf numFmtId="166" fontId="3" fillId="3" borderId="31" xfId="0" applyNumberFormat="1" applyFont="1" applyFill="1" applyBorder="1" applyAlignment="1" applyProtection="1">
      <alignment horizontal="right"/>
      <protection locked="0"/>
    </xf>
    <xf numFmtId="3" fontId="3" fillId="3" borderId="31" xfId="0" applyNumberFormat="1" applyFont="1" applyFill="1" applyBorder="1" applyAlignment="1" applyProtection="1">
      <alignment horizontal="right"/>
      <protection locked="0"/>
    </xf>
    <xf numFmtId="168" fontId="3" fillId="3" borderId="31" xfId="0" applyNumberFormat="1" applyFont="1" applyFill="1" applyBorder="1" applyAlignment="1" applyProtection="1">
      <alignment horizontal="right"/>
      <protection locked="0"/>
    </xf>
    <xf numFmtId="166" fontId="3" fillId="3" borderId="31" xfId="1" applyNumberFormat="1" applyFont="1" applyFill="1" applyBorder="1" applyAlignment="1" applyProtection="1">
      <alignment horizontal="right"/>
      <protection locked="0"/>
    </xf>
    <xf numFmtId="164" fontId="3" fillId="3" borderId="37" xfId="0" applyFont="1" applyFill="1" applyBorder="1" applyProtection="1">
      <protection locked="0"/>
    </xf>
    <xf numFmtId="168" fontId="3" fillId="0" borderId="19" xfId="0" applyNumberFormat="1" applyFont="1" applyBorder="1" applyAlignment="1" applyProtection="1">
      <alignment horizontal="right"/>
      <protection locked="0"/>
    </xf>
    <xf numFmtId="166" fontId="3" fillId="3" borderId="43" xfId="1" applyNumberFormat="1" applyFont="1" applyFill="1" applyBorder="1" applyAlignment="1" applyProtection="1">
      <alignment horizontal="right"/>
      <protection locked="0"/>
    </xf>
    <xf numFmtId="164" fontId="3" fillId="2" borderId="19" xfId="0" applyFont="1" applyFill="1" applyBorder="1" applyProtection="1">
      <protection locked="0"/>
    </xf>
    <xf numFmtId="166" fontId="3" fillId="2" borderId="20" xfId="1" applyNumberFormat="1" applyFont="1" applyFill="1" applyBorder="1" applyAlignment="1" applyProtection="1">
      <alignment horizontal="right"/>
      <protection locked="0"/>
    </xf>
    <xf numFmtId="164" fontId="3" fillId="2" borderId="13" xfId="0" applyFont="1" applyFill="1" applyBorder="1" applyProtection="1">
      <protection locked="0"/>
    </xf>
    <xf numFmtId="166" fontId="3" fillId="3" borderId="18" xfId="1" applyNumberFormat="1" applyFont="1" applyFill="1" applyBorder="1" applyAlignment="1" applyProtection="1">
      <alignment horizontal="right"/>
      <protection locked="0"/>
    </xf>
    <xf numFmtId="166" fontId="3" fillId="3" borderId="9" xfId="1" applyNumberFormat="1" applyFont="1" applyFill="1" applyBorder="1" applyAlignment="1" applyProtection="1">
      <alignment horizontal="right"/>
      <protection locked="0"/>
    </xf>
    <xf numFmtId="164" fontId="3" fillId="2" borderId="11" xfId="0" applyFont="1" applyFill="1" applyBorder="1" applyProtection="1">
      <protection locked="0"/>
    </xf>
    <xf numFmtId="164" fontId="3" fillId="2" borderId="25" xfId="0" applyFont="1" applyFill="1" applyBorder="1" applyProtection="1">
      <protection locked="0"/>
    </xf>
    <xf numFmtId="166" fontId="3" fillId="3" borderId="44" xfId="1" applyNumberFormat="1" applyFont="1" applyFill="1" applyBorder="1" applyAlignment="1" applyProtection="1">
      <alignment horizontal="right"/>
      <protection locked="0"/>
    </xf>
    <xf numFmtId="166" fontId="3" fillId="3" borderId="20" xfId="1" applyNumberFormat="1" applyFont="1" applyFill="1" applyBorder="1" applyAlignment="1" applyProtection="1">
      <alignment horizontal="right"/>
      <protection locked="0"/>
    </xf>
    <xf numFmtId="164" fontId="3" fillId="4" borderId="13" xfId="0" applyFont="1" applyFill="1" applyBorder="1" applyAlignment="1" applyProtection="1">
      <alignment horizontal="left"/>
      <protection locked="0"/>
    </xf>
    <xf numFmtId="164" fontId="3" fillId="4" borderId="2" xfId="0" applyFont="1" applyFill="1" applyBorder="1" applyAlignment="1" applyProtection="1">
      <alignment horizontal="left"/>
      <protection locked="0"/>
    </xf>
    <xf numFmtId="166" fontId="3" fillId="4" borderId="0" xfId="0" applyNumberFormat="1" applyFont="1" applyFill="1" applyAlignment="1" applyProtection="1">
      <alignment horizontal="right"/>
      <protection locked="0"/>
    </xf>
    <xf numFmtId="166" fontId="3" fillId="4" borderId="27" xfId="0" applyNumberFormat="1" applyFont="1" applyFill="1" applyBorder="1" applyAlignment="1" applyProtection="1">
      <alignment horizontal="right"/>
      <protection locked="0"/>
    </xf>
    <xf numFmtId="3" fontId="3" fillId="4" borderId="27" xfId="0" applyNumberFormat="1" applyFont="1" applyFill="1" applyBorder="1" applyAlignment="1" applyProtection="1">
      <alignment horizontal="right"/>
      <protection locked="0"/>
    </xf>
    <xf numFmtId="168" fontId="3" fillId="4" borderId="27" xfId="0" applyNumberFormat="1" applyFont="1" applyFill="1" applyBorder="1" applyAlignment="1" applyProtection="1">
      <alignment horizontal="right"/>
      <protection locked="0"/>
    </xf>
    <xf numFmtId="166" fontId="3" fillId="4" borderId="27" xfId="1" applyNumberFormat="1" applyFont="1" applyFill="1" applyBorder="1" applyAlignment="1" applyProtection="1">
      <alignment horizontal="right"/>
      <protection locked="0"/>
    </xf>
    <xf numFmtId="166" fontId="3" fillId="4" borderId="19" xfId="1" applyNumberFormat="1" applyFont="1" applyFill="1" applyBorder="1" applyAlignment="1" applyProtection="1">
      <alignment horizontal="right"/>
      <protection locked="0"/>
    </xf>
    <xf numFmtId="2" fontId="3" fillId="3" borderId="3" xfId="0" applyNumberFormat="1" applyFont="1" applyFill="1" applyBorder="1" applyProtection="1">
      <protection locked="0"/>
    </xf>
    <xf numFmtId="3" fontId="3" fillId="3" borderId="1" xfId="0" applyNumberFormat="1" applyFont="1" applyFill="1" applyBorder="1" applyProtection="1">
      <protection locked="0"/>
    </xf>
    <xf numFmtId="3" fontId="3" fillId="3" borderId="1" xfId="1" applyNumberFormat="1" applyFont="1" applyFill="1" applyBorder="1" applyProtection="1">
      <protection locked="0"/>
    </xf>
    <xf numFmtId="164" fontId="3" fillId="4" borderId="19" xfId="0" applyFont="1" applyFill="1" applyBorder="1" applyAlignment="1" applyProtection="1">
      <alignment horizontal="left"/>
      <protection locked="0"/>
    </xf>
    <xf numFmtId="166" fontId="3" fillId="4" borderId="20" xfId="0" applyNumberFormat="1" applyFont="1" applyFill="1" applyBorder="1" applyAlignment="1" applyProtection="1">
      <alignment horizontal="right"/>
      <protection locked="0"/>
    </xf>
    <xf numFmtId="3" fontId="3" fillId="4" borderId="20" xfId="0" applyNumberFormat="1" applyFont="1" applyFill="1" applyBorder="1" applyAlignment="1" applyProtection="1">
      <alignment horizontal="right"/>
      <protection locked="0"/>
    </xf>
    <xf numFmtId="168" fontId="3" fillId="4" borderId="20" xfId="0" applyNumberFormat="1" applyFont="1" applyFill="1" applyBorder="1" applyAlignment="1" applyProtection="1">
      <alignment horizontal="right"/>
      <protection locked="0"/>
    </xf>
    <xf numFmtId="166" fontId="3" fillId="4" borderId="20" xfId="1" applyNumberFormat="1" applyFont="1" applyFill="1" applyBorder="1" applyAlignment="1" applyProtection="1">
      <alignment horizontal="right"/>
      <protection locked="0"/>
    </xf>
    <xf numFmtId="166" fontId="3" fillId="3" borderId="44" xfId="0" applyNumberFormat="1" applyFont="1" applyFill="1" applyBorder="1" applyAlignment="1" applyProtection="1">
      <alignment horizontal="right"/>
      <protection locked="0"/>
    </xf>
    <xf numFmtId="166" fontId="3" fillId="3" borderId="9" xfId="0" applyNumberFormat="1" applyFont="1" applyFill="1" applyBorder="1" applyAlignment="1" applyProtection="1">
      <alignment horizontal="right"/>
      <protection locked="0"/>
    </xf>
    <xf numFmtId="3" fontId="3" fillId="3" borderId="9" xfId="0" applyNumberFormat="1" applyFont="1" applyFill="1" applyBorder="1" applyAlignment="1" applyProtection="1">
      <alignment horizontal="right"/>
      <protection locked="0"/>
    </xf>
    <xf numFmtId="168" fontId="3" fillId="3" borderId="9" xfId="0" applyNumberFormat="1" applyFont="1" applyFill="1" applyBorder="1" applyAlignment="1" applyProtection="1">
      <alignment horizontal="right"/>
      <protection locked="0"/>
    </xf>
    <xf numFmtId="165" fontId="3" fillId="0" borderId="0" xfId="1" applyNumberFormat="1" applyFont="1" applyFill="1" applyBorder="1" applyAlignment="1" applyProtection="1">
      <alignment horizontal="right"/>
      <protection locked="0"/>
    </xf>
    <xf numFmtId="164" fontId="3" fillId="3" borderId="5" xfId="0" applyFont="1" applyFill="1" applyBorder="1" applyAlignment="1" applyProtection="1">
      <alignment horizontal="left"/>
      <protection locked="0"/>
    </xf>
    <xf numFmtId="2" fontId="3" fillId="3" borderId="88" xfId="0" applyNumberFormat="1" applyFont="1" applyFill="1" applyBorder="1" applyProtection="1">
      <protection locked="0"/>
    </xf>
    <xf numFmtId="165" fontId="3" fillId="0" borderId="37" xfId="1" applyNumberFormat="1" applyFont="1" applyFill="1" applyBorder="1" applyAlignment="1" applyProtection="1">
      <alignment horizontal="right"/>
      <protection locked="0"/>
    </xf>
    <xf numFmtId="164" fontId="3" fillId="3" borderId="26" xfId="0" applyFont="1" applyFill="1" applyBorder="1" applyAlignment="1" applyProtection="1">
      <alignment horizontal="left"/>
      <protection locked="0"/>
    </xf>
    <xf numFmtId="164" fontId="3" fillId="3" borderId="28" xfId="0" applyFont="1" applyFill="1" applyBorder="1" applyAlignment="1" applyProtection="1">
      <alignment horizontal="left"/>
      <protection locked="0"/>
    </xf>
    <xf numFmtId="166" fontId="3" fillId="0" borderId="9" xfId="0" applyNumberFormat="1" applyFont="1" applyBorder="1" applyAlignment="1" applyProtection="1">
      <alignment horizontal="right"/>
      <protection locked="0"/>
    </xf>
    <xf numFmtId="166" fontId="7" fillId="3" borderId="29" xfId="0" applyNumberFormat="1" applyFont="1" applyFill="1" applyBorder="1" applyAlignment="1" applyProtection="1">
      <alignment horizontal="right"/>
      <protection locked="0"/>
    </xf>
    <xf numFmtId="166" fontId="7" fillId="0" borderId="29" xfId="0" applyNumberFormat="1" applyFont="1" applyBorder="1" applyAlignment="1" applyProtection="1">
      <alignment horizontal="right"/>
      <protection locked="0"/>
    </xf>
    <xf numFmtId="164" fontId="3" fillId="3" borderId="75" xfId="0" applyFont="1" applyFill="1" applyBorder="1" applyAlignment="1" applyProtection="1">
      <alignment horizontal="left"/>
      <protection locked="0"/>
    </xf>
    <xf numFmtId="164" fontId="3" fillId="3" borderId="90" xfId="0" applyFont="1" applyFill="1" applyBorder="1" applyAlignment="1" applyProtection="1">
      <alignment horizontal="left"/>
      <protection locked="0"/>
    </xf>
    <xf numFmtId="164" fontId="3" fillId="3" borderId="78" xfId="0" applyFont="1" applyFill="1" applyBorder="1" applyAlignment="1" applyProtection="1">
      <alignment horizontal="left"/>
      <protection locked="0"/>
    </xf>
    <xf numFmtId="166" fontId="3" fillId="4" borderId="4" xfId="0" applyNumberFormat="1" applyFont="1" applyFill="1" applyBorder="1" applyAlignment="1" applyProtection="1">
      <alignment horizontal="right"/>
      <protection locked="0"/>
    </xf>
    <xf numFmtId="3" fontId="3" fillId="4" borderId="4" xfId="0" applyNumberFormat="1" applyFont="1" applyFill="1" applyBorder="1" applyAlignment="1" applyProtection="1">
      <alignment horizontal="right"/>
      <protection locked="0"/>
    </xf>
    <xf numFmtId="168" fontId="3" fillId="4" borderId="4" xfId="0" applyNumberFormat="1" applyFont="1" applyFill="1" applyBorder="1" applyAlignment="1" applyProtection="1">
      <alignment horizontal="right"/>
      <protection locked="0"/>
    </xf>
    <xf numFmtId="168" fontId="3" fillId="4" borderId="25" xfId="0" applyNumberFormat="1" applyFont="1" applyFill="1" applyBorder="1" applyAlignment="1" applyProtection="1">
      <alignment horizontal="right"/>
      <protection locked="0"/>
    </xf>
    <xf numFmtId="166" fontId="3" fillId="4" borderId="4" xfId="1" applyNumberFormat="1" applyFont="1" applyFill="1" applyBorder="1" applyAlignment="1" applyProtection="1">
      <alignment horizontal="right"/>
      <protection locked="0"/>
    </xf>
    <xf numFmtId="164" fontId="3" fillId="3" borderId="45" xfId="0" applyFont="1" applyFill="1" applyBorder="1" applyAlignment="1" applyProtection="1">
      <alignment horizontal="left"/>
      <protection locked="0"/>
    </xf>
    <xf numFmtId="166" fontId="3" fillId="3" borderId="37" xfId="0" applyNumberFormat="1" applyFont="1" applyFill="1" applyBorder="1" applyAlignment="1" applyProtection="1">
      <alignment horizontal="right"/>
      <protection locked="0"/>
    </xf>
    <xf numFmtId="166" fontId="3" fillId="3" borderId="34" xfId="0" applyNumberFormat="1" applyFont="1" applyFill="1" applyBorder="1" applyAlignment="1" applyProtection="1">
      <alignment horizontal="right"/>
      <protection locked="0"/>
    </xf>
    <xf numFmtId="3" fontId="3" fillId="3" borderId="34" xfId="0" applyNumberFormat="1" applyFont="1" applyFill="1" applyBorder="1" applyAlignment="1" applyProtection="1">
      <alignment horizontal="right"/>
      <protection locked="0"/>
    </xf>
    <xf numFmtId="168" fontId="3" fillId="3" borderId="34" xfId="0" applyNumberFormat="1" applyFont="1" applyFill="1" applyBorder="1" applyAlignment="1" applyProtection="1">
      <alignment horizontal="right"/>
      <protection locked="0"/>
    </xf>
    <xf numFmtId="166" fontId="3" fillId="3" borderId="34" xfId="1" applyNumberFormat="1" applyFont="1" applyFill="1" applyBorder="1" applyAlignment="1" applyProtection="1">
      <alignment horizontal="right"/>
      <protection locked="0"/>
    </xf>
    <xf numFmtId="168" fontId="3" fillId="0" borderId="36" xfId="0" applyNumberFormat="1" applyFont="1" applyBorder="1" applyAlignment="1" applyProtection="1">
      <alignment horizontal="right"/>
      <protection locked="0"/>
    </xf>
    <xf numFmtId="164" fontId="3" fillId="3" borderId="27" xfId="0" applyFont="1" applyFill="1" applyBorder="1" applyProtection="1">
      <protection locked="0"/>
    </xf>
    <xf numFmtId="165" fontId="3" fillId="0" borderId="4" xfId="1" applyNumberFormat="1" applyFont="1" applyFill="1" applyBorder="1" applyAlignment="1" applyProtection="1">
      <alignment horizontal="center"/>
      <protection locked="0"/>
    </xf>
    <xf numFmtId="164" fontId="4" fillId="3" borderId="53" xfId="0" applyFont="1" applyFill="1" applyBorder="1" applyAlignment="1" applyProtection="1">
      <alignment horizontal="left"/>
      <protection locked="0"/>
    </xf>
    <xf numFmtId="164" fontId="3" fillId="3" borderId="37" xfId="0" applyFont="1" applyFill="1" applyBorder="1" applyAlignment="1" applyProtection="1">
      <alignment horizontal="left"/>
      <protection locked="0"/>
    </xf>
    <xf numFmtId="166" fontId="3" fillId="3" borderId="30" xfId="1" applyNumberFormat="1" applyFont="1" applyFill="1" applyBorder="1" applyAlignment="1" applyProtection="1">
      <alignment horizontal="right"/>
      <protection locked="0"/>
    </xf>
    <xf numFmtId="2" fontId="3" fillId="3" borderId="31" xfId="0" applyNumberFormat="1" applyFont="1" applyFill="1" applyBorder="1" applyProtection="1">
      <protection locked="0"/>
    </xf>
    <xf numFmtId="165" fontId="3" fillId="0" borderId="4" xfId="1" applyNumberFormat="1" applyFont="1" applyFill="1" applyBorder="1" applyProtection="1">
      <protection locked="0"/>
    </xf>
    <xf numFmtId="164" fontId="3" fillId="3" borderId="25" xfId="0" applyFont="1" applyFill="1" applyBorder="1" applyProtection="1">
      <protection locked="0"/>
    </xf>
    <xf numFmtId="164" fontId="3" fillId="3" borderId="50" xfId="0" applyFont="1" applyFill="1" applyBorder="1" applyProtection="1">
      <protection locked="0"/>
    </xf>
    <xf numFmtId="3" fontId="3" fillId="3" borderId="0" xfId="0" applyNumberFormat="1" applyFont="1" applyFill="1" applyAlignment="1" applyProtection="1">
      <alignment horizontal="right"/>
      <protection locked="0"/>
    </xf>
    <xf numFmtId="168" fontId="3" fillId="3" borderId="0" xfId="0" applyNumberFormat="1" applyFont="1" applyFill="1" applyAlignment="1" applyProtection="1">
      <alignment horizontal="right"/>
      <protection locked="0"/>
    </xf>
    <xf numFmtId="166" fontId="3" fillId="3" borderId="0" xfId="1" applyNumberFormat="1" applyFont="1" applyFill="1" applyBorder="1" applyAlignment="1" applyProtection="1">
      <alignment horizontal="right"/>
      <protection locked="0"/>
    </xf>
    <xf numFmtId="164" fontId="3" fillId="4" borderId="3" xfId="0" applyFont="1" applyFill="1" applyBorder="1" applyAlignment="1" applyProtection="1">
      <alignment horizontal="left"/>
      <protection locked="0"/>
    </xf>
    <xf numFmtId="164" fontId="3" fillId="4" borderId="53" xfId="0" quotePrefix="1" applyFont="1" applyFill="1" applyBorder="1" applyAlignment="1" applyProtection="1">
      <alignment horizontal="left"/>
      <protection locked="0"/>
    </xf>
    <xf numFmtId="164" fontId="3" fillId="4" borderId="50" xfId="0" applyFont="1" applyFill="1" applyBorder="1" applyAlignment="1" applyProtection="1">
      <alignment horizontal="left"/>
      <protection locked="0"/>
    </xf>
    <xf numFmtId="3" fontId="3" fillId="0" borderId="6" xfId="1" applyNumberFormat="1" applyFont="1" applyFill="1" applyBorder="1" applyAlignment="1" applyProtection="1">
      <alignment horizontal="right"/>
      <protection locked="0"/>
    </xf>
    <xf numFmtId="166" fontId="3" fillId="3" borderId="49" xfId="1" applyNumberFormat="1" applyFont="1" applyFill="1" applyBorder="1" applyAlignment="1" applyProtection="1">
      <alignment horizontal="right"/>
      <protection locked="0"/>
    </xf>
    <xf numFmtId="3" fontId="3" fillId="4" borderId="31" xfId="0" applyNumberFormat="1" applyFont="1" applyFill="1" applyBorder="1" applyAlignment="1" applyProtection="1">
      <alignment horizontal="right"/>
      <protection locked="0"/>
    </xf>
    <xf numFmtId="164" fontId="3" fillId="3" borderId="3" xfId="0" quotePrefix="1" applyFont="1" applyFill="1" applyBorder="1" applyAlignment="1" applyProtection="1">
      <alignment horizontal="left"/>
      <protection locked="0"/>
    </xf>
    <xf numFmtId="166" fontId="3" fillId="3" borderId="27" xfId="0" applyNumberFormat="1" applyFont="1" applyFill="1" applyBorder="1" applyProtection="1">
      <protection locked="0"/>
    </xf>
    <xf numFmtId="168" fontId="3" fillId="3" borderId="27" xfId="0" applyNumberFormat="1" applyFont="1" applyFill="1" applyBorder="1" applyProtection="1">
      <protection locked="0"/>
    </xf>
    <xf numFmtId="164" fontId="3" fillId="0" borderId="2" xfId="0" applyFont="1" applyBorder="1" applyProtection="1">
      <protection locked="0"/>
    </xf>
    <xf numFmtId="166" fontId="3" fillId="3" borderId="41" xfId="0" applyNumberFormat="1" applyFont="1" applyFill="1" applyBorder="1" applyAlignment="1" applyProtection="1">
      <alignment horizontal="right"/>
      <protection locked="0"/>
    </xf>
    <xf numFmtId="168" fontId="3" fillId="3" borderId="42" xfId="0" applyNumberFormat="1" applyFont="1" applyFill="1" applyBorder="1" applyAlignment="1" applyProtection="1">
      <alignment horizontal="right"/>
      <protection locked="0"/>
    </xf>
    <xf numFmtId="3" fontId="3" fillId="0" borderId="19" xfId="1" applyNumberFormat="1" applyFont="1" applyFill="1" applyBorder="1" applyAlignment="1" applyProtection="1">
      <alignment horizontal="right"/>
      <protection locked="0"/>
    </xf>
    <xf numFmtId="164" fontId="3" fillId="3" borderId="3" xfId="0" applyFont="1" applyFill="1" applyBorder="1" applyProtection="1">
      <protection locked="0"/>
    </xf>
    <xf numFmtId="166" fontId="3" fillId="3" borderId="3" xfId="0" applyNumberFormat="1" applyFont="1" applyFill="1" applyBorder="1" applyProtection="1">
      <protection locked="0"/>
    </xf>
    <xf numFmtId="168" fontId="3" fillId="3" borderId="2" xfId="0" applyNumberFormat="1" applyFont="1" applyFill="1" applyBorder="1" applyProtection="1">
      <protection locked="0"/>
    </xf>
    <xf numFmtId="164" fontId="3" fillId="0" borderId="1" xfId="0" applyFont="1" applyBorder="1" applyProtection="1">
      <protection locked="0"/>
    </xf>
    <xf numFmtId="166" fontId="3" fillId="3" borderId="2" xfId="0" applyNumberFormat="1" applyFont="1" applyFill="1" applyBorder="1" applyProtection="1">
      <protection locked="0"/>
    </xf>
    <xf numFmtId="3" fontId="3" fillId="3" borderId="37" xfId="0" applyNumberFormat="1" applyFont="1" applyFill="1" applyBorder="1" applyAlignment="1" applyProtection="1">
      <alignment horizontal="right"/>
      <protection locked="0"/>
    </xf>
    <xf numFmtId="168" fontId="3" fillId="3" borderId="37" xfId="0" applyNumberFormat="1" applyFont="1" applyFill="1" applyBorder="1" applyAlignment="1" applyProtection="1">
      <alignment horizontal="right"/>
      <protection locked="0"/>
    </xf>
    <xf numFmtId="166" fontId="3" fillId="3" borderId="37" xfId="1" applyNumberFormat="1" applyFont="1" applyFill="1" applyBorder="1" applyAlignment="1" applyProtection="1">
      <alignment horizontal="right"/>
      <protection locked="0"/>
    </xf>
    <xf numFmtId="2" fontId="3" fillId="3" borderId="25" xfId="0" applyNumberFormat="1" applyFont="1" applyFill="1" applyBorder="1" applyProtection="1">
      <protection locked="0"/>
    </xf>
    <xf numFmtId="168" fontId="3" fillId="3" borderId="87" xfId="0" applyNumberFormat="1" applyFont="1" applyFill="1" applyBorder="1" applyAlignment="1" applyProtection="1">
      <alignment horizontal="right"/>
      <protection locked="0"/>
    </xf>
    <xf numFmtId="3" fontId="3" fillId="3" borderId="92" xfId="0" applyNumberFormat="1" applyFont="1" applyFill="1" applyBorder="1" applyAlignment="1" applyProtection="1">
      <alignment horizontal="right"/>
      <protection locked="0"/>
    </xf>
    <xf numFmtId="3" fontId="3" fillId="3" borderId="91" xfId="0" applyNumberFormat="1" applyFont="1" applyFill="1" applyBorder="1" applyAlignment="1" applyProtection="1">
      <alignment horizontal="right"/>
      <protection locked="0"/>
    </xf>
    <xf numFmtId="168" fontId="3" fillId="3" borderId="91" xfId="0" applyNumberFormat="1" applyFont="1" applyFill="1" applyBorder="1" applyAlignment="1" applyProtection="1">
      <alignment horizontal="right"/>
      <protection locked="0"/>
    </xf>
    <xf numFmtId="164" fontId="3" fillId="4" borderId="1" xfId="0" applyFont="1" applyFill="1" applyBorder="1" applyAlignment="1" applyProtection="1">
      <alignment horizontal="left"/>
      <protection locked="0"/>
    </xf>
    <xf numFmtId="164" fontId="3" fillId="2" borderId="53" xfId="0" applyFont="1" applyFill="1" applyBorder="1" applyProtection="1">
      <protection locked="0"/>
    </xf>
    <xf numFmtId="1" fontId="4" fillId="0" borderId="65" xfId="0" applyNumberFormat="1" applyFont="1" applyBorder="1" applyProtection="1">
      <protection locked="0"/>
    </xf>
    <xf numFmtId="164" fontId="4" fillId="0" borderId="65" xfId="0" applyFont="1" applyBorder="1" applyProtection="1">
      <protection locked="0"/>
    </xf>
    <xf numFmtId="168" fontId="4" fillId="0" borderId="65" xfId="0" applyNumberFormat="1" applyFont="1" applyBorder="1" applyProtection="1">
      <protection locked="0"/>
    </xf>
    <xf numFmtId="164" fontId="7" fillId="0" borderId="0" xfId="0" applyFont="1" applyProtection="1">
      <protection locked="0"/>
    </xf>
    <xf numFmtId="165" fontId="3" fillId="0" borderId="31" xfId="0" applyNumberFormat="1" applyFont="1" applyBorder="1" applyAlignment="1" applyProtection="1">
      <alignment horizontal="right"/>
      <protection locked="0"/>
    </xf>
    <xf numFmtId="165" fontId="3" fillId="0" borderId="31" xfId="1" applyNumberFormat="1" applyFont="1" applyFill="1" applyBorder="1" applyAlignment="1" applyProtection="1">
      <alignment horizontal="right"/>
      <protection locked="0"/>
    </xf>
    <xf numFmtId="165" fontId="3" fillId="0" borderId="4" xfId="0" applyNumberFormat="1" applyFont="1" applyBorder="1" applyAlignment="1" applyProtection="1">
      <alignment horizontal="center"/>
      <protection locked="0"/>
    </xf>
    <xf numFmtId="165" fontId="3" fillId="0" borderId="19" xfId="0" applyNumberFormat="1" applyFont="1" applyBorder="1" applyAlignment="1" applyProtection="1">
      <alignment horizontal="center"/>
      <protection locked="0"/>
    </xf>
    <xf numFmtId="165" fontId="3" fillId="0" borderId="25" xfId="0" applyNumberFormat="1" applyFont="1" applyBorder="1" applyAlignment="1" applyProtection="1">
      <alignment horizontal="right"/>
      <protection locked="0"/>
    </xf>
    <xf numFmtId="165" fontId="3" fillId="0" borderId="4" xfId="0" applyNumberFormat="1" applyFont="1" applyBorder="1" applyAlignment="1" applyProtection="1">
      <alignment horizontal="right"/>
      <protection locked="0"/>
    </xf>
    <xf numFmtId="165" fontId="3" fillId="0" borderId="0" xfId="0" applyNumberFormat="1" applyFont="1" applyAlignment="1" applyProtection="1">
      <alignment horizontal="right"/>
      <protection locked="0"/>
    </xf>
    <xf numFmtId="165" fontId="3" fillId="0" borderId="2" xfId="0" applyNumberFormat="1" applyFont="1" applyBorder="1" applyAlignment="1" applyProtection="1">
      <alignment horizontal="right"/>
      <protection locked="0"/>
    </xf>
    <xf numFmtId="1" fontId="9" fillId="0" borderId="30" xfId="0" applyNumberFormat="1" applyFont="1" applyBorder="1" applyAlignment="1">
      <alignment vertical="center" wrapText="1" indent="1"/>
    </xf>
    <xf numFmtId="168" fontId="3" fillId="3" borderId="37" xfId="0" applyNumberFormat="1" applyFont="1" applyFill="1" applyBorder="1" applyAlignment="1">
      <alignment horizontal="right"/>
    </xf>
    <xf numFmtId="0" fontId="3" fillId="3" borderId="37" xfId="0" applyNumberFormat="1" applyFont="1" applyFill="1" applyBorder="1"/>
    <xf numFmtId="164" fontId="3" fillId="0" borderId="0" xfId="0" applyFont="1" applyAlignment="1">
      <alignment vertical="top"/>
    </xf>
    <xf numFmtId="164" fontId="3" fillId="0" borderId="53" xfId="0" applyFont="1" applyBorder="1" applyAlignment="1" applyProtection="1">
      <alignment horizontal="left"/>
      <protection locked="0"/>
    </xf>
    <xf numFmtId="164" fontId="3" fillId="0" borderId="37" xfId="0" applyFont="1" applyBorder="1" applyAlignment="1" applyProtection="1">
      <alignment horizontal="left"/>
      <protection locked="0"/>
    </xf>
    <xf numFmtId="164" fontId="3" fillId="0" borderId="0" xfId="0" applyFont="1" applyAlignment="1" applyProtection="1">
      <alignment vertical="top"/>
      <protection locked="0"/>
    </xf>
    <xf numFmtId="164" fontId="3" fillId="0" borderId="37" xfId="0" applyFont="1" applyBorder="1" applyProtection="1">
      <protection locked="0"/>
    </xf>
    <xf numFmtId="164" fontId="3" fillId="0" borderId="31" xfId="0" applyFont="1" applyBorder="1" applyProtection="1">
      <protection locked="0"/>
    </xf>
    <xf numFmtId="1" fontId="4" fillId="0" borderId="37" xfId="0" applyNumberFormat="1" applyFont="1" applyBorder="1" applyProtection="1">
      <protection locked="0"/>
    </xf>
    <xf numFmtId="164" fontId="3" fillId="0" borderId="53" xfId="0" applyFont="1" applyBorder="1" applyProtection="1">
      <protection locked="0"/>
    </xf>
    <xf numFmtId="164" fontId="4" fillId="0" borderId="53" xfId="0" applyFont="1" applyBorder="1" applyProtection="1">
      <protection locked="0"/>
    </xf>
    <xf numFmtId="168" fontId="3" fillId="0" borderId="30" xfId="0" applyNumberFormat="1" applyFont="1" applyBorder="1" applyAlignment="1" applyProtection="1">
      <alignment horizontal="right"/>
      <protection locked="0"/>
    </xf>
    <xf numFmtId="168" fontId="3" fillId="3" borderId="48" xfId="0" applyNumberFormat="1" applyFont="1" applyFill="1" applyBorder="1" applyAlignment="1" applyProtection="1">
      <alignment horizontal="right"/>
      <protection locked="0"/>
    </xf>
    <xf numFmtId="164" fontId="8" fillId="0" borderId="0" xfId="0" applyFont="1"/>
    <xf numFmtId="168" fontId="0" fillId="3" borderId="0" xfId="0" applyNumberFormat="1" applyFill="1" applyAlignment="1">
      <alignment horizontal="right"/>
    </xf>
    <xf numFmtId="168" fontId="3" fillId="0" borderId="31" xfId="0" applyNumberFormat="1" applyFont="1" applyBorder="1" applyAlignment="1">
      <alignment horizontal="right"/>
    </xf>
    <xf numFmtId="168" fontId="3" fillId="3" borderId="14" xfId="0" applyNumberFormat="1" applyFont="1" applyFill="1" applyBorder="1" applyAlignment="1">
      <alignment horizontal="right"/>
    </xf>
    <xf numFmtId="168" fontId="3" fillId="2" borderId="31" xfId="1" applyNumberFormat="1" applyFont="1" applyFill="1" applyBorder="1" applyAlignment="1" applyProtection="1">
      <alignment horizontal="right"/>
    </xf>
    <xf numFmtId="168" fontId="3" fillId="0" borderId="2" xfId="1" applyNumberFormat="1" applyFont="1" applyBorder="1"/>
    <xf numFmtId="0" fontId="3" fillId="0" borderId="0" xfId="0" applyNumberFormat="1" applyFont="1"/>
    <xf numFmtId="3" fontId="3" fillId="0" borderId="0" xfId="1" applyNumberFormat="1" applyFont="1" applyFill="1" applyBorder="1" applyProtection="1"/>
    <xf numFmtId="1" fontId="3" fillId="0" borderId="0" xfId="1" applyNumberFormat="1" applyFont="1" applyFill="1" applyBorder="1" applyProtection="1"/>
    <xf numFmtId="164" fontId="3" fillId="0" borderId="0" xfId="0" applyFont="1" applyAlignment="1">
      <alignment horizontal="center" vertical="center" wrapText="1"/>
    </xf>
    <xf numFmtId="171" fontId="3" fillId="0" borderId="0" xfId="0" applyNumberFormat="1" applyFont="1"/>
    <xf numFmtId="37" fontId="3" fillId="0" borderId="0" xfId="0" applyNumberFormat="1" applyFont="1"/>
    <xf numFmtId="5" fontId="3" fillId="0" borderId="0" xfId="0" applyNumberFormat="1" applyFont="1"/>
    <xf numFmtId="170" fontId="3" fillId="0" borderId="0" xfId="1" applyNumberFormat="1" applyFont="1" applyBorder="1"/>
    <xf numFmtId="168" fontId="3" fillId="3" borderId="27" xfId="0" applyNumberFormat="1" applyFont="1" applyFill="1" applyBorder="1"/>
    <xf numFmtId="168" fontId="3" fillId="3" borderId="20" xfId="0" applyNumberFormat="1" applyFont="1" applyFill="1" applyBorder="1" applyAlignment="1">
      <alignment horizontal="center"/>
    </xf>
    <xf numFmtId="168" fontId="3" fillId="3" borderId="32" xfId="0" applyNumberFormat="1" applyFont="1" applyFill="1" applyBorder="1" applyAlignment="1">
      <alignment horizontal="center"/>
    </xf>
    <xf numFmtId="168" fontId="0" fillId="4" borderId="55" xfId="0" applyNumberFormat="1" applyFill="1" applyBorder="1" applyAlignment="1">
      <alignment horizontal="right"/>
    </xf>
    <xf numFmtId="168" fontId="0" fillId="3" borderId="20" xfId="0" applyNumberFormat="1" applyFill="1" applyBorder="1" applyAlignment="1">
      <alignment horizontal="right"/>
    </xf>
    <xf numFmtId="168" fontId="3" fillId="3" borderId="56" xfId="0" applyNumberFormat="1" applyFont="1" applyFill="1" applyBorder="1" applyAlignment="1">
      <alignment horizontal="right"/>
    </xf>
    <xf numFmtId="168" fontId="3" fillId="4" borderId="93" xfId="0" applyNumberFormat="1" applyFont="1" applyFill="1" applyBorder="1" applyAlignment="1">
      <alignment horizontal="right"/>
    </xf>
    <xf numFmtId="168" fontId="3" fillId="3" borderId="17" xfId="0" applyNumberFormat="1" applyFont="1" applyFill="1" applyBorder="1"/>
    <xf numFmtId="164" fontId="19" fillId="0" borderId="0" xfId="0" applyFont="1" applyAlignment="1">
      <alignment vertical="top"/>
    </xf>
    <xf numFmtId="165" fontId="3" fillId="0" borderId="0" xfId="1" applyNumberFormat="1" applyFont="1" applyFill="1" applyProtection="1">
      <protection locked="0"/>
    </xf>
    <xf numFmtId="166" fontId="3" fillId="3" borderId="53" xfId="0" applyNumberFormat="1" applyFont="1" applyFill="1" applyBorder="1" applyAlignment="1" applyProtection="1">
      <alignment horizontal="right"/>
      <protection locked="0"/>
    </xf>
    <xf numFmtId="3" fontId="3" fillId="3" borderId="53" xfId="0" applyNumberFormat="1" applyFont="1" applyFill="1" applyBorder="1" applyAlignment="1" applyProtection="1">
      <alignment horizontal="right"/>
      <protection locked="0"/>
    </xf>
    <xf numFmtId="168" fontId="3" fillId="3" borderId="53" xfId="0" applyNumberFormat="1" applyFont="1" applyFill="1" applyBorder="1" applyAlignment="1" applyProtection="1">
      <alignment horizontal="right"/>
      <protection locked="0"/>
    </xf>
    <xf numFmtId="166" fontId="3" fillId="0" borderId="37" xfId="0" applyNumberFormat="1" applyFont="1" applyBorder="1" applyAlignment="1" applyProtection="1">
      <alignment horizontal="right"/>
      <protection locked="0"/>
    </xf>
    <xf numFmtId="3" fontId="3" fillId="0" borderId="37" xfId="0" applyNumberFormat="1" applyFont="1" applyBorder="1" applyAlignment="1" applyProtection="1">
      <alignment horizontal="right"/>
      <protection locked="0"/>
    </xf>
    <xf numFmtId="168" fontId="3" fillId="0" borderId="37" xfId="0" applyNumberFormat="1" applyFont="1" applyBorder="1" applyAlignment="1" applyProtection="1">
      <alignment horizontal="right"/>
      <protection locked="0"/>
    </xf>
    <xf numFmtId="2" fontId="3" fillId="0" borderId="0" xfId="0" applyNumberFormat="1" applyFont="1" applyProtection="1">
      <protection locked="0"/>
    </xf>
    <xf numFmtId="3" fontId="3" fillId="0" borderId="0" xfId="1" applyNumberFormat="1" applyFont="1" applyFill="1" applyBorder="1" applyProtection="1">
      <protection locked="0"/>
    </xf>
    <xf numFmtId="3" fontId="3" fillId="0" borderId="0" xfId="0" applyNumberFormat="1" applyFont="1" applyProtection="1">
      <protection locked="0"/>
    </xf>
    <xf numFmtId="168" fontId="4" fillId="3" borderId="36" xfId="0" applyNumberFormat="1" applyFont="1" applyFill="1" applyBorder="1" applyAlignment="1" applyProtection="1">
      <alignment horizontal="right"/>
      <protection locked="0"/>
    </xf>
    <xf numFmtId="168" fontId="4" fillId="3" borderId="30" xfId="0" applyNumberFormat="1" applyFont="1" applyFill="1" applyBorder="1" applyAlignment="1" applyProtection="1">
      <alignment horizontal="right"/>
      <protection locked="0"/>
    </xf>
    <xf numFmtId="165" fontId="3" fillId="0" borderId="19" xfId="0" applyNumberFormat="1" applyFont="1" applyBorder="1" applyAlignment="1" applyProtection="1">
      <alignment horizontal="right"/>
      <protection locked="0"/>
    </xf>
    <xf numFmtId="3" fontId="3" fillId="0" borderId="25" xfId="1" applyNumberFormat="1" applyFont="1" applyFill="1" applyBorder="1" applyAlignment="1" applyProtection="1">
      <alignment horizontal="right"/>
      <protection locked="0"/>
    </xf>
    <xf numFmtId="167" fontId="3" fillId="3" borderId="25" xfId="0" applyNumberFormat="1" applyFont="1" applyFill="1" applyBorder="1" applyAlignment="1" applyProtection="1">
      <alignment horizontal="right"/>
      <protection locked="0"/>
    </xf>
    <xf numFmtId="167" fontId="3" fillId="3" borderId="31" xfId="0" applyNumberFormat="1" applyFont="1" applyFill="1" applyBorder="1" applyAlignment="1" applyProtection="1">
      <alignment horizontal="right"/>
      <protection locked="0"/>
    </xf>
    <xf numFmtId="164" fontId="19" fillId="0" borderId="0" xfId="0" applyFont="1" applyAlignment="1" applyProtection="1">
      <alignment vertical="top"/>
      <protection locked="0"/>
    </xf>
    <xf numFmtId="164" fontId="19" fillId="0" borderId="0" xfId="0" applyFont="1" applyProtection="1">
      <protection locked="0"/>
    </xf>
    <xf numFmtId="167" fontId="3" fillId="3" borderId="11" xfId="0" applyNumberFormat="1" applyFont="1" applyFill="1" applyBorder="1" applyAlignment="1" applyProtection="1">
      <alignment horizontal="right"/>
      <protection locked="0"/>
    </xf>
    <xf numFmtId="167" fontId="3" fillId="3" borderId="53" xfId="0" applyNumberFormat="1" applyFont="1" applyFill="1" applyBorder="1" applyAlignment="1" applyProtection="1">
      <alignment horizontal="right"/>
      <protection locked="0"/>
    </xf>
    <xf numFmtId="167" fontId="3" fillId="4" borderId="4" xfId="0" applyNumberFormat="1" applyFont="1" applyFill="1" applyBorder="1" applyProtection="1">
      <protection locked="0"/>
    </xf>
    <xf numFmtId="167" fontId="3" fillId="3" borderId="7" xfId="0" applyNumberFormat="1" applyFont="1" applyFill="1" applyBorder="1" applyAlignment="1" applyProtection="1">
      <alignment horizontal="right"/>
      <protection locked="0"/>
    </xf>
    <xf numFmtId="167" fontId="3" fillId="3" borderId="4" xfId="0" applyNumberFormat="1" applyFont="1" applyFill="1" applyBorder="1" applyAlignment="1" applyProtection="1">
      <alignment horizontal="right"/>
      <protection locked="0"/>
    </xf>
    <xf numFmtId="167" fontId="3" fillId="4" borderId="37" xfId="0" applyNumberFormat="1" applyFont="1" applyFill="1" applyBorder="1" applyAlignment="1" applyProtection="1">
      <alignment horizontal="right"/>
      <protection locked="0"/>
    </xf>
    <xf numFmtId="167" fontId="3" fillId="3" borderId="30" xfId="0" applyNumberFormat="1" applyFont="1" applyFill="1" applyBorder="1" applyAlignment="1" applyProtection="1">
      <alignment horizontal="right"/>
      <protection locked="0"/>
    </xf>
    <xf numFmtId="167" fontId="3" fillId="3" borderId="13" xfId="0" applyNumberFormat="1" applyFont="1" applyFill="1" applyBorder="1" applyAlignment="1" applyProtection="1">
      <alignment horizontal="right"/>
      <protection locked="0"/>
    </xf>
    <xf numFmtId="167" fontId="3" fillId="3" borderId="32" xfId="0" applyNumberFormat="1" applyFont="1" applyFill="1" applyBorder="1" applyAlignment="1" applyProtection="1">
      <alignment horizontal="right"/>
      <protection locked="0"/>
    </xf>
    <xf numFmtId="167" fontId="3" fillId="3" borderId="59" xfId="0" applyNumberFormat="1" applyFont="1" applyFill="1" applyBorder="1" applyAlignment="1" applyProtection="1">
      <alignment horizontal="right"/>
      <protection locked="0"/>
    </xf>
    <xf numFmtId="167" fontId="3" fillId="3" borderId="4" xfId="0" applyNumberFormat="1" applyFont="1" applyFill="1" applyBorder="1" applyAlignment="1" applyProtection="1">
      <alignment horizontal="center"/>
      <protection locked="0"/>
    </xf>
    <xf numFmtId="167" fontId="3" fillId="3" borderId="19" xfId="0" applyNumberFormat="1" applyFont="1" applyFill="1" applyBorder="1" applyAlignment="1" applyProtection="1">
      <alignment horizontal="center"/>
      <protection locked="0"/>
    </xf>
    <xf numFmtId="167" fontId="3" fillId="3" borderId="27" xfId="0" applyNumberFormat="1" applyFont="1" applyFill="1" applyBorder="1" applyAlignment="1" applyProtection="1">
      <alignment horizontal="right"/>
      <protection locked="0"/>
    </xf>
    <xf numFmtId="167" fontId="3" fillId="3" borderId="2" xfId="0" applyNumberFormat="1" applyFont="1" applyFill="1" applyBorder="1" applyAlignment="1" applyProtection="1">
      <alignment horizontal="right"/>
      <protection locked="0"/>
    </xf>
    <xf numFmtId="167" fontId="3" fillId="3" borderId="19" xfId="0" applyNumberFormat="1" applyFont="1" applyFill="1" applyBorder="1" applyAlignment="1" applyProtection="1">
      <alignment horizontal="right"/>
      <protection locked="0"/>
    </xf>
    <xf numFmtId="167" fontId="3" fillId="3" borderId="43" xfId="0" applyNumberFormat="1" applyFont="1" applyFill="1" applyBorder="1" applyAlignment="1" applyProtection="1">
      <alignment horizontal="right"/>
      <protection locked="0"/>
    </xf>
    <xf numFmtId="167" fontId="3" fillId="2" borderId="20" xfId="0" applyNumberFormat="1" applyFont="1" applyFill="1" applyBorder="1" applyAlignment="1" applyProtection="1">
      <alignment horizontal="right"/>
      <protection locked="0"/>
    </xf>
    <xf numFmtId="167" fontId="3" fillId="3" borderId="18" xfId="0" applyNumberFormat="1" applyFont="1" applyFill="1" applyBorder="1" applyAlignment="1" applyProtection="1">
      <alignment horizontal="right"/>
      <protection locked="0"/>
    </xf>
    <xf numFmtId="167" fontId="3" fillId="4" borderId="27" xfId="0" applyNumberFormat="1" applyFont="1" applyFill="1" applyBorder="1" applyAlignment="1" applyProtection="1">
      <alignment horizontal="right"/>
      <protection locked="0"/>
    </xf>
    <xf numFmtId="167" fontId="3" fillId="4" borderId="20" xfId="0" applyNumberFormat="1" applyFont="1" applyFill="1" applyBorder="1" applyAlignment="1" applyProtection="1">
      <alignment horizontal="right"/>
      <protection locked="0"/>
    </xf>
    <xf numFmtId="167" fontId="3" fillId="3" borderId="9" xfId="0" applyNumberFormat="1" applyFont="1" applyFill="1" applyBorder="1" applyAlignment="1" applyProtection="1">
      <alignment horizontal="right"/>
      <protection locked="0"/>
    </xf>
    <xf numFmtId="167" fontId="3" fillId="4" borderId="4" xfId="0" applyNumberFormat="1" applyFont="1" applyFill="1" applyBorder="1" applyAlignment="1" applyProtection="1">
      <alignment horizontal="right"/>
      <protection locked="0"/>
    </xf>
    <xf numFmtId="167" fontId="3" fillId="3" borderId="34" xfId="0" applyNumberFormat="1" applyFont="1" applyFill="1" applyBorder="1" applyAlignment="1" applyProtection="1">
      <alignment horizontal="right"/>
      <protection locked="0"/>
    </xf>
    <xf numFmtId="167" fontId="3" fillId="3" borderId="27" xfId="0" applyNumberFormat="1" applyFont="1" applyFill="1" applyBorder="1" applyProtection="1">
      <protection locked="0"/>
    </xf>
    <xf numFmtId="167" fontId="3" fillId="3" borderId="20" xfId="0" applyNumberFormat="1" applyFont="1" applyFill="1" applyBorder="1" applyAlignment="1" applyProtection="1">
      <alignment horizontal="right"/>
      <protection locked="0"/>
    </xf>
    <xf numFmtId="167" fontId="3" fillId="0" borderId="7" xfId="0" applyNumberFormat="1" applyFont="1" applyBorder="1" applyAlignment="1" applyProtection="1">
      <alignment horizontal="right"/>
      <protection locked="0"/>
    </xf>
    <xf numFmtId="167" fontId="3" fillId="3" borderId="37" xfId="0" applyNumberFormat="1" applyFont="1" applyFill="1" applyBorder="1" applyAlignment="1" applyProtection="1">
      <alignment horizontal="right"/>
      <protection locked="0"/>
    </xf>
    <xf numFmtId="167" fontId="3" fillId="3" borderId="0" xfId="0" applyNumberFormat="1" applyFont="1" applyFill="1" applyAlignment="1" applyProtection="1">
      <alignment horizontal="right"/>
      <protection locked="0"/>
    </xf>
    <xf numFmtId="167" fontId="3" fillId="4" borderId="25" xfId="0" applyNumberFormat="1" applyFont="1" applyFill="1" applyBorder="1" applyProtection="1">
      <protection locked="0"/>
    </xf>
    <xf numFmtId="167" fontId="3" fillId="3" borderId="10" xfId="0" applyNumberFormat="1" applyFont="1" applyFill="1" applyBorder="1" applyAlignment="1" applyProtection="1">
      <alignment horizontal="right"/>
      <protection locked="0"/>
    </xf>
    <xf numFmtId="167" fontId="3" fillId="0" borderId="31" xfId="0" applyNumberFormat="1" applyFont="1" applyBorder="1" applyAlignment="1" applyProtection="1">
      <alignment horizontal="right"/>
      <protection locked="0"/>
    </xf>
    <xf numFmtId="167" fontId="3" fillId="0" borderId="25" xfId="0" applyNumberFormat="1" applyFont="1" applyBorder="1" applyAlignment="1" applyProtection="1">
      <alignment horizontal="right"/>
      <protection locked="0"/>
    </xf>
    <xf numFmtId="167" fontId="3" fillId="4" borderId="31" xfId="0" applyNumberFormat="1" applyFont="1" applyFill="1" applyBorder="1" applyAlignment="1" applyProtection="1">
      <alignment horizontal="right"/>
      <protection locked="0"/>
    </xf>
    <xf numFmtId="167" fontId="3" fillId="3" borderId="36" xfId="0" applyNumberFormat="1" applyFont="1" applyFill="1" applyBorder="1" applyAlignment="1" applyProtection="1">
      <alignment horizontal="right"/>
      <protection locked="0"/>
    </xf>
    <xf numFmtId="167" fontId="3" fillId="3" borderId="25" xfId="0" applyNumberFormat="1" applyFont="1" applyFill="1" applyBorder="1" applyAlignment="1" applyProtection="1">
      <alignment horizontal="center"/>
      <protection locked="0"/>
    </xf>
    <xf numFmtId="167" fontId="3" fillId="3" borderId="33" xfId="0" applyNumberFormat="1" applyFont="1" applyFill="1" applyBorder="1" applyAlignment="1" applyProtection="1">
      <alignment horizontal="right"/>
      <protection locked="0"/>
    </xf>
    <xf numFmtId="167" fontId="3" fillId="4" borderId="19" xfId="0" applyNumberFormat="1" applyFont="1" applyFill="1" applyBorder="1" applyAlignment="1" applyProtection="1">
      <alignment horizontal="right"/>
      <protection locked="0"/>
    </xf>
    <xf numFmtId="167" fontId="3" fillId="4" borderId="25" xfId="0" applyNumberFormat="1" applyFont="1" applyFill="1" applyBorder="1" applyAlignment="1" applyProtection="1">
      <alignment horizontal="right"/>
      <protection locked="0"/>
    </xf>
    <xf numFmtId="167" fontId="3" fillId="3" borderId="2" xfId="0" applyNumberFormat="1" applyFont="1" applyFill="1" applyBorder="1" applyProtection="1">
      <protection locked="0"/>
    </xf>
    <xf numFmtId="167" fontId="3" fillId="0" borderId="10" xfId="0" applyNumberFormat="1" applyFont="1" applyBorder="1" applyAlignment="1" applyProtection="1">
      <alignment horizontal="right"/>
      <protection locked="0"/>
    </xf>
    <xf numFmtId="166" fontId="4" fillId="3" borderId="37" xfId="0" applyNumberFormat="1" applyFont="1" applyFill="1" applyBorder="1" applyAlignment="1" applyProtection="1">
      <alignment horizontal="centerContinuous"/>
      <protection locked="0"/>
    </xf>
    <xf numFmtId="166" fontId="4" fillId="3" borderId="37" xfId="0" quotePrefix="1" applyNumberFormat="1" applyFont="1" applyFill="1" applyBorder="1" applyAlignment="1" applyProtection="1">
      <alignment horizontal="centerContinuous"/>
      <protection locked="0"/>
    </xf>
    <xf numFmtId="3" fontId="4" fillId="3" borderId="37" xfId="0" applyNumberFormat="1" applyFont="1" applyFill="1" applyBorder="1" applyAlignment="1" applyProtection="1">
      <alignment horizontal="centerContinuous"/>
      <protection locked="0"/>
    </xf>
    <xf numFmtId="168" fontId="4" fillId="3" borderId="37" xfId="0" applyNumberFormat="1" applyFont="1" applyFill="1" applyBorder="1" applyAlignment="1" applyProtection="1">
      <alignment horizontal="centerContinuous"/>
      <protection locked="0"/>
    </xf>
    <xf numFmtId="168" fontId="4" fillId="3" borderId="31" xfId="0" applyNumberFormat="1" applyFont="1" applyFill="1" applyBorder="1" applyAlignment="1" applyProtection="1">
      <alignment horizontal="centerContinuous"/>
      <protection locked="0"/>
    </xf>
    <xf numFmtId="165" fontId="4" fillId="3" borderId="37" xfId="1" applyNumberFormat="1" applyFont="1" applyFill="1" applyBorder="1" applyProtection="1">
      <protection locked="0"/>
    </xf>
    <xf numFmtId="166" fontId="4" fillId="3" borderId="37" xfId="1" applyNumberFormat="1" applyFont="1" applyFill="1" applyBorder="1" applyAlignment="1" applyProtection="1">
      <alignment horizontal="center"/>
      <protection locked="0"/>
    </xf>
    <xf numFmtId="168" fontId="4" fillId="3" borderId="31" xfId="0" applyNumberFormat="1" applyFont="1" applyFill="1" applyBorder="1" applyProtection="1">
      <protection locked="0"/>
    </xf>
    <xf numFmtId="166" fontId="4" fillId="3" borderId="0" xfId="0" applyNumberFormat="1" applyFont="1" applyFill="1" applyAlignment="1" applyProtection="1">
      <alignment horizontal="centerContinuous"/>
      <protection locked="0"/>
    </xf>
    <xf numFmtId="168" fontId="4" fillId="3" borderId="0" xfId="0" applyNumberFormat="1" applyFont="1" applyFill="1" applyProtection="1">
      <protection locked="0"/>
    </xf>
    <xf numFmtId="168" fontId="4" fillId="3" borderId="19" xfId="0" applyNumberFormat="1" applyFont="1" applyFill="1" applyBorder="1" applyProtection="1">
      <protection locked="0"/>
    </xf>
    <xf numFmtId="165" fontId="4" fillId="3" borderId="0" xfId="1" applyNumberFormat="1" applyFont="1" applyFill="1" applyBorder="1" applyProtection="1">
      <protection locked="0"/>
    </xf>
    <xf numFmtId="166" fontId="4" fillId="3" borderId="0" xfId="1" applyNumberFormat="1" applyFont="1" applyFill="1" applyBorder="1" applyProtection="1">
      <protection locked="0"/>
    </xf>
    <xf numFmtId="166" fontId="4" fillId="3" borderId="0" xfId="0" applyNumberFormat="1" applyFont="1" applyFill="1" applyAlignment="1" applyProtection="1">
      <alignment horizontal="center"/>
      <protection locked="0"/>
    </xf>
    <xf numFmtId="3" fontId="4" fillId="3" borderId="0" xfId="0" applyNumberFormat="1" applyFont="1" applyFill="1" applyAlignment="1" applyProtection="1">
      <alignment horizontal="center"/>
      <protection locked="0"/>
    </xf>
    <xf numFmtId="168" fontId="4" fillId="3" borderId="0" xfId="0" applyNumberFormat="1" applyFont="1" applyFill="1" applyAlignment="1" applyProtection="1">
      <alignment horizontal="center"/>
      <protection locked="0"/>
    </xf>
    <xf numFmtId="168" fontId="4" fillId="3" borderId="19" xfId="0" applyNumberFormat="1" applyFont="1" applyFill="1" applyBorder="1" applyAlignment="1" applyProtection="1">
      <alignment horizontal="center"/>
      <protection locked="0"/>
    </xf>
    <xf numFmtId="165" fontId="4" fillId="3" borderId="0" xfId="1" quotePrefix="1" applyNumberFormat="1" applyFont="1" applyFill="1" applyBorder="1" applyAlignment="1" applyProtection="1">
      <alignment horizontal="center"/>
      <protection locked="0"/>
    </xf>
    <xf numFmtId="166" fontId="4" fillId="3" borderId="0" xfId="1" applyNumberFormat="1" applyFont="1" applyFill="1" applyBorder="1" applyAlignment="1" applyProtection="1">
      <alignment horizontal="center"/>
      <protection locked="0"/>
    </xf>
    <xf numFmtId="165" fontId="4" fillId="3" borderId="0" xfId="1" applyNumberFormat="1" applyFont="1" applyFill="1" applyBorder="1" applyAlignment="1" applyProtection="1">
      <alignment horizontal="center"/>
      <protection locked="0"/>
    </xf>
    <xf numFmtId="165" fontId="4" fillId="0" borderId="0" xfId="0" applyNumberFormat="1" applyFont="1" applyAlignment="1" applyProtection="1">
      <alignment horizontal="center"/>
      <protection locked="0"/>
    </xf>
    <xf numFmtId="166" fontId="4" fillId="3" borderId="4" xfId="0" applyNumberFormat="1" applyFont="1" applyFill="1" applyBorder="1" applyAlignment="1" applyProtection="1">
      <alignment horizontal="center"/>
      <protection locked="0"/>
    </xf>
    <xf numFmtId="3" fontId="4" fillId="3" borderId="4" xfId="0" applyNumberFormat="1" applyFont="1" applyFill="1" applyBorder="1" applyAlignment="1" applyProtection="1">
      <alignment horizontal="center"/>
      <protection locked="0"/>
    </xf>
    <xf numFmtId="168" fontId="4" fillId="3" borderId="4" xfId="0" applyNumberFormat="1" applyFont="1" applyFill="1" applyBorder="1" applyAlignment="1" applyProtection="1">
      <alignment horizontal="center"/>
      <protection locked="0"/>
    </xf>
    <xf numFmtId="168" fontId="4" fillId="3" borderId="25" xfId="0" applyNumberFormat="1" applyFont="1" applyFill="1" applyBorder="1" applyAlignment="1" applyProtection="1">
      <alignment horizontal="center"/>
      <protection locked="0"/>
    </xf>
    <xf numFmtId="165" fontId="4" fillId="0" borderId="4" xfId="0" applyNumberFormat="1" applyFont="1" applyBorder="1" applyAlignment="1" applyProtection="1">
      <alignment horizontal="center"/>
      <protection locked="0"/>
    </xf>
    <xf numFmtId="166" fontId="4" fillId="3" borderId="4" xfId="1" applyNumberFormat="1" applyFont="1" applyFill="1" applyBorder="1" applyAlignment="1" applyProtection="1">
      <alignment horizontal="center"/>
      <protection locked="0"/>
    </xf>
    <xf numFmtId="164" fontId="4" fillId="3" borderId="19" xfId="0" applyFont="1" applyFill="1" applyBorder="1" applyAlignment="1" applyProtection="1">
      <alignment horizontal="left"/>
      <protection locked="0"/>
    </xf>
    <xf numFmtId="164" fontId="4" fillId="3" borderId="13" xfId="0" applyFont="1" applyFill="1" applyBorder="1" applyAlignment="1" applyProtection="1">
      <alignment horizontal="left"/>
      <protection locked="0"/>
    </xf>
    <xf numFmtId="165" fontId="3" fillId="0" borderId="95" xfId="1" applyNumberFormat="1" applyFont="1" applyFill="1" applyBorder="1" applyAlignment="1" applyProtection="1">
      <alignment horizontal="right"/>
      <protection locked="0"/>
    </xf>
    <xf numFmtId="165" fontId="3" fillId="0" borderId="96" xfId="1" applyNumberFormat="1" applyFont="1" applyFill="1" applyBorder="1" applyAlignment="1" applyProtection="1">
      <alignment horizontal="right"/>
      <protection locked="0"/>
    </xf>
    <xf numFmtId="165" fontId="3" fillId="0" borderId="60" xfId="1" applyNumberFormat="1" applyFont="1" applyFill="1" applyBorder="1" applyAlignment="1" applyProtection="1">
      <alignment horizontal="right"/>
      <protection locked="0"/>
    </xf>
    <xf numFmtId="165" fontId="3" fillId="0" borderId="61" xfId="1" applyNumberFormat="1" applyFont="1" applyFill="1" applyBorder="1" applyAlignment="1" applyProtection="1">
      <alignment horizontal="right"/>
      <protection locked="0"/>
    </xf>
    <xf numFmtId="168" fontId="3" fillId="0" borderId="9" xfId="1" applyNumberFormat="1" applyFont="1" applyFill="1" applyBorder="1" applyAlignment="1" applyProtection="1">
      <alignment horizontal="right"/>
    </xf>
    <xf numFmtId="168" fontId="9" fillId="0" borderId="30" xfId="2" applyNumberFormat="1" applyFont="1" applyFill="1" applyBorder="1" applyAlignment="1">
      <alignment vertical="center" wrapText="1" indent="1"/>
    </xf>
    <xf numFmtId="168" fontId="12" fillId="0" borderId="32" xfId="0" applyNumberFormat="1" applyFont="1" applyBorder="1" applyAlignment="1">
      <alignment vertical="center" wrapText="1" indent="1"/>
    </xf>
    <xf numFmtId="164" fontId="12" fillId="0" borderId="32" xfId="0" applyFont="1" applyBorder="1" applyAlignment="1">
      <alignment vertical="center" wrapText="1" indent="1"/>
    </xf>
    <xf numFmtId="168" fontId="12" fillId="0" borderId="32" xfId="2" applyNumberFormat="1" applyFont="1" applyFill="1" applyBorder="1" applyAlignment="1">
      <alignment vertical="center" wrapText="1" indent="1"/>
    </xf>
    <xf numFmtId="1" fontId="12" fillId="0" borderId="32" xfId="0" applyNumberFormat="1" applyFont="1" applyBorder="1" applyAlignment="1">
      <alignment vertical="center" wrapText="1" indent="1"/>
    </xf>
    <xf numFmtId="167" fontId="12" fillId="0" borderId="30" xfId="2" applyNumberFormat="1" applyFont="1" applyFill="1" applyBorder="1" applyAlignment="1">
      <alignment vertical="center" wrapText="1" indent="1"/>
    </xf>
    <xf numFmtId="168" fontId="12" fillId="0" borderId="27" xfId="2" applyNumberFormat="1" applyFont="1" applyFill="1" applyBorder="1" applyAlignment="1">
      <alignment vertical="center" wrapText="1" indent="1"/>
    </xf>
    <xf numFmtId="166" fontId="3" fillId="0" borderId="13" xfId="0" quotePrefix="1" applyNumberFormat="1" applyFont="1" applyBorder="1" applyAlignment="1" applyProtection="1">
      <alignment horizontal="center"/>
      <protection locked="0"/>
    </xf>
    <xf numFmtId="167" fontId="4" fillId="0" borderId="0" xfId="2" quotePrefix="1" applyNumberFormat="1" applyFont="1" applyFill="1" applyBorder="1" applyAlignment="1" applyProtection="1">
      <alignment horizontal="center"/>
      <protection locked="0"/>
    </xf>
    <xf numFmtId="166" fontId="4" fillId="0" borderId="0" xfId="0" quotePrefix="1" applyNumberFormat="1" applyFont="1" applyAlignment="1" applyProtection="1">
      <alignment horizontal="center"/>
      <protection locked="0"/>
    </xf>
    <xf numFmtId="165" fontId="3" fillId="0" borderId="27" xfId="1" applyNumberFormat="1" applyFont="1" applyFill="1" applyBorder="1" applyAlignment="1" applyProtection="1">
      <alignment horizontal="right"/>
      <protection locked="0"/>
    </xf>
    <xf numFmtId="165" fontId="3" fillId="0" borderId="20" xfId="1" applyNumberFormat="1" applyFont="1" applyFill="1" applyBorder="1" applyAlignment="1" applyProtection="1">
      <alignment horizontal="right"/>
      <protection locked="0"/>
    </xf>
    <xf numFmtId="165" fontId="3" fillId="0" borderId="32" xfId="1" applyNumberFormat="1" applyFont="1" applyFill="1" applyBorder="1" applyAlignment="1" applyProtection="1">
      <alignment horizontal="right"/>
      <protection locked="0"/>
    </xf>
    <xf numFmtId="164" fontId="22" fillId="0" borderId="30" xfId="0" applyFont="1" applyBorder="1" applyAlignment="1">
      <alignment vertical="center" wrapText="1"/>
    </xf>
    <xf numFmtId="164" fontId="12" fillId="0" borderId="30" xfId="0" applyFont="1" applyBorder="1" applyAlignment="1">
      <alignment vertical="center" wrapText="1"/>
    </xf>
    <xf numFmtId="164" fontId="12" fillId="0" borderId="30" xfId="0" applyFont="1" applyBorder="1" applyAlignment="1">
      <alignment horizontal="center" vertical="center" wrapText="1"/>
    </xf>
    <xf numFmtId="164" fontId="22" fillId="0" borderId="30" xfId="0" applyFont="1" applyBorder="1" applyAlignment="1">
      <alignment horizontal="center" vertical="center" wrapText="1"/>
    </xf>
    <xf numFmtId="164" fontId="21" fillId="0" borderId="30" xfId="0" applyFont="1" applyBorder="1" applyAlignment="1">
      <alignment vertical="center" wrapText="1"/>
    </xf>
    <xf numFmtId="164" fontId="12" fillId="0" borderId="30" xfId="0" applyFont="1" applyBorder="1" applyAlignment="1">
      <alignment horizontal="left" vertical="center" wrapText="1"/>
    </xf>
    <xf numFmtId="164" fontId="26" fillId="0" borderId="0" xfId="0" applyFont="1" applyAlignment="1">
      <alignment vertical="center"/>
    </xf>
    <xf numFmtId="164" fontId="25" fillId="0" borderId="0" xfId="0" applyFont="1" applyAlignment="1">
      <alignment horizontal="left" vertical="center" indent="1"/>
    </xf>
    <xf numFmtId="1" fontId="22" fillId="0" borderId="30" xfId="0" applyNumberFormat="1" applyFont="1" applyBorder="1" applyAlignment="1">
      <alignment horizontal="center" vertical="center" wrapText="1"/>
    </xf>
    <xf numFmtId="164" fontId="28" fillId="0" borderId="0" xfId="0" applyFont="1"/>
    <xf numFmtId="173" fontId="3" fillId="0" borderId="0" xfId="0" applyNumberFormat="1" applyFont="1"/>
    <xf numFmtId="174" fontId="3" fillId="0" borderId="0" xfId="0" applyNumberFormat="1" applyFont="1"/>
    <xf numFmtId="166" fontId="3" fillId="0" borderId="0" xfId="0" applyNumberFormat="1" applyFont="1" applyAlignment="1">
      <alignment horizontal="left"/>
    </xf>
    <xf numFmtId="166" fontId="3" fillId="0" borderId="0" xfId="0" applyNumberFormat="1" applyFont="1" applyProtection="1">
      <protection locked="0"/>
    </xf>
    <xf numFmtId="167" fontId="3" fillId="0" borderId="37" xfId="0" applyNumberFormat="1" applyFont="1" applyBorder="1" applyAlignment="1" applyProtection="1">
      <alignment horizontal="right"/>
      <protection locked="0"/>
    </xf>
    <xf numFmtId="164" fontId="3" fillId="0" borderId="13" xfId="0" quotePrefix="1" applyFont="1" applyBorder="1" applyAlignment="1" applyProtection="1">
      <alignment horizontal="left"/>
      <protection locked="0"/>
    </xf>
    <xf numFmtId="164" fontId="3" fillId="0" borderId="0" xfId="0" applyFont="1" applyAlignment="1" applyProtection="1">
      <alignment horizontal="left"/>
      <protection locked="0"/>
    </xf>
    <xf numFmtId="166" fontId="3" fillId="0" borderId="13" xfId="0" applyNumberFormat="1" applyFont="1" applyBorder="1" applyAlignment="1" applyProtection="1">
      <alignment horizontal="right"/>
      <protection locked="0"/>
    </xf>
    <xf numFmtId="3" fontId="3" fillId="0" borderId="13" xfId="0" applyNumberFormat="1" applyFont="1" applyBorder="1" applyAlignment="1" applyProtection="1">
      <alignment horizontal="right"/>
      <protection locked="0"/>
    </xf>
    <xf numFmtId="167" fontId="3" fillId="0" borderId="13" xfId="0" applyNumberFormat="1" applyFont="1" applyBorder="1" applyAlignment="1" applyProtection="1">
      <alignment horizontal="right"/>
      <protection locked="0"/>
    </xf>
    <xf numFmtId="168" fontId="3" fillId="0" borderId="13" xfId="0" applyNumberFormat="1" applyFont="1" applyBorder="1" applyAlignment="1" applyProtection="1">
      <alignment horizontal="right"/>
      <protection locked="0"/>
    </xf>
    <xf numFmtId="166" fontId="3" fillId="0" borderId="19" xfId="1" applyNumberFormat="1" applyFont="1" applyFill="1" applyBorder="1" applyAlignment="1" applyProtection="1">
      <alignment horizontal="right"/>
      <protection locked="0"/>
    </xf>
    <xf numFmtId="167" fontId="3" fillId="0" borderId="19" xfId="0" applyNumberFormat="1" applyFont="1" applyBorder="1" applyAlignment="1" applyProtection="1">
      <alignment horizontal="right"/>
      <protection locked="0"/>
    </xf>
    <xf numFmtId="164" fontId="3" fillId="0" borderId="11" xfId="0" quotePrefix="1" applyFont="1" applyBorder="1" applyAlignment="1" applyProtection="1">
      <alignment horizontal="left"/>
      <protection locked="0"/>
    </xf>
    <xf numFmtId="164" fontId="3" fillId="0" borderId="4" xfId="0" applyFont="1" applyBorder="1" applyAlignment="1" applyProtection="1">
      <alignment horizontal="left"/>
      <protection locked="0"/>
    </xf>
    <xf numFmtId="166" fontId="3" fillId="0" borderId="11" xfId="0" applyNumberFormat="1" applyFont="1" applyBorder="1" applyAlignment="1" applyProtection="1">
      <alignment horizontal="right"/>
      <protection locked="0"/>
    </xf>
    <xf numFmtId="166" fontId="3" fillId="0" borderId="32" xfId="0" applyNumberFormat="1" applyFont="1" applyBorder="1" applyAlignment="1" applyProtection="1">
      <alignment horizontal="right"/>
      <protection locked="0"/>
    </xf>
    <xf numFmtId="3" fontId="3" fillId="0" borderId="32" xfId="0" applyNumberFormat="1" applyFont="1" applyBorder="1" applyAlignment="1" applyProtection="1">
      <alignment horizontal="right"/>
      <protection locked="0"/>
    </xf>
    <xf numFmtId="167" fontId="3" fillId="0" borderId="32" xfId="0" applyNumberFormat="1" applyFont="1" applyBorder="1" applyAlignment="1" applyProtection="1">
      <alignment horizontal="right"/>
      <protection locked="0"/>
    </xf>
    <xf numFmtId="2" fontId="3" fillId="0" borderId="4" xfId="0" applyNumberFormat="1" applyFont="1" applyBorder="1" applyProtection="1">
      <protection locked="0"/>
    </xf>
    <xf numFmtId="164" fontId="3" fillId="0" borderId="19" xfId="0" applyFont="1" applyBorder="1" applyProtection="1">
      <protection locked="0"/>
    </xf>
    <xf numFmtId="166" fontId="3" fillId="0" borderId="20" xfId="0" applyNumberFormat="1" applyFont="1" applyBorder="1" applyAlignment="1" applyProtection="1">
      <alignment horizontal="right"/>
      <protection locked="0"/>
    </xf>
    <xf numFmtId="166" fontId="3" fillId="0" borderId="0" xfId="0" applyNumberFormat="1" applyFont="1" applyAlignment="1" applyProtection="1">
      <alignment horizontal="right"/>
      <protection locked="0"/>
    </xf>
    <xf numFmtId="166" fontId="3" fillId="0" borderId="7" xfId="0" applyNumberFormat="1" applyFont="1" applyBorder="1" applyAlignment="1" applyProtection="1">
      <alignment horizontal="right"/>
      <protection locked="0"/>
    </xf>
    <xf numFmtId="3" fontId="3" fillId="0" borderId="7" xfId="0" applyNumberFormat="1" applyFont="1" applyBorder="1" applyAlignment="1" applyProtection="1">
      <alignment horizontal="right"/>
      <protection locked="0"/>
    </xf>
    <xf numFmtId="168" fontId="3" fillId="0" borderId="7" xfId="0" applyNumberFormat="1" applyFont="1" applyBorder="1" applyAlignment="1" applyProtection="1">
      <alignment horizontal="right"/>
      <protection locked="0"/>
    </xf>
    <xf numFmtId="164" fontId="3" fillId="0" borderId="2" xfId="0" applyFont="1" applyBorder="1" applyAlignment="1" applyProtection="1">
      <alignment horizontal="left"/>
      <protection locked="0"/>
    </xf>
    <xf numFmtId="164" fontId="3" fillId="0" borderId="19" xfId="0" applyFont="1" applyBorder="1" applyAlignment="1" applyProtection="1">
      <alignment horizontal="left"/>
      <protection locked="0"/>
    </xf>
    <xf numFmtId="164" fontId="3" fillId="0" borderId="25" xfId="0" applyFont="1" applyBorder="1" applyAlignment="1" applyProtection="1">
      <alignment horizontal="left"/>
      <protection locked="0"/>
    </xf>
    <xf numFmtId="164" fontId="3" fillId="0" borderId="4" xfId="0" applyFont="1" applyBorder="1" applyProtection="1">
      <protection locked="0"/>
    </xf>
    <xf numFmtId="164" fontId="3" fillId="0" borderId="13" xfId="0" applyFont="1" applyBorder="1" applyAlignment="1" applyProtection="1">
      <alignment horizontal="left"/>
      <protection locked="0"/>
    </xf>
    <xf numFmtId="164" fontId="12" fillId="0" borderId="0" xfId="0" applyFont="1" applyAlignment="1">
      <alignment vertical="center"/>
    </xf>
    <xf numFmtId="166" fontId="12" fillId="0" borderId="30" xfId="0" applyNumberFormat="1" applyFont="1" applyBorder="1" applyAlignment="1">
      <alignment vertical="center" wrapText="1" indent="1"/>
    </xf>
    <xf numFmtId="164" fontId="12" fillId="0" borderId="27" xfId="0" applyFont="1" applyBorder="1" applyAlignment="1">
      <alignment vertical="center" wrapText="1" indent="1"/>
    </xf>
    <xf numFmtId="168" fontId="12" fillId="0" borderId="27" xfId="0" applyNumberFormat="1" applyFont="1" applyBorder="1" applyAlignment="1">
      <alignment vertical="center" wrapText="1" indent="1"/>
    </xf>
    <xf numFmtId="1" fontId="12" fillId="0" borderId="27" xfId="0" applyNumberFormat="1" applyFont="1" applyBorder="1" applyAlignment="1">
      <alignment vertical="center" wrapText="1" indent="1"/>
    </xf>
    <xf numFmtId="164" fontId="30" fillId="0" borderId="0" xfId="0" applyFont="1"/>
    <xf numFmtId="168" fontId="30" fillId="0" borderId="30" xfId="0" applyNumberFormat="1" applyFont="1" applyBorder="1" applyAlignment="1">
      <alignment horizontal="center" vertical="center" wrapText="1"/>
    </xf>
    <xf numFmtId="164" fontId="30" fillId="0" borderId="53" xfId="0" applyFont="1" applyBorder="1" applyAlignment="1">
      <alignment horizontal="center" wrapText="1"/>
    </xf>
    <xf numFmtId="164" fontId="30" fillId="0" borderId="30" xfId="0" applyFont="1" applyBorder="1" applyAlignment="1">
      <alignment horizontal="center" wrapText="1"/>
    </xf>
    <xf numFmtId="164" fontId="29" fillId="6" borderId="53" xfId="0" applyFont="1" applyFill="1" applyBorder="1" applyAlignment="1">
      <alignment horizontal="left"/>
    </xf>
    <xf numFmtId="164" fontId="30" fillId="6" borderId="37" xfId="0" applyFont="1" applyFill="1" applyBorder="1" applyAlignment="1">
      <alignment horizontal="left" wrapText="1"/>
    </xf>
    <xf numFmtId="1" fontId="30" fillId="6" borderId="31" xfId="0" applyNumberFormat="1" applyFont="1" applyFill="1" applyBorder="1"/>
    <xf numFmtId="164" fontId="30" fillId="0" borderId="0" xfId="0" applyFont="1" applyAlignment="1">
      <alignment horizontal="right"/>
    </xf>
    <xf numFmtId="164" fontId="30" fillId="0" borderId="20" xfId="0" applyFont="1" applyBorder="1"/>
    <xf numFmtId="164" fontId="31" fillId="0" borderId="11" xfId="0" applyFont="1" applyBorder="1" applyAlignment="1">
      <alignment horizontal="left"/>
    </xf>
    <xf numFmtId="164" fontId="30" fillId="0" borderId="4" xfId="0" applyFont="1" applyBorder="1" applyAlignment="1">
      <alignment horizontal="left" wrapText="1"/>
    </xf>
    <xf numFmtId="1" fontId="30" fillId="0" borderId="20" xfId="0" applyNumberFormat="1" applyFont="1" applyBorder="1"/>
    <xf numFmtId="1" fontId="30" fillId="0" borderId="3" xfId="0" applyNumberFormat="1" applyFont="1" applyBorder="1" applyAlignment="1">
      <alignment horizontal="right"/>
    </xf>
    <xf numFmtId="164" fontId="30" fillId="0" borderId="27" xfId="0" applyFont="1" applyBorder="1"/>
    <xf numFmtId="164" fontId="30" fillId="3" borderId="13" xfId="0" applyFont="1" applyFill="1" applyBorder="1"/>
    <xf numFmtId="164" fontId="30" fillId="3" borderId="0" xfId="0" applyFont="1" applyFill="1" applyAlignment="1">
      <alignment horizontal="left" wrapText="1"/>
    </xf>
    <xf numFmtId="1" fontId="30" fillId="0" borderId="11" xfId="0" applyNumberFormat="1" applyFont="1" applyBorder="1" applyAlignment="1">
      <alignment horizontal="right"/>
    </xf>
    <xf numFmtId="164" fontId="30" fillId="0" borderId="32" xfId="0" applyFont="1" applyBorder="1"/>
    <xf numFmtId="1" fontId="30" fillId="0" borderId="27" xfId="0" applyNumberFormat="1" applyFont="1" applyBorder="1"/>
    <xf numFmtId="164" fontId="30" fillId="3" borderId="53" xfId="0" applyFont="1" applyFill="1" applyBorder="1"/>
    <xf numFmtId="164" fontId="30" fillId="3" borderId="37" xfId="0" applyFont="1" applyFill="1" applyBorder="1" applyAlignment="1">
      <alignment horizontal="left" wrapText="1"/>
    </xf>
    <xf numFmtId="1" fontId="30" fillId="0" borderId="32" xfId="0" applyNumberFormat="1" applyFont="1" applyBorder="1"/>
    <xf numFmtId="1" fontId="30" fillId="0" borderId="53" xfId="0" applyNumberFormat="1" applyFont="1" applyBorder="1" applyAlignment="1">
      <alignment horizontal="right"/>
    </xf>
    <xf numFmtId="164" fontId="31" fillId="3" borderId="53" xfId="0" applyFont="1" applyFill="1" applyBorder="1" applyAlignment="1">
      <alignment horizontal="left"/>
    </xf>
    <xf numFmtId="164" fontId="32" fillId="3" borderId="53" xfId="0" applyFont="1" applyFill="1" applyBorder="1" applyAlignment="1">
      <alignment horizontal="left"/>
    </xf>
    <xf numFmtId="164" fontId="33" fillId="3" borderId="13" xfId="0" applyFont="1" applyFill="1" applyBorder="1"/>
    <xf numFmtId="1" fontId="30" fillId="0" borderId="30" xfId="0" applyNumberFormat="1" applyFont="1" applyBorder="1"/>
    <xf numFmtId="164" fontId="33" fillId="0" borderId="0" xfId="0" applyFont="1"/>
    <xf numFmtId="164" fontId="30" fillId="3" borderId="53" xfId="0" applyFont="1" applyFill="1" applyBorder="1" applyAlignment="1">
      <alignment horizontal="left"/>
    </xf>
    <xf numFmtId="164" fontId="30" fillId="3" borderId="11" xfId="0" applyFont="1" applyFill="1" applyBorder="1" applyAlignment="1">
      <alignment horizontal="left"/>
    </xf>
    <xf numFmtId="164" fontId="30" fillId="3" borderId="4" xfId="0" applyFont="1" applyFill="1" applyBorder="1" applyAlignment="1">
      <alignment horizontal="left" wrapText="1"/>
    </xf>
    <xf numFmtId="1" fontId="30" fillId="0" borderId="11" xfId="0" applyNumberFormat="1" applyFont="1" applyBorder="1"/>
    <xf numFmtId="164" fontId="30" fillId="3" borderId="37" xfId="0" applyFont="1" applyFill="1" applyBorder="1" applyAlignment="1">
      <alignment horizontal="left" vertical="top" wrapText="1"/>
    </xf>
    <xf numFmtId="164" fontId="31" fillId="0" borderId="61" xfId="0" applyFont="1" applyBorder="1" applyAlignment="1">
      <alignment horizontal="left"/>
    </xf>
    <xf numFmtId="164" fontId="30" fillId="0" borderId="3" xfId="0" applyFont="1" applyBorder="1"/>
    <xf numFmtId="164" fontId="30" fillId="0" borderId="1" xfId="0" applyFont="1" applyBorder="1" applyAlignment="1">
      <alignment horizontal="left" wrapText="1"/>
    </xf>
    <xf numFmtId="164" fontId="30" fillId="0" borderId="53" xfId="0" applyFont="1" applyBorder="1"/>
    <xf numFmtId="164" fontId="30" fillId="0" borderId="31" xfId="0" applyFont="1" applyBorder="1" applyAlignment="1">
      <alignment horizontal="left" wrapText="1"/>
    </xf>
    <xf numFmtId="164" fontId="31" fillId="0" borderId="13" xfId="0" applyFont="1" applyBorder="1" applyAlignment="1">
      <alignment horizontal="left"/>
    </xf>
    <xf numFmtId="164" fontId="30" fillId="0" borderId="13" xfId="0" quotePrefix="1" applyFont="1" applyBorder="1" applyAlignment="1">
      <alignment horizontal="left" wrapText="1"/>
    </xf>
    <xf numFmtId="164" fontId="30" fillId="0" borderId="37" xfId="0" applyFont="1" applyBorder="1" applyAlignment="1">
      <alignment horizontal="left" wrapText="1"/>
    </xf>
    <xf numFmtId="164" fontId="31" fillId="4" borderId="53" xfId="0" applyFont="1" applyFill="1" applyBorder="1" applyAlignment="1">
      <alignment horizontal="left"/>
    </xf>
    <xf numFmtId="164" fontId="30" fillId="4" borderId="37" xfId="0" quotePrefix="1" applyFont="1" applyFill="1" applyBorder="1" applyAlignment="1">
      <alignment horizontal="left" wrapText="1"/>
    </xf>
    <xf numFmtId="164" fontId="30" fillId="0" borderId="53" xfId="0" applyFont="1" applyBorder="1" applyAlignment="1">
      <alignment horizontal="left"/>
    </xf>
    <xf numFmtId="164" fontId="30" fillId="0" borderId="37" xfId="0" applyFont="1" applyBorder="1" applyAlignment="1">
      <alignment horizontal="left" vertical="top" wrapText="1"/>
    </xf>
    <xf numFmtId="164" fontId="30" fillId="0" borderId="31" xfId="0" applyFont="1" applyBorder="1" applyAlignment="1">
      <alignment horizontal="left" vertical="top" wrapText="1"/>
    </xf>
    <xf numFmtId="1" fontId="30" fillId="0" borderId="13" xfId="0" applyNumberFormat="1" applyFont="1" applyBorder="1"/>
    <xf numFmtId="164" fontId="30" fillId="0" borderId="53" xfId="0" applyFont="1" applyBorder="1" applyAlignment="1">
      <alignment horizontal="left" wrapText="1"/>
    </xf>
    <xf numFmtId="164" fontId="30" fillId="3" borderId="3" xfId="0" applyFont="1" applyFill="1" applyBorder="1"/>
    <xf numFmtId="1" fontId="30" fillId="0" borderId="3" xfId="0" applyNumberFormat="1" applyFont="1" applyBorder="1"/>
    <xf numFmtId="164" fontId="30" fillId="3" borderId="13" xfId="0" applyFont="1" applyFill="1" applyBorder="1" applyAlignment="1">
      <alignment horizontal="left"/>
    </xf>
    <xf numFmtId="164" fontId="31" fillId="0" borderId="53" xfId="0" applyFont="1" applyBorder="1" applyAlignment="1">
      <alignment horizontal="left"/>
    </xf>
    <xf numFmtId="164" fontId="30" fillId="0" borderId="37" xfId="0" quotePrefix="1" applyFont="1" applyBorder="1" applyAlignment="1">
      <alignment horizontal="left"/>
    </xf>
    <xf numFmtId="164" fontId="31" fillId="3" borderId="11" xfId="0" applyFont="1" applyFill="1" applyBorder="1" applyAlignment="1">
      <alignment horizontal="left"/>
    </xf>
    <xf numFmtId="164" fontId="30" fillId="0" borderId="0" xfId="0" applyFont="1" applyAlignment="1">
      <alignment horizontal="left" wrapText="1"/>
    </xf>
    <xf numFmtId="1" fontId="30" fillId="0" borderId="30" xfId="0" applyNumberFormat="1" applyFont="1" applyBorder="1" applyAlignment="1">
      <alignment horizontal="right"/>
    </xf>
    <xf numFmtId="164" fontId="30" fillId="0" borderId="30" xfId="0" applyFont="1" applyBorder="1"/>
    <xf numFmtId="164" fontId="29" fillId="3" borderId="53" xfId="0" applyFont="1" applyFill="1" applyBorder="1" applyAlignment="1">
      <alignment horizontal="left"/>
    </xf>
    <xf numFmtId="164" fontId="31" fillId="4" borderId="37" xfId="0" applyFont="1" applyFill="1" applyBorder="1" applyAlignment="1">
      <alignment horizontal="left" wrapText="1"/>
    </xf>
    <xf numFmtId="164" fontId="30" fillId="4" borderId="13" xfId="0" applyFont="1" applyFill="1" applyBorder="1" applyAlignment="1">
      <alignment horizontal="left"/>
    </xf>
    <xf numFmtId="164" fontId="30" fillId="4" borderId="0" xfId="0" applyFont="1" applyFill="1" applyAlignment="1">
      <alignment horizontal="left" wrapText="1"/>
    </xf>
    <xf numFmtId="1" fontId="30" fillId="0" borderId="32" xfId="0" applyNumberFormat="1" applyFont="1" applyBorder="1" applyAlignment="1">
      <alignment horizontal="right"/>
    </xf>
    <xf numFmtId="1" fontId="30" fillId="0" borderId="25" xfId="0" applyNumberFormat="1" applyFont="1" applyBorder="1"/>
    <xf numFmtId="164" fontId="30" fillId="4" borderId="53" xfId="0" applyFont="1" applyFill="1" applyBorder="1" applyAlignment="1">
      <alignment horizontal="left"/>
    </xf>
    <xf numFmtId="164" fontId="30" fillId="4" borderId="37" xfId="0" applyFont="1" applyFill="1" applyBorder="1" applyAlignment="1">
      <alignment horizontal="left" wrapText="1"/>
    </xf>
    <xf numFmtId="1" fontId="30" fillId="0" borderId="13" xfId="0" applyNumberFormat="1" applyFont="1" applyBorder="1" applyAlignment="1">
      <alignment horizontal="right"/>
    </xf>
    <xf numFmtId="164" fontId="30" fillId="3" borderId="3" xfId="0" applyFont="1" applyFill="1" applyBorder="1" applyAlignment="1">
      <alignment horizontal="left"/>
    </xf>
    <xf numFmtId="164" fontId="30" fillId="3" borderId="1" xfId="0" applyFont="1" applyFill="1" applyBorder="1" applyAlignment="1">
      <alignment horizontal="left" wrapText="1"/>
    </xf>
    <xf numFmtId="164" fontId="29" fillId="0" borderId="0" xfId="0" applyFont="1"/>
    <xf numFmtId="164" fontId="30" fillId="3" borderId="37" xfId="0" applyFont="1" applyFill="1" applyBorder="1" applyAlignment="1">
      <alignment wrapText="1"/>
    </xf>
    <xf numFmtId="164" fontId="30" fillId="3" borderId="0" xfId="0" applyFont="1" applyFill="1" applyAlignment="1">
      <alignment wrapText="1"/>
    </xf>
    <xf numFmtId="164" fontId="31" fillId="3" borderId="13" xfId="0" applyFont="1" applyFill="1" applyBorder="1" applyAlignment="1">
      <alignment horizontal="left"/>
    </xf>
    <xf numFmtId="164" fontId="30" fillId="3" borderId="4" xfId="0" applyFont="1" applyFill="1" applyBorder="1" applyAlignment="1">
      <alignment wrapText="1"/>
    </xf>
    <xf numFmtId="164" fontId="30" fillId="3" borderId="53" xfId="0" quotePrefix="1" applyFont="1" applyFill="1" applyBorder="1" applyAlignment="1">
      <alignment horizontal="left"/>
    </xf>
    <xf numFmtId="164" fontId="30" fillId="0" borderId="37" xfId="0" applyFont="1" applyBorder="1"/>
    <xf numFmtId="1" fontId="29" fillId="0" borderId="31" xfId="0" applyNumberFormat="1" applyFont="1" applyBorder="1" applyAlignment="1">
      <alignment horizontal="right"/>
    </xf>
    <xf numFmtId="170" fontId="29" fillId="0" borderId="30" xfId="1" applyNumberFormat="1" applyFont="1" applyBorder="1"/>
    <xf numFmtId="164" fontId="33" fillId="0" borderId="0" xfId="0" applyFont="1" applyAlignment="1">
      <alignment wrapText="1"/>
    </xf>
    <xf numFmtId="1" fontId="30" fillId="0" borderId="0" xfId="0" applyNumberFormat="1" applyFont="1"/>
    <xf numFmtId="164" fontId="30" fillId="0" borderId="0" xfId="0" applyFont="1" applyAlignment="1">
      <alignment wrapText="1"/>
    </xf>
    <xf numFmtId="3" fontId="3" fillId="0" borderId="7" xfId="1" applyNumberFormat="1" applyFont="1" applyFill="1" applyBorder="1" applyAlignment="1" applyProtection="1">
      <alignment horizontal="left"/>
    </xf>
    <xf numFmtId="165" fontId="7" fillId="0" borderId="40" xfId="1" applyNumberFormat="1" applyFont="1" applyFill="1" applyBorder="1" applyAlignment="1">
      <alignment horizontal="right"/>
    </xf>
    <xf numFmtId="3" fontId="3" fillId="0" borderId="15" xfId="1" applyNumberFormat="1" applyFont="1" applyFill="1" applyBorder="1" applyAlignment="1" applyProtection="1">
      <alignment horizontal="left"/>
    </xf>
    <xf numFmtId="168" fontId="3" fillId="0" borderId="41" xfId="1" applyNumberFormat="1" applyFont="1" applyFill="1" applyBorder="1" applyAlignment="1" applyProtection="1">
      <alignment horizontal="right"/>
    </xf>
    <xf numFmtId="168" fontId="3" fillId="0" borderId="42" xfId="1" applyNumberFormat="1" applyFont="1" applyFill="1" applyBorder="1" applyAlignment="1" applyProtection="1">
      <alignment horizontal="right"/>
    </xf>
    <xf numFmtId="165" fontId="7" fillId="0" borderId="26" xfId="1" applyNumberFormat="1" applyFont="1" applyFill="1" applyBorder="1" applyAlignment="1">
      <alignment horizontal="right"/>
    </xf>
    <xf numFmtId="3" fontId="3" fillId="0" borderId="18" xfId="1" applyNumberFormat="1" applyFont="1" applyFill="1" applyBorder="1" applyAlignment="1" applyProtection="1">
      <alignment horizontal="left"/>
    </xf>
    <xf numFmtId="168" fontId="3" fillId="0" borderId="33" xfId="1" applyNumberFormat="1" applyFont="1" applyFill="1" applyBorder="1" applyAlignment="1" applyProtection="1">
      <alignment horizontal="right"/>
    </xf>
    <xf numFmtId="2" fontId="13" fillId="0" borderId="0" xfId="0" applyNumberFormat="1" applyFont="1" applyAlignment="1">
      <alignment wrapText="1"/>
    </xf>
    <xf numFmtId="1" fontId="13" fillId="0" borderId="0" xfId="0" applyNumberFormat="1" applyFont="1" applyAlignment="1">
      <alignment horizontal="right"/>
    </xf>
    <xf numFmtId="1" fontId="3" fillId="0" borderId="0" xfId="0" applyNumberFormat="1" applyFont="1" applyAlignment="1">
      <alignment horizontal="right"/>
    </xf>
    <xf numFmtId="1" fontId="13" fillId="0" borderId="0" xfId="0" applyNumberFormat="1" applyFont="1"/>
    <xf numFmtId="164" fontId="9" fillId="0" borderId="0" xfId="0" applyFont="1"/>
    <xf numFmtId="164" fontId="35" fillId="0" borderId="3" xfId="0" applyFont="1" applyBorder="1"/>
    <xf numFmtId="164" fontId="35" fillId="3" borderId="2" xfId="0" applyFont="1" applyFill="1" applyBorder="1"/>
    <xf numFmtId="166" fontId="36" fillId="3" borderId="3" xfId="0" applyNumberFormat="1" applyFont="1" applyFill="1" applyBorder="1" applyAlignment="1">
      <alignment horizontal="center"/>
    </xf>
    <xf numFmtId="168" fontId="36" fillId="3" borderId="27" xfId="0" applyNumberFormat="1" applyFont="1" applyFill="1" applyBorder="1" applyAlignment="1">
      <alignment horizontal="center"/>
    </xf>
    <xf numFmtId="168" fontId="36" fillId="3" borderId="1" xfId="0" applyNumberFormat="1" applyFont="1" applyFill="1" applyBorder="1"/>
    <xf numFmtId="164" fontId="35" fillId="3" borderId="13" xfId="0" applyFont="1" applyFill="1" applyBorder="1"/>
    <xf numFmtId="164" fontId="35" fillId="3" borderId="19" xfId="0" applyFont="1" applyFill="1" applyBorder="1"/>
    <xf numFmtId="166" fontId="36" fillId="3" borderId="13" xfId="0" applyNumberFormat="1" applyFont="1" applyFill="1" applyBorder="1" applyAlignment="1">
      <alignment horizontal="center"/>
    </xf>
    <xf numFmtId="166" fontId="36" fillId="3" borderId="27" xfId="0" applyNumberFormat="1" applyFont="1" applyFill="1" applyBorder="1" applyAlignment="1">
      <alignment horizontal="center"/>
    </xf>
    <xf numFmtId="166" fontId="36" fillId="3" borderId="0" xfId="0" applyNumberFormat="1" applyFont="1" applyFill="1" applyAlignment="1">
      <alignment horizontal="center"/>
    </xf>
    <xf numFmtId="166" fontId="36" fillId="3" borderId="13" xfId="0" applyNumberFormat="1" applyFont="1" applyFill="1" applyBorder="1" applyAlignment="1">
      <alignment horizontal="center" wrapText="1"/>
    </xf>
    <xf numFmtId="168" fontId="36" fillId="3" borderId="20" xfId="0" applyNumberFormat="1" applyFont="1" applyFill="1" applyBorder="1" applyAlignment="1">
      <alignment horizontal="center" wrapText="1"/>
    </xf>
    <xf numFmtId="168" fontId="36" fillId="3" borderId="0" xfId="0" applyNumberFormat="1" applyFont="1" applyFill="1" applyAlignment="1">
      <alignment horizontal="center"/>
    </xf>
    <xf numFmtId="165" fontId="36" fillId="0" borderId="27" xfId="1" applyNumberFormat="1" applyFont="1" applyFill="1" applyBorder="1" applyAlignment="1" applyProtection="1">
      <alignment horizontal="center"/>
    </xf>
    <xf numFmtId="165" fontId="36" fillId="3" borderId="27" xfId="1" applyNumberFormat="1" applyFont="1" applyFill="1" applyBorder="1" applyAlignment="1" applyProtection="1">
      <alignment horizontal="center"/>
    </xf>
    <xf numFmtId="168" fontId="36" fillId="3" borderId="19" xfId="0" applyNumberFormat="1" applyFont="1" applyFill="1" applyBorder="1" applyAlignment="1">
      <alignment horizontal="center"/>
    </xf>
    <xf numFmtId="167" fontId="36" fillId="0" borderId="13" xfId="0" applyNumberFormat="1" applyFont="1" applyBorder="1" applyAlignment="1">
      <alignment horizontal="center"/>
    </xf>
    <xf numFmtId="167" fontId="36" fillId="0" borderId="20" xfId="0" quotePrefix="1" applyNumberFormat="1" applyFont="1" applyBorder="1" applyAlignment="1">
      <alignment horizontal="center"/>
    </xf>
    <xf numFmtId="167" fontId="36" fillId="0" borderId="0" xfId="0" applyNumberFormat="1" applyFont="1" applyAlignment="1">
      <alignment horizontal="center"/>
    </xf>
    <xf numFmtId="164" fontId="36" fillId="0" borderId="0" xfId="0" applyFont="1" applyAlignment="1">
      <alignment horizontal="center"/>
    </xf>
    <xf numFmtId="168" fontId="36" fillId="3" borderId="20" xfId="0" applyNumberFormat="1" applyFont="1" applyFill="1" applyBorder="1" applyAlignment="1">
      <alignment horizontal="center" vertical="top" wrapText="1"/>
    </xf>
    <xf numFmtId="165" fontId="36" fillId="0" borderId="20" xfId="1" applyNumberFormat="1" applyFont="1" applyFill="1" applyBorder="1" applyAlignment="1" applyProtection="1">
      <alignment horizontal="center"/>
    </xf>
    <xf numFmtId="165" fontId="36" fillId="3" borderId="20" xfId="1" applyNumberFormat="1" applyFont="1" applyFill="1" applyBorder="1" applyAlignment="1" applyProtection="1">
      <alignment horizontal="center"/>
    </xf>
    <xf numFmtId="164" fontId="36" fillId="3" borderId="11" xfId="0" applyFont="1" applyFill="1" applyBorder="1" applyAlignment="1">
      <alignment horizontal="left"/>
    </xf>
    <xf numFmtId="164" fontId="36" fillId="3" borderId="25" xfId="0" applyFont="1" applyFill="1" applyBorder="1" applyAlignment="1">
      <alignment horizontal="left"/>
    </xf>
    <xf numFmtId="166" fontId="35" fillId="3" borderId="11" xfId="0" applyNumberFormat="1" applyFont="1" applyFill="1" applyBorder="1" applyAlignment="1">
      <alignment horizontal="center"/>
    </xf>
    <xf numFmtId="166" fontId="35" fillId="3" borderId="32" xfId="0" applyNumberFormat="1" applyFont="1" applyFill="1" applyBorder="1" applyAlignment="1">
      <alignment horizontal="center"/>
    </xf>
    <xf numFmtId="166" fontId="35" fillId="3" borderId="4" xfId="0" applyNumberFormat="1" applyFont="1" applyFill="1" applyBorder="1" applyAlignment="1">
      <alignment horizontal="center"/>
    </xf>
    <xf numFmtId="168" fontId="36" fillId="3" borderId="32" xfId="0" applyNumberFormat="1" applyFont="1" applyFill="1" applyBorder="1" applyAlignment="1">
      <alignment horizontal="center"/>
    </xf>
    <xf numFmtId="168" fontId="35" fillId="3" borderId="4" xfId="0" applyNumberFormat="1" applyFont="1" applyFill="1" applyBorder="1" applyAlignment="1">
      <alignment horizontal="center"/>
    </xf>
    <xf numFmtId="165" fontId="35" fillId="0" borderId="32" xfId="0" applyNumberFormat="1" applyFont="1" applyBorder="1" applyAlignment="1">
      <alignment horizontal="center"/>
    </xf>
    <xf numFmtId="165" fontId="35" fillId="3" borderId="32" xfId="1" applyNumberFormat="1" applyFont="1" applyFill="1" applyBorder="1" applyAlignment="1" applyProtection="1">
      <alignment horizontal="center"/>
    </xf>
    <xf numFmtId="168" fontId="35" fillId="3" borderId="25" xfId="1" applyNumberFormat="1" applyFont="1" applyFill="1" applyBorder="1" applyAlignment="1">
      <alignment horizontal="center"/>
    </xf>
    <xf numFmtId="164" fontId="36" fillId="3" borderId="30" xfId="0" applyFont="1" applyFill="1" applyBorder="1" applyAlignment="1">
      <alignment horizontal="left"/>
    </xf>
    <xf numFmtId="164" fontId="35" fillId="0" borderId="30" xfId="0" applyFont="1" applyBorder="1"/>
    <xf numFmtId="166" fontId="35" fillId="3" borderId="30" xfId="0" applyNumberFormat="1" applyFont="1" applyFill="1" applyBorder="1" applyAlignment="1">
      <alignment horizontal="center"/>
    </xf>
    <xf numFmtId="166" fontId="35" fillId="0" borderId="30" xfId="0" applyNumberFormat="1" applyFont="1" applyBorder="1" applyAlignment="1">
      <alignment horizontal="center"/>
    </xf>
    <xf numFmtId="168" fontId="35" fillId="0" borderId="30" xfId="0" applyNumberFormat="1" applyFont="1" applyBorder="1" applyAlignment="1">
      <alignment horizontal="center"/>
    </xf>
    <xf numFmtId="165" fontId="35" fillId="0" borderId="30" xfId="0" applyNumberFormat="1" applyFont="1" applyBorder="1" applyAlignment="1">
      <alignment horizontal="center"/>
    </xf>
    <xf numFmtId="165" fontId="35" fillId="3" borderId="30" xfId="1" applyNumberFormat="1" applyFont="1" applyFill="1" applyBorder="1" applyAlignment="1" applyProtection="1">
      <alignment horizontal="center"/>
    </xf>
    <xf numFmtId="168" fontId="35" fillId="3" borderId="30" xfId="0" applyNumberFormat="1" applyFont="1" applyFill="1" applyBorder="1" applyAlignment="1">
      <alignment horizontal="center"/>
    </xf>
    <xf numFmtId="168" fontId="35" fillId="3" borderId="30" xfId="1" applyNumberFormat="1" applyFont="1" applyFill="1" applyBorder="1" applyAlignment="1">
      <alignment horizontal="center"/>
    </xf>
    <xf numFmtId="164" fontId="36" fillId="0" borderId="30" xfId="0" applyFont="1" applyBorder="1" applyAlignment="1">
      <alignment horizontal="left"/>
    </xf>
    <xf numFmtId="0" fontId="36" fillId="0" borderId="30" xfId="4" applyFont="1" applyBorder="1" applyAlignment="1">
      <alignment vertical="center"/>
    </xf>
    <xf numFmtId="164" fontId="36" fillId="3" borderId="13" xfId="0" applyFont="1" applyFill="1" applyBorder="1" applyAlignment="1">
      <alignment horizontal="left"/>
    </xf>
    <xf numFmtId="164" fontId="36" fillId="3" borderId="0" xfId="0" applyFont="1" applyFill="1" applyAlignment="1">
      <alignment horizontal="left" wrapText="1"/>
    </xf>
    <xf numFmtId="166" fontId="35" fillId="3" borderId="18" xfId="0" applyNumberFormat="1" applyFont="1" applyFill="1" applyBorder="1" applyAlignment="1">
      <alignment horizontal="right"/>
    </xf>
    <xf numFmtId="166" fontId="35" fillId="0" borderId="18" xfId="0" applyNumberFormat="1" applyFont="1" applyBorder="1" applyAlignment="1">
      <alignment horizontal="right"/>
    </xf>
    <xf numFmtId="167" fontId="35" fillId="0" borderId="18" xfId="0" applyNumberFormat="1" applyFont="1" applyBorder="1" applyAlignment="1">
      <alignment horizontal="right"/>
    </xf>
    <xf numFmtId="168" fontId="35" fillId="0" borderId="18" xfId="0" applyNumberFormat="1" applyFont="1" applyBorder="1" applyAlignment="1">
      <alignment horizontal="right"/>
    </xf>
    <xf numFmtId="168" fontId="35" fillId="0" borderId="10" xfId="0" applyNumberFormat="1" applyFont="1" applyBorder="1" applyAlignment="1">
      <alignment horizontal="right"/>
    </xf>
    <xf numFmtId="3" fontId="35" fillId="0" borderId="26" xfId="1" applyNumberFormat="1" applyFont="1" applyFill="1" applyBorder="1" applyAlignment="1">
      <alignment horizontal="right"/>
    </xf>
    <xf numFmtId="165" fontId="35" fillId="3" borderId="18" xfId="1" applyNumberFormat="1" applyFont="1" applyFill="1" applyBorder="1" applyAlignment="1" applyProtection="1">
      <alignment horizontal="right"/>
    </xf>
    <xf numFmtId="168" fontId="35" fillId="3" borderId="9" xfId="1" applyNumberFormat="1" applyFont="1" applyFill="1" applyBorder="1" applyAlignment="1" applyProtection="1">
      <alignment horizontal="right"/>
    </xf>
    <xf numFmtId="167" fontId="35" fillId="3" borderId="33" xfId="1" applyNumberFormat="1" applyFont="1" applyFill="1" applyBorder="1" applyAlignment="1" applyProtection="1">
      <alignment horizontal="right"/>
    </xf>
    <xf numFmtId="166" fontId="35" fillId="3" borderId="30" xfId="0" applyNumberFormat="1" applyFont="1" applyFill="1" applyBorder="1" applyAlignment="1">
      <alignment horizontal="right"/>
    </xf>
    <xf numFmtId="166" fontId="35" fillId="0" borderId="27" xfId="0" applyNumberFormat="1" applyFont="1" applyBorder="1" applyAlignment="1">
      <alignment horizontal="right"/>
    </xf>
    <xf numFmtId="167" fontId="35" fillId="0" borderId="27" xfId="0" applyNumberFormat="1" applyFont="1" applyBorder="1" applyAlignment="1">
      <alignment horizontal="right"/>
    </xf>
    <xf numFmtId="168" fontId="35" fillId="0" borderId="27" xfId="0" applyNumberFormat="1" applyFont="1" applyBorder="1" applyAlignment="1">
      <alignment horizontal="right"/>
    </xf>
    <xf numFmtId="165" fontId="35" fillId="0" borderId="27" xfId="1" applyNumberFormat="1" applyFont="1" applyFill="1" applyBorder="1" applyAlignment="1" applyProtection="1">
      <alignment horizontal="right"/>
    </xf>
    <xf numFmtId="165" fontId="35" fillId="3" borderId="27" xfId="1" applyNumberFormat="1" applyFont="1" applyFill="1" applyBorder="1" applyAlignment="1" applyProtection="1">
      <alignment horizontal="right"/>
    </xf>
    <xf numFmtId="168" fontId="35" fillId="3" borderId="27" xfId="1" applyNumberFormat="1" applyFont="1" applyFill="1" applyBorder="1" applyAlignment="1" applyProtection="1">
      <alignment horizontal="right"/>
    </xf>
    <xf numFmtId="167" fontId="35" fillId="3" borderId="27" xfId="1" applyNumberFormat="1" applyFont="1" applyFill="1" applyBorder="1" applyAlignment="1" applyProtection="1">
      <alignment horizontal="right"/>
    </xf>
    <xf numFmtId="164" fontId="35" fillId="4" borderId="5" xfId="0" applyFont="1" applyFill="1" applyBorder="1" applyAlignment="1">
      <alignment horizontal="left"/>
    </xf>
    <xf numFmtId="164" fontId="35" fillId="4" borderId="6" xfId="0" quotePrefix="1" applyFont="1" applyFill="1" applyBorder="1" applyAlignment="1">
      <alignment horizontal="left"/>
    </xf>
    <xf numFmtId="166" fontId="35" fillId="4" borderId="6" xfId="0" applyNumberFormat="1" applyFont="1" applyFill="1" applyBorder="1" applyAlignment="1">
      <alignment horizontal="right"/>
    </xf>
    <xf numFmtId="166" fontId="35" fillId="0" borderId="53" xfId="0" applyNumberFormat="1" applyFont="1" applyBorder="1" applyAlignment="1">
      <alignment horizontal="right"/>
    </xf>
    <xf numFmtId="166" fontId="35" fillId="0" borderId="37" xfId="0" applyNumberFormat="1" applyFont="1" applyBorder="1" applyAlignment="1">
      <alignment horizontal="right"/>
    </xf>
    <xf numFmtId="167" fontId="35" fillId="0" borderId="37" xfId="0" applyNumberFormat="1" applyFont="1" applyBorder="1" applyAlignment="1">
      <alignment horizontal="right"/>
    </xf>
    <xf numFmtId="168" fontId="35" fillId="0" borderId="37" xfId="0" applyNumberFormat="1" applyFont="1" applyBorder="1" applyAlignment="1">
      <alignment horizontal="right"/>
    </xf>
    <xf numFmtId="168" fontId="35" fillId="0" borderId="31" xfId="0" applyNumberFormat="1" applyFont="1" applyBorder="1" applyAlignment="1">
      <alignment horizontal="right"/>
    </xf>
    <xf numFmtId="165" fontId="35" fillId="0" borderId="37" xfId="1" applyNumberFormat="1" applyFont="1" applyFill="1" applyBorder="1" applyAlignment="1">
      <alignment horizontal="right"/>
    </xf>
    <xf numFmtId="165" fontId="35" fillId="4" borderId="37" xfId="1" applyNumberFormat="1" applyFont="1" applyFill="1" applyBorder="1" applyAlignment="1" applyProtection="1">
      <alignment horizontal="right"/>
    </xf>
    <xf numFmtId="168" fontId="35" fillId="4" borderId="37" xfId="1" applyNumberFormat="1" applyFont="1" applyFill="1" applyBorder="1" applyAlignment="1" applyProtection="1">
      <alignment horizontal="right"/>
    </xf>
    <xf numFmtId="167" fontId="35" fillId="4" borderId="31" xfId="1" applyNumberFormat="1" applyFont="1" applyFill="1" applyBorder="1" applyAlignment="1" applyProtection="1">
      <alignment horizontal="right"/>
    </xf>
    <xf numFmtId="164" fontId="35" fillId="0" borderId="11" xfId="0" applyFont="1" applyBorder="1" applyAlignment="1">
      <alignment horizontal="left"/>
    </xf>
    <xf numFmtId="164" fontId="35" fillId="0" borderId="4" xfId="0" applyFont="1" applyBorder="1" applyAlignment="1">
      <alignment horizontal="left" wrapText="1"/>
    </xf>
    <xf numFmtId="166" fontId="35" fillId="0" borderId="43" xfId="0" applyNumberFormat="1" applyFont="1" applyBorder="1" applyAlignment="1">
      <alignment horizontal="right"/>
    </xf>
    <xf numFmtId="167" fontId="35" fillId="0" borderId="43" xfId="0" applyNumberFormat="1" applyFont="1" applyBorder="1" applyAlignment="1">
      <alignment horizontal="right"/>
    </xf>
    <xf numFmtId="168" fontId="35" fillId="0" borderId="43" xfId="0" applyNumberFormat="1" applyFont="1" applyBorder="1" applyAlignment="1">
      <alignment horizontal="right"/>
    </xf>
    <xf numFmtId="3" fontId="35" fillId="0" borderId="28" xfId="1" applyNumberFormat="1" applyFont="1" applyFill="1" applyBorder="1" applyAlignment="1">
      <alignment horizontal="right"/>
    </xf>
    <xf numFmtId="3" fontId="35" fillId="0" borderId="43" xfId="1" applyNumberFormat="1" applyFont="1" applyFill="1" applyBorder="1" applyAlignment="1" applyProtection="1">
      <alignment horizontal="right"/>
    </xf>
    <xf numFmtId="168" fontId="35" fillId="0" borderId="44" xfId="1" applyNumberFormat="1" applyFont="1" applyFill="1" applyBorder="1" applyAlignment="1" applyProtection="1">
      <alignment horizontal="right"/>
    </xf>
    <xf numFmtId="167" fontId="35" fillId="3" borderId="10" xfId="1" applyNumberFormat="1" applyFont="1" applyFill="1" applyBorder="1" applyAlignment="1" applyProtection="1">
      <alignment horizontal="right"/>
    </xf>
    <xf numFmtId="164" fontId="35" fillId="0" borderId="53" xfId="0" applyFont="1" applyBorder="1" applyAlignment="1">
      <alignment horizontal="left"/>
    </xf>
    <xf numFmtId="164" fontId="35" fillId="0" borderId="37" xfId="0" applyFont="1" applyBorder="1" applyAlignment="1">
      <alignment horizontal="left"/>
    </xf>
    <xf numFmtId="166" fontId="35" fillId="0" borderId="34" xfId="0" applyNumberFormat="1" applyFont="1" applyBorder="1" applyAlignment="1">
      <alignment horizontal="right"/>
    </xf>
    <xf numFmtId="166" fontId="35" fillId="0" borderId="46" xfId="0" applyNumberFormat="1" applyFont="1" applyBorder="1" applyAlignment="1">
      <alignment horizontal="right"/>
    </xf>
    <xf numFmtId="167" fontId="35" fillId="0" borderId="46" xfId="0" applyNumberFormat="1" applyFont="1" applyBorder="1" applyAlignment="1">
      <alignment horizontal="right"/>
    </xf>
    <xf numFmtId="168" fontId="35" fillId="0" borderId="46" xfId="0" applyNumberFormat="1" applyFont="1" applyBorder="1" applyAlignment="1">
      <alignment horizontal="right"/>
    </xf>
    <xf numFmtId="168" fontId="35" fillId="0" borderId="48" xfId="0" applyNumberFormat="1" applyFont="1" applyBorder="1" applyAlignment="1">
      <alignment horizontal="right"/>
    </xf>
    <xf numFmtId="3" fontId="35" fillId="0" borderId="46" xfId="1" applyNumberFormat="1" applyFont="1" applyFill="1" applyBorder="1" applyAlignment="1" applyProtection="1">
      <alignment horizontal="right"/>
    </xf>
    <xf numFmtId="168" fontId="35" fillId="0" borderId="47" xfId="1" applyNumberFormat="1" applyFont="1" applyFill="1" applyBorder="1" applyAlignment="1" applyProtection="1">
      <alignment horizontal="right"/>
    </xf>
    <xf numFmtId="167" fontId="35" fillId="3" borderId="48" xfId="1" applyNumberFormat="1" applyFont="1" applyFill="1" applyBorder="1" applyAlignment="1" applyProtection="1">
      <alignment horizontal="right"/>
    </xf>
    <xf numFmtId="164" fontId="35" fillId="0" borderId="5" xfId="0" applyFont="1" applyBorder="1" applyAlignment="1">
      <alignment horizontal="left"/>
    </xf>
    <xf numFmtId="164" fontId="35" fillId="0" borderId="6" xfId="0" quotePrefix="1" applyFont="1" applyBorder="1" applyAlignment="1">
      <alignment horizontal="left"/>
    </xf>
    <xf numFmtId="166" fontId="35" fillId="4" borderId="6" xfId="0" applyNumberFormat="1" applyFont="1" applyFill="1" applyBorder="1"/>
    <xf numFmtId="166" fontId="35" fillId="0" borderId="53" xfId="0" applyNumberFormat="1" applyFont="1" applyBorder="1"/>
    <xf numFmtId="166" fontId="35" fillId="0" borderId="37" xfId="0" applyNumberFormat="1" applyFont="1" applyBorder="1"/>
    <xf numFmtId="167" fontId="35" fillId="0" borderId="37" xfId="0" applyNumberFormat="1" applyFont="1" applyBorder="1"/>
    <xf numFmtId="168" fontId="35" fillId="0" borderId="37" xfId="0" applyNumberFormat="1" applyFont="1" applyBorder="1"/>
    <xf numFmtId="168" fontId="35" fillId="0" borderId="31" xfId="0" applyNumberFormat="1" applyFont="1" applyBorder="1"/>
    <xf numFmtId="165" fontId="35" fillId="0" borderId="37" xfId="1" applyNumberFormat="1" applyFont="1" applyFill="1" applyBorder="1"/>
    <xf numFmtId="3" fontId="35" fillId="4" borderId="37" xfId="1" applyNumberFormat="1" applyFont="1" applyFill="1" applyBorder="1" applyProtection="1"/>
    <xf numFmtId="168" fontId="35" fillId="4" borderId="37" xfId="1" applyNumberFormat="1" applyFont="1" applyFill="1" applyBorder="1" applyProtection="1"/>
    <xf numFmtId="168" fontId="35" fillId="4" borderId="31" xfId="1" applyNumberFormat="1" applyFont="1" applyFill="1" applyBorder="1" applyProtection="1"/>
    <xf numFmtId="164" fontId="35" fillId="3" borderId="13" xfId="0" applyFont="1" applyFill="1" applyBorder="1" applyAlignment="1">
      <alignment horizontal="left"/>
    </xf>
    <xf numFmtId="164" fontId="35" fillId="3" borderId="26" xfId="0" applyFont="1" applyFill="1" applyBorder="1" applyAlignment="1">
      <alignment horizontal="left"/>
    </xf>
    <xf numFmtId="166" fontId="35" fillId="3" borderId="23" xfId="0" applyNumberFormat="1" applyFont="1" applyFill="1" applyBorder="1" applyAlignment="1">
      <alignment horizontal="right"/>
    </xf>
    <xf numFmtId="166" fontId="39" fillId="0" borderId="24" xfId="0" applyNumberFormat="1" applyFont="1" applyBorder="1" applyAlignment="1">
      <alignment horizontal="right"/>
    </xf>
    <xf numFmtId="166" fontId="39" fillId="0" borderId="47" xfId="0" applyNumberFormat="1" applyFont="1" applyBorder="1" applyAlignment="1">
      <alignment horizontal="right"/>
    </xf>
    <xf numFmtId="167" fontId="35" fillId="0" borderId="30" xfId="0" applyNumberFormat="1" applyFont="1" applyBorder="1" applyAlignment="1">
      <alignment horizontal="right"/>
    </xf>
    <xf numFmtId="3" fontId="35" fillId="0" borderId="30" xfId="0" applyNumberFormat="1" applyFont="1" applyBorder="1" applyAlignment="1">
      <alignment horizontal="right"/>
    </xf>
    <xf numFmtId="3" fontId="35" fillId="0" borderId="30" xfId="1" applyNumberFormat="1" applyFont="1" applyFill="1" applyBorder="1" applyAlignment="1" applyProtection="1">
      <alignment horizontal="right"/>
    </xf>
    <xf numFmtId="164" fontId="35" fillId="3" borderId="3" xfId="0" applyFont="1" applyFill="1" applyBorder="1" applyAlignment="1">
      <alignment horizontal="left"/>
    </xf>
    <xf numFmtId="164" fontId="35" fillId="3" borderId="45" xfId="0" applyFont="1" applyFill="1" applyBorder="1" applyAlignment="1">
      <alignment horizontal="left"/>
    </xf>
    <xf numFmtId="166" fontId="35" fillId="3" borderId="41" xfId="0" applyNumberFormat="1" applyFont="1" applyFill="1" applyBorder="1" applyAlignment="1">
      <alignment horizontal="right"/>
    </xf>
    <xf numFmtId="166" fontId="39" fillId="0" borderId="15" xfId="0" applyNumberFormat="1" applyFont="1" applyBorder="1" applyAlignment="1">
      <alignment horizontal="right"/>
    </xf>
    <xf numFmtId="166" fontId="39" fillId="0" borderId="41" xfId="0" applyNumberFormat="1" applyFont="1" applyBorder="1" applyAlignment="1">
      <alignment horizontal="right"/>
    </xf>
    <xf numFmtId="166" fontId="39" fillId="0" borderId="3" xfId="0" applyNumberFormat="1" applyFont="1" applyBorder="1" applyAlignment="1">
      <alignment horizontal="right"/>
    </xf>
    <xf numFmtId="3" fontId="35" fillId="0" borderId="1" xfId="0" applyNumberFormat="1" applyFont="1" applyBorder="1" applyAlignment="1">
      <alignment horizontal="right"/>
    </xf>
    <xf numFmtId="3" fontId="35" fillId="0" borderId="27" xfId="0" applyNumberFormat="1" applyFont="1" applyBorder="1" applyAlignment="1">
      <alignment horizontal="right"/>
    </xf>
    <xf numFmtId="3" fontId="35" fillId="3" borderId="27" xfId="0" applyNumberFormat="1" applyFont="1" applyFill="1" applyBorder="1" applyAlignment="1">
      <alignment horizontal="right"/>
    </xf>
    <xf numFmtId="168" fontId="35" fillId="0" borderId="1" xfId="0" applyNumberFormat="1" applyFont="1" applyBorder="1" applyAlignment="1">
      <alignment horizontal="right"/>
    </xf>
    <xf numFmtId="164" fontId="35" fillId="3" borderId="11" xfId="0" applyFont="1" applyFill="1" applyBorder="1" applyAlignment="1">
      <alignment horizontal="left"/>
    </xf>
    <xf numFmtId="164" fontId="35" fillId="3" borderId="28" xfId="0" applyFont="1" applyFill="1" applyBorder="1" applyAlignment="1">
      <alignment horizontal="left"/>
    </xf>
    <xf numFmtId="166" fontId="35" fillId="3" borderId="29" xfId="0" applyNumberFormat="1" applyFont="1" applyFill="1" applyBorder="1" applyAlignment="1">
      <alignment horizontal="right"/>
    </xf>
    <xf numFmtId="166" fontId="39" fillId="0" borderId="7" xfId="0" applyNumberFormat="1" applyFont="1" applyBorder="1" applyAlignment="1">
      <alignment horizontal="right"/>
    </xf>
    <xf numFmtId="166" fontId="39" fillId="0" borderId="29" xfId="0" applyNumberFormat="1" applyFont="1" applyBorder="1" applyAlignment="1">
      <alignment horizontal="right"/>
    </xf>
    <xf numFmtId="166" fontId="39" fillId="0" borderId="11" xfId="0" applyNumberFormat="1" applyFont="1" applyBorder="1" applyAlignment="1">
      <alignment horizontal="right"/>
    </xf>
    <xf numFmtId="167" fontId="35" fillId="0" borderId="32" xfId="0" applyNumberFormat="1" applyFont="1" applyBorder="1" applyAlignment="1">
      <alignment horizontal="right"/>
    </xf>
    <xf numFmtId="3" fontId="35" fillId="0" borderId="4" xfId="0" applyNumberFormat="1" applyFont="1" applyBorder="1" applyAlignment="1">
      <alignment horizontal="right"/>
    </xf>
    <xf numFmtId="3" fontId="35" fillId="0" borderId="32" xfId="0" applyNumberFormat="1" applyFont="1" applyBorder="1" applyAlignment="1">
      <alignment horizontal="right"/>
    </xf>
    <xf numFmtId="3" fontId="35" fillId="0" borderId="32" xfId="1" applyNumberFormat="1" applyFont="1" applyFill="1" applyBorder="1" applyAlignment="1" applyProtection="1">
      <alignment horizontal="right"/>
    </xf>
    <xf numFmtId="166" fontId="35" fillId="3" borderId="0" xfId="0" applyNumberFormat="1" applyFont="1" applyFill="1" applyAlignment="1">
      <alignment horizontal="right"/>
    </xf>
    <xf numFmtId="166" fontId="39" fillId="0" borderId="18" xfId="0" applyNumberFormat="1" applyFont="1" applyBorder="1" applyAlignment="1">
      <alignment horizontal="right"/>
    </xf>
    <xf numFmtId="166" fontId="39" fillId="0" borderId="9" xfId="0" applyNumberFormat="1" applyFont="1" applyBorder="1" applyAlignment="1">
      <alignment horizontal="right"/>
    </xf>
    <xf numFmtId="166" fontId="39" fillId="0" borderId="13" xfId="0" applyNumberFormat="1" applyFont="1" applyBorder="1" applyAlignment="1">
      <alignment horizontal="right"/>
    </xf>
    <xf numFmtId="166" fontId="35" fillId="0" borderId="20" xfId="0" applyNumberFormat="1" applyFont="1" applyBorder="1" applyAlignment="1">
      <alignment horizontal="right"/>
    </xf>
    <xf numFmtId="3" fontId="35" fillId="0" borderId="0" xfId="0" applyNumberFormat="1" applyFont="1" applyAlignment="1">
      <alignment horizontal="right"/>
    </xf>
    <xf numFmtId="3" fontId="35" fillId="0" borderId="20" xfId="0" applyNumberFormat="1" applyFont="1" applyBorder="1" applyAlignment="1">
      <alignment horizontal="right"/>
    </xf>
    <xf numFmtId="3" fontId="35" fillId="3" borderId="20" xfId="0" applyNumberFormat="1" applyFont="1" applyFill="1" applyBorder="1" applyAlignment="1">
      <alignment horizontal="right"/>
    </xf>
    <xf numFmtId="168" fontId="35" fillId="0" borderId="0" xfId="0" applyNumberFormat="1" applyFont="1" applyAlignment="1">
      <alignment horizontal="right"/>
    </xf>
    <xf numFmtId="168" fontId="35" fillId="0" borderId="20" xfId="0" applyNumberFormat="1" applyFont="1" applyBorder="1" applyAlignment="1">
      <alignment horizontal="right"/>
    </xf>
    <xf numFmtId="166" fontId="35" fillId="3" borderId="4" xfId="0" applyNumberFormat="1" applyFont="1" applyFill="1" applyBorder="1" applyAlignment="1">
      <alignment horizontal="right"/>
    </xf>
    <xf numFmtId="164" fontId="35" fillId="4" borderId="11" xfId="0" applyFont="1" applyFill="1" applyBorder="1" applyAlignment="1">
      <alignment horizontal="left"/>
    </xf>
    <xf numFmtId="164" fontId="35" fillId="4" borderId="4" xfId="0" quotePrefix="1" applyFont="1" applyFill="1" applyBorder="1" applyAlignment="1">
      <alignment horizontal="left"/>
    </xf>
    <xf numFmtId="166" fontId="35" fillId="4" borderId="4" xfId="0" applyNumberFormat="1" applyFont="1" applyFill="1" applyBorder="1" applyAlignment="1">
      <alignment horizontal="right"/>
    </xf>
    <xf numFmtId="167" fontId="35" fillId="0" borderId="4" xfId="0" applyNumberFormat="1" applyFont="1" applyBorder="1" applyAlignment="1">
      <alignment horizontal="right"/>
    </xf>
    <xf numFmtId="168" fontId="35" fillId="0" borderId="4" xfId="0" applyNumberFormat="1" applyFont="1" applyBorder="1" applyAlignment="1">
      <alignment horizontal="right"/>
    </xf>
    <xf numFmtId="168" fontId="35" fillId="0" borderId="25" xfId="0" applyNumberFormat="1" applyFont="1" applyBorder="1" applyAlignment="1">
      <alignment horizontal="right"/>
    </xf>
    <xf numFmtId="165" fontId="35" fillId="0" borderId="4" xfId="1" applyNumberFormat="1" applyFont="1" applyFill="1" applyBorder="1" applyAlignment="1">
      <alignment horizontal="right"/>
    </xf>
    <xf numFmtId="3" fontId="35" fillId="4" borderId="4" xfId="1" applyNumberFormat="1" applyFont="1" applyFill="1" applyBorder="1" applyAlignment="1" applyProtection="1">
      <alignment horizontal="right"/>
    </xf>
    <xf numFmtId="168" fontId="35" fillId="4" borderId="4" xfId="1" applyNumberFormat="1" applyFont="1" applyFill="1" applyBorder="1" applyAlignment="1" applyProtection="1">
      <alignment horizontal="right"/>
    </xf>
    <xf numFmtId="168" fontId="35" fillId="4" borderId="25" xfId="1" applyNumberFormat="1" applyFont="1" applyFill="1" applyBorder="1" applyAlignment="1" applyProtection="1">
      <alignment horizontal="right"/>
    </xf>
    <xf numFmtId="164" fontId="35" fillId="3" borderId="53" xfId="0" applyFont="1" applyFill="1" applyBorder="1" applyAlignment="1">
      <alignment horizontal="left"/>
    </xf>
    <xf numFmtId="164" fontId="35" fillId="3" borderId="50" xfId="0" applyFont="1" applyFill="1" applyBorder="1" applyAlignment="1">
      <alignment horizontal="left"/>
    </xf>
    <xf numFmtId="166" fontId="35" fillId="3" borderId="54" xfId="0" applyNumberFormat="1" applyFont="1" applyFill="1" applyBorder="1" applyAlignment="1">
      <alignment horizontal="right"/>
    </xf>
    <xf numFmtId="167" fontId="35" fillId="0" borderId="20" xfId="0" applyNumberFormat="1" applyFont="1" applyBorder="1" applyAlignment="1">
      <alignment horizontal="right"/>
    </xf>
    <xf numFmtId="3" fontId="35" fillId="0" borderId="26" xfId="1" applyNumberFormat="1" applyFont="1" applyFill="1" applyBorder="1" applyAlignment="1" applyProtection="1">
      <alignment horizontal="right"/>
    </xf>
    <xf numFmtId="3" fontId="35" fillId="3" borderId="18" xfId="1" applyNumberFormat="1" applyFont="1" applyFill="1" applyBorder="1" applyAlignment="1" applyProtection="1">
      <alignment horizontal="right"/>
    </xf>
    <xf numFmtId="3" fontId="35" fillId="0" borderId="37" xfId="1" applyNumberFormat="1" applyFont="1" applyFill="1" applyBorder="1" applyAlignment="1" applyProtection="1">
      <alignment horizontal="right"/>
    </xf>
    <xf numFmtId="3" fontId="35" fillId="3" borderId="37" xfId="1" applyNumberFormat="1" applyFont="1" applyFill="1" applyBorder="1" applyAlignment="1" applyProtection="1">
      <alignment horizontal="right"/>
    </xf>
    <xf numFmtId="168" fontId="35" fillId="3" borderId="37" xfId="1" applyNumberFormat="1" applyFont="1" applyFill="1" applyBorder="1" applyAlignment="1" applyProtection="1">
      <alignment horizontal="right"/>
    </xf>
    <xf numFmtId="167" fontId="35" fillId="3" borderId="31" xfId="1" applyNumberFormat="1" applyFont="1" applyFill="1" applyBorder="1" applyAlignment="1" applyProtection="1">
      <alignment horizontal="right"/>
    </xf>
    <xf numFmtId="164" fontId="35" fillId="3" borderId="25" xfId="0" applyFont="1" applyFill="1" applyBorder="1" applyAlignment="1">
      <alignment horizontal="left"/>
    </xf>
    <xf numFmtId="166" fontId="35" fillId="3" borderId="43" xfId="0" applyNumberFormat="1" applyFont="1" applyFill="1" applyBorder="1" applyAlignment="1">
      <alignment horizontal="right"/>
    </xf>
    <xf numFmtId="168" fontId="35" fillId="0" borderId="33" xfId="0" applyNumberFormat="1" applyFont="1" applyBorder="1" applyAlignment="1">
      <alignment horizontal="right"/>
    </xf>
    <xf numFmtId="164" fontId="35" fillId="4" borderId="11" xfId="0" quotePrefix="1" applyFont="1" applyFill="1" applyBorder="1" applyAlignment="1">
      <alignment horizontal="left"/>
    </xf>
    <xf numFmtId="3" fontId="35" fillId="4" borderId="37" xfId="1" applyNumberFormat="1" applyFont="1" applyFill="1" applyBorder="1" applyAlignment="1" applyProtection="1">
      <alignment horizontal="right"/>
    </xf>
    <xf numFmtId="164" fontId="35" fillId="3" borderId="57" xfId="0" applyFont="1" applyFill="1" applyBorder="1" applyAlignment="1">
      <alignment horizontal="left"/>
    </xf>
    <xf numFmtId="164" fontId="35" fillId="3" borderId="58" xfId="0" applyFont="1" applyFill="1" applyBorder="1" applyAlignment="1">
      <alignment horizontal="left"/>
    </xf>
    <xf numFmtId="166" fontId="35" fillId="3" borderId="59" xfId="0" applyNumberFormat="1" applyFont="1" applyFill="1" applyBorder="1" applyAlignment="1">
      <alignment horizontal="right"/>
    </xf>
    <xf numFmtId="166" fontId="35" fillId="0" borderId="7" xfId="0" applyNumberFormat="1" applyFont="1" applyBorder="1" applyAlignment="1">
      <alignment horizontal="right"/>
    </xf>
    <xf numFmtId="167" fontId="35" fillId="0" borderId="7" xfId="0" applyNumberFormat="1" applyFont="1" applyBorder="1" applyAlignment="1">
      <alignment horizontal="right"/>
    </xf>
    <xf numFmtId="168" fontId="35" fillId="0" borderId="7" xfId="0" applyNumberFormat="1" applyFont="1" applyBorder="1" applyAlignment="1">
      <alignment horizontal="right"/>
    </xf>
    <xf numFmtId="168" fontId="35" fillId="0" borderId="49" xfId="0" applyNumberFormat="1" applyFont="1" applyBorder="1" applyAlignment="1">
      <alignment horizontal="right"/>
    </xf>
    <xf numFmtId="3" fontId="35" fillId="0" borderId="8" xfId="1" applyNumberFormat="1" applyFont="1" applyFill="1" applyBorder="1" applyAlignment="1">
      <alignment horizontal="right"/>
    </xf>
    <xf numFmtId="3" fontId="35" fillId="3" borderId="7" xfId="1" applyNumberFormat="1" applyFont="1" applyFill="1" applyBorder="1" applyAlignment="1" applyProtection="1">
      <alignment horizontal="right"/>
    </xf>
    <xf numFmtId="164" fontId="35" fillId="3" borderId="5" xfId="0" applyFont="1" applyFill="1" applyBorder="1" applyAlignment="1">
      <alignment horizontal="left"/>
    </xf>
    <xf numFmtId="164" fontId="35" fillId="3" borderId="8" xfId="0" applyFont="1" applyFill="1" applyBorder="1" applyAlignment="1">
      <alignment horizontal="left"/>
    </xf>
    <xf numFmtId="166" fontId="35" fillId="3" borderId="7" xfId="0" applyNumberFormat="1" applyFont="1" applyFill="1" applyBorder="1" applyAlignment="1">
      <alignment horizontal="right"/>
    </xf>
    <xf numFmtId="168" fontId="35" fillId="3" borderId="41" xfId="1" applyNumberFormat="1" applyFont="1" applyFill="1" applyBorder="1" applyAlignment="1" applyProtection="1">
      <alignment horizontal="right"/>
    </xf>
    <xf numFmtId="168" fontId="35" fillId="3" borderId="15" xfId="1" applyNumberFormat="1" applyFont="1" applyFill="1" applyBorder="1" applyAlignment="1" applyProtection="1">
      <alignment horizontal="right"/>
    </xf>
    <xf numFmtId="164" fontId="35" fillId="4" borderId="53" xfId="0" quotePrefix="1" applyFont="1" applyFill="1" applyBorder="1" applyAlignment="1">
      <alignment horizontal="left"/>
    </xf>
    <xf numFmtId="164" fontId="35" fillId="4" borderId="37" xfId="0" quotePrefix="1" applyFont="1" applyFill="1" applyBorder="1" applyAlignment="1">
      <alignment horizontal="left"/>
    </xf>
    <xf numFmtId="166" fontId="35" fillId="4" borderId="37" xfId="0" applyNumberFormat="1" applyFont="1" applyFill="1" applyBorder="1" applyAlignment="1">
      <alignment horizontal="right"/>
    </xf>
    <xf numFmtId="165" fontId="35" fillId="0" borderId="26" xfId="1" applyNumberFormat="1" applyFont="1" applyFill="1" applyBorder="1" applyAlignment="1">
      <alignment horizontal="right"/>
    </xf>
    <xf numFmtId="164" fontId="35" fillId="3" borderId="4" xfId="0" applyFont="1" applyFill="1" applyBorder="1" applyAlignment="1">
      <alignment horizontal="left"/>
    </xf>
    <xf numFmtId="168" fontId="35" fillId="3" borderId="31" xfId="1" applyNumberFormat="1" applyFont="1" applyFill="1" applyBorder="1" applyAlignment="1" applyProtection="1">
      <alignment horizontal="right"/>
    </xf>
    <xf numFmtId="164" fontId="35" fillId="3" borderId="13" xfId="0" quotePrefix="1" applyFont="1" applyFill="1" applyBorder="1" applyAlignment="1">
      <alignment horizontal="left"/>
    </xf>
    <xf numFmtId="166" fontId="35" fillId="0" borderId="26" xfId="0" applyNumberFormat="1" applyFont="1" applyBorder="1" applyAlignment="1">
      <alignment horizontal="right"/>
    </xf>
    <xf numFmtId="166" fontId="35" fillId="0" borderId="60" xfId="0" applyNumberFormat="1" applyFont="1" applyBorder="1" applyAlignment="1">
      <alignment horizontal="right"/>
    </xf>
    <xf numFmtId="165" fontId="35" fillId="0" borderId="26" xfId="1" applyNumberFormat="1" applyFont="1" applyFill="1" applyBorder="1" applyAlignment="1">
      <alignment horizontal="center"/>
    </xf>
    <xf numFmtId="168" fontId="35" fillId="3" borderId="33" xfId="1" applyNumberFormat="1" applyFont="1" applyFill="1" applyBorder="1" applyAlignment="1" applyProtection="1">
      <alignment horizontal="right"/>
    </xf>
    <xf numFmtId="164" fontId="40" fillId="3" borderId="30" xfId="0" applyFont="1" applyFill="1" applyBorder="1" applyAlignment="1">
      <alignment horizontal="left"/>
    </xf>
    <xf numFmtId="166" fontId="35" fillId="0" borderId="30" xfId="0" applyNumberFormat="1" applyFont="1" applyBorder="1" applyAlignment="1">
      <alignment horizontal="right"/>
    </xf>
    <xf numFmtId="168" fontId="35" fillId="0" borderId="30" xfId="0" applyNumberFormat="1" applyFont="1" applyBorder="1" applyAlignment="1">
      <alignment horizontal="right"/>
    </xf>
    <xf numFmtId="165" fontId="35" fillId="0" borderId="31" xfId="1" applyNumberFormat="1" applyFont="1" applyFill="1" applyBorder="1" applyAlignment="1" applyProtection="1">
      <alignment horizontal="right"/>
    </xf>
    <xf numFmtId="3" fontId="35" fillId="3" borderId="30" xfId="1" applyNumberFormat="1" applyFont="1" applyFill="1" applyBorder="1" applyAlignment="1" applyProtection="1">
      <alignment horizontal="right"/>
    </xf>
    <xf numFmtId="168" fontId="35" fillId="3" borderId="30" xfId="1" applyNumberFormat="1" applyFont="1" applyFill="1" applyBorder="1" applyAlignment="1" applyProtection="1">
      <alignment horizontal="right"/>
    </xf>
    <xf numFmtId="164" fontId="35" fillId="0" borderId="30" xfId="0" quotePrefix="1" applyFont="1" applyBorder="1" applyAlignment="1">
      <alignment horizontal="left"/>
    </xf>
    <xf numFmtId="165" fontId="35" fillId="0" borderId="2" xfId="1" applyNumberFormat="1" applyFont="1" applyFill="1" applyBorder="1" applyAlignment="1" applyProtection="1">
      <alignment horizontal="right"/>
    </xf>
    <xf numFmtId="3" fontId="35" fillId="3" borderId="27" xfId="1" applyNumberFormat="1" applyFont="1" applyFill="1" applyBorder="1" applyAlignment="1" applyProtection="1">
      <alignment horizontal="right"/>
    </xf>
    <xf numFmtId="164" fontId="35" fillId="0" borderId="6" xfId="0" applyFont="1" applyBorder="1" applyAlignment="1">
      <alignment horizontal="left"/>
    </xf>
    <xf numFmtId="4" fontId="35" fillId="4" borderId="6" xfId="0" applyNumberFormat="1" applyFont="1" applyFill="1" applyBorder="1" applyAlignment="1">
      <alignment horizontal="right"/>
    </xf>
    <xf numFmtId="4" fontId="35" fillId="0" borderId="53" xfId="0" applyNumberFormat="1" applyFont="1" applyBorder="1" applyAlignment="1">
      <alignment horizontal="right"/>
    </xf>
    <xf numFmtId="4" fontId="35" fillId="0" borderId="37" xfId="0" applyNumberFormat="1" applyFont="1" applyBorder="1" applyAlignment="1">
      <alignment horizontal="right"/>
    </xf>
    <xf numFmtId="168" fontId="35" fillId="4" borderId="31" xfId="1" applyNumberFormat="1" applyFont="1" applyFill="1" applyBorder="1" applyAlignment="1" applyProtection="1">
      <alignment horizontal="right"/>
    </xf>
    <xf numFmtId="164" fontId="35" fillId="3" borderId="16" xfId="0" applyFont="1" applyFill="1" applyBorder="1" applyAlignment="1">
      <alignment horizontal="left"/>
    </xf>
    <xf numFmtId="4" fontId="35" fillId="3" borderId="9" xfId="0" applyNumberFormat="1" applyFont="1" applyFill="1" applyBorder="1" applyAlignment="1">
      <alignment horizontal="right"/>
    </xf>
    <xf numFmtId="4" fontId="35" fillId="0" borderId="20" xfId="0" applyNumberFormat="1" applyFont="1" applyBorder="1" applyAlignment="1">
      <alignment horizontal="right"/>
    </xf>
    <xf numFmtId="4" fontId="35" fillId="0" borderId="0" xfId="0" applyNumberFormat="1" applyFont="1" applyAlignment="1">
      <alignment horizontal="right"/>
    </xf>
    <xf numFmtId="4" fontId="35" fillId="0" borderId="26" xfId="0" applyNumberFormat="1" applyFont="1" applyBorder="1" applyAlignment="1">
      <alignment horizontal="right"/>
    </xf>
    <xf numFmtId="4" fontId="35" fillId="0" borderId="18" xfId="0" applyNumberFormat="1" applyFont="1" applyBorder="1" applyAlignment="1">
      <alignment horizontal="right"/>
    </xf>
    <xf numFmtId="165" fontId="35" fillId="0" borderId="0" xfId="1" applyNumberFormat="1" applyFont="1" applyFill="1" applyBorder="1" applyAlignment="1" applyProtection="1">
      <alignment horizontal="right"/>
    </xf>
    <xf numFmtId="3" fontId="35" fillId="3" borderId="20" xfId="1" applyNumberFormat="1" applyFont="1" applyFill="1" applyBorder="1" applyAlignment="1" applyProtection="1">
      <alignment horizontal="right"/>
    </xf>
    <xf numFmtId="168" fontId="35" fillId="3" borderId="13" xfId="1" applyNumberFormat="1" applyFont="1" applyFill="1" applyBorder="1" applyAlignment="1" applyProtection="1">
      <alignment horizontal="right"/>
    </xf>
    <xf numFmtId="168" fontId="35" fillId="3" borderId="20" xfId="1" applyNumberFormat="1" applyFont="1" applyFill="1" applyBorder="1" applyAlignment="1" applyProtection="1">
      <alignment horizontal="right"/>
    </xf>
    <xf numFmtId="168" fontId="35" fillId="3" borderId="19" xfId="1" applyNumberFormat="1" applyFont="1" applyFill="1" applyBorder="1" applyAlignment="1" applyProtection="1">
      <alignment horizontal="right"/>
    </xf>
    <xf numFmtId="164" fontId="35" fillId="3" borderId="0" xfId="0" applyFont="1" applyFill="1" applyAlignment="1">
      <alignment horizontal="left"/>
    </xf>
    <xf numFmtId="4" fontId="35" fillId="3" borderId="0" xfId="0" applyNumberFormat="1" applyFont="1" applyFill="1" applyAlignment="1">
      <alignment horizontal="right"/>
    </xf>
    <xf numFmtId="164" fontId="35" fillId="3" borderId="11" xfId="0" applyFont="1" applyFill="1" applyBorder="1"/>
    <xf numFmtId="4" fontId="35" fillId="3" borderId="29" xfId="0" applyNumberFormat="1" applyFont="1" applyFill="1" applyBorder="1" applyAlignment="1">
      <alignment horizontal="right"/>
    </xf>
    <xf numFmtId="166" fontId="35" fillId="0" borderId="0" xfId="0" applyNumberFormat="1" applyFont="1" applyAlignment="1">
      <alignment horizontal="right"/>
    </xf>
    <xf numFmtId="166" fontId="35" fillId="0" borderId="19" xfId="0" applyNumberFormat="1" applyFont="1" applyBorder="1" applyAlignment="1">
      <alignment horizontal="right"/>
    </xf>
    <xf numFmtId="3" fontId="35" fillId="0" borderId="0" xfId="1" applyNumberFormat="1" applyFont="1" applyFill="1" applyBorder="1" applyAlignment="1">
      <alignment horizontal="right"/>
    </xf>
    <xf numFmtId="167" fontId="35" fillId="3" borderId="19" xfId="1" applyNumberFormat="1" applyFont="1" applyFill="1" applyBorder="1" applyAlignment="1" applyProtection="1">
      <alignment horizontal="right"/>
    </xf>
    <xf numFmtId="166" fontId="35" fillId="3" borderId="6" xfId="0" applyNumberFormat="1" applyFont="1" applyFill="1" applyBorder="1" applyAlignment="1">
      <alignment horizontal="right"/>
    </xf>
    <xf numFmtId="165" fontId="35" fillId="3" borderId="37" xfId="1" applyNumberFormat="1" applyFont="1" applyFill="1" applyBorder="1" applyAlignment="1" applyProtection="1">
      <alignment horizontal="right"/>
    </xf>
    <xf numFmtId="164" fontId="35" fillId="3" borderId="76" xfId="0" applyFont="1" applyFill="1" applyBorder="1"/>
    <xf numFmtId="164" fontId="35" fillId="3" borderId="21" xfId="0" applyFont="1" applyFill="1" applyBorder="1" applyAlignment="1">
      <alignment horizontal="left"/>
    </xf>
    <xf numFmtId="166" fontId="35" fillId="3" borderId="22" xfId="0" applyNumberFormat="1" applyFont="1" applyFill="1" applyBorder="1" applyAlignment="1">
      <alignment horizontal="right"/>
    </xf>
    <xf numFmtId="166" fontId="35" fillId="0" borderId="25" xfId="0" applyNumberFormat="1" applyFont="1" applyBorder="1" applyAlignment="1">
      <alignment horizontal="right"/>
    </xf>
    <xf numFmtId="165" fontId="35" fillId="3" borderId="7" xfId="1" applyNumberFormat="1" applyFont="1" applyFill="1" applyBorder="1" applyAlignment="1" applyProtection="1">
      <alignment horizontal="right"/>
    </xf>
    <xf numFmtId="168" fontId="35" fillId="3" borderId="29" xfId="1" applyNumberFormat="1" applyFont="1" applyFill="1" applyBorder="1" applyAlignment="1" applyProtection="1">
      <alignment horizontal="right"/>
    </xf>
    <xf numFmtId="168" fontId="35" fillId="3" borderId="7" xfId="1" applyNumberFormat="1" applyFont="1" applyFill="1" applyBorder="1" applyAlignment="1" applyProtection="1">
      <alignment horizontal="right"/>
    </xf>
    <xf numFmtId="164" fontId="35" fillId="3" borderId="75" xfId="0" applyFont="1" applyFill="1" applyBorder="1"/>
    <xf numFmtId="166" fontId="35" fillId="3" borderId="25" xfId="0" applyNumberFormat="1" applyFont="1" applyFill="1" applyBorder="1" applyAlignment="1">
      <alignment horizontal="right"/>
    </xf>
    <xf numFmtId="167" fontId="35" fillId="3" borderId="42" xfId="1" applyNumberFormat="1" applyFont="1" applyFill="1" applyBorder="1" applyAlignment="1" applyProtection="1">
      <alignment horizontal="right"/>
    </xf>
    <xf numFmtId="164" fontId="35" fillId="3" borderId="3" xfId="0" applyFont="1" applyFill="1" applyBorder="1"/>
    <xf numFmtId="166" fontId="35" fillId="3" borderId="27" xfId="0" applyNumberFormat="1" applyFont="1" applyFill="1" applyBorder="1" applyAlignment="1">
      <alignment horizontal="right"/>
    </xf>
    <xf numFmtId="166" fontId="40" fillId="0" borderId="19" xfId="0" applyNumberFormat="1" applyFont="1" applyBorder="1" applyAlignment="1">
      <alignment horizontal="right"/>
    </xf>
    <xf numFmtId="167" fontId="35" fillId="0" borderId="19" xfId="0" applyNumberFormat="1" applyFont="1" applyBorder="1" applyAlignment="1">
      <alignment horizontal="right"/>
    </xf>
    <xf numFmtId="168" fontId="35" fillId="0" borderId="19" xfId="0" applyNumberFormat="1" applyFont="1" applyBorder="1" applyAlignment="1">
      <alignment horizontal="right"/>
    </xf>
    <xf numFmtId="165" fontId="35" fillId="0" borderId="19" xfId="1" applyNumberFormat="1" applyFont="1" applyFill="1" applyBorder="1" applyAlignment="1">
      <alignment horizontal="right"/>
    </xf>
    <xf numFmtId="3" fontId="35" fillId="3" borderId="19" xfId="1" applyNumberFormat="1" applyFont="1" applyFill="1" applyBorder="1" applyAlignment="1" applyProtection="1">
      <alignment horizontal="right"/>
    </xf>
    <xf numFmtId="168" fontId="35" fillId="3" borderId="0" xfId="1" applyNumberFormat="1" applyFont="1" applyFill="1" applyBorder="1" applyAlignment="1" applyProtection="1">
      <alignment horizontal="right"/>
    </xf>
    <xf numFmtId="167" fontId="35" fillId="3" borderId="20" xfId="1" applyNumberFormat="1" applyFont="1" applyFill="1" applyBorder="1" applyAlignment="1" applyProtection="1">
      <alignment horizontal="right"/>
    </xf>
    <xf numFmtId="166" fontId="40" fillId="0" borderId="18" xfId="0" applyNumberFormat="1" applyFont="1" applyBorder="1" applyAlignment="1">
      <alignment horizontal="right"/>
    </xf>
    <xf numFmtId="164" fontId="41" fillId="3" borderId="13" xfId="0" applyFont="1" applyFill="1" applyBorder="1" applyAlignment="1">
      <alignment horizontal="left"/>
    </xf>
    <xf numFmtId="164" fontId="35" fillId="3" borderId="19" xfId="0" applyFont="1" applyFill="1" applyBorder="1" applyAlignment="1">
      <alignment horizontal="left"/>
    </xf>
    <xf numFmtId="166" fontId="35" fillId="3" borderId="19" xfId="0" applyNumberFormat="1" applyFont="1" applyFill="1" applyBorder="1" applyAlignment="1">
      <alignment horizontal="right"/>
    </xf>
    <xf numFmtId="165" fontId="40" fillId="0" borderId="19" xfId="1" applyNumberFormat="1" applyFont="1" applyFill="1" applyBorder="1" applyAlignment="1">
      <alignment horizontal="right"/>
    </xf>
    <xf numFmtId="164" fontId="41" fillId="3" borderId="11" xfId="0" applyFont="1" applyFill="1" applyBorder="1" applyAlignment="1">
      <alignment horizontal="left"/>
    </xf>
    <xf numFmtId="3" fontId="35" fillId="0" borderId="19" xfId="1" applyNumberFormat="1" applyFont="1" applyFill="1" applyBorder="1" applyAlignment="1">
      <alignment horizontal="right"/>
    </xf>
    <xf numFmtId="3" fontId="35" fillId="3" borderId="43" xfId="1" applyNumberFormat="1" applyFont="1" applyFill="1" applyBorder="1" applyAlignment="1" applyProtection="1">
      <alignment horizontal="right"/>
    </xf>
    <xf numFmtId="168" fontId="35" fillId="3" borderId="25" xfId="1" applyNumberFormat="1" applyFont="1" applyFill="1" applyBorder="1" applyAlignment="1" applyProtection="1">
      <alignment horizontal="right"/>
    </xf>
    <xf numFmtId="168" fontId="35" fillId="3" borderId="4" xfId="1" applyNumberFormat="1" applyFont="1" applyFill="1" applyBorder="1" applyAlignment="1" applyProtection="1">
      <alignment horizontal="right"/>
    </xf>
    <xf numFmtId="167" fontId="35" fillId="3" borderId="32" xfId="1" applyNumberFormat="1" applyFont="1" applyFill="1" applyBorder="1" applyAlignment="1" applyProtection="1">
      <alignment horizontal="right"/>
    </xf>
    <xf numFmtId="168" fontId="35" fillId="3" borderId="17" xfId="1" applyNumberFormat="1" applyFont="1" applyFill="1" applyBorder="1" applyAlignment="1" applyProtection="1">
      <alignment horizontal="right"/>
    </xf>
    <xf numFmtId="165" fontId="35" fillId="3" borderId="19" xfId="1" applyNumberFormat="1" applyFont="1" applyFill="1" applyBorder="1" applyAlignment="1" applyProtection="1">
      <alignment horizontal="right"/>
    </xf>
    <xf numFmtId="166" fontId="35" fillId="3" borderId="32" xfId="0" applyNumberFormat="1" applyFont="1" applyFill="1" applyBorder="1" applyAlignment="1">
      <alignment horizontal="right"/>
    </xf>
    <xf numFmtId="164" fontId="35" fillId="3" borderId="31" xfId="0" applyFont="1" applyFill="1" applyBorder="1" applyAlignment="1">
      <alignment horizontal="left"/>
    </xf>
    <xf numFmtId="166" fontId="35" fillId="3" borderId="31" xfId="0" applyNumberFormat="1" applyFont="1" applyFill="1" applyBorder="1" applyAlignment="1">
      <alignment horizontal="right"/>
    </xf>
    <xf numFmtId="3" fontId="35" fillId="0" borderId="25" xfId="1" applyNumberFormat="1" applyFont="1" applyFill="1" applyBorder="1" applyAlignment="1">
      <alignment horizontal="right"/>
    </xf>
    <xf numFmtId="168" fontId="35" fillId="3" borderId="44" xfId="1" applyNumberFormat="1" applyFont="1" applyFill="1" applyBorder="1" applyAlignment="1" applyProtection="1">
      <alignment horizontal="right"/>
    </xf>
    <xf numFmtId="168" fontId="35" fillId="3" borderId="47" xfId="1" applyNumberFormat="1" applyFont="1" applyFill="1" applyBorder="1" applyAlignment="1" applyProtection="1">
      <alignment horizontal="right"/>
    </xf>
    <xf numFmtId="164" fontId="35" fillId="4" borderId="76" xfId="0" applyFont="1" applyFill="1" applyBorder="1" applyAlignment="1">
      <alignment horizontal="left"/>
    </xf>
    <xf numFmtId="164" fontId="35" fillId="4" borderId="38" xfId="0" quotePrefix="1" applyFont="1" applyFill="1" applyBorder="1" applyAlignment="1">
      <alignment horizontal="left"/>
    </xf>
    <xf numFmtId="166" fontId="35" fillId="4" borderId="38" xfId="0" applyNumberFormat="1" applyFont="1" applyFill="1" applyBorder="1" applyAlignment="1">
      <alignment horizontal="right"/>
    </xf>
    <xf numFmtId="3" fontId="35" fillId="0" borderId="37" xfId="1" applyNumberFormat="1" applyFont="1" applyFill="1" applyBorder="1" applyAlignment="1">
      <alignment horizontal="right"/>
    </xf>
    <xf numFmtId="168" fontId="35" fillId="3" borderId="18" xfId="1" applyNumberFormat="1" applyFont="1" applyFill="1" applyBorder="1" applyAlignment="1" applyProtection="1">
      <alignment horizontal="right"/>
    </xf>
    <xf numFmtId="164" fontId="35" fillId="3" borderId="61" xfId="0" applyFont="1" applyFill="1" applyBorder="1" applyAlignment="1">
      <alignment horizontal="left"/>
    </xf>
    <xf numFmtId="166" fontId="35" fillId="3" borderId="44" xfId="0" applyNumberFormat="1" applyFont="1" applyFill="1" applyBorder="1" applyAlignment="1">
      <alignment horizontal="right"/>
    </xf>
    <xf numFmtId="166" fontId="35" fillId="3" borderId="46" xfId="0" applyNumberFormat="1" applyFont="1" applyFill="1" applyBorder="1" applyAlignment="1">
      <alignment horizontal="right"/>
    </xf>
    <xf numFmtId="164" fontId="35" fillId="3" borderId="66" xfId="0" applyFont="1" applyFill="1" applyBorder="1"/>
    <xf numFmtId="164" fontId="35" fillId="0" borderId="37" xfId="0" applyFont="1" applyBorder="1" applyAlignment="1">
      <alignment horizontal="left" vertical="top" wrapText="1"/>
    </xf>
    <xf numFmtId="3" fontId="35" fillId="0" borderId="18" xfId="1" applyNumberFormat="1" applyFont="1" applyFill="1" applyBorder="1" applyAlignment="1" applyProtection="1">
      <alignment horizontal="right"/>
    </xf>
    <xf numFmtId="168" fontId="35" fillId="0" borderId="9" xfId="1" applyNumberFormat="1" applyFont="1" applyFill="1" applyBorder="1" applyAlignment="1" applyProtection="1">
      <alignment horizontal="right"/>
    </xf>
    <xf numFmtId="166" fontId="35" fillId="0" borderId="53" xfId="0" applyNumberFormat="1" applyFont="1" applyBorder="1" applyAlignment="1">
      <alignment horizontal="center"/>
    </xf>
    <xf numFmtId="166" fontId="35" fillId="0" borderId="37" xfId="0" applyNumberFormat="1" applyFont="1" applyBorder="1" applyAlignment="1">
      <alignment horizontal="center"/>
    </xf>
    <xf numFmtId="167" fontId="35" fillId="0" borderId="37" xfId="0" applyNumberFormat="1" applyFont="1" applyBorder="1" applyAlignment="1">
      <alignment horizontal="center"/>
    </xf>
    <xf numFmtId="168" fontId="35" fillId="0" borderId="37" xfId="0" applyNumberFormat="1" applyFont="1" applyBorder="1" applyAlignment="1">
      <alignment horizontal="center"/>
    </xf>
    <xf numFmtId="168" fontId="35" fillId="0" borderId="31" xfId="0" applyNumberFormat="1" applyFont="1" applyBorder="1" applyAlignment="1">
      <alignment horizontal="center"/>
    </xf>
    <xf numFmtId="165" fontId="35" fillId="0" borderId="37" xfId="0" applyNumberFormat="1" applyFont="1" applyBorder="1" applyAlignment="1">
      <alignment horizontal="center"/>
    </xf>
    <xf numFmtId="165" fontId="35" fillId="3" borderId="37" xfId="1" applyNumberFormat="1" applyFont="1" applyFill="1" applyBorder="1" applyAlignment="1" applyProtection="1">
      <alignment horizontal="center"/>
    </xf>
    <xf numFmtId="168" fontId="35" fillId="3" borderId="37" xfId="1" applyNumberFormat="1" applyFont="1" applyFill="1" applyBorder="1" applyAlignment="1" applyProtection="1">
      <alignment horizontal="center"/>
    </xf>
    <xf numFmtId="167" fontId="35" fillId="3" borderId="31" xfId="1" applyNumberFormat="1" applyFont="1" applyFill="1" applyBorder="1" applyAlignment="1" applyProtection="1">
      <alignment horizontal="center"/>
    </xf>
    <xf numFmtId="165" fontId="35" fillId="0" borderId="19" xfId="0" applyNumberFormat="1" applyFont="1" applyBorder="1" applyAlignment="1">
      <alignment horizontal="right"/>
    </xf>
    <xf numFmtId="166" fontId="42" fillId="0" borderId="19" xfId="0" applyNumberFormat="1" applyFont="1" applyBorder="1" applyAlignment="1">
      <alignment horizontal="right"/>
    </xf>
    <xf numFmtId="3" fontId="35" fillId="0" borderId="19" xfId="0" applyNumberFormat="1" applyFont="1" applyBorder="1" applyAlignment="1">
      <alignment horizontal="right"/>
    </xf>
    <xf numFmtId="166" fontId="35" fillId="0" borderId="31" xfId="0" applyNumberFormat="1" applyFont="1" applyBorder="1" applyAlignment="1">
      <alignment horizontal="right"/>
    </xf>
    <xf numFmtId="167" fontId="35" fillId="0" borderId="31" xfId="0" applyNumberFormat="1" applyFont="1" applyBorder="1" applyAlignment="1">
      <alignment horizontal="right"/>
    </xf>
    <xf numFmtId="3" fontId="35" fillId="0" borderId="31" xfId="0" applyNumberFormat="1" applyFont="1" applyBorder="1" applyAlignment="1">
      <alignment horizontal="right"/>
    </xf>
    <xf numFmtId="165" fontId="35" fillId="3" borderId="50" xfId="1" applyNumberFormat="1" applyFont="1" applyFill="1" applyBorder="1" applyAlignment="1" applyProtection="1">
      <alignment horizontal="right"/>
    </xf>
    <xf numFmtId="168" fontId="35" fillId="3" borderId="35" xfId="1" applyNumberFormat="1" applyFont="1" applyFill="1" applyBorder="1" applyAlignment="1" applyProtection="1">
      <alignment horizontal="right"/>
    </xf>
    <xf numFmtId="168" fontId="35" fillId="3" borderId="51" xfId="1" applyNumberFormat="1" applyFont="1" applyFill="1" applyBorder="1" applyAlignment="1" applyProtection="1">
      <alignment horizontal="right"/>
    </xf>
    <xf numFmtId="3" fontId="35" fillId="3" borderId="51" xfId="1" applyNumberFormat="1" applyFont="1" applyFill="1" applyBorder="1" applyAlignment="1" applyProtection="1">
      <alignment horizontal="right"/>
    </xf>
    <xf numFmtId="164" fontId="35" fillId="3" borderId="2" xfId="0" applyFont="1" applyFill="1" applyBorder="1" applyAlignment="1">
      <alignment horizontal="left"/>
    </xf>
    <xf numFmtId="164" fontId="35" fillId="3" borderId="37" xfId="0" applyFont="1" applyFill="1" applyBorder="1" applyAlignment="1">
      <alignment horizontal="left"/>
    </xf>
    <xf numFmtId="166" fontId="35" fillId="3" borderId="37" xfId="0" applyNumberFormat="1" applyFont="1" applyFill="1" applyBorder="1" applyAlignment="1">
      <alignment horizontal="center"/>
    </xf>
    <xf numFmtId="166" fontId="35" fillId="3" borderId="19" xfId="0" applyNumberFormat="1" applyFont="1" applyFill="1" applyBorder="1" applyAlignment="1">
      <alignment horizontal="center"/>
    </xf>
    <xf numFmtId="166" fontId="35" fillId="0" borderId="19" xfId="0" applyNumberFormat="1" applyFont="1" applyBorder="1" applyAlignment="1">
      <alignment horizontal="center"/>
    </xf>
    <xf numFmtId="167" fontId="35" fillId="0" borderId="19" xfId="0" applyNumberFormat="1" applyFont="1" applyBorder="1" applyAlignment="1">
      <alignment horizontal="center"/>
    </xf>
    <xf numFmtId="168" fontId="35" fillId="0" borderId="19" xfId="0" applyNumberFormat="1" applyFont="1" applyBorder="1" applyAlignment="1">
      <alignment horizontal="center"/>
    </xf>
    <xf numFmtId="165" fontId="43" fillId="0" borderId="19" xfId="0" applyNumberFormat="1" applyFont="1" applyBorder="1" applyAlignment="1">
      <alignment horizontal="center"/>
    </xf>
    <xf numFmtId="165" fontId="35" fillId="3" borderId="19" xfId="1" applyNumberFormat="1" applyFont="1" applyFill="1" applyBorder="1" applyAlignment="1" applyProtection="1">
      <alignment horizontal="center"/>
    </xf>
    <xf numFmtId="168" fontId="35" fillId="3" borderId="19" xfId="1" applyNumberFormat="1" applyFont="1" applyFill="1" applyBorder="1" applyAlignment="1" applyProtection="1">
      <alignment horizontal="center"/>
    </xf>
    <xf numFmtId="167" fontId="35" fillId="3" borderId="19" xfId="1" applyNumberFormat="1" applyFont="1" applyFill="1" applyBorder="1" applyAlignment="1" applyProtection="1">
      <alignment horizontal="center"/>
    </xf>
    <xf numFmtId="164" fontId="35" fillId="0" borderId="4" xfId="0" applyFont="1" applyBorder="1" applyAlignment="1">
      <alignment horizontal="left"/>
    </xf>
    <xf numFmtId="165" fontId="35" fillId="0" borderId="19" xfId="0" applyNumberFormat="1" applyFont="1" applyBorder="1" applyAlignment="1">
      <alignment horizontal="center"/>
    </xf>
    <xf numFmtId="167" fontId="35" fillId="0" borderId="25" xfId="0" applyNumberFormat="1" applyFont="1" applyBorder="1" applyAlignment="1">
      <alignment horizontal="right"/>
    </xf>
    <xf numFmtId="3" fontId="35" fillId="0" borderId="25" xfId="0" applyNumberFormat="1" applyFont="1" applyBorder="1" applyAlignment="1">
      <alignment horizontal="right"/>
    </xf>
    <xf numFmtId="3" fontId="35" fillId="3" borderId="25" xfId="1" applyNumberFormat="1" applyFont="1" applyFill="1" applyBorder="1" applyAlignment="1" applyProtection="1">
      <alignment horizontal="right"/>
    </xf>
    <xf numFmtId="165" fontId="35" fillId="0" borderId="25" xfId="0" applyNumberFormat="1" applyFont="1" applyBorder="1" applyAlignment="1">
      <alignment horizontal="right"/>
    </xf>
    <xf numFmtId="165" fontId="35" fillId="3" borderId="25" xfId="1" applyNumberFormat="1" applyFont="1" applyFill="1" applyBorder="1" applyAlignment="1" applyProtection="1">
      <alignment horizontal="right"/>
    </xf>
    <xf numFmtId="164" fontId="35" fillId="0" borderId="19" xfId="0" applyFont="1" applyBorder="1" applyAlignment="1">
      <alignment horizontal="left"/>
    </xf>
    <xf numFmtId="164" fontId="35" fillId="0" borderId="25" xfId="0" applyFont="1" applyBorder="1" applyAlignment="1">
      <alignment horizontal="left"/>
    </xf>
    <xf numFmtId="166" fontId="40" fillId="0" borderId="25" xfId="0" applyNumberFormat="1" applyFont="1" applyBorder="1" applyAlignment="1">
      <alignment horizontal="right"/>
    </xf>
    <xf numFmtId="166" fontId="35" fillId="4" borderId="38" xfId="0" applyNumberFormat="1" applyFont="1" applyFill="1" applyBorder="1"/>
    <xf numFmtId="165" fontId="35" fillId="4" borderId="37" xfId="1" applyNumberFormat="1" applyFont="1" applyFill="1" applyBorder="1" applyProtection="1"/>
    <xf numFmtId="167" fontId="35" fillId="4" borderId="31" xfId="1" applyNumberFormat="1" applyFont="1" applyFill="1" applyBorder="1" applyProtection="1"/>
    <xf numFmtId="164" fontId="35" fillId="3" borderId="52" xfId="0" applyFont="1" applyFill="1" applyBorder="1" applyAlignment="1">
      <alignment horizontal="left"/>
    </xf>
    <xf numFmtId="166" fontId="35" fillId="3" borderId="24" xfId="0" applyNumberFormat="1" applyFont="1" applyFill="1" applyBorder="1"/>
    <xf numFmtId="166" fontId="35" fillId="0" borderId="7" xfId="0" applyNumberFormat="1" applyFont="1" applyBorder="1"/>
    <xf numFmtId="166" fontId="40" fillId="0" borderId="7" xfId="0" applyNumberFormat="1" applyFont="1" applyBorder="1"/>
    <xf numFmtId="167" fontId="35" fillId="0" borderId="12" xfId="0" applyNumberFormat="1" applyFont="1" applyBorder="1" applyAlignment="1">
      <alignment horizontal="right"/>
    </xf>
    <xf numFmtId="168" fontId="35" fillId="0" borderId="7" xfId="0" applyNumberFormat="1" applyFont="1" applyBorder="1"/>
    <xf numFmtId="168" fontId="35" fillId="0" borderId="49" xfId="0" applyNumberFormat="1" applyFont="1" applyBorder="1"/>
    <xf numFmtId="3" fontId="35" fillId="0" borderId="8" xfId="1" applyNumberFormat="1" applyFont="1" applyFill="1" applyBorder="1"/>
    <xf numFmtId="168" fontId="35" fillId="3" borderId="10" xfId="1" applyNumberFormat="1" applyFont="1" applyFill="1" applyBorder="1" applyAlignment="1" applyProtection="1">
      <alignment horizontal="right"/>
    </xf>
    <xf numFmtId="166" fontId="35" fillId="0" borderId="15" xfId="0" applyNumberFormat="1" applyFont="1" applyBorder="1" applyAlignment="1">
      <alignment horizontal="right"/>
    </xf>
    <xf numFmtId="167" fontId="35" fillId="0" borderId="0" xfId="0" applyNumberFormat="1" applyFont="1" applyAlignment="1">
      <alignment horizontal="right"/>
    </xf>
    <xf numFmtId="165" fontId="35" fillId="0" borderId="97" xfId="1" applyNumberFormat="1" applyFont="1" applyFill="1" applyBorder="1" applyAlignment="1">
      <alignment horizontal="right"/>
    </xf>
    <xf numFmtId="165" fontId="35" fillId="3" borderId="46" xfId="1" applyNumberFormat="1" applyFont="1" applyFill="1" applyBorder="1" applyAlignment="1" applyProtection="1">
      <alignment horizontal="right"/>
    </xf>
    <xf numFmtId="168" fontId="35" fillId="3" borderId="46" xfId="1" applyNumberFormat="1" applyFont="1" applyFill="1" applyBorder="1" applyAlignment="1" applyProtection="1">
      <alignment horizontal="right"/>
    </xf>
    <xf numFmtId="3" fontId="35" fillId="0" borderId="37" xfId="1" applyNumberFormat="1" applyFont="1" applyFill="1" applyBorder="1"/>
    <xf numFmtId="166" fontId="35" fillId="3" borderId="18" xfId="0" applyNumberFormat="1" applyFont="1" applyFill="1" applyBorder="1"/>
    <xf numFmtId="166" fontId="35" fillId="0" borderId="18" xfId="0" applyNumberFormat="1" applyFont="1" applyBorder="1"/>
    <xf numFmtId="167" fontId="35" fillId="0" borderId="18" xfId="0" applyNumberFormat="1" applyFont="1" applyBorder="1"/>
    <xf numFmtId="168" fontId="35" fillId="0" borderId="18" xfId="0" applyNumberFormat="1" applyFont="1" applyBorder="1"/>
    <xf numFmtId="168" fontId="35" fillId="0" borderId="33" xfId="0" applyNumberFormat="1" applyFont="1" applyBorder="1"/>
    <xf numFmtId="3" fontId="35" fillId="0" borderId="26" xfId="1" applyNumberFormat="1" applyFont="1" applyFill="1" applyBorder="1"/>
    <xf numFmtId="165" fontId="35" fillId="3" borderId="18" xfId="1" applyNumberFormat="1" applyFont="1" applyFill="1" applyBorder="1" applyProtection="1"/>
    <xf numFmtId="168" fontId="35" fillId="3" borderId="9" xfId="1" applyNumberFormat="1" applyFont="1" applyFill="1" applyBorder="1" applyProtection="1"/>
    <xf numFmtId="167" fontId="35" fillId="3" borderId="33" xfId="1" applyNumberFormat="1" applyFont="1" applyFill="1" applyBorder="1" applyProtection="1"/>
    <xf numFmtId="166" fontId="35" fillId="3" borderId="9" xfId="0" applyNumberFormat="1" applyFont="1" applyFill="1" applyBorder="1" applyAlignment="1">
      <alignment horizontal="right"/>
    </xf>
    <xf numFmtId="165" fontId="35" fillId="3" borderId="18" xfId="1" applyNumberFormat="1" applyFont="1" applyFill="1" applyBorder="1" applyAlignment="1">
      <alignment horizontal="right"/>
    </xf>
    <xf numFmtId="168" fontId="35" fillId="3" borderId="9" xfId="1" applyNumberFormat="1" applyFont="1" applyFill="1" applyBorder="1" applyAlignment="1">
      <alignment horizontal="right"/>
    </xf>
    <xf numFmtId="167" fontId="35" fillId="3" borderId="33" xfId="1" applyNumberFormat="1" applyFont="1" applyFill="1" applyBorder="1" applyAlignment="1">
      <alignment horizontal="right"/>
    </xf>
    <xf numFmtId="168" fontId="35" fillId="0" borderId="18" xfId="1" applyNumberFormat="1" applyFont="1" applyFill="1" applyBorder="1" applyAlignment="1" applyProtection="1">
      <alignment horizontal="right"/>
    </xf>
    <xf numFmtId="167" fontId="35" fillId="0" borderId="33" xfId="1" applyNumberFormat="1" applyFont="1" applyFill="1" applyBorder="1" applyAlignment="1" applyProtection="1">
      <alignment horizontal="right"/>
    </xf>
    <xf numFmtId="164" fontId="35" fillId="3" borderId="66" xfId="0" applyFont="1" applyFill="1" applyBorder="1" applyAlignment="1">
      <alignment horizontal="left"/>
    </xf>
    <xf numFmtId="166" fontId="35" fillId="3" borderId="14" xfId="0" applyNumberFormat="1" applyFont="1" applyFill="1" applyBorder="1" applyAlignment="1">
      <alignment horizontal="right"/>
    </xf>
    <xf numFmtId="3" fontId="35" fillId="3" borderId="18" xfId="1" applyNumberFormat="1" applyFont="1" applyFill="1" applyBorder="1" applyAlignment="1">
      <alignment horizontal="right"/>
    </xf>
    <xf numFmtId="164" fontId="35" fillId="3" borderId="12" xfId="0" applyFont="1" applyFill="1" applyBorder="1" applyAlignment="1">
      <alignment horizontal="left"/>
    </xf>
    <xf numFmtId="166" fontId="40" fillId="0" borderId="7" xfId="0" applyNumberFormat="1" applyFont="1" applyBorder="1" applyAlignment="1">
      <alignment horizontal="right"/>
    </xf>
    <xf numFmtId="3" fontId="35" fillId="0" borderId="8" xfId="1" quotePrefix="1" applyNumberFormat="1" applyFont="1" applyFill="1" applyBorder="1" applyAlignment="1">
      <alignment horizontal="right"/>
    </xf>
    <xf numFmtId="166" fontId="35" fillId="0" borderId="17" xfId="0" applyNumberFormat="1" applyFont="1" applyBorder="1" applyAlignment="1">
      <alignment horizontal="right"/>
    </xf>
    <xf numFmtId="168" fontId="35" fillId="0" borderId="17" xfId="0" applyNumberFormat="1" applyFont="1" applyBorder="1" applyAlignment="1">
      <alignment horizontal="right"/>
    </xf>
    <xf numFmtId="168" fontId="35" fillId="3" borderId="33" xfId="1" applyNumberFormat="1" applyFont="1" applyFill="1" applyBorder="1" applyAlignment="1">
      <alignment horizontal="right"/>
    </xf>
    <xf numFmtId="164" fontId="35" fillId="3" borderId="75" xfId="0" applyFont="1" applyFill="1" applyBorder="1" applyAlignment="1">
      <alignment horizontal="left"/>
    </xf>
    <xf numFmtId="166" fontId="35" fillId="0" borderId="22" xfId="0" applyNumberFormat="1" applyFont="1" applyBorder="1" applyAlignment="1">
      <alignment horizontal="right"/>
    </xf>
    <xf numFmtId="168" fontId="35" fillId="0" borderId="22" xfId="0" applyNumberFormat="1" applyFont="1" applyBorder="1" applyAlignment="1">
      <alignment horizontal="right"/>
    </xf>
    <xf numFmtId="166" fontId="35" fillId="3" borderId="17" xfId="0" applyNumberFormat="1" applyFont="1" applyFill="1" applyBorder="1" applyAlignment="1">
      <alignment horizontal="right"/>
    </xf>
    <xf numFmtId="167" fontId="35" fillId="0" borderId="17" xfId="0" applyNumberFormat="1" applyFont="1" applyBorder="1" applyAlignment="1">
      <alignment horizontal="right"/>
    </xf>
    <xf numFmtId="166" fontId="35" fillId="0" borderId="32" xfId="0" applyNumberFormat="1" applyFont="1" applyBorder="1" applyAlignment="1">
      <alignment horizontal="right"/>
    </xf>
    <xf numFmtId="168" fontId="35" fillId="0" borderId="32" xfId="0" applyNumberFormat="1" applyFont="1" applyBorder="1" applyAlignment="1">
      <alignment horizontal="right"/>
    </xf>
    <xf numFmtId="165" fontId="35" fillId="0" borderId="26" xfId="1" applyNumberFormat="1" applyFont="1" applyFill="1" applyBorder="1" applyAlignment="1" applyProtection="1">
      <alignment horizontal="right"/>
    </xf>
    <xf numFmtId="3" fontId="35" fillId="0" borderId="60" xfId="1" applyNumberFormat="1" applyFont="1" applyFill="1" applyBorder="1" applyAlignment="1" applyProtection="1">
      <alignment horizontal="right"/>
    </xf>
    <xf numFmtId="165" fontId="35" fillId="0" borderId="37" xfId="1" applyNumberFormat="1" applyFont="1" applyFill="1" applyBorder="1" applyAlignment="1" applyProtection="1">
      <alignment horizontal="right"/>
    </xf>
    <xf numFmtId="3" fontId="35" fillId="0" borderId="61" xfId="1" applyNumberFormat="1" applyFont="1" applyFill="1" applyBorder="1" applyAlignment="1" applyProtection="1">
      <alignment horizontal="right"/>
    </xf>
    <xf numFmtId="165" fontId="35" fillId="0" borderId="19" xfId="1" applyNumberFormat="1" applyFont="1" applyFill="1" applyBorder="1" applyAlignment="1" applyProtection="1">
      <alignment horizontal="right"/>
    </xf>
    <xf numFmtId="3" fontId="35" fillId="0" borderId="19" xfId="1" applyNumberFormat="1" applyFont="1" applyFill="1" applyBorder="1" applyAlignment="1" applyProtection="1">
      <alignment horizontal="right"/>
    </xf>
    <xf numFmtId="3" fontId="35" fillId="3" borderId="37" xfId="1" applyNumberFormat="1" applyFont="1" applyFill="1" applyBorder="1" applyAlignment="1" applyProtection="1">
      <alignment horizontal="center"/>
    </xf>
    <xf numFmtId="168" fontId="35" fillId="3" borderId="31" xfId="1" applyNumberFormat="1" applyFont="1" applyFill="1" applyBorder="1" applyAlignment="1" applyProtection="1">
      <alignment horizontal="center"/>
    </xf>
    <xf numFmtId="164" fontId="36" fillId="3" borderId="53" xfId="0" applyFont="1" applyFill="1" applyBorder="1" applyAlignment="1">
      <alignment horizontal="left"/>
    </xf>
    <xf numFmtId="3" fontId="35" fillId="3" borderId="32" xfId="1" applyNumberFormat="1" applyFont="1" applyFill="1" applyBorder="1" applyAlignment="1" applyProtection="1">
      <alignment horizontal="right"/>
    </xf>
    <xf numFmtId="3" fontId="35" fillId="0" borderId="37" xfId="0" applyNumberFormat="1" applyFont="1" applyBorder="1" applyAlignment="1">
      <alignment horizontal="right"/>
    </xf>
    <xf numFmtId="168" fontId="35" fillId="0" borderId="2" xfId="0" applyNumberFormat="1" applyFont="1" applyBorder="1" applyAlignment="1">
      <alignment horizontal="right"/>
    </xf>
    <xf numFmtId="164" fontId="35" fillId="4" borderId="4" xfId="0" applyFont="1" applyFill="1" applyBorder="1" applyAlignment="1">
      <alignment horizontal="left"/>
    </xf>
    <xf numFmtId="166" fontId="35" fillId="4" borderId="4" xfId="0" applyNumberFormat="1" applyFont="1" applyFill="1" applyBorder="1"/>
    <xf numFmtId="164" fontId="35" fillId="4" borderId="13" xfId="0" applyFont="1" applyFill="1" applyBorder="1" applyAlignment="1">
      <alignment horizontal="left"/>
    </xf>
    <xf numFmtId="164" fontId="35" fillId="4" borderId="0" xfId="0" applyFont="1" applyFill="1" applyAlignment="1">
      <alignment horizontal="left"/>
    </xf>
    <xf numFmtId="166" fontId="35" fillId="0" borderId="29" xfId="0" applyNumberFormat="1" applyFont="1" applyBorder="1" applyAlignment="1">
      <alignment horizontal="right"/>
    </xf>
    <xf numFmtId="3" fontId="35" fillId="0" borderId="6" xfId="1" applyNumberFormat="1" applyFont="1" applyFill="1" applyBorder="1" applyAlignment="1">
      <alignment horizontal="right"/>
    </xf>
    <xf numFmtId="164" fontId="35" fillId="4" borderId="3" xfId="0" applyFont="1" applyFill="1" applyBorder="1" applyAlignment="1">
      <alignment horizontal="left"/>
    </xf>
    <xf numFmtId="164" fontId="35" fillId="4" borderId="1" xfId="0" applyFont="1" applyFill="1" applyBorder="1" applyAlignment="1">
      <alignment horizontal="left"/>
    </xf>
    <xf numFmtId="166" fontId="35" fillId="4" borderId="15" xfId="0" applyNumberFormat="1" applyFont="1" applyFill="1" applyBorder="1"/>
    <xf numFmtId="166" fontId="35" fillId="0" borderId="15" xfId="0" applyNumberFormat="1" applyFont="1" applyBorder="1"/>
    <xf numFmtId="166" fontId="35" fillId="0" borderId="40" xfId="0" applyNumberFormat="1" applyFont="1" applyBorder="1"/>
    <xf numFmtId="167" fontId="35" fillId="0" borderId="14" xfId="0" applyNumberFormat="1" applyFont="1" applyBorder="1"/>
    <xf numFmtId="168" fontId="35" fillId="0" borderId="15" xfId="0" applyNumberFormat="1" applyFont="1" applyBorder="1"/>
    <xf numFmtId="168" fontId="35" fillId="0" borderId="2" xfId="0" applyNumberFormat="1" applyFont="1" applyBorder="1"/>
    <xf numFmtId="165" fontId="35" fillId="0" borderId="17" xfId="1" applyNumberFormat="1" applyFont="1" applyFill="1" applyBorder="1"/>
    <xf numFmtId="165" fontId="35" fillId="4" borderId="17" xfId="1" applyNumberFormat="1" applyFont="1" applyFill="1" applyBorder="1" applyProtection="1"/>
    <xf numFmtId="168" fontId="35" fillId="4" borderId="19" xfId="1" applyNumberFormat="1" applyFont="1" applyFill="1" applyBorder="1" applyProtection="1"/>
    <xf numFmtId="167" fontId="35" fillId="4" borderId="19" xfId="1" applyNumberFormat="1" applyFont="1" applyFill="1" applyBorder="1" applyProtection="1"/>
    <xf numFmtId="166" fontId="35" fillId="0" borderId="8" xfId="0" applyNumberFormat="1" applyFont="1" applyBorder="1" applyAlignment="1">
      <alignment horizontal="right"/>
    </xf>
    <xf numFmtId="167" fontId="35" fillId="0" borderId="29" xfId="0" applyNumberFormat="1" applyFont="1" applyBorder="1" applyAlignment="1">
      <alignment horizontal="right"/>
    </xf>
    <xf numFmtId="168" fontId="35" fillId="0" borderId="12" xfId="0" applyNumberFormat="1" applyFont="1" applyBorder="1" applyAlignment="1">
      <alignment horizontal="right"/>
    </xf>
    <xf numFmtId="3" fontId="35" fillId="0" borderId="56" xfId="1" applyNumberFormat="1" applyFont="1" applyFill="1" applyBorder="1" applyAlignment="1">
      <alignment horizontal="right"/>
    </xf>
    <xf numFmtId="165" fontId="35" fillId="3" borderId="56" xfId="1" applyNumberFormat="1" applyFont="1" applyFill="1" applyBorder="1" applyAlignment="1" applyProtection="1">
      <alignment horizontal="right"/>
    </xf>
    <xf numFmtId="167" fontId="35" fillId="0" borderId="1" xfId="0" applyNumberFormat="1" applyFont="1" applyBorder="1"/>
    <xf numFmtId="168" fontId="35" fillId="0" borderId="46" xfId="0" applyNumberFormat="1" applyFont="1" applyBorder="1"/>
    <xf numFmtId="165" fontId="35" fillId="0" borderId="27" xfId="1" applyNumberFormat="1" applyFont="1" applyFill="1" applyBorder="1"/>
    <xf numFmtId="165" fontId="35" fillId="4" borderId="27" xfId="1" applyNumberFormat="1" applyFont="1" applyFill="1" applyBorder="1" applyProtection="1"/>
    <xf numFmtId="168" fontId="35" fillId="4" borderId="2" xfId="1" applyNumberFormat="1" applyFont="1" applyFill="1" applyBorder="1" applyProtection="1"/>
    <xf numFmtId="167" fontId="35" fillId="4" borderId="2" xfId="1" applyNumberFormat="1" applyFont="1" applyFill="1" applyBorder="1" applyProtection="1"/>
    <xf numFmtId="164" fontId="35" fillId="4" borderId="26" xfId="0" applyFont="1" applyFill="1" applyBorder="1" applyAlignment="1">
      <alignment horizontal="left"/>
    </xf>
    <xf numFmtId="167" fontId="35" fillId="0" borderId="9" xfId="0" applyNumberFormat="1" applyFont="1" applyBorder="1" applyAlignment="1">
      <alignment horizontal="right"/>
    </xf>
    <xf numFmtId="3" fontId="35" fillId="0" borderId="20" xfId="1" applyNumberFormat="1" applyFont="1" applyFill="1" applyBorder="1" applyAlignment="1">
      <alignment horizontal="right"/>
    </xf>
    <xf numFmtId="165" fontId="35" fillId="3" borderId="20" xfId="1" applyNumberFormat="1" applyFont="1" applyFill="1" applyBorder="1" applyAlignment="1" applyProtection="1">
      <alignment horizontal="right"/>
    </xf>
    <xf numFmtId="166" fontId="35" fillId="3" borderId="37" xfId="0" applyNumberFormat="1" applyFont="1" applyFill="1" applyBorder="1" applyAlignment="1">
      <alignment horizontal="right"/>
    </xf>
    <xf numFmtId="165" fontId="35" fillId="0" borderId="13" xfId="1" applyNumberFormat="1" applyFont="1" applyFill="1" applyBorder="1" applyAlignment="1" applyProtection="1">
      <alignment horizontal="right"/>
    </xf>
    <xf numFmtId="167" fontId="35" fillId="0" borderId="44" xfId="0" applyNumberFormat="1" applyFont="1" applyBorder="1" applyAlignment="1">
      <alignment horizontal="right"/>
    </xf>
    <xf numFmtId="3" fontId="35" fillId="0" borderId="11" xfId="1" applyNumberFormat="1" applyFont="1" applyFill="1" applyBorder="1" applyAlignment="1" applyProtection="1">
      <alignment horizontal="right"/>
    </xf>
    <xf numFmtId="165" fontId="35" fillId="3" borderId="43" xfId="1" applyNumberFormat="1" applyFont="1" applyFill="1" applyBorder="1" applyAlignment="1" applyProtection="1">
      <alignment horizontal="right"/>
    </xf>
    <xf numFmtId="168" fontId="35" fillId="3" borderId="43" xfId="1" applyNumberFormat="1" applyFont="1" applyFill="1" applyBorder="1" applyAlignment="1" applyProtection="1">
      <alignment horizontal="right"/>
    </xf>
    <xf numFmtId="3" fontId="35" fillId="0" borderId="25" xfId="1" applyNumberFormat="1" applyFont="1" applyFill="1" applyBorder="1" applyAlignment="1" applyProtection="1">
      <alignment horizontal="right"/>
    </xf>
    <xf numFmtId="164" fontId="35" fillId="3" borderId="4" xfId="0" applyFont="1" applyFill="1" applyBorder="1"/>
    <xf numFmtId="165" fontId="35" fillId="0" borderId="25" xfId="1" applyNumberFormat="1" applyFont="1" applyFill="1" applyBorder="1" applyAlignment="1" applyProtection="1">
      <alignment horizontal="right"/>
    </xf>
    <xf numFmtId="166" fontId="35" fillId="0" borderId="44" xfId="0" applyNumberFormat="1" applyFont="1" applyBorder="1" applyAlignment="1">
      <alignment horizontal="right"/>
    </xf>
    <xf numFmtId="166" fontId="35" fillId="0" borderId="4" xfId="0" applyNumberFormat="1" applyFont="1" applyBorder="1" applyAlignment="1">
      <alignment horizontal="right"/>
    </xf>
    <xf numFmtId="165" fontId="35" fillId="3" borderId="4" xfId="1" applyNumberFormat="1" applyFont="1" applyFill="1" applyBorder="1" applyAlignment="1" applyProtection="1">
      <alignment horizontal="right"/>
    </xf>
    <xf numFmtId="3" fontId="35" fillId="0" borderId="45" xfId="1" applyNumberFormat="1" applyFont="1" applyFill="1" applyBorder="1" applyAlignment="1">
      <alignment horizontal="right"/>
    </xf>
    <xf numFmtId="168" fontId="35" fillId="3" borderId="48" xfId="1" applyNumberFormat="1" applyFont="1" applyFill="1" applyBorder="1" applyAlignment="1" applyProtection="1">
      <alignment horizontal="right"/>
    </xf>
    <xf numFmtId="166" fontId="35" fillId="3" borderId="4" xfId="0" applyNumberFormat="1" applyFont="1" applyFill="1" applyBorder="1"/>
    <xf numFmtId="165" fontId="35" fillId="3" borderId="37" xfId="1" applyNumberFormat="1" applyFont="1" applyFill="1" applyBorder="1" applyProtection="1"/>
    <xf numFmtId="168" fontId="35" fillId="3" borderId="37" xfId="1" applyNumberFormat="1" applyFont="1" applyFill="1" applyBorder="1" applyProtection="1"/>
    <xf numFmtId="167" fontId="35" fillId="3" borderId="31" xfId="1" applyNumberFormat="1" applyFont="1" applyFill="1" applyBorder="1" applyProtection="1"/>
    <xf numFmtId="166" fontId="35" fillId="3" borderId="19" xfId="0" applyNumberFormat="1" applyFont="1" applyFill="1" applyBorder="1"/>
    <xf numFmtId="166" fontId="35" fillId="0" borderId="19" xfId="0" applyNumberFormat="1" applyFont="1" applyBorder="1"/>
    <xf numFmtId="167" fontId="35" fillId="0" borderId="19" xfId="0" applyNumberFormat="1" applyFont="1" applyBorder="1"/>
    <xf numFmtId="168" fontId="35" fillId="0" borderId="19" xfId="0" applyNumberFormat="1" applyFont="1" applyBorder="1"/>
    <xf numFmtId="165" fontId="35" fillId="0" borderId="19" xfId="1" applyNumberFormat="1" applyFont="1" applyFill="1" applyBorder="1"/>
    <xf numFmtId="165" fontId="35" fillId="3" borderId="19" xfId="1" applyNumberFormat="1" applyFont="1" applyFill="1" applyBorder="1" applyProtection="1"/>
    <xf numFmtId="168" fontId="35" fillId="3" borderId="19" xfId="1" applyNumberFormat="1" applyFont="1" applyFill="1" applyBorder="1" applyProtection="1"/>
    <xf numFmtId="167" fontId="35" fillId="3" borderId="19" xfId="1" applyNumberFormat="1" applyFont="1" applyFill="1" applyBorder="1" applyProtection="1"/>
    <xf numFmtId="164" fontId="35" fillId="3" borderId="25" xfId="0" applyFont="1" applyFill="1" applyBorder="1"/>
    <xf numFmtId="166" fontId="35" fillId="3" borderId="25" xfId="0" applyNumberFormat="1" applyFont="1" applyFill="1" applyBorder="1"/>
    <xf numFmtId="166" fontId="35" fillId="0" borderId="25" xfId="0" applyNumberFormat="1" applyFont="1" applyBorder="1"/>
    <xf numFmtId="167" fontId="35" fillId="0" borderId="25" xfId="0" applyNumberFormat="1" applyFont="1" applyBorder="1"/>
    <xf numFmtId="168" fontId="35" fillId="0" borderId="25" xfId="0" applyNumberFormat="1" applyFont="1" applyBorder="1"/>
    <xf numFmtId="3" fontId="35" fillId="0" borderId="25" xfId="1" applyNumberFormat="1" applyFont="1" applyFill="1" applyBorder="1"/>
    <xf numFmtId="3" fontId="35" fillId="3" borderId="25" xfId="1" applyNumberFormat="1" applyFont="1" applyFill="1" applyBorder="1" applyProtection="1"/>
    <xf numFmtId="168" fontId="35" fillId="3" borderId="25" xfId="1" applyNumberFormat="1" applyFont="1" applyFill="1" applyBorder="1" applyProtection="1"/>
    <xf numFmtId="3" fontId="35" fillId="0" borderId="19" xfId="1" applyNumberFormat="1" applyFont="1" applyFill="1" applyBorder="1"/>
    <xf numFmtId="3" fontId="35" fillId="3" borderId="19" xfId="1" applyNumberFormat="1" applyFont="1" applyFill="1" applyBorder="1" applyProtection="1"/>
    <xf numFmtId="3" fontId="35" fillId="3" borderId="4" xfId="1" applyNumberFormat="1" applyFont="1" applyFill="1" applyBorder="1" applyAlignment="1" applyProtection="1">
      <alignment horizontal="right"/>
    </xf>
    <xf numFmtId="166" fontId="35" fillId="0" borderId="13" xfId="0" applyNumberFormat="1" applyFont="1" applyBorder="1" applyAlignment="1">
      <alignment horizontal="right"/>
    </xf>
    <xf numFmtId="164" fontId="35" fillId="3" borderId="27" xfId="0" applyFont="1" applyFill="1" applyBorder="1" applyAlignment="1">
      <alignment horizontal="left"/>
    </xf>
    <xf numFmtId="164" fontId="35" fillId="3" borderId="32" xfId="0" applyFont="1" applyFill="1" applyBorder="1" applyAlignment="1">
      <alignment horizontal="left"/>
    </xf>
    <xf numFmtId="166" fontId="40" fillId="0" borderId="4" xfId="0" applyNumberFormat="1" applyFont="1" applyBorder="1" applyAlignment="1">
      <alignment horizontal="right"/>
    </xf>
    <xf numFmtId="166" fontId="36" fillId="3" borderId="37" xfId="0" applyNumberFormat="1" applyFont="1" applyFill="1" applyBorder="1" applyAlignment="1">
      <alignment horizontal="right"/>
    </xf>
    <xf numFmtId="166" fontId="36" fillId="0" borderId="37" xfId="0" applyNumberFormat="1" applyFont="1" applyBorder="1" applyAlignment="1">
      <alignment horizontal="right"/>
    </xf>
    <xf numFmtId="3" fontId="35" fillId="3" borderId="37" xfId="0" applyNumberFormat="1" applyFont="1" applyFill="1" applyBorder="1" applyAlignment="1">
      <alignment horizontal="right"/>
    </xf>
    <xf numFmtId="168" fontId="35" fillId="3" borderId="37" xfId="0" applyNumberFormat="1" applyFont="1" applyFill="1" applyBorder="1" applyAlignment="1">
      <alignment horizontal="right"/>
    </xf>
    <xf numFmtId="168" fontId="35" fillId="3" borderId="31" xfId="0" applyNumberFormat="1" applyFont="1" applyFill="1" applyBorder="1" applyAlignment="1">
      <alignment horizontal="right"/>
    </xf>
    <xf numFmtId="166" fontId="40" fillId="0" borderId="32" xfId="0" applyNumberFormat="1" applyFont="1" applyBorder="1" applyAlignment="1">
      <alignment horizontal="right"/>
    </xf>
    <xf numFmtId="3" fontId="35" fillId="0" borderId="4" xfId="1" applyNumberFormat="1" applyFont="1" applyFill="1" applyBorder="1" applyAlignment="1" applyProtection="1">
      <alignment horizontal="right"/>
    </xf>
    <xf numFmtId="3" fontId="35" fillId="3" borderId="32" xfId="0" applyNumberFormat="1" applyFont="1" applyFill="1" applyBorder="1" applyAlignment="1">
      <alignment horizontal="right"/>
    </xf>
    <xf numFmtId="168" fontId="35" fillId="3" borderId="32" xfId="0" applyNumberFormat="1" applyFont="1" applyFill="1" applyBorder="1" applyAlignment="1">
      <alignment horizontal="right"/>
    </xf>
    <xf numFmtId="164" fontId="44" fillId="0" borderId="32" xfId="0" applyFont="1" applyBorder="1" applyAlignment="1">
      <alignment vertical="center"/>
    </xf>
    <xf numFmtId="164" fontId="45" fillId="0" borderId="0" xfId="0" applyFont="1" applyAlignment="1">
      <alignment horizontal="left"/>
    </xf>
    <xf numFmtId="1" fontId="46" fillId="5" borderId="4" xfId="0" applyNumberFormat="1" applyFont="1" applyFill="1" applyBorder="1" applyAlignment="1">
      <alignment horizontal="right"/>
    </xf>
    <xf numFmtId="1" fontId="46" fillId="0" borderId="4" xfId="0" applyNumberFormat="1" applyFont="1" applyBorder="1" applyAlignment="1">
      <alignment horizontal="right"/>
    </xf>
    <xf numFmtId="170" fontId="46" fillId="0" borderId="4" xfId="1" applyNumberFormat="1" applyFont="1" applyFill="1" applyBorder="1" applyAlignment="1" applyProtection="1">
      <alignment horizontal="right"/>
    </xf>
    <xf numFmtId="168" fontId="46" fillId="0" borderId="30" xfId="0" applyNumberFormat="1" applyFont="1" applyBorder="1" applyAlignment="1">
      <alignment horizontal="right"/>
    </xf>
    <xf numFmtId="165" fontId="35" fillId="0" borderId="4" xfId="1" applyNumberFormat="1" applyFont="1" applyFill="1" applyBorder="1" applyAlignment="1" applyProtection="1">
      <alignment horizontal="right"/>
    </xf>
    <xf numFmtId="170" fontId="44" fillId="0" borderId="30" xfId="1" applyNumberFormat="1" applyFont="1" applyFill="1" applyBorder="1" applyAlignment="1" applyProtection="1">
      <alignment horizontal="right"/>
    </xf>
    <xf numFmtId="169" fontId="44" fillId="0" borderId="30" xfId="2" applyNumberFormat="1" applyFont="1" applyFill="1" applyBorder="1" applyAlignment="1" applyProtection="1">
      <alignment horizontal="right"/>
    </xf>
    <xf numFmtId="164" fontId="35" fillId="0" borderId="14" xfId="0" quotePrefix="1" applyFont="1" applyBorder="1" applyAlignment="1">
      <alignment horizontal="left"/>
    </xf>
    <xf numFmtId="165" fontId="35" fillId="0" borderId="30" xfId="1" applyNumberFormat="1" applyFont="1" applyFill="1" applyBorder="1" applyAlignment="1">
      <alignment horizontal="right"/>
    </xf>
    <xf numFmtId="165" fontId="35" fillId="0" borderId="30" xfId="1" applyNumberFormat="1" applyFont="1" applyFill="1" applyBorder="1" applyAlignment="1" applyProtection="1">
      <alignment horizontal="right"/>
    </xf>
    <xf numFmtId="168" fontId="35" fillId="0" borderId="30" xfId="1" applyNumberFormat="1" applyFont="1" applyFill="1" applyBorder="1" applyAlignment="1" applyProtection="1">
      <alignment horizontal="right"/>
    </xf>
    <xf numFmtId="165" fontId="35" fillId="0" borderId="31" xfId="1" applyNumberFormat="1" applyFont="1" applyFill="1" applyBorder="1" applyAlignment="1">
      <alignment horizontal="right"/>
    </xf>
    <xf numFmtId="4" fontId="35" fillId="3" borderId="18" xfId="0" applyNumberFormat="1" applyFont="1" applyFill="1" applyBorder="1" applyAlignment="1">
      <alignment horizontal="right"/>
    </xf>
    <xf numFmtId="4" fontId="35" fillId="3" borderId="43" xfId="0" applyNumberFormat="1" applyFont="1" applyFill="1" applyBorder="1" applyAlignment="1">
      <alignment horizontal="right"/>
    </xf>
    <xf numFmtId="167" fontId="35" fillId="3" borderId="33" xfId="0" applyNumberFormat="1" applyFont="1" applyFill="1" applyBorder="1" applyAlignment="1">
      <alignment horizontal="right"/>
    </xf>
    <xf numFmtId="164" fontId="35" fillId="3" borderId="14" xfId="0" applyFont="1" applyFill="1" applyBorder="1" applyAlignment="1">
      <alignment horizontal="left"/>
    </xf>
    <xf numFmtId="166" fontId="35" fillId="3" borderId="15" xfId="0" applyNumberFormat="1" applyFont="1" applyFill="1" applyBorder="1" applyAlignment="1">
      <alignment horizontal="right"/>
    </xf>
    <xf numFmtId="164" fontId="35" fillId="3" borderId="6" xfId="0" applyFont="1" applyFill="1" applyBorder="1" applyAlignment="1">
      <alignment horizontal="left"/>
    </xf>
    <xf numFmtId="164" fontId="35" fillId="3" borderId="40" xfId="0" applyFont="1" applyFill="1" applyBorder="1" applyAlignment="1">
      <alignment horizontal="left"/>
    </xf>
    <xf numFmtId="167" fontId="35" fillId="0" borderId="15" xfId="0" applyNumberFormat="1" applyFont="1" applyBorder="1" applyAlignment="1">
      <alignment horizontal="right"/>
    </xf>
    <xf numFmtId="168" fontId="35" fillId="0" borderId="15" xfId="0" applyNumberFormat="1" applyFont="1" applyBorder="1" applyAlignment="1">
      <alignment horizontal="right"/>
    </xf>
    <xf numFmtId="168" fontId="35" fillId="0" borderId="42" xfId="0" applyNumberFormat="1" applyFont="1" applyBorder="1" applyAlignment="1">
      <alignment horizontal="right"/>
    </xf>
    <xf numFmtId="165" fontId="35" fillId="0" borderId="40" xfId="1" applyNumberFormat="1" applyFont="1" applyFill="1" applyBorder="1" applyAlignment="1">
      <alignment horizontal="right"/>
    </xf>
    <xf numFmtId="165" fontId="35" fillId="3" borderId="15" xfId="1" applyNumberFormat="1" applyFont="1" applyFill="1" applyBorder="1" applyAlignment="1" applyProtection="1">
      <alignment horizontal="right"/>
    </xf>
    <xf numFmtId="164" fontId="35" fillId="3" borderId="28" xfId="0" applyFont="1" applyFill="1" applyBorder="1"/>
    <xf numFmtId="165" fontId="35" fillId="0" borderId="28" xfId="1" applyNumberFormat="1" applyFont="1" applyFill="1" applyBorder="1" applyAlignment="1">
      <alignment horizontal="right"/>
    </xf>
    <xf numFmtId="166" fontId="40" fillId="0" borderId="46" xfId="0" applyNumberFormat="1" applyFont="1" applyBorder="1" applyAlignment="1">
      <alignment horizontal="right"/>
    </xf>
    <xf numFmtId="3" fontId="35" fillId="0" borderId="30" xfId="1" applyNumberFormat="1" applyFont="1" applyFill="1" applyBorder="1" applyAlignment="1">
      <alignment horizontal="right"/>
    </xf>
    <xf numFmtId="164" fontId="35" fillId="4" borderId="53" xfId="0" applyFont="1" applyFill="1" applyBorder="1" applyAlignment="1">
      <alignment horizontal="left"/>
    </xf>
    <xf numFmtId="164" fontId="35" fillId="4" borderId="31" xfId="0" quotePrefix="1" applyFont="1" applyFill="1" applyBorder="1" applyAlignment="1">
      <alignment horizontal="left"/>
    </xf>
    <xf numFmtId="166" fontId="35" fillId="3" borderId="20" xfId="0" applyNumberFormat="1" applyFont="1" applyFill="1" applyBorder="1" applyAlignment="1">
      <alignment horizontal="right"/>
    </xf>
    <xf numFmtId="164" fontId="35" fillId="4" borderId="25" xfId="0" quotePrefix="1" applyFont="1" applyFill="1" applyBorder="1" applyAlignment="1">
      <alignment horizontal="left"/>
    </xf>
    <xf numFmtId="3" fontId="35" fillId="0" borderId="4" xfId="1" applyNumberFormat="1" applyFont="1" applyFill="1" applyBorder="1" applyAlignment="1">
      <alignment horizontal="right"/>
    </xf>
    <xf numFmtId="3" fontId="35" fillId="0" borderId="25" xfId="0" applyNumberFormat="1" applyFont="1" applyBorder="1"/>
    <xf numFmtId="165" fontId="35" fillId="3" borderId="25" xfId="1" applyNumberFormat="1" applyFont="1" applyFill="1" applyBorder="1" applyAlignment="1" applyProtection="1"/>
    <xf numFmtId="168" fontId="35" fillId="3" borderId="25" xfId="1" applyNumberFormat="1" applyFont="1" applyFill="1" applyBorder="1" applyAlignment="1" applyProtection="1"/>
    <xf numFmtId="166" fontId="35" fillId="3" borderId="0" xfId="0" applyNumberFormat="1" applyFont="1" applyFill="1"/>
    <xf numFmtId="166" fontId="35" fillId="0" borderId="20" xfId="0" applyNumberFormat="1" applyFont="1" applyBorder="1"/>
    <xf numFmtId="167" fontId="35" fillId="0" borderId="20" xfId="0" applyNumberFormat="1" applyFont="1" applyBorder="1"/>
    <xf numFmtId="168" fontId="35" fillId="0" borderId="20" xfId="0" applyNumberFormat="1" applyFont="1" applyBorder="1"/>
    <xf numFmtId="164" fontId="35" fillId="0" borderId="19" xfId="0" applyFont="1" applyBorder="1"/>
    <xf numFmtId="165" fontId="35" fillId="3" borderId="20" xfId="0" applyNumberFormat="1" applyFont="1" applyFill="1" applyBorder="1"/>
    <xf numFmtId="168" fontId="35" fillId="3" borderId="20" xfId="0" applyNumberFormat="1" applyFont="1" applyFill="1" applyBorder="1"/>
    <xf numFmtId="167" fontId="35" fillId="3" borderId="20" xfId="0" applyNumberFormat="1" applyFont="1" applyFill="1" applyBorder="1"/>
    <xf numFmtId="164" fontId="35" fillId="3" borderId="11" xfId="0" quotePrefix="1" applyFont="1" applyFill="1" applyBorder="1" applyAlignment="1">
      <alignment horizontal="left"/>
    </xf>
    <xf numFmtId="164" fontId="35" fillId="4" borderId="37" xfId="0" applyFont="1" applyFill="1" applyBorder="1" applyAlignment="1">
      <alignment horizontal="left"/>
    </xf>
    <xf numFmtId="164" fontId="35" fillId="3" borderId="53" xfId="0" quotePrefix="1" applyFont="1" applyFill="1" applyBorder="1" applyAlignment="1">
      <alignment horizontal="left"/>
    </xf>
    <xf numFmtId="167" fontId="35" fillId="0" borderId="33" xfId="0" applyNumberFormat="1" applyFont="1" applyBorder="1" applyAlignment="1">
      <alignment horizontal="right"/>
    </xf>
    <xf numFmtId="167" fontId="35" fillId="0" borderId="48" xfId="0" applyNumberFormat="1" applyFont="1" applyBorder="1" applyAlignment="1">
      <alignment horizontal="right"/>
    </xf>
    <xf numFmtId="168" fontId="35" fillId="0" borderId="26" xfId="0" applyNumberFormat="1" applyFont="1" applyBorder="1" applyAlignment="1">
      <alignment horizontal="right"/>
    </xf>
    <xf numFmtId="167" fontId="35" fillId="0" borderId="10" xfId="0" applyNumberFormat="1" applyFont="1" applyBorder="1" applyAlignment="1">
      <alignment horizontal="right"/>
    </xf>
    <xf numFmtId="164" fontId="36" fillId="3" borderId="30" xfId="0" applyFont="1" applyFill="1" applyBorder="1"/>
    <xf numFmtId="164" fontId="35" fillId="3" borderId="30" xfId="0" applyFont="1" applyFill="1" applyBorder="1" applyAlignment="1">
      <alignment horizontal="left"/>
    </xf>
    <xf numFmtId="165" fontId="35" fillId="3" borderId="30" xfId="1" applyNumberFormat="1" applyFont="1" applyFill="1" applyBorder="1" applyAlignment="1" applyProtection="1">
      <alignment horizontal="right"/>
    </xf>
    <xf numFmtId="167" fontId="35" fillId="3" borderId="30" xfId="1" applyNumberFormat="1" applyFont="1" applyFill="1" applyBorder="1" applyAlignment="1" applyProtection="1">
      <alignment horizontal="right"/>
    </xf>
    <xf numFmtId="164" fontId="35" fillId="3" borderId="4" xfId="0" applyFont="1" applyFill="1" applyBorder="1" applyAlignment="1">
      <alignment horizontal="left" wrapText="1"/>
    </xf>
    <xf numFmtId="166" fontId="35" fillId="0" borderId="10" xfId="0" applyNumberFormat="1" applyFont="1" applyBorder="1" applyAlignment="1">
      <alignment horizontal="right"/>
    </xf>
    <xf numFmtId="3" fontId="35" fillId="0" borderId="32" xfId="1" applyNumberFormat="1" applyFont="1" applyFill="1" applyBorder="1" applyAlignment="1">
      <alignment horizontal="right"/>
    </xf>
    <xf numFmtId="165" fontId="35" fillId="3" borderId="32" xfId="1" applyNumberFormat="1" applyFont="1" applyFill="1" applyBorder="1" applyAlignment="1" applyProtection="1">
      <alignment horizontal="right"/>
    </xf>
    <xf numFmtId="168" fontId="35" fillId="3" borderId="32" xfId="1" applyNumberFormat="1" applyFont="1" applyFill="1" applyBorder="1" applyAlignment="1" applyProtection="1">
      <alignment horizontal="right"/>
    </xf>
    <xf numFmtId="164" fontId="44" fillId="3" borderId="53" xfId="0" applyFont="1" applyFill="1" applyBorder="1"/>
    <xf numFmtId="1" fontId="46" fillId="3" borderId="30" xfId="0" applyNumberFormat="1" applyFont="1" applyFill="1" applyBorder="1" applyAlignment="1">
      <alignment horizontal="right"/>
    </xf>
    <xf numFmtId="1" fontId="46" fillId="0" borderId="30" xfId="0" applyNumberFormat="1" applyFont="1" applyBorder="1" applyAlignment="1">
      <alignment horizontal="right"/>
    </xf>
    <xf numFmtId="169" fontId="46" fillId="0" borderId="30" xfId="2" applyNumberFormat="1" applyFont="1" applyFill="1" applyBorder="1" applyAlignment="1" applyProtection="1">
      <alignment horizontal="right"/>
    </xf>
    <xf numFmtId="170" fontId="36" fillId="3" borderId="30" xfId="1" applyNumberFormat="1" applyFont="1" applyFill="1" applyBorder="1" applyAlignment="1" applyProtection="1"/>
    <xf numFmtId="169" fontId="36" fillId="3" borderId="30" xfId="2" applyNumberFormat="1" applyFont="1" applyFill="1" applyBorder="1" applyAlignment="1" applyProtection="1">
      <alignment horizontal="right"/>
    </xf>
    <xf numFmtId="164" fontId="36" fillId="0" borderId="30" xfId="0" applyFont="1" applyBorder="1" applyAlignment="1">
      <alignment vertical="top"/>
    </xf>
    <xf numFmtId="169" fontId="36" fillId="0" borderId="30" xfId="2" applyNumberFormat="1" applyFont="1" applyFill="1" applyBorder="1" applyAlignment="1" applyProtection="1">
      <alignment horizontal="right"/>
    </xf>
    <xf numFmtId="164" fontId="35" fillId="2" borderId="30" xfId="0" applyFont="1" applyFill="1" applyBorder="1"/>
    <xf numFmtId="166" fontId="40" fillId="2" borderId="30" xfId="0" applyNumberFormat="1" applyFont="1" applyFill="1" applyBorder="1" applyAlignment="1">
      <alignment horizontal="right"/>
    </xf>
    <xf numFmtId="166" fontId="40" fillId="0" borderId="30" xfId="0" applyNumberFormat="1" applyFont="1" applyBorder="1" applyAlignment="1">
      <alignment horizontal="right"/>
    </xf>
    <xf numFmtId="3" fontId="35" fillId="2" borderId="30" xfId="1" applyNumberFormat="1" applyFont="1" applyFill="1" applyBorder="1" applyAlignment="1" applyProtection="1">
      <alignment horizontal="right"/>
    </xf>
    <xf numFmtId="168" fontId="35" fillId="2" borderId="30" xfId="1" applyNumberFormat="1" applyFont="1" applyFill="1" applyBorder="1" applyAlignment="1" applyProtection="1">
      <alignment horizontal="right"/>
    </xf>
    <xf numFmtId="164" fontId="38" fillId="0" borderId="0" xfId="0" applyFont="1" applyAlignment="1">
      <alignment vertical="top"/>
    </xf>
    <xf numFmtId="164" fontId="35" fillId="0" borderId="0" xfId="0" applyFont="1" applyAlignment="1">
      <alignment vertical="top"/>
    </xf>
    <xf numFmtId="9" fontId="35" fillId="0" borderId="0" xfId="3" applyFont="1" applyFill="1" applyAlignment="1">
      <alignment vertical="top"/>
    </xf>
    <xf numFmtId="164" fontId="38" fillId="0" borderId="0" xfId="0" applyFont="1"/>
    <xf numFmtId="164" fontId="47" fillId="0" borderId="0" xfId="0" applyFont="1"/>
    <xf numFmtId="41" fontId="47" fillId="0" borderId="0" xfId="0" applyNumberFormat="1" applyFont="1"/>
    <xf numFmtId="1" fontId="47" fillId="0" borderId="0" xfId="0" applyNumberFormat="1" applyFont="1"/>
    <xf numFmtId="3" fontId="47" fillId="0" borderId="0" xfId="0" applyNumberFormat="1" applyFont="1"/>
    <xf numFmtId="6" fontId="47" fillId="0" borderId="0" xfId="0" applyNumberFormat="1" applyFont="1"/>
    <xf numFmtId="168" fontId="35" fillId="4" borderId="0" xfId="1" applyNumberFormat="1" applyFont="1" applyFill="1" applyBorder="1" applyAlignment="1" applyProtection="1">
      <alignment horizontal="right"/>
    </xf>
    <xf numFmtId="168" fontId="35" fillId="0" borderId="53" xfId="1" applyNumberFormat="1" applyFont="1" applyFill="1" applyBorder="1" applyAlignment="1" applyProtection="1">
      <alignment horizontal="right"/>
    </xf>
    <xf numFmtId="167" fontId="35" fillId="0" borderId="36" xfId="1" applyNumberFormat="1" applyFont="1" applyFill="1" applyBorder="1" applyAlignment="1" applyProtection="1">
      <alignment horizontal="right"/>
    </xf>
    <xf numFmtId="3" fontId="35" fillId="3" borderId="9" xfId="1" applyNumberFormat="1" applyFont="1" applyFill="1" applyBorder="1" applyAlignment="1" applyProtection="1">
      <alignment horizontal="right"/>
    </xf>
    <xf numFmtId="168" fontId="35" fillId="4" borderId="19" xfId="1" applyNumberFormat="1" applyFont="1" applyFill="1" applyBorder="1" applyAlignment="1" applyProtection="1">
      <alignment horizontal="right"/>
    </xf>
    <xf numFmtId="167" fontId="35" fillId="3" borderId="36" xfId="1" applyNumberFormat="1" applyFont="1" applyFill="1" applyBorder="1" applyAlignment="1" applyProtection="1">
      <alignment horizontal="right"/>
    </xf>
    <xf numFmtId="167" fontId="35" fillId="0" borderId="32" xfId="1" applyNumberFormat="1" applyFont="1" applyFill="1" applyBorder="1" applyAlignment="1" applyProtection="1">
      <alignment horizontal="right"/>
    </xf>
    <xf numFmtId="167" fontId="35" fillId="0" borderId="20" xfId="1" applyNumberFormat="1" applyFont="1" applyFill="1" applyBorder="1" applyAlignment="1" applyProtection="1">
      <alignment horizontal="right"/>
    </xf>
    <xf numFmtId="3" fontId="35" fillId="3" borderId="28" xfId="1" applyNumberFormat="1" applyFont="1" applyFill="1" applyBorder="1" applyAlignment="1" applyProtection="1">
      <alignment horizontal="right"/>
    </xf>
    <xf numFmtId="165" fontId="35" fillId="0" borderId="27" xfId="1" applyNumberFormat="1" applyFont="1" applyFill="1" applyBorder="1" applyAlignment="1">
      <alignment horizontal="right"/>
    </xf>
    <xf numFmtId="166" fontId="3" fillId="3" borderId="8" xfId="1" applyNumberFormat="1" applyFont="1" applyFill="1" applyBorder="1" applyAlignment="1" applyProtection="1">
      <alignment horizontal="right"/>
      <protection locked="0"/>
    </xf>
    <xf numFmtId="165" fontId="3" fillId="0" borderId="30" xfId="1" applyNumberFormat="1" applyFont="1" applyFill="1" applyBorder="1" applyAlignment="1" applyProtection="1">
      <alignment horizontal="right"/>
      <protection locked="0"/>
    </xf>
    <xf numFmtId="166" fontId="3" fillId="3" borderId="35" xfId="0" applyNumberFormat="1" applyFont="1" applyFill="1" applyBorder="1" applyAlignment="1" applyProtection="1">
      <alignment horizontal="right"/>
      <protection locked="0"/>
    </xf>
    <xf numFmtId="3" fontId="4" fillId="0" borderId="37" xfId="0" applyNumberFormat="1" applyFont="1" applyBorder="1" applyProtection="1">
      <protection locked="0"/>
    </xf>
    <xf numFmtId="164" fontId="47" fillId="0" borderId="0" xfId="0" applyFont="1" applyAlignment="1">
      <alignment horizontal="right"/>
    </xf>
    <xf numFmtId="167" fontId="12" fillId="0" borderId="0" xfId="0" applyNumberFormat="1" applyFont="1" applyBorder="1" applyAlignment="1">
      <alignment vertical="center" wrapText="1" indent="1"/>
    </xf>
    <xf numFmtId="164" fontId="3" fillId="0" borderId="0" xfId="0" applyFont="1" applyBorder="1" applyProtection="1">
      <protection locked="0"/>
    </xf>
    <xf numFmtId="164" fontId="3" fillId="3" borderId="0" xfId="0" applyFont="1" applyFill="1" applyBorder="1" applyProtection="1">
      <protection locked="0"/>
    </xf>
    <xf numFmtId="4" fontId="3" fillId="3" borderId="0" xfId="0" applyNumberFormat="1" applyFont="1" applyFill="1" applyBorder="1" applyProtection="1">
      <protection locked="0"/>
    </xf>
    <xf numFmtId="164" fontId="47" fillId="0" borderId="0" xfId="0" applyFont="1" applyAlignment="1">
      <alignment horizontal="center"/>
    </xf>
    <xf numFmtId="164" fontId="7" fillId="0" borderId="0" xfId="0" applyFont="1" applyAlignment="1">
      <alignment horizontal="center" vertical="center" wrapText="1"/>
    </xf>
    <xf numFmtId="0" fontId="12" fillId="0" borderId="0" xfId="4" applyFont="1" applyAlignment="1">
      <alignment horizontal="center" wrapText="1"/>
    </xf>
    <xf numFmtId="166" fontId="36" fillId="3" borderId="30" xfId="0" applyNumberFormat="1" applyFont="1" applyFill="1" applyBorder="1" applyAlignment="1">
      <alignment horizontal="center" wrapText="1"/>
    </xf>
    <xf numFmtId="166" fontId="36" fillId="3" borderId="53" xfId="0" applyNumberFormat="1" applyFont="1" applyFill="1" applyBorder="1" applyAlignment="1">
      <alignment horizontal="center" wrapText="1"/>
    </xf>
    <xf numFmtId="0" fontId="6" fillId="0" borderId="27" xfId="0" applyNumberFormat="1" applyFont="1" applyBorder="1" applyAlignment="1">
      <alignment horizontal="center" textRotation="90" wrapText="1"/>
    </xf>
    <xf numFmtId="0" fontId="6" fillId="0" borderId="20" xfId="0" applyNumberFormat="1" applyFont="1" applyBorder="1" applyAlignment="1">
      <alignment horizontal="center" textRotation="90" wrapText="1"/>
    </xf>
    <xf numFmtId="0" fontId="6" fillId="0" borderId="32" xfId="0" applyNumberFormat="1" applyFont="1" applyBorder="1" applyAlignment="1">
      <alignment horizontal="center" textRotation="90" wrapText="1"/>
    </xf>
    <xf numFmtId="164" fontId="35" fillId="3" borderId="53" xfId="0" applyFont="1" applyFill="1" applyBorder="1" applyAlignment="1">
      <alignment horizontal="left" wrapText="1"/>
    </xf>
    <xf numFmtId="164" fontId="35" fillId="3" borderId="37" xfId="0" applyFont="1" applyFill="1" applyBorder="1" applyAlignment="1">
      <alignment horizontal="left" wrapText="1"/>
    </xf>
    <xf numFmtId="164" fontId="35" fillId="3" borderId="57" xfId="0" applyFont="1" applyFill="1" applyBorder="1" applyAlignment="1">
      <alignment horizontal="left" wrapText="1"/>
    </xf>
    <xf numFmtId="164" fontId="35" fillId="3" borderId="78" xfId="0" applyFont="1" applyFill="1" applyBorder="1" applyAlignment="1">
      <alignment horizontal="left" wrapText="1"/>
    </xf>
    <xf numFmtId="165" fontId="36" fillId="3" borderId="53" xfId="1" applyNumberFormat="1" applyFont="1" applyFill="1" applyBorder="1" applyAlignment="1" applyProtection="1">
      <alignment horizontal="center"/>
    </xf>
    <xf numFmtId="165" fontId="36" fillId="3" borderId="37" xfId="1" applyNumberFormat="1" applyFont="1" applyFill="1" applyBorder="1" applyAlignment="1" applyProtection="1">
      <alignment horizontal="center"/>
    </xf>
    <xf numFmtId="165" fontId="36" fillId="3" borderId="31" xfId="1" applyNumberFormat="1" applyFont="1" applyFill="1" applyBorder="1" applyAlignment="1" applyProtection="1">
      <alignment horizontal="center"/>
    </xf>
    <xf numFmtId="164" fontId="35" fillId="0" borderId="0" xfId="0" applyFont="1" applyAlignment="1">
      <alignment horizontal="left" vertical="top" wrapText="1"/>
    </xf>
    <xf numFmtId="164" fontId="35" fillId="4" borderId="3" xfId="0" applyFont="1" applyFill="1" applyBorder="1" applyAlignment="1">
      <alignment horizontal="left" wrapText="1"/>
    </xf>
    <xf numFmtId="164" fontId="35" fillId="4" borderId="1" xfId="0" applyFont="1" applyFill="1" applyBorder="1" applyAlignment="1">
      <alignment horizontal="left" wrapText="1"/>
    </xf>
    <xf numFmtId="164" fontId="35" fillId="4" borderId="76" xfId="0" quotePrefix="1" applyFont="1" applyFill="1" applyBorder="1" applyAlignment="1">
      <alignment horizontal="left" wrapText="1"/>
    </xf>
    <xf numFmtId="164" fontId="35" fillId="4" borderId="38" xfId="0" quotePrefix="1" applyFont="1" applyFill="1" applyBorder="1" applyAlignment="1">
      <alignment horizontal="left" wrapText="1"/>
    </xf>
    <xf numFmtId="164" fontId="35" fillId="4" borderId="57" xfId="0" applyFont="1" applyFill="1" applyBorder="1" applyAlignment="1">
      <alignment horizontal="left" wrapText="1"/>
    </xf>
    <xf numFmtId="164" fontId="35" fillId="4" borderId="78" xfId="0" applyFont="1" applyFill="1" applyBorder="1" applyAlignment="1">
      <alignment horizontal="left" wrapText="1"/>
    </xf>
    <xf numFmtId="164" fontId="35" fillId="4" borderId="53" xfId="0" quotePrefix="1" applyFont="1" applyFill="1" applyBorder="1" applyAlignment="1">
      <alignment horizontal="left" wrapText="1"/>
    </xf>
    <xf numFmtId="164" fontId="35" fillId="4" borderId="37" xfId="0" quotePrefix="1" applyFont="1" applyFill="1" applyBorder="1" applyAlignment="1">
      <alignment horizontal="left" wrapText="1"/>
    </xf>
    <xf numFmtId="164" fontId="35" fillId="3" borderId="75" xfId="0" applyFont="1" applyFill="1" applyBorder="1" applyAlignment="1">
      <alignment horizontal="left" wrapText="1"/>
    </xf>
    <xf numFmtId="164" fontId="35" fillId="3" borderId="90" xfId="0" applyFont="1" applyFill="1" applyBorder="1" applyAlignment="1">
      <alignment horizontal="left" wrapText="1"/>
    </xf>
    <xf numFmtId="164" fontId="3" fillId="0" borderId="0" xfId="0" applyFont="1" applyAlignment="1" applyProtection="1">
      <alignment horizontal="left" vertical="top" wrapText="1"/>
      <protection locked="0"/>
    </xf>
    <xf numFmtId="0" fontId="3" fillId="0" borderId="1" xfId="0" applyNumberFormat="1" applyFont="1" applyBorder="1" applyAlignment="1">
      <alignment horizontal="center" textRotation="90" wrapText="1"/>
    </xf>
    <xf numFmtId="164" fontId="0" fillId="0" borderId="0" xfId="0"/>
    <xf numFmtId="164" fontId="0" fillId="0" borderId="4" xfId="0" applyBorder="1"/>
    <xf numFmtId="164" fontId="3" fillId="0" borderId="0" xfId="0" applyFont="1" applyAlignment="1">
      <alignment horizontal="left" vertical="top" wrapText="1"/>
    </xf>
    <xf numFmtId="164" fontId="3" fillId="4" borderId="53" xfId="0" applyFont="1" applyFill="1" applyBorder="1" applyAlignment="1" applyProtection="1">
      <alignment horizontal="left" wrapText="1"/>
      <protection locked="0"/>
    </xf>
    <xf numFmtId="164" fontId="3" fillId="4" borderId="37" xfId="0" applyFont="1" applyFill="1" applyBorder="1" applyAlignment="1" applyProtection="1">
      <alignment horizontal="left" wrapText="1"/>
      <protection locked="0"/>
    </xf>
    <xf numFmtId="164" fontId="3" fillId="3" borderId="53" xfId="0" applyFont="1" applyFill="1" applyBorder="1" applyAlignment="1" applyProtection="1">
      <alignment horizontal="left" wrapText="1"/>
      <protection locked="0"/>
    </xf>
    <xf numFmtId="164" fontId="3" fillId="3" borderId="37" xfId="0" applyFont="1" applyFill="1" applyBorder="1" applyAlignment="1" applyProtection="1">
      <alignment horizontal="left" wrapText="1"/>
      <protection locked="0"/>
    </xf>
    <xf numFmtId="164" fontId="3" fillId="4" borderId="75" xfId="0" applyFont="1" applyFill="1" applyBorder="1" applyAlignment="1" applyProtection="1">
      <alignment horizontal="left" wrapText="1"/>
      <protection locked="0"/>
    </xf>
    <xf numFmtId="164" fontId="3" fillId="4" borderId="94" xfId="0" applyFont="1" applyFill="1" applyBorder="1" applyAlignment="1" applyProtection="1">
      <alignment horizontal="left" wrapText="1"/>
      <protection locked="0"/>
    </xf>
    <xf numFmtId="164" fontId="3" fillId="0" borderId="53" xfId="0" applyFont="1" applyBorder="1" applyAlignment="1" applyProtection="1">
      <alignment horizontal="left" wrapText="1"/>
      <protection locked="0"/>
    </xf>
    <xf numFmtId="164" fontId="3" fillId="0" borderId="37" xfId="0" applyFont="1" applyBorder="1" applyAlignment="1" applyProtection="1">
      <alignment horizontal="left" wrapText="1"/>
      <protection locked="0"/>
    </xf>
    <xf numFmtId="164" fontId="29" fillId="3" borderId="4" xfId="0" applyFont="1" applyFill="1" applyBorder="1" applyAlignment="1">
      <alignment horizontal="center"/>
    </xf>
    <xf numFmtId="164" fontId="31" fillId="3" borderId="53" xfId="0" applyFont="1" applyFill="1" applyBorder="1" applyAlignment="1">
      <alignment horizontal="left" wrapText="1"/>
    </xf>
    <xf numFmtId="164" fontId="31" fillId="3" borderId="31" xfId="0" applyFont="1" applyFill="1" applyBorder="1" applyAlignment="1">
      <alignment horizontal="left" wrapText="1"/>
    </xf>
    <xf numFmtId="164" fontId="31" fillId="4" borderId="53" xfId="0" quotePrefix="1" applyFont="1" applyFill="1" applyBorder="1" applyAlignment="1">
      <alignment horizontal="left" wrapText="1"/>
    </xf>
    <xf numFmtId="164" fontId="31" fillId="4" borderId="31" xfId="0" quotePrefix="1" applyFont="1" applyFill="1" applyBorder="1" applyAlignment="1">
      <alignment horizontal="left" wrapText="1"/>
    </xf>
    <xf numFmtId="164" fontId="31" fillId="0" borderId="53" xfId="0" applyFont="1" applyBorder="1" applyAlignment="1">
      <alignment horizontal="left" wrapText="1"/>
    </xf>
    <xf numFmtId="164" fontId="31" fillId="0" borderId="37" xfId="0" applyFont="1" applyBorder="1" applyAlignment="1">
      <alignment horizontal="left" wrapText="1"/>
    </xf>
    <xf numFmtId="164" fontId="31" fillId="4" borderId="53" xfId="0" applyFont="1" applyFill="1" applyBorder="1" applyAlignment="1">
      <alignment horizontal="left" wrapText="1"/>
    </xf>
    <xf numFmtId="164" fontId="31" fillId="4" borderId="31" xfId="0" applyFont="1" applyFill="1" applyBorder="1" applyAlignment="1">
      <alignment horizontal="left" wrapText="1"/>
    </xf>
    <xf numFmtId="164" fontId="30" fillId="3" borderId="53" xfId="0" applyFont="1" applyFill="1" applyBorder="1" applyAlignment="1">
      <alignment horizontal="center" wrapText="1"/>
    </xf>
    <xf numFmtId="164" fontId="30" fillId="3" borderId="37" xfId="0" applyFont="1" applyFill="1" applyBorder="1" applyAlignment="1">
      <alignment horizontal="center" wrapText="1"/>
    </xf>
    <xf numFmtId="164" fontId="31" fillId="4" borderId="37" xfId="0" applyFont="1" applyFill="1" applyBorder="1" applyAlignment="1">
      <alignment horizontal="left" wrapText="1"/>
    </xf>
    <xf numFmtId="164" fontId="31" fillId="0" borderId="31" xfId="0" applyFont="1" applyBorder="1" applyAlignment="1">
      <alignment horizontal="left" wrapText="1"/>
    </xf>
    <xf numFmtId="164" fontId="31" fillId="4" borderId="37" xfId="0" quotePrefix="1" applyFont="1" applyFill="1" applyBorder="1" applyAlignment="1">
      <alignment horizontal="left" wrapText="1"/>
    </xf>
    <xf numFmtId="164" fontId="31" fillId="3" borderId="53" xfId="0" applyFont="1" applyFill="1" applyBorder="1" applyAlignment="1">
      <alignment horizontal="left"/>
    </xf>
    <xf numFmtId="164" fontId="31" fillId="3" borderId="37" xfId="0" applyFont="1" applyFill="1" applyBorder="1" applyAlignment="1">
      <alignment horizontal="left"/>
    </xf>
    <xf numFmtId="164" fontId="31" fillId="3" borderId="37" xfId="0" applyFont="1" applyFill="1" applyBorder="1" applyAlignment="1">
      <alignment horizontal="left" wrapText="1"/>
    </xf>
    <xf numFmtId="164" fontId="12" fillId="0" borderId="81" xfId="0" applyFont="1" applyBorder="1" applyAlignment="1">
      <alignment horizontal="left" vertical="center" wrapText="1" indent="1"/>
    </xf>
    <xf numFmtId="164" fontId="12" fillId="0" borderId="71" xfId="0" applyFont="1" applyBorder="1" applyAlignment="1">
      <alignment horizontal="left" vertical="center" wrapText="1" indent="1"/>
    </xf>
    <xf numFmtId="164" fontId="12" fillId="0" borderId="82" xfId="0" applyFont="1" applyBorder="1" applyAlignment="1">
      <alignment horizontal="left" vertical="center" wrapText="1" indent="1"/>
    </xf>
    <xf numFmtId="164" fontId="14" fillId="0" borderId="83" xfId="0" applyFont="1" applyBorder="1" applyAlignment="1">
      <alignment horizontal="center" vertical="center" wrapText="1"/>
    </xf>
    <xf numFmtId="164" fontId="14" fillId="0" borderId="79" xfId="0" applyFont="1" applyBorder="1" applyAlignment="1">
      <alignment horizontal="center" vertical="center" wrapText="1"/>
    </xf>
    <xf numFmtId="164" fontId="14" fillId="0" borderId="84" xfId="0" applyFont="1" applyBorder="1" applyAlignment="1">
      <alignment horizontal="center" vertical="center" wrapText="1"/>
    </xf>
    <xf numFmtId="164" fontId="15" fillId="0" borderId="53" xfId="0" applyFont="1" applyBorder="1" applyAlignment="1">
      <alignment horizontal="left" vertical="center" wrapText="1"/>
    </xf>
    <xf numFmtId="164" fontId="15" fillId="0" borderId="37" xfId="0" applyFont="1" applyBorder="1" applyAlignment="1">
      <alignment horizontal="left" vertical="center" wrapText="1"/>
    </xf>
    <xf numFmtId="164" fontId="15" fillId="0" borderId="31" xfId="0" applyFont="1" applyBorder="1" applyAlignment="1">
      <alignment horizontal="left" vertical="center" wrapText="1"/>
    </xf>
    <xf numFmtId="164" fontId="21" fillId="0" borderId="30" xfId="0" applyFont="1" applyBorder="1" applyAlignment="1">
      <alignment horizontal="center" vertical="center" wrapText="1"/>
    </xf>
    <xf numFmtId="164" fontId="22" fillId="0" borderId="30" xfId="0" applyFont="1" applyBorder="1" applyAlignment="1">
      <alignment vertical="center" wrapText="1"/>
    </xf>
  </cellXfs>
  <cellStyles count="6">
    <cellStyle name="Comma" xfId="1" builtinId="3"/>
    <cellStyle name="Currency" xfId="2" builtinId="4"/>
    <cellStyle name="Currency 2" xfId="5" xr:uid="{00000000-0005-0000-0000-000002000000}"/>
    <cellStyle name="Normal" xfId="0" builtinId="0"/>
    <cellStyle name="Normal 2" xfId="4" xr:uid="{00000000-0005-0000-0000-000004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E8BED-E1E0-42F0-A4D5-481F85DA3FFF}">
  <dimension ref="A1:B8"/>
  <sheetViews>
    <sheetView tabSelected="1" workbookViewId="0">
      <selection activeCell="B8" sqref="B8"/>
    </sheetView>
  </sheetViews>
  <sheetFormatPr defaultRowHeight="10.5" x14ac:dyDescent="0.25"/>
  <cols>
    <col min="1" max="1" width="32.44140625" bestFit="1" customWidth="1"/>
    <col min="2" max="2" width="19.109375" customWidth="1"/>
  </cols>
  <sheetData>
    <row r="1" spans="1:2" ht="14.5" x14ac:dyDescent="0.35">
      <c r="A1" s="1323" t="s">
        <v>734</v>
      </c>
      <c r="B1" s="1323"/>
    </row>
    <row r="2" spans="1:2" ht="14.5" x14ac:dyDescent="0.35">
      <c r="A2" s="1299" t="s">
        <v>225</v>
      </c>
      <c r="B2" s="1300">
        <f>Responses!E137</f>
        <v>40.29618720340369</v>
      </c>
    </row>
    <row r="3" spans="1:2" ht="14.5" x14ac:dyDescent="0.35">
      <c r="A3" s="1299" t="s">
        <v>735</v>
      </c>
      <c r="B3" s="1301">
        <f>Respondents!F8</f>
        <v>170</v>
      </c>
    </row>
    <row r="4" spans="1:2" ht="14.5" x14ac:dyDescent="0.35">
      <c r="A4" s="1299" t="s">
        <v>736</v>
      </c>
      <c r="B4" s="1302">
        <f>'Table 1'!M295</f>
        <v>59100</v>
      </c>
    </row>
    <row r="5" spans="1:2" ht="14.5" x14ac:dyDescent="0.35">
      <c r="A5" s="1299" t="s">
        <v>737</v>
      </c>
      <c r="B5" s="1303">
        <f>'Table 1'!P297</f>
        <v>9690000</v>
      </c>
    </row>
    <row r="6" spans="1:2" ht="14.5" x14ac:dyDescent="0.35">
      <c r="A6" s="1299" t="s">
        <v>738</v>
      </c>
      <c r="B6" s="1303">
        <f>ROUND('Capital O&amp;M'!E79+'Capital O&amp;M'!H79,-4)</f>
        <v>2770000</v>
      </c>
    </row>
    <row r="7" spans="1:2" ht="14.5" x14ac:dyDescent="0.35">
      <c r="A7" s="1299" t="s">
        <v>739</v>
      </c>
      <c r="B7" s="1301">
        <f>Responses!E135</f>
        <v>1466.6400000000003</v>
      </c>
    </row>
    <row r="8" spans="1:2" ht="14.5" x14ac:dyDescent="0.35">
      <c r="A8" s="1299" t="s">
        <v>740</v>
      </c>
      <c r="B8" s="1318" t="s">
        <v>741</v>
      </c>
    </row>
  </sheetData>
  <mergeCells count="1">
    <mergeCell ref="A1:B1"/>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6" codeName="Sheet1"/>
  <dimension ref="A1:IS599"/>
  <sheetViews>
    <sheetView zoomScaleNormal="100" workbookViewId="0">
      <pane ySplit="12" topLeftCell="A16" activePane="bottomLeft" state="frozen"/>
      <selection activeCell="A12" sqref="A12"/>
      <selection pane="bottomLeft" activeCell="M27" sqref="M27"/>
    </sheetView>
  </sheetViews>
  <sheetFormatPr defaultColWidth="9.6640625" defaultRowHeight="12.65" customHeight="1" x14ac:dyDescent="0.2"/>
  <cols>
    <col min="1" max="1" width="2.77734375" style="1" customWidth="1"/>
    <col min="2" max="2" width="62.33203125" style="1" customWidth="1"/>
    <col min="3" max="3" width="7.6640625" style="1" hidden="1" customWidth="1"/>
    <col min="4" max="4" width="9.109375" style="1" bestFit="1" customWidth="1"/>
    <col min="5" max="5" width="10" style="1" customWidth="1"/>
    <col min="6" max="6" width="9" style="1" customWidth="1"/>
    <col min="7" max="7" width="0.77734375" style="1" hidden="1" customWidth="1"/>
    <col min="8" max="8" width="14.6640625" style="1" customWidth="1"/>
    <col min="9" max="9" width="14.109375" style="1" customWidth="1"/>
    <col min="10" max="10" width="7.77734375" style="1" hidden="1" customWidth="1"/>
    <col min="11" max="11" width="7.6640625" style="1" hidden="1" customWidth="1"/>
    <col min="12" max="12" width="14.33203125" style="1" customWidth="1"/>
    <col min="13" max="13" width="16.33203125" style="1" customWidth="1"/>
    <col min="14" max="14" width="17.109375" style="1" hidden="1" customWidth="1"/>
    <col min="15" max="15" width="28.44140625" style="1" hidden="1" customWidth="1"/>
    <col min="16" max="16" width="12.109375" style="1" bestFit="1" customWidth="1"/>
    <col min="17" max="17" width="20.44140625" style="1" hidden="1" customWidth="1"/>
    <col min="18" max="18" width="31" style="1" hidden="1" customWidth="1"/>
    <col min="19" max="19" width="24.77734375" style="1" hidden="1" customWidth="1"/>
    <col min="20" max="20" width="12.77734375" style="1" hidden="1" customWidth="1"/>
    <col min="21" max="21" width="10.77734375" style="1" hidden="1" customWidth="1"/>
    <col min="22" max="22" width="13.6640625" style="1" hidden="1" customWidth="1"/>
    <col min="23" max="23" width="13.44140625" style="1" hidden="1" customWidth="1"/>
    <col min="24" max="24" width="10.77734375" style="1" hidden="1" customWidth="1"/>
    <col min="25" max="25" width="30.77734375" style="1" customWidth="1"/>
    <col min="26" max="26" width="25.6640625" style="1" customWidth="1"/>
    <col min="27" max="27" width="29.33203125" style="1" customWidth="1"/>
    <col min="28" max="28" width="14.109375" style="1" customWidth="1"/>
    <col min="29" max="30" width="15.6640625" style="1" customWidth="1"/>
    <col min="31" max="31" width="17.77734375" style="1" customWidth="1"/>
    <col min="32" max="32" width="19" style="1" customWidth="1"/>
    <col min="33" max="16384" width="9.6640625" style="1"/>
  </cols>
  <sheetData>
    <row r="1" spans="1:249" ht="20" hidden="1" x14ac:dyDescent="0.2">
      <c r="M1" s="1" t="s">
        <v>179</v>
      </c>
      <c r="N1" s="751" t="s">
        <v>727</v>
      </c>
      <c r="O1" s="154" t="s">
        <v>725</v>
      </c>
      <c r="P1" s="154"/>
      <c r="Q1" s="154" t="s">
        <v>726</v>
      </c>
      <c r="R1" s="1" t="s">
        <v>461</v>
      </c>
      <c r="S1" s="1" t="s">
        <v>352</v>
      </c>
      <c r="T1" s="1324" t="s">
        <v>728</v>
      </c>
      <c r="U1" s="1324"/>
      <c r="V1" s="1" t="s">
        <v>180</v>
      </c>
      <c r="W1" s="154"/>
      <c r="X1" s="154"/>
    </row>
    <row r="2" spans="1:249" ht="10.5" hidden="1" x14ac:dyDescent="0.25">
      <c r="B2" s="40" t="s">
        <v>4</v>
      </c>
      <c r="C2" s="41" t="s">
        <v>5</v>
      </c>
      <c r="D2" s="629" t="s">
        <v>6</v>
      </c>
      <c r="E2" s="41" t="s">
        <v>7</v>
      </c>
      <c r="F2" s="41" t="s">
        <v>8</v>
      </c>
      <c r="G2" s="41" t="s">
        <v>9</v>
      </c>
      <c r="H2" s="4"/>
      <c r="I2" s="5"/>
      <c r="J2" s="5"/>
      <c r="K2" s="5"/>
      <c r="L2" s="105" t="s">
        <v>167</v>
      </c>
      <c r="M2" s="42">
        <f>R2/3</f>
        <v>22.333333333333332</v>
      </c>
      <c r="N2" s="152">
        <v>77</v>
      </c>
      <c r="O2" s="152">
        <v>-13</v>
      </c>
      <c r="P2" s="152"/>
      <c r="Q2" s="752">
        <v>3</v>
      </c>
      <c r="R2" s="1">
        <f>N2+O2+Q2</f>
        <v>67</v>
      </c>
      <c r="S2" s="46">
        <v>46</v>
      </c>
      <c r="T2" s="1324"/>
      <c r="U2" s="1324"/>
      <c r="V2" s="4">
        <f>S2/3</f>
        <v>15.333333333333334</v>
      </c>
      <c r="W2" s="155"/>
      <c r="X2" s="154"/>
      <c r="AD2" s="495"/>
    </row>
    <row r="3" spans="1:249" ht="10" hidden="1" x14ac:dyDescent="0.2">
      <c r="B3" s="44" t="s">
        <v>202</v>
      </c>
      <c r="C3" s="4"/>
      <c r="D3" s="4">
        <v>75.05</v>
      </c>
      <c r="E3" s="4">
        <v>59.02</v>
      </c>
      <c r="F3" s="4">
        <v>29.77</v>
      </c>
      <c r="G3" s="4"/>
      <c r="H3" s="151" t="s">
        <v>703</v>
      </c>
      <c r="I3" s="5"/>
      <c r="J3" s="5"/>
      <c r="K3" s="5"/>
      <c r="L3" s="105" t="s">
        <v>168</v>
      </c>
      <c r="M3" s="42">
        <f t="shared" ref="M3:M7" si="0">R3/3</f>
        <v>5</v>
      </c>
      <c r="N3" s="152">
        <v>14</v>
      </c>
      <c r="O3" s="152">
        <v>1</v>
      </c>
      <c r="P3" s="152"/>
      <c r="Q3" s="753"/>
      <c r="R3" s="1">
        <f t="shared" ref="R3:R7" si="1">N3+O3+Q3</f>
        <v>15</v>
      </c>
      <c r="S3" s="46">
        <v>9</v>
      </c>
      <c r="T3" s="1324"/>
      <c r="U3" s="1324"/>
      <c r="V3" s="4">
        <f t="shared" ref="V3:V7" si="2">S3/3</f>
        <v>3</v>
      </c>
      <c r="W3" s="155"/>
    </row>
    <row r="4" spans="1:249" ht="10" hidden="1" x14ac:dyDescent="0.2">
      <c r="B4" s="45" t="s">
        <v>191</v>
      </c>
      <c r="C4" s="47"/>
      <c r="D4" s="47">
        <v>1.1000000000000001</v>
      </c>
      <c r="E4" s="47">
        <v>1.1000000000000001</v>
      </c>
      <c r="F4" s="47">
        <v>1.1000000000000001</v>
      </c>
      <c r="G4" s="4"/>
      <c r="H4" s="151"/>
      <c r="I4" s="5"/>
      <c r="J4" s="5"/>
      <c r="K4" s="5"/>
      <c r="L4" s="105" t="s">
        <v>169</v>
      </c>
      <c r="M4" s="42">
        <f t="shared" si="0"/>
        <v>0.66666666666666663</v>
      </c>
      <c r="N4" s="152">
        <v>4</v>
      </c>
      <c r="O4" s="152">
        <v>-2</v>
      </c>
      <c r="P4" s="152"/>
      <c r="Q4" s="753"/>
      <c r="R4" s="1">
        <f t="shared" si="1"/>
        <v>2</v>
      </c>
      <c r="S4" s="46">
        <v>1</v>
      </c>
      <c r="T4" s="1324"/>
      <c r="U4" s="1324"/>
      <c r="V4" s="4">
        <f t="shared" si="2"/>
        <v>0.33333333333333331</v>
      </c>
      <c r="W4" s="155"/>
    </row>
    <row r="5" spans="1:249" ht="10" hidden="1" x14ac:dyDescent="0.2">
      <c r="B5" s="45" t="s">
        <v>178</v>
      </c>
      <c r="C5" s="47"/>
      <c r="D5" s="47">
        <f>D3+(D3*D4)</f>
        <v>157.60500000000002</v>
      </c>
      <c r="E5" s="47">
        <f>E3+(E3*E4)</f>
        <v>123.94200000000001</v>
      </c>
      <c r="F5" s="47">
        <f>F3+(F3*F4)</f>
        <v>62.516999999999996</v>
      </c>
      <c r="G5" s="47">
        <f>D5</f>
        <v>157.60500000000002</v>
      </c>
      <c r="H5" s="4"/>
      <c r="I5" s="5"/>
      <c r="J5" s="5"/>
      <c r="K5" s="5"/>
      <c r="L5" s="105" t="s">
        <v>170</v>
      </c>
      <c r="M5" s="42">
        <f t="shared" si="0"/>
        <v>21</v>
      </c>
      <c r="N5" s="152">
        <v>70</v>
      </c>
      <c r="O5" s="152">
        <v>-7</v>
      </c>
      <c r="P5" s="754"/>
      <c r="Q5" s="753"/>
      <c r="R5" s="1">
        <f t="shared" si="1"/>
        <v>63</v>
      </c>
      <c r="S5" s="46">
        <v>31</v>
      </c>
      <c r="T5" s="1324"/>
      <c r="U5" s="1324"/>
      <c r="V5" s="4">
        <f t="shared" si="2"/>
        <v>10.333333333333334</v>
      </c>
      <c r="W5" s="155"/>
    </row>
    <row r="6" spans="1:249" ht="10" hidden="1" x14ac:dyDescent="0.2">
      <c r="H6" s="4"/>
      <c r="I6" s="5"/>
      <c r="J6" s="5"/>
      <c r="K6" s="5"/>
      <c r="L6" s="105" t="s">
        <v>171</v>
      </c>
      <c r="M6" s="42">
        <f t="shared" si="0"/>
        <v>2.3333333333333335</v>
      </c>
      <c r="N6" s="152">
        <v>5</v>
      </c>
      <c r="O6" s="152">
        <v>2</v>
      </c>
      <c r="P6" s="152"/>
      <c r="Q6" s="753"/>
      <c r="R6" s="1">
        <f t="shared" si="1"/>
        <v>7</v>
      </c>
      <c r="S6" s="46">
        <v>2</v>
      </c>
      <c r="T6" s="1324"/>
      <c r="U6" s="1324"/>
      <c r="V6" s="4">
        <f t="shared" si="2"/>
        <v>0.66666666666666663</v>
      </c>
      <c r="W6" s="155"/>
    </row>
    <row r="7" spans="1:249" ht="10.5" hidden="1" x14ac:dyDescent="0.25">
      <c r="B7" s="48"/>
      <c r="C7" s="41"/>
      <c r="D7" s="41"/>
      <c r="E7" s="41"/>
      <c r="F7" s="41"/>
      <c r="G7" s="41"/>
      <c r="H7" s="627"/>
      <c r="I7" s="47"/>
      <c r="J7" s="5"/>
      <c r="K7" s="5"/>
      <c r="L7" s="105" t="s">
        <v>172</v>
      </c>
      <c r="M7" s="42">
        <f t="shared" si="0"/>
        <v>5.666666666666667</v>
      </c>
      <c r="N7" s="152">
        <v>10</v>
      </c>
      <c r="O7" s="152">
        <v>7</v>
      </c>
      <c r="P7" s="152"/>
      <c r="Q7" s="753"/>
      <c r="R7" s="1">
        <f t="shared" si="1"/>
        <v>17</v>
      </c>
      <c r="S7" s="46">
        <v>11</v>
      </c>
      <c r="T7" s="1324"/>
      <c r="U7" s="1324"/>
      <c r="V7" s="4">
        <f t="shared" si="2"/>
        <v>3.6666666666666665</v>
      </c>
      <c r="W7" s="155"/>
    </row>
    <row r="8" spans="1:249" ht="10.5" hidden="1" x14ac:dyDescent="0.25">
      <c r="B8" s="48"/>
      <c r="C8" s="41"/>
      <c r="D8" s="41"/>
      <c r="E8" s="41"/>
      <c r="F8" s="41"/>
      <c r="G8" s="41"/>
      <c r="H8" s="4"/>
      <c r="I8" s="47"/>
      <c r="J8" s="5"/>
      <c r="K8" s="5"/>
      <c r="L8" s="105" t="s">
        <v>188</v>
      </c>
      <c r="M8" s="42">
        <f>SUM(M2:M4)</f>
        <v>28</v>
      </c>
      <c r="N8" s="153"/>
      <c r="O8" s="152"/>
      <c r="P8" s="43"/>
      <c r="Q8" s="753"/>
      <c r="R8" s="53">
        <f>SUM(R2:R4)</f>
        <v>84</v>
      </c>
      <c r="S8" s="53"/>
      <c r="T8" s="1324"/>
      <c r="U8" s="1324"/>
      <c r="V8" s="4"/>
      <c r="W8" s="4"/>
      <c r="AA8" s="496"/>
      <c r="AB8" s="496"/>
      <c r="AC8" s="496"/>
    </row>
    <row r="9" spans="1:249" ht="10" hidden="1" x14ac:dyDescent="0.2">
      <c r="B9" s="45"/>
      <c r="C9" s="4"/>
      <c r="D9" s="4"/>
      <c r="E9" s="4"/>
      <c r="F9" s="4"/>
      <c r="G9" s="4"/>
      <c r="H9" s="627"/>
      <c r="I9" s="47"/>
      <c r="J9" s="5"/>
      <c r="K9" s="5"/>
      <c r="L9" s="105" t="s">
        <v>173</v>
      </c>
      <c r="M9" s="42">
        <f>SUM(M5:M7)</f>
        <v>29</v>
      </c>
      <c r="N9" s="153"/>
      <c r="O9" s="152"/>
      <c r="P9" s="43"/>
      <c r="Q9" s="46"/>
      <c r="R9" s="53">
        <f>SUM(R3:R5)</f>
        <v>80</v>
      </c>
      <c r="S9" s="53"/>
      <c r="T9" s="53"/>
      <c r="U9" s="53"/>
      <c r="V9" s="4"/>
      <c r="W9" s="4"/>
      <c r="AA9" s="496"/>
      <c r="AB9" s="496"/>
      <c r="AC9" s="496"/>
      <c r="AU9" s="83"/>
    </row>
    <row r="10" spans="1:249" ht="10" hidden="1" x14ac:dyDescent="0.2">
      <c r="B10" s="45"/>
      <c r="C10" s="4"/>
      <c r="D10" s="4"/>
      <c r="E10" s="4"/>
      <c r="F10" s="4"/>
      <c r="G10" s="47"/>
      <c r="H10" s="627"/>
      <c r="I10" s="628"/>
      <c r="J10" s="5"/>
      <c r="K10" s="5"/>
      <c r="L10" s="105" t="s">
        <v>184</v>
      </c>
      <c r="M10" s="42">
        <f>SUM(M2:M7)</f>
        <v>57</v>
      </c>
      <c r="N10" s="152"/>
      <c r="O10" s="152"/>
      <c r="P10" s="49"/>
      <c r="Q10" s="5"/>
      <c r="R10" s="43">
        <f>SUM(R2:R7)</f>
        <v>171</v>
      </c>
      <c r="S10" s="43">
        <v>94</v>
      </c>
      <c r="T10" s="157"/>
      <c r="U10" s="43"/>
      <c r="V10" s="150">
        <f>SUM(V2:V7)</f>
        <v>33.333333333333336</v>
      </c>
      <c r="W10" s="150"/>
      <c r="AA10" s="497"/>
      <c r="AB10" s="497"/>
      <c r="AC10" s="497"/>
    </row>
    <row r="11" spans="1:249" ht="10" hidden="1" x14ac:dyDescent="0.2">
      <c r="B11" s="45"/>
      <c r="C11" s="47"/>
      <c r="D11" s="47"/>
      <c r="E11" s="47"/>
      <c r="F11" s="47"/>
      <c r="G11" s="47"/>
      <c r="H11" s="4"/>
      <c r="I11" s="5"/>
      <c r="J11" s="5"/>
      <c r="K11" s="5"/>
      <c r="L11" s="156" t="s">
        <v>702</v>
      </c>
      <c r="M11" s="42"/>
      <c r="N11" s="49"/>
      <c r="O11" s="50"/>
      <c r="P11" s="50"/>
      <c r="Q11" s="51"/>
      <c r="R11" s="52"/>
    </row>
    <row r="12" spans="1:249" ht="13" hidden="1" x14ac:dyDescent="0.2">
      <c r="A12" s="2"/>
      <c r="B12" s="1325"/>
      <c r="C12" s="111"/>
      <c r="D12" s="111"/>
      <c r="E12" s="111"/>
      <c r="F12" s="111"/>
      <c r="I12" s="5"/>
      <c r="J12" s="5"/>
      <c r="K12" s="5"/>
      <c r="L12" s="111"/>
      <c r="M12" s="111"/>
      <c r="N12" s="111"/>
      <c r="O12" s="111"/>
      <c r="P12" s="111"/>
      <c r="Q12" s="111"/>
      <c r="U12" s="2"/>
      <c r="V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row>
    <row r="13" spans="1:249" ht="12.65" hidden="1" customHeight="1" x14ac:dyDescent="0.2">
      <c r="A13" s="2"/>
      <c r="B13" s="1325"/>
      <c r="C13" s="111"/>
      <c r="D13" s="111"/>
      <c r="E13" s="111"/>
      <c r="F13" s="111"/>
      <c r="I13" s="5"/>
      <c r="J13" s="5"/>
      <c r="K13" s="5"/>
      <c r="L13" s="111"/>
      <c r="M13" s="111"/>
      <c r="N13" s="111"/>
      <c r="O13" s="111"/>
      <c r="P13" s="111"/>
      <c r="Q13" s="111"/>
      <c r="R13" s="52"/>
      <c r="U13" s="2"/>
      <c r="V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row>
    <row r="14" spans="1:249" ht="12.65" hidden="1" customHeight="1" x14ac:dyDescent="0.25">
      <c r="A14" s="2"/>
      <c r="B14" s="2"/>
      <c r="C14" s="3"/>
      <c r="D14" s="4"/>
      <c r="E14" s="4"/>
      <c r="F14" s="4"/>
      <c r="G14" s="4"/>
      <c r="H14" s="4"/>
      <c r="I14" s="5"/>
      <c r="J14" s="5"/>
      <c r="K14" s="5"/>
      <c r="L14" s="105"/>
      <c r="M14" s="6"/>
      <c r="N14" s="7"/>
      <c r="O14" s="7"/>
      <c r="P14" s="7"/>
      <c r="Q14" s="7"/>
      <c r="R14" s="52"/>
      <c r="U14" s="2"/>
      <c r="V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row>
    <row r="15" spans="1:249" ht="12.65" hidden="1" customHeight="1" x14ac:dyDescent="0.25">
      <c r="A15" s="2"/>
      <c r="B15" s="2"/>
      <c r="C15" s="3"/>
      <c r="D15" s="4"/>
      <c r="E15" s="4"/>
      <c r="F15" s="4"/>
      <c r="G15" s="4"/>
      <c r="H15" s="4"/>
      <c r="I15" s="5"/>
      <c r="J15" s="5"/>
      <c r="K15" s="5"/>
      <c r="L15" s="105"/>
      <c r="M15" s="6"/>
      <c r="N15" s="7"/>
      <c r="O15" s="7"/>
      <c r="P15" s="7"/>
      <c r="Q15" s="7"/>
      <c r="R15" s="52"/>
      <c r="U15" s="2"/>
      <c r="V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row>
    <row r="16" spans="1:249" ht="12.65" customHeight="1" x14ac:dyDescent="0.3">
      <c r="A16" s="138" t="s">
        <v>818</v>
      </c>
      <c r="B16" s="139"/>
      <c r="C16" s="8"/>
      <c r="D16" s="140"/>
      <c r="E16" s="140"/>
      <c r="F16" s="140"/>
      <c r="G16" s="140"/>
      <c r="H16" s="140"/>
      <c r="I16" s="141"/>
      <c r="J16" s="141"/>
      <c r="K16" s="141"/>
      <c r="L16" s="142"/>
      <c r="M16" s="143"/>
      <c r="N16" s="144"/>
      <c r="O16" s="144"/>
      <c r="P16" s="494"/>
      <c r="Q16" s="141"/>
      <c r="R16" s="133"/>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row>
    <row r="17" spans="1:253" ht="20.5" customHeight="1" x14ac:dyDescent="0.25">
      <c r="A17" s="756"/>
      <c r="B17" s="757"/>
      <c r="C17" s="1326" t="s">
        <v>658</v>
      </c>
      <c r="D17" s="1326"/>
      <c r="E17" s="1326"/>
      <c r="F17" s="1326"/>
      <c r="G17" s="1327"/>
      <c r="H17" s="758" t="s">
        <v>223</v>
      </c>
      <c r="I17" s="759" t="s">
        <v>223</v>
      </c>
      <c r="J17" s="760"/>
      <c r="K17" s="760"/>
      <c r="L17" s="1335" t="s">
        <v>10</v>
      </c>
      <c r="M17" s="1336"/>
      <c r="N17" s="1336"/>
      <c r="O17" s="1336"/>
      <c r="P17" s="1337"/>
      <c r="Q17" s="503"/>
      <c r="R17" s="1328" t="s">
        <v>194</v>
      </c>
      <c r="S17" s="134" t="s">
        <v>195</v>
      </c>
      <c r="T17" s="54"/>
      <c r="U17" s="54"/>
      <c r="V17" s="54"/>
      <c r="W17" s="54"/>
      <c r="X17" s="55"/>
      <c r="Z17" s="146"/>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row>
    <row r="18" spans="1:253" ht="10.5" x14ac:dyDescent="0.25">
      <c r="A18" s="761"/>
      <c r="B18" s="762"/>
      <c r="C18" s="763" t="s">
        <v>5</v>
      </c>
      <c r="D18" s="764" t="s">
        <v>6</v>
      </c>
      <c r="E18" s="764" t="s">
        <v>7</v>
      </c>
      <c r="F18" s="764" t="s">
        <v>8</v>
      </c>
      <c r="G18" s="765" t="s">
        <v>9</v>
      </c>
      <c r="H18" s="766" t="s">
        <v>746</v>
      </c>
      <c r="I18" s="767" t="s">
        <v>222</v>
      </c>
      <c r="J18" s="768" t="s">
        <v>12</v>
      </c>
      <c r="K18" s="768" t="s">
        <v>16</v>
      </c>
      <c r="L18" s="769" t="s">
        <v>13</v>
      </c>
      <c r="M18" s="770" t="s">
        <v>11</v>
      </c>
      <c r="N18" s="768" t="s">
        <v>12</v>
      </c>
      <c r="O18" s="771" t="s">
        <v>16</v>
      </c>
      <c r="P18" s="771" t="s">
        <v>224</v>
      </c>
      <c r="Q18" s="504" t="s">
        <v>11</v>
      </c>
      <c r="R18" s="1329"/>
      <c r="S18" s="135" t="s">
        <v>192</v>
      </c>
      <c r="T18" s="56"/>
      <c r="U18" s="56"/>
      <c r="V18" s="56" t="s">
        <v>193</v>
      </c>
      <c r="W18" s="56"/>
      <c r="X18" s="56"/>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row>
    <row r="19" spans="1:253" ht="12.5" x14ac:dyDescent="0.25">
      <c r="A19" s="761"/>
      <c r="B19" s="762"/>
      <c r="C19" s="772">
        <f>C5</f>
        <v>0</v>
      </c>
      <c r="D19" s="773">
        <f>D5</f>
        <v>157.60500000000002</v>
      </c>
      <c r="E19" s="773">
        <f>E5</f>
        <v>123.94200000000001</v>
      </c>
      <c r="F19" s="773">
        <f>F5</f>
        <v>62.516999999999996</v>
      </c>
      <c r="G19" s="774">
        <f>G5</f>
        <v>157.60500000000002</v>
      </c>
      <c r="H19" s="775" t="s">
        <v>745</v>
      </c>
      <c r="I19" s="776" t="s">
        <v>745</v>
      </c>
      <c r="J19" s="768" t="s">
        <v>15</v>
      </c>
      <c r="K19" s="768" t="s">
        <v>177</v>
      </c>
      <c r="L19" s="777" t="s">
        <v>750</v>
      </c>
      <c r="M19" s="778" t="s">
        <v>176</v>
      </c>
      <c r="N19" s="768" t="s">
        <v>15</v>
      </c>
      <c r="O19" s="771" t="s">
        <v>14</v>
      </c>
      <c r="P19" s="771" t="s">
        <v>751</v>
      </c>
      <c r="Q19" s="504" t="s">
        <v>14</v>
      </c>
      <c r="R19" s="1329"/>
      <c r="S19" s="136"/>
      <c r="T19" s="57"/>
      <c r="U19" s="57"/>
      <c r="V19" s="57"/>
      <c r="W19" s="57"/>
      <c r="X19" s="57"/>
      <c r="Z19" s="498"/>
      <c r="AA19" s="498"/>
      <c r="AB19" s="498"/>
      <c r="AC19" s="498"/>
      <c r="AD19" s="498"/>
      <c r="AE19" s="498"/>
      <c r="AF19" s="498"/>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row>
    <row r="20" spans="1:253" ht="12.65" customHeight="1" x14ac:dyDescent="0.25">
      <c r="A20" s="779" t="s">
        <v>17</v>
      </c>
      <c r="B20" s="780"/>
      <c r="C20" s="781" t="s">
        <v>19</v>
      </c>
      <c r="D20" s="782" t="s">
        <v>19</v>
      </c>
      <c r="E20" s="782" t="s">
        <v>19</v>
      </c>
      <c r="F20" s="782" t="s">
        <v>19</v>
      </c>
      <c r="G20" s="783" t="s">
        <v>19</v>
      </c>
      <c r="H20" s="763" t="s">
        <v>221</v>
      </c>
      <c r="I20" s="784" t="s">
        <v>221</v>
      </c>
      <c r="J20" s="785" t="s">
        <v>19</v>
      </c>
      <c r="K20" s="785" t="s">
        <v>19</v>
      </c>
      <c r="L20" s="786" t="s">
        <v>19</v>
      </c>
      <c r="M20" s="787" t="s">
        <v>19</v>
      </c>
      <c r="N20" s="785" t="s">
        <v>19</v>
      </c>
      <c r="O20" s="788" t="s">
        <v>19</v>
      </c>
      <c r="P20" s="788"/>
      <c r="Q20" s="505" t="s">
        <v>19</v>
      </c>
      <c r="R20" s="1330"/>
      <c r="S20" s="137" t="s">
        <v>196</v>
      </c>
      <c r="T20" s="58" t="s">
        <v>197</v>
      </c>
      <c r="U20" s="58" t="s">
        <v>198</v>
      </c>
      <c r="V20" s="58" t="s">
        <v>196</v>
      </c>
      <c r="W20" s="58" t="s">
        <v>197</v>
      </c>
      <c r="X20" s="58" t="s">
        <v>198</v>
      </c>
      <c r="AA20" s="46"/>
      <c r="AB20" s="499"/>
      <c r="AC20" s="500"/>
      <c r="AD20" s="500"/>
      <c r="AE20" s="501"/>
      <c r="AF20" s="501"/>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row>
    <row r="21" spans="1:253" ht="12.65" customHeight="1" x14ac:dyDescent="0.25">
      <c r="A21" s="789" t="s">
        <v>205</v>
      </c>
      <c r="B21" s="790"/>
      <c r="C21" s="791"/>
      <c r="D21" s="792"/>
      <c r="E21" s="792"/>
      <c r="F21" s="792"/>
      <c r="G21" s="792"/>
      <c r="H21" s="792"/>
      <c r="I21" s="793"/>
      <c r="J21" s="793"/>
      <c r="K21" s="793"/>
      <c r="L21" s="794"/>
      <c r="M21" s="795"/>
      <c r="N21" s="796"/>
      <c r="O21" s="797"/>
      <c r="P21" s="797"/>
      <c r="Q21" s="85"/>
      <c r="R21" s="91"/>
      <c r="S21" s="119"/>
      <c r="T21" s="92"/>
      <c r="U21" s="92"/>
      <c r="V21" s="92"/>
      <c r="W21" s="92"/>
      <c r="X21" s="92"/>
      <c r="AA21" s="46"/>
      <c r="AB21" s="499"/>
      <c r="AC21" s="500"/>
      <c r="AD21" s="500"/>
      <c r="AE21" s="501"/>
      <c r="AF21" s="501"/>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row>
    <row r="22" spans="1:253" ht="12.65" customHeight="1" x14ac:dyDescent="0.25">
      <c r="A22" s="798" t="s">
        <v>206</v>
      </c>
      <c r="B22" s="790"/>
      <c r="C22" s="791"/>
      <c r="D22" s="792"/>
      <c r="E22" s="792"/>
      <c r="F22" s="792"/>
      <c r="G22" s="792"/>
      <c r="H22" s="792"/>
      <c r="I22" s="793"/>
      <c r="J22" s="793"/>
      <c r="K22" s="793"/>
      <c r="L22" s="794"/>
      <c r="M22" s="795"/>
      <c r="N22" s="796"/>
      <c r="O22" s="797"/>
      <c r="P22" s="797"/>
      <c r="Q22" s="85"/>
      <c r="R22" s="91"/>
      <c r="S22" s="119"/>
      <c r="T22" s="92"/>
      <c r="U22" s="92"/>
      <c r="V22" s="92"/>
      <c r="W22" s="92"/>
      <c r="X22" s="92"/>
      <c r="AA22" s="46"/>
      <c r="AB22" s="46"/>
      <c r="AC22" s="502"/>
      <c r="AD22" s="502"/>
      <c r="AE22" s="501"/>
      <c r="AF22" s="501"/>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row>
    <row r="23" spans="1:253" ht="12.65" customHeight="1" x14ac:dyDescent="0.25">
      <c r="A23" s="799" t="s">
        <v>207</v>
      </c>
      <c r="B23" s="790"/>
      <c r="C23" s="791"/>
      <c r="D23" s="792"/>
      <c r="E23" s="792"/>
      <c r="F23" s="792"/>
      <c r="G23" s="792"/>
      <c r="H23" s="792"/>
      <c r="I23" s="793"/>
      <c r="J23" s="793"/>
      <c r="K23" s="793"/>
      <c r="L23" s="794"/>
      <c r="M23" s="795"/>
      <c r="N23" s="796"/>
      <c r="O23" s="796"/>
      <c r="P23" s="796"/>
      <c r="Q23" s="85"/>
      <c r="R23" s="77"/>
      <c r="S23" s="120"/>
      <c r="T23" s="90"/>
      <c r="U23" s="89"/>
      <c r="V23" s="89"/>
      <c r="W23" s="89"/>
      <c r="X23" s="89"/>
      <c r="AA23" s="106"/>
      <c r="AB23" s="106"/>
      <c r="AC23" s="106"/>
      <c r="AD23" s="106"/>
      <c r="AE23" s="106"/>
      <c r="AF23" s="106"/>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row>
    <row r="24" spans="1:253" ht="12.65" customHeight="1" x14ac:dyDescent="0.25">
      <c r="A24" s="800" t="s">
        <v>752</v>
      </c>
      <c r="B24" s="801"/>
      <c r="C24" s="802">
        <v>0</v>
      </c>
      <c r="D24" s="803">
        <v>0</v>
      </c>
      <c r="E24" s="803">
        <v>4</v>
      </c>
      <c r="F24" s="803">
        <v>0</v>
      </c>
      <c r="G24" s="803">
        <v>0</v>
      </c>
      <c r="H24" s="803">
        <f>SUM(C24:G24)</f>
        <v>4</v>
      </c>
      <c r="I24" s="804">
        <f>((C24*$C$5)+(D24*$D$5)+(E24*$E$5)+(F24*$F$5)+(G24*$G$5))</f>
        <v>495.76800000000003</v>
      </c>
      <c r="J24" s="805">
        <v>0</v>
      </c>
      <c r="K24" s="806">
        <v>0</v>
      </c>
      <c r="L24" s="807">
        <f>V10</f>
        <v>33.333333333333336</v>
      </c>
      <c r="M24" s="808">
        <f>(C24+D24+E24+F24+G24)*L24</f>
        <v>133.33333333333334</v>
      </c>
      <c r="N24" s="809">
        <f>J24*L24</f>
        <v>0</v>
      </c>
      <c r="O24" s="809">
        <f>K24*L24</f>
        <v>0</v>
      </c>
      <c r="P24" s="810">
        <f>I24*L24</f>
        <v>16525.600000000002</v>
      </c>
      <c r="Q24" s="15">
        <f>(I24+J24+K24)*L24</f>
        <v>16525.600000000002</v>
      </c>
      <c r="R24" s="118" t="s">
        <v>200</v>
      </c>
      <c r="S24" s="121">
        <f>IF($R24="RP",L24,"")</f>
        <v>33.333333333333336</v>
      </c>
      <c r="T24" s="94">
        <f>IF($R24="RP",M24,"")</f>
        <v>133.33333333333334</v>
      </c>
      <c r="U24" s="95">
        <f>IF($R24="RP",SUM(N24:O24),"")</f>
        <v>0</v>
      </c>
      <c r="V24" s="94" t="str">
        <f>IF($R24="RK",L24,"")</f>
        <v/>
      </c>
      <c r="W24" s="94" t="str">
        <f>IF($R24="RK",M24,"")</f>
        <v/>
      </c>
      <c r="X24" s="95" t="str">
        <f>IF($R24="Rk",SUM(N24:O24),"")</f>
        <v/>
      </c>
      <c r="AE24" s="2"/>
      <c r="AF24" s="107"/>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row>
    <row r="25" spans="1:253" s="2" customFormat="1" ht="12.65" customHeight="1" x14ac:dyDescent="0.25">
      <c r="A25" s="789" t="s">
        <v>220</v>
      </c>
      <c r="B25" s="789"/>
      <c r="C25" s="811"/>
      <c r="D25" s="812"/>
      <c r="E25" s="812"/>
      <c r="F25" s="812"/>
      <c r="G25" s="812"/>
      <c r="H25" s="812"/>
      <c r="I25" s="813"/>
      <c r="J25" s="814"/>
      <c r="K25" s="814"/>
      <c r="L25" s="815"/>
      <c r="M25" s="816"/>
      <c r="N25" s="817"/>
      <c r="O25" s="817"/>
      <c r="P25" s="818"/>
      <c r="Q25" s="16"/>
      <c r="R25" s="77"/>
      <c r="S25" s="122"/>
      <c r="T25" s="88"/>
      <c r="U25" s="89"/>
      <c r="V25" s="88"/>
      <c r="W25" s="88"/>
      <c r="X25" s="89"/>
      <c r="Y25" s="1"/>
      <c r="Z25" s="1"/>
      <c r="AA25" s="1"/>
      <c r="AB25" s="1"/>
      <c r="AC25" s="1"/>
      <c r="AD25" s="1"/>
      <c r="IP25" s="1"/>
      <c r="IQ25" s="1"/>
      <c r="IR25" s="1"/>
      <c r="IS25" s="1"/>
    </row>
    <row r="26" spans="1:253" s="2" customFormat="1" ht="12.65" customHeight="1" x14ac:dyDescent="0.25">
      <c r="A26" s="819" t="s">
        <v>189</v>
      </c>
      <c r="B26" s="820"/>
      <c r="C26" s="821"/>
      <c r="D26" s="822"/>
      <c r="E26" s="823"/>
      <c r="F26" s="823"/>
      <c r="G26" s="823"/>
      <c r="H26" s="823"/>
      <c r="I26" s="824"/>
      <c r="J26" s="825"/>
      <c r="K26" s="826"/>
      <c r="L26" s="827"/>
      <c r="M26" s="828"/>
      <c r="N26" s="829"/>
      <c r="O26" s="829"/>
      <c r="P26" s="830"/>
      <c r="Q26" s="73"/>
      <c r="R26" s="77"/>
      <c r="S26" s="64"/>
      <c r="T26" s="64"/>
      <c r="U26" s="116"/>
      <c r="V26" s="117"/>
      <c r="W26" s="64"/>
      <c r="X26" s="81"/>
      <c r="Y26" s="1"/>
      <c r="Z26" s="1"/>
      <c r="AA26" s="1"/>
      <c r="AB26" s="1"/>
      <c r="AC26" s="1"/>
      <c r="AD26" s="1"/>
      <c r="AE26" s="1"/>
      <c r="IP26" s="1"/>
      <c r="IQ26" s="1"/>
      <c r="IR26" s="1"/>
      <c r="IS26" s="1"/>
    </row>
    <row r="27" spans="1:253" ht="23.15" customHeight="1" x14ac:dyDescent="0.25">
      <c r="A27" s="831"/>
      <c r="B27" s="832" t="s">
        <v>753</v>
      </c>
      <c r="C27" s="833">
        <v>0</v>
      </c>
      <c r="D27" s="833">
        <v>0</v>
      </c>
      <c r="E27" s="833">
        <v>10</v>
      </c>
      <c r="F27" s="833">
        <v>1</v>
      </c>
      <c r="G27" s="833">
        <v>0</v>
      </c>
      <c r="H27" s="833">
        <f>SUM(C27:G27)</f>
        <v>11</v>
      </c>
      <c r="I27" s="834">
        <f>((C27*$C$5)+(D27*$D$5)+(E27*$E$5)+(F27*$F$5)+(G27*$G$5))</f>
        <v>1301.9370000000001</v>
      </c>
      <c r="J27" s="835">
        <v>18000</v>
      </c>
      <c r="K27" s="806">
        <v>2000</v>
      </c>
      <c r="L27" s="836">
        <f>3/3</f>
        <v>1</v>
      </c>
      <c r="M27" s="837">
        <f>(C27+D27+E27+F27+G27)*L27</f>
        <v>11</v>
      </c>
      <c r="N27" s="838">
        <f>J27*L27</f>
        <v>18000</v>
      </c>
      <c r="O27" s="838">
        <f>K27*L27</f>
        <v>2000</v>
      </c>
      <c r="P27" s="839">
        <f>I27*L27</f>
        <v>1301.9370000000001</v>
      </c>
      <c r="Q27" s="491">
        <f>(I27+J27+K27)*L27</f>
        <v>21301.937000000002</v>
      </c>
      <c r="R27" s="108" t="s">
        <v>200</v>
      </c>
      <c r="S27" s="122">
        <f>IF($R27="RP",L27,"")</f>
        <v>1</v>
      </c>
      <c r="T27" s="88">
        <f>IF($R27="RP",M27,"")</f>
        <v>11</v>
      </c>
      <c r="U27" s="89">
        <f>IF($R27="RP",SUM(N27:O27),"")</f>
        <v>20000</v>
      </c>
      <c r="V27" s="88" t="str">
        <f>IF($R27="RK",L27,"")</f>
        <v/>
      </c>
      <c r="W27" s="88" t="str">
        <f>IF($R27="RK",M27,"")</f>
        <v/>
      </c>
      <c r="X27" s="89" t="str">
        <f>IF($R27="Rk",SUM(N27:O27),"")</f>
        <v/>
      </c>
    </row>
    <row r="28" spans="1:253" ht="12.65" customHeight="1" x14ac:dyDescent="0.25">
      <c r="A28" s="840"/>
      <c r="B28" s="841" t="s">
        <v>754</v>
      </c>
      <c r="C28" s="842">
        <v>0</v>
      </c>
      <c r="D28" s="843">
        <v>0</v>
      </c>
      <c r="E28" s="843">
        <v>10</v>
      </c>
      <c r="F28" s="843">
        <v>1</v>
      </c>
      <c r="G28" s="843">
        <v>0</v>
      </c>
      <c r="H28" s="843">
        <f>SUM(C28:G28)</f>
        <v>11</v>
      </c>
      <c r="I28" s="844">
        <f>((C28*$C$5)+(D28*$D$5)+(E28*$E$5)+(F28*$F$5)+(G28*$G$5))</f>
        <v>1301.9370000000001</v>
      </c>
      <c r="J28" s="845">
        <v>0</v>
      </c>
      <c r="K28" s="846">
        <v>0</v>
      </c>
      <c r="L28" s="836">
        <f>M10*0.1</f>
        <v>5.7</v>
      </c>
      <c r="M28" s="847">
        <f>(C28+D28+E28+F28+G28)*L28</f>
        <v>62.7</v>
      </c>
      <c r="N28" s="848">
        <f>J28*L28</f>
        <v>0</v>
      </c>
      <c r="O28" s="848">
        <f>K28*L28</f>
        <v>0</v>
      </c>
      <c r="P28" s="849">
        <f>I28*L28</f>
        <v>7421.0409000000009</v>
      </c>
      <c r="Q28" s="491">
        <f>(I28+J28+K28)*L28</f>
        <v>7421.0409000000009</v>
      </c>
      <c r="R28" s="108" t="s">
        <v>200</v>
      </c>
      <c r="S28" s="122">
        <f>IF($R28="RP",L28,"")</f>
        <v>5.7</v>
      </c>
      <c r="T28" s="88">
        <f>IF($R28="RP",M28,"")</f>
        <v>62.7</v>
      </c>
      <c r="U28" s="89">
        <f>IF($R28="RP",SUM(N28:O28),"")</f>
        <v>0</v>
      </c>
      <c r="V28" s="88" t="str">
        <f>IF($R28="RK",L28,"")</f>
        <v/>
      </c>
      <c r="W28" s="88" t="str">
        <f>IF($R28="RK",M28,"")</f>
        <v/>
      </c>
      <c r="X28" s="89" t="str">
        <f>IF($R28="Rk",SUM(N28:O28),"")</f>
        <v/>
      </c>
    </row>
    <row r="29" spans="1:253" s="2" customFormat="1" ht="12.65" customHeight="1" x14ac:dyDescent="0.25">
      <c r="A29" s="850" t="s">
        <v>755</v>
      </c>
      <c r="B29" s="851"/>
      <c r="C29" s="852"/>
      <c r="D29" s="853"/>
      <c r="E29" s="854"/>
      <c r="F29" s="854"/>
      <c r="G29" s="854"/>
      <c r="H29" s="854"/>
      <c r="I29" s="855"/>
      <c r="J29" s="856"/>
      <c r="K29" s="857"/>
      <c r="L29" s="858"/>
      <c r="M29" s="859"/>
      <c r="N29" s="860"/>
      <c r="O29" s="860"/>
      <c r="P29" s="861"/>
      <c r="Q29" s="31"/>
      <c r="R29" s="77"/>
      <c r="S29" s="64"/>
      <c r="T29" s="64"/>
      <c r="U29" s="18"/>
      <c r="V29" s="71"/>
      <c r="W29" s="64"/>
      <c r="X29" s="81"/>
      <c r="Y29" s="1"/>
      <c r="Z29" s="1"/>
      <c r="AA29" s="1"/>
      <c r="AB29" s="1"/>
      <c r="AC29" s="1"/>
      <c r="AD29" s="1"/>
      <c r="IP29" s="1"/>
      <c r="IQ29" s="1"/>
      <c r="IR29" s="1"/>
      <c r="IS29" s="1"/>
    </row>
    <row r="30" spans="1:253" s="2" customFormat="1" ht="14.25" customHeight="1" x14ac:dyDescent="0.25">
      <c r="A30" s="862"/>
      <c r="B30" s="863" t="s">
        <v>175</v>
      </c>
      <c r="C30" s="864">
        <v>0</v>
      </c>
      <c r="D30" s="865">
        <v>0</v>
      </c>
      <c r="E30" s="865">
        <v>0.5</v>
      </c>
      <c r="F30" s="865">
        <v>0</v>
      </c>
      <c r="G30" s="865">
        <v>0</v>
      </c>
      <c r="H30" s="866">
        <f>SUM(C30:G30)</f>
        <v>0.5</v>
      </c>
      <c r="I30" s="867">
        <f>((C30*$C$5)+(D30*$D$5)+(E30*$E$5)+(F30*$F$5)+(G30*$G$5))</f>
        <v>61.971000000000004</v>
      </c>
      <c r="J30" s="868">
        <v>0</v>
      </c>
      <c r="K30" s="868">
        <v>0</v>
      </c>
      <c r="L30" s="868">
        <v>1</v>
      </c>
      <c r="M30" s="869">
        <f>(C30+D30+E30+F30+G30)*L30</f>
        <v>0.5</v>
      </c>
      <c r="N30" s="838">
        <f>J30*L30</f>
        <v>0</v>
      </c>
      <c r="O30" s="1305">
        <f>K30*L30</f>
        <v>0</v>
      </c>
      <c r="P30" s="1306">
        <f>I30*L30</f>
        <v>61.971000000000004</v>
      </c>
      <c r="Q30" s="491">
        <f>(I30+J30+K30)*L30</f>
        <v>61.971000000000004</v>
      </c>
      <c r="R30" s="743" t="s">
        <v>200</v>
      </c>
      <c r="S30" s="122">
        <f>IF($R30="RP",L30,"")</f>
        <v>1</v>
      </c>
      <c r="T30" s="88">
        <f>IF($R30="RP",M30,"")</f>
        <v>0.5</v>
      </c>
      <c r="U30" s="89">
        <f>IF($R30="RP",SUM(N30:O30),"")</f>
        <v>0</v>
      </c>
      <c r="V30" s="62" t="str">
        <f>IF($R30="RK",L30,"")</f>
        <v/>
      </c>
      <c r="W30" s="62" t="str">
        <f>IF($R30="RK",M30,"")</f>
        <v/>
      </c>
      <c r="X30" s="80" t="str">
        <f>IF($R30="Rk",SUM(N30:O30),"")</f>
        <v/>
      </c>
      <c r="Y30" s="1"/>
      <c r="Z30" s="1"/>
      <c r="AA30" s="1"/>
      <c r="AB30" s="1"/>
      <c r="AC30" s="1"/>
      <c r="AD30" s="1"/>
      <c r="IP30" s="1"/>
      <c r="IQ30" s="1"/>
      <c r="IR30" s="1"/>
      <c r="IS30" s="1"/>
    </row>
    <row r="31" spans="1:253" s="2" customFormat="1" ht="14.25" customHeight="1" x14ac:dyDescent="0.25">
      <c r="A31" s="870"/>
      <c r="B31" s="871" t="s">
        <v>151</v>
      </c>
      <c r="C31" s="872"/>
      <c r="D31" s="873"/>
      <c r="E31" s="873"/>
      <c r="F31" s="873"/>
      <c r="G31" s="874"/>
      <c r="H31" s="875"/>
      <c r="I31" s="812"/>
      <c r="J31" s="876"/>
      <c r="K31" s="876"/>
      <c r="L31" s="877"/>
      <c r="M31" s="878"/>
      <c r="N31" s="879"/>
      <c r="O31" s="898"/>
      <c r="P31" s="814"/>
      <c r="Q31" s="744"/>
      <c r="R31" s="745"/>
      <c r="S31" s="746"/>
      <c r="T31" s="746"/>
      <c r="U31" s="747"/>
      <c r="V31" s="67"/>
      <c r="W31" s="46"/>
      <c r="X31" s="78"/>
      <c r="Y31" s="1"/>
      <c r="Z31" s="1"/>
      <c r="AA31" s="1"/>
      <c r="AB31" s="1"/>
      <c r="AC31" s="1"/>
      <c r="AD31" s="1"/>
      <c r="IP31" s="1"/>
      <c r="IQ31" s="1"/>
      <c r="IR31" s="1"/>
      <c r="IS31" s="1"/>
    </row>
    <row r="32" spans="1:253" s="2" customFormat="1" ht="14.25" customHeight="1" x14ac:dyDescent="0.25">
      <c r="A32" s="880"/>
      <c r="B32" s="881" t="s">
        <v>65</v>
      </c>
      <c r="C32" s="882">
        <v>0</v>
      </c>
      <c r="D32" s="883">
        <v>0</v>
      </c>
      <c r="E32" s="883">
        <v>8</v>
      </c>
      <c r="F32" s="883">
        <v>0</v>
      </c>
      <c r="G32" s="884">
        <v>0</v>
      </c>
      <c r="H32" s="885">
        <f>SUM(C32:G32)</f>
        <v>8</v>
      </c>
      <c r="I32" s="886">
        <f>((C32*$C$5)+(D32*$D$5)+(E32*$E$5)+(F32*$F$5)+(G32*$G$5))</f>
        <v>991.53600000000006</v>
      </c>
      <c r="J32" s="868">
        <v>0</v>
      </c>
      <c r="K32" s="887">
        <v>0</v>
      </c>
      <c r="L32" s="888">
        <v>1</v>
      </c>
      <c r="M32" s="889">
        <f>(C32+D32+E32+F32+G32)*L32</f>
        <v>8</v>
      </c>
      <c r="N32" s="1232">
        <f>J32*L32</f>
        <v>0</v>
      </c>
      <c r="O32" s="1305">
        <f>K32*L32</f>
        <v>0</v>
      </c>
      <c r="P32" s="1311">
        <f>I32*L32</f>
        <v>991.53600000000006</v>
      </c>
      <c r="Q32" s="491">
        <f>(I32+J32+K32)*L32</f>
        <v>991.53600000000006</v>
      </c>
      <c r="R32" s="743" t="s">
        <v>200</v>
      </c>
      <c r="S32" s="122">
        <f>IF($R32="RP",L32,"")</f>
        <v>1</v>
      </c>
      <c r="T32" s="88">
        <f>IF($R32="RP",M32,"")</f>
        <v>8</v>
      </c>
      <c r="U32" s="89">
        <f>IF($R32="RP",SUM(N32:O32),"")</f>
        <v>0</v>
      </c>
      <c r="V32" s="62" t="str">
        <f>IF($R32="RK",L32,"")</f>
        <v/>
      </c>
      <c r="W32" s="62" t="str">
        <f>IF($R32="RK",M32,"")</f>
        <v/>
      </c>
      <c r="X32" s="80" t="str">
        <f>IF($R32="Rk",SUM(N32:O32),"")</f>
        <v/>
      </c>
      <c r="Y32" s="1"/>
      <c r="Z32" s="1"/>
      <c r="AA32" s="1"/>
      <c r="AB32" s="1"/>
      <c r="AC32" s="1"/>
      <c r="AD32" s="1"/>
      <c r="IP32" s="1"/>
      <c r="IQ32" s="1"/>
      <c r="IR32" s="1"/>
      <c r="IS32" s="1"/>
    </row>
    <row r="33" spans="1:253" s="2" customFormat="1" ht="14.25" customHeight="1" x14ac:dyDescent="0.25">
      <c r="A33" s="862"/>
      <c r="B33" s="863" t="s">
        <v>66</v>
      </c>
      <c r="C33" s="890"/>
      <c r="D33" s="891"/>
      <c r="E33" s="891"/>
      <c r="F33" s="891"/>
      <c r="G33" s="892"/>
      <c r="H33" s="893"/>
      <c r="I33" s="894"/>
      <c r="J33" s="895"/>
      <c r="K33" s="895"/>
      <c r="L33" s="896"/>
      <c r="M33" s="897"/>
      <c r="N33" s="898"/>
      <c r="O33" s="898"/>
      <c r="P33" s="814"/>
      <c r="Q33" s="748"/>
      <c r="R33" s="749"/>
      <c r="S33" s="603"/>
      <c r="T33" s="603"/>
      <c r="U33" s="750"/>
      <c r="V33" s="67"/>
      <c r="W33" s="46"/>
      <c r="X33" s="78"/>
      <c r="Y33" s="1"/>
      <c r="Z33" s="1"/>
      <c r="AA33" s="1"/>
      <c r="AB33" s="1"/>
      <c r="AC33" s="1"/>
      <c r="AD33" s="1"/>
      <c r="IP33" s="1"/>
      <c r="IQ33" s="1"/>
      <c r="IR33" s="1"/>
      <c r="IS33" s="1"/>
    </row>
    <row r="34" spans="1:253" s="2" customFormat="1" ht="14.25" customHeight="1" x14ac:dyDescent="0.25">
      <c r="A34" s="880"/>
      <c r="B34" s="881" t="s">
        <v>65</v>
      </c>
      <c r="C34" s="900">
        <v>0</v>
      </c>
      <c r="D34" s="891">
        <v>0</v>
      </c>
      <c r="E34" s="891">
        <v>100</v>
      </c>
      <c r="F34" s="891">
        <v>0</v>
      </c>
      <c r="G34" s="892">
        <v>0</v>
      </c>
      <c r="H34" s="885">
        <f>SUM(C34:G34)</f>
        <v>100</v>
      </c>
      <c r="I34" s="886">
        <f>((C34*$C$5)+(D34*$D$5)+(E34*$E$5)+(F34*$F$5)+(G34*$G$5))</f>
        <v>12394.2</v>
      </c>
      <c r="J34" s="868">
        <v>0</v>
      </c>
      <c r="K34" s="895">
        <v>0</v>
      </c>
      <c r="L34" s="888">
        <v>1</v>
      </c>
      <c r="M34" s="889">
        <f>(C34+D34+E34+F34+G34)*L34</f>
        <v>100</v>
      </c>
      <c r="N34" s="1232">
        <f>J34*L34</f>
        <v>0</v>
      </c>
      <c r="O34" s="1305">
        <f>K34*L34</f>
        <v>0</v>
      </c>
      <c r="P34" s="1310">
        <f>I34*L34</f>
        <v>12394.2</v>
      </c>
      <c r="Q34" s="491">
        <f>(I34+J34+K34)*L34</f>
        <v>12394.2</v>
      </c>
      <c r="R34" s="743" t="s">
        <v>200</v>
      </c>
      <c r="S34" s="122">
        <f>IF($R34="RP",L34,"")</f>
        <v>1</v>
      </c>
      <c r="T34" s="88">
        <f>IF($R34="RP",M34,"")</f>
        <v>100</v>
      </c>
      <c r="U34" s="89">
        <f>IF($R34="RP",SUM(N34:O34),"")</f>
        <v>0</v>
      </c>
      <c r="V34" s="62" t="str">
        <f>IF($R34="RK",L34,"")</f>
        <v/>
      </c>
      <c r="W34" s="62" t="str">
        <f>IF($R34="RK",M34,"")</f>
        <v/>
      </c>
      <c r="X34" s="80" t="str">
        <f>IF($R34="Rk",SUM(N34:O34),"")</f>
        <v/>
      </c>
      <c r="Y34" s="1"/>
      <c r="Z34" s="1"/>
      <c r="AA34" s="1"/>
      <c r="AB34" s="1"/>
      <c r="AC34" s="1"/>
      <c r="AD34" s="1"/>
      <c r="IP34" s="1"/>
      <c r="IQ34" s="1"/>
      <c r="IR34" s="1"/>
      <c r="IS34" s="1"/>
    </row>
    <row r="35" spans="1:253" s="2" customFormat="1" ht="12.65" customHeight="1" x14ac:dyDescent="0.25">
      <c r="A35" s="901" t="s">
        <v>756</v>
      </c>
      <c r="B35" s="902"/>
      <c r="C35" s="903"/>
      <c r="D35" s="822"/>
      <c r="E35" s="823"/>
      <c r="F35" s="823"/>
      <c r="G35" s="823"/>
      <c r="H35" s="823"/>
      <c r="I35" s="904"/>
      <c r="J35" s="905"/>
      <c r="K35" s="906"/>
      <c r="L35" s="907"/>
      <c r="M35" s="908"/>
      <c r="N35" s="1304"/>
      <c r="O35" s="1304"/>
      <c r="P35" s="1308"/>
      <c r="Q35" s="30"/>
      <c r="R35" s="76"/>
      <c r="S35" s="62"/>
      <c r="T35" s="62"/>
      <c r="U35" s="21"/>
      <c r="V35" s="68"/>
      <c r="W35" s="62"/>
      <c r="X35" s="80"/>
      <c r="Y35" s="1"/>
      <c r="Z35" s="1"/>
      <c r="AA35" s="1"/>
      <c r="AB35" s="1"/>
      <c r="AC35" s="1"/>
      <c r="AD35" s="1"/>
      <c r="IP35" s="1"/>
      <c r="IQ35" s="1"/>
      <c r="IR35" s="1"/>
      <c r="IS35" s="1"/>
    </row>
    <row r="36" spans="1:253" s="2" customFormat="1" ht="12.65" customHeight="1" x14ac:dyDescent="0.25">
      <c r="A36" s="911"/>
      <c r="B36" s="912" t="s">
        <v>187</v>
      </c>
      <c r="C36" s="913">
        <v>0</v>
      </c>
      <c r="D36" s="894">
        <v>5</v>
      </c>
      <c r="E36" s="894">
        <v>64</v>
      </c>
      <c r="F36" s="894">
        <v>10</v>
      </c>
      <c r="G36" s="894">
        <v>0</v>
      </c>
      <c r="H36" s="803">
        <f>SUM(C36:G36)</f>
        <v>79</v>
      </c>
      <c r="I36" s="914">
        <f>((C36*$C$5)+(D36*$D$5)+(E36*$E$5)+(F36*$F$5)+(G36*$G$5))</f>
        <v>9345.4830000000002</v>
      </c>
      <c r="J36" s="899">
        <v>0</v>
      </c>
      <c r="K36" s="899">
        <v>0</v>
      </c>
      <c r="L36" s="915">
        <f>$M$10*0.5</f>
        <v>28.5</v>
      </c>
      <c r="M36" s="1307">
        <f>(C36+D36+E36+F36+G36)*L36</f>
        <v>2251.5</v>
      </c>
      <c r="N36" s="956">
        <f>J36*L36</f>
        <v>0</v>
      </c>
      <c r="O36" s="956">
        <f>K36*L36</f>
        <v>0</v>
      </c>
      <c r="P36" s="1276">
        <f>I36*L36</f>
        <v>266346.26549999998</v>
      </c>
      <c r="Q36" s="13">
        <f>(I36+J36+K36)*L36</f>
        <v>266346.26549999998</v>
      </c>
      <c r="R36" s="104" t="s">
        <v>200</v>
      </c>
      <c r="S36" s="62">
        <f>IF($R36="RP",L36,"")</f>
        <v>28.5</v>
      </c>
      <c r="T36" s="62">
        <f>IF($R36="RP",M36,"")</f>
        <v>2251.5</v>
      </c>
      <c r="U36" s="62">
        <f>IF($R36="RP",SUM(N36:O36),"")</f>
        <v>0</v>
      </c>
      <c r="V36" s="62" t="str">
        <f>IF($R36="RK",L36,"")</f>
        <v/>
      </c>
      <c r="W36" s="62" t="str">
        <f>IF($R36="RK",M36,"")</f>
        <v/>
      </c>
      <c r="X36" s="80" t="str">
        <f>IF($R36="Rk",SUM(N36:O36),"")</f>
        <v/>
      </c>
      <c r="Y36" s="1"/>
      <c r="Z36" s="1"/>
      <c r="AA36" s="1"/>
      <c r="AB36" s="1"/>
      <c r="AC36" s="1"/>
      <c r="AD36" s="1"/>
      <c r="IP36" s="1"/>
      <c r="IQ36" s="1"/>
      <c r="IR36" s="1"/>
      <c r="IS36" s="1"/>
    </row>
    <row r="37" spans="1:253" s="2" customFormat="1" ht="24.65" customHeight="1" x14ac:dyDescent="0.25">
      <c r="A37" s="1331" t="s">
        <v>757</v>
      </c>
      <c r="B37" s="1332"/>
      <c r="C37" s="900"/>
      <c r="D37" s="822"/>
      <c r="E37" s="823"/>
      <c r="F37" s="823"/>
      <c r="G37" s="823"/>
      <c r="H37" s="823"/>
      <c r="I37" s="824"/>
      <c r="J37" s="825"/>
      <c r="K37" s="826"/>
      <c r="L37" s="917"/>
      <c r="M37" s="918"/>
      <c r="N37" s="919"/>
      <c r="O37" s="919"/>
      <c r="P37" s="920"/>
      <c r="Q37" s="13"/>
      <c r="R37" s="76"/>
      <c r="S37" s="62"/>
      <c r="T37" s="62"/>
      <c r="U37" s="21"/>
      <c r="V37" s="68"/>
      <c r="W37" s="62"/>
      <c r="X37" s="80"/>
      <c r="Y37" s="1"/>
      <c r="Z37" s="1"/>
      <c r="AA37" s="1"/>
      <c r="AB37" s="1"/>
      <c r="AC37" s="1"/>
      <c r="AD37" s="1"/>
      <c r="IP37" s="1"/>
      <c r="IQ37" s="1"/>
      <c r="IR37" s="1"/>
      <c r="IS37" s="1"/>
    </row>
    <row r="38" spans="1:253" s="2" customFormat="1" ht="12.65" customHeight="1" thickBot="1" x14ac:dyDescent="0.3">
      <c r="A38" s="880"/>
      <c r="B38" s="921" t="s">
        <v>0</v>
      </c>
      <c r="C38" s="922">
        <v>0</v>
      </c>
      <c r="D38" s="803">
        <v>4</v>
      </c>
      <c r="E38" s="803">
        <v>40</v>
      </c>
      <c r="F38" s="803">
        <v>4</v>
      </c>
      <c r="G38" s="803">
        <v>0</v>
      </c>
      <c r="H38" s="803">
        <f>SUM(C38:G38)</f>
        <v>48</v>
      </c>
      <c r="I38" s="804">
        <f>((C38*$C$5)+(D38*$D$5)+(E38*$E$5)+(F38*$F$5)+(G38*$G$5))</f>
        <v>5838.1680000000006</v>
      </c>
      <c r="J38" s="805">
        <v>0</v>
      </c>
      <c r="K38" s="923">
        <v>0</v>
      </c>
      <c r="L38" s="915">
        <f>$M$10*0.6</f>
        <v>34.199999999999996</v>
      </c>
      <c r="M38" s="916">
        <f>(C38+D38+E38+F38+G38)*L38</f>
        <v>1641.6</v>
      </c>
      <c r="N38" s="809">
        <f>J38*L38</f>
        <v>0</v>
      </c>
      <c r="O38" s="809">
        <f>K38*L38</f>
        <v>0</v>
      </c>
      <c r="P38" s="810">
        <f>I38*L38</f>
        <v>199665.3456</v>
      </c>
      <c r="Q38" s="13">
        <f>(I38+J38+K38)*L38</f>
        <v>199665.3456</v>
      </c>
      <c r="R38" s="104" t="s">
        <v>200</v>
      </c>
      <c r="S38" s="62">
        <f>IF($R38="RP",L38,"")</f>
        <v>34.199999999999996</v>
      </c>
      <c r="T38" s="62">
        <f>IF($R38="RP",M38,"")</f>
        <v>1641.6</v>
      </c>
      <c r="U38" s="62">
        <f>IF($R38="RP",SUM(N38:O38),"")</f>
        <v>0</v>
      </c>
      <c r="V38" s="62" t="str">
        <f>IF($R38="RK",L38,"")</f>
        <v/>
      </c>
      <c r="W38" s="62" t="str">
        <f>IF($R38="RK",M38,"")</f>
        <v/>
      </c>
      <c r="X38" s="80" t="str">
        <f>IF($R38="Rk",SUM(N38:O38),"")</f>
        <v/>
      </c>
      <c r="Y38" s="1"/>
      <c r="Z38" s="1"/>
      <c r="IP38" s="1"/>
      <c r="IQ38" s="1"/>
      <c r="IR38" s="1"/>
      <c r="IS38" s="1"/>
    </row>
    <row r="39" spans="1:253" s="2" customFormat="1" ht="12.65" customHeight="1" x14ac:dyDescent="0.25">
      <c r="A39" s="924" t="s">
        <v>758</v>
      </c>
      <c r="B39" s="902"/>
      <c r="C39" s="903"/>
      <c r="D39" s="822"/>
      <c r="E39" s="823"/>
      <c r="F39" s="823"/>
      <c r="G39" s="823"/>
      <c r="H39" s="823"/>
      <c r="I39" s="824"/>
      <c r="J39" s="825"/>
      <c r="K39" s="826"/>
      <c r="L39" s="827"/>
      <c r="M39" s="925"/>
      <c r="N39" s="829"/>
      <c r="O39" s="829"/>
      <c r="P39" s="830"/>
      <c r="Q39" s="30"/>
      <c r="R39" s="125"/>
      <c r="S39" s="96"/>
      <c r="T39" s="96"/>
      <c r="U39" s="97"/>
      <c r="V39" s="98"/>
      <c r="W39" s="96"/>
      <c r="X39" s="99"/>
      <c r="Y39" s="1"/>
      <c r="Z39" s="1"/>
      <c r="IP39" s="1"/>
      <c r="IQ39" s="1"/>
      <c r="IR39" s="1"/>
      <c r="IS39" s="1"/>
    </row>
    <row r="40" spans="1:253" s="2" customFormat="1" ht="12.65" customHeight="1" x14ac:dyDescent="0.25">
      <c r="A40" s="926"/>
      <c r="B40" s="927" t="s">
        <v>135</v>
      </c>
      <c r="C40" s="928">
        <v>0</v>
      </c>
      <c r="D40" s="929">
        <v>8</v>
      </c>
      <c r="E40" s="929">
        <v>140</v>
      </c>
      <c r="F40" s="929">
        <v>12</v>
      </c>
      <c r="G40" s="929">
        <v>0</v>
      </c>
      <c r="H40" s="929">
        <f>SUM(C40:G40)</f>
        <v>160</v>
      </c>
      <c r="I40" s="930">
        <f>((C40*$C$5)+(D40*$D$5)+(E40*$E$5)+(F40*$F$5)+(G40*$G$5))</f>
        <v>19362.924000000003</v>
      </c>
      <c r="J40" s="931">
        <v>0</v>
      </c>
      <c r="K40" s="932">
        <v>0</v>
      </c>
      <c r="L40" s="933">
        <f>$M$10*50%</f>
        <v>28.5</v>
      </c>
      <c r="M40" s="934">
        <f>(C40+D40+E40+F40+G40)*L40</f>
        <v>4560</v>
      </c>
      <c r="N40" s="809">
        <f>J40*L40</f>
        <v>0</v>
      </c>
      <c r="O40" s="809">
        <f>K40*L40</f>
        <v>0</v>
      </c>
      <c r="P40" s="839">
        <f>I40*L40</f>
        <v>551843.33400000003</v>
      </c>
      <c r="Q40" s="16">
        <f>(I40+J40+K40)*L40</f>
        <v>551843.33400000003</v>
      </c>
      <c r="R40" s="76" t="s">
        <v>200</v>
      </c>
      <c r="S40" s="62">
        <f>IF($R40="RP",L40,"")</f>
        <v>28.5</v>
      </c>
      <c r="T40" s="62">
        <f>IF($R40="RP",M40,"")</f>
        <v>4560</v>
      </c>
      <c r="U40" s="62">
        <f>IF($R40="RP",SUM(N40:O40),"")</f>
        <v>0</v>
      </c>
      <c r="V40" s="62" t="str">
        <f>IF($R40="RK",L40,"")</f>
        <v/>
      </c>
      <c r="W40" s="62" t="str">
        <f>IF($R40="RK",M40,"")</f>
        <v/>
      </c>
      <c r="X40" s="63" t="str">
        <f>IF($R40="Rk",SUM(N40:O40),"")</f>
        <v/>
      </c>
      <c r="Y40" s="1"/>
      <c r="Z40" s="1"/>
      <c r="IP40" s="1"/>
      <c r="IQ40" s="1"/>
      <c r="IR40" s="1"/>
      <c r="IS40" s="1"/>
    </row>
    <row r="41" spans="1:253" s="2" customFormat="1" ht="12.65" customHeight="1" x14ac:dyDescent="0.25">
      <c r="A41" s="935"/>
      <c r="B41" s="936" t="s">
        <v>136</v>
      </c>
      <c r="C41" s="937">
        <v>0</v>
      </c>
      <c r="D41" s="803">
        <v>1</v>
      </c>
      <c r="E41" s="803">
        <v>8</v>
      </c>
      <c r="F41" s="803">
        <v>1</v>
      </c>
      <c r="G41" s="803">
        <v>0</v>
      </c>
      <c r="H41" s="803">
        <f>SUM(C41:G41)</f>
        <v>10</v>
      </c>
      <c r="I41" s="804">
        <f>((C41*$C$5)+(D41*$D$5)+(E41*$E$5)+(F41*$F$5)+(G41*$G$5))</f>
        <v>1211.6580000000001</v>
      </c>
      <c r="J41" s="805">
        <v>0</v>
      </c>
      <c r="K41" s="923">
        <v>0</v>
      </c>
      <c r="L41" s="807">
        <f>0.1*$M$10</f>
        <v>5.7</v>
      </c>
      <c r="M41" s="916">
        <f>(C41+D41+E41+F41+G41)*L41</f>
        <v>57</v>
      </c>
      <c r="N41" s="938">
        <f>J41*L41</f>
        <v>0</v>
      </c>
      <c r="O41" s="939">
        <f>K41*L41</f>
        <v>0</v>
      </c>
      <c r="P41" s="810">
        <f>I41*L41</f>
        <v>6906.450600000001</v>
      </c>
      <c r="Q41" s="13">
        <f>(I41+J41+K41)*L41</f>
        <v>6906.450600000001</v>
      </c>
      <c r="R41" s="76" t="s">
        <v>200</v>
      </c>
      <c r="S41" s="62">
        <f>IF($R41="RP",L41,"")</f>
        <v>5.7</v>
      </c>
      <c r="T41" s="62">
        <f>IF($R41="RP",M41,"")</f>
        <v>57</v>
      </c>
      <c r="U41" s="62">
        <f>IF($R41="RP",SUM(N41:O41),"")</f>
        <v>0</v>
      </c>
      <c r="V41" s="62" t="str">
        <f>IF($R41="RK",L41,"")</f>
        <v/>
      </c>
      <c r="W41" s="62" t="str">
        <f>IF($R41="RK",M41,"")</f>
        <v/>
      </c>
      <c r="X41" s="63" t="str">
        <f>IF($R41="Rk",SUM(N41:O41),"")</f>
        <v/>
      </c>
      <c r="Y41" s="1"/>
      <c r="Z41" s="1"/>
      <c r="IP41" s="1"/>
      <c r="IQ41" s="1"/>
      <c r="IR41" s="1"/>
      <c r="IS41" s="1"/>
    </row>
    <row r="42" spans="1:253" s="2" customFormat="1" ht="12.65" customHeight="1" x14ac:dyDescent="0.25">
      <c r="A42" s="940" t="s">
        <v>759</v>
      </c>
      <c r="B42" s="941"/>
      <c r="C42" s="942"/>
      <c r="D42" s="822"/>
      <c r="E42" s="823"/>
      <c r="F42" s="823"/>
      <c r="G42" s="823"/>
      <c r="H42" s="823"/>
      <c r="I42" s="824"/>
      <c r="J42" s="825"/>
      <c r="K42" s="826"/>
      <c r="L42" s="827"/>
      <c r="M42" s="925"/>
      <c r="N42" s="829"/>
      <c r="O42" s="829"/>
      <c r="P42" s="830"/>
      <c r="Q42" s="32"/>
      <c r="R42" s="77"/>
      <c r="S42" s="64"/>
      <c r="T42" s="64"/>
      <c r="U42" s="18"/>
      <c r="V42" s="71"/>
      <c r="W42" s="64"/>
      <c r="X42" s="17"/>
      <c r="Y42" s="1"/>
      <c r="Z42" s="1"/>
      <c r="IP42" s="1"/>
      <c r="IQ42" s="1"/>
      <c r="IR42" s="1"/>
      <c r="IS42" s="1"/>
    </row>
    <row r="43" spans="1:253" s="2" customFormat="1" ht="12.65" customHeight="1" x14ac:dyDescent="0.25">
      <c r="A43" s="926"/>
      <c r="B43" s="927" t="s">
        <v>138</v>
      </c>
      <c r="C43" s="937">
        <v>0</v>
      </c>
      <c r="D43" s="929">
        <v>8</v>
      </c>
      <c r="E43" s="929">
        <v>120</v>
      </c>
      <c r="F43" s="929">
        <v>12</v>
      </c>
      <c r="G43" s="929">
        <v>0</v>
      </c>
      <c r="H43" s="929">
        <f>SUM(C43:G43)</f>
        <v>140</v>
      </c>
      <c r="I43" s="930">
        <f>((C43*$C$5)+(D43*$D$5)+(E43*$E$5)+(F43*$F$5)+(G43*$G$5))</f>
        <v>16884.084000000003</v>
      </c>
      <c r="J43" s="931">
        <v>0</v>
      </c>
      <c r="K43" s="932">
        <v>0</v>
      </c>
      <c r="L43" s="933">
        <f>$M$10</f>
        <v>57</v>
      </c>
      <c r="M43" s="934">
        <f>(C43+D43+E43+F43+G43)*L43</f>
        <v>7980</v>
      </c>
      <c r="N43" s="809">
        <f>J43*L43</f>
        <v>0</v>
      </c>
      <c r="O43" s="809">
        <f>K43*L43</f>
        <v>0</v>
      </c>
      <c r="P43" s="839">
        <f t="shared" ref="P43:P44" si="3">I43*L43</f>
        <v>962392.78800000018</v>
      </c>
      <c r="Q43" s="13">
        <f>(I43+J43+K43)*L43</f>
        <v>962392.78800000018</v>
      </c>
      <c r="R43" s="76" t="s">
        <v>200</v>
      </c>
      <c r="S43" s="62">
        <f>IF($R43="RP",L43,"")</f>
        <v>57</v>
      </c>
      <c r="T43" s="62">
        <f>IF($R43="RP",M43,"")</f>
        <v>7980</v>
      </c>
      <c r="U43" s="62">
        <f>IF($R43="RP",SUM(N43:O43),"")</f>
        <v>0</v>
      </c>
      <c r="V43" s="62" t="str">
        <f>IF($R43="RK",L43,"")</f>
        <v/>
      </c>
      <c r="W43" s="62" t="str">
        <f>IF($R43="RK",M43,"")</f>
        <v/>
      </c>
      <c r="X43" s="63" t="str">
        <f>IF($R43="Rk",SUM(N43:O43),"")</f>
        <v/>
      </c>
      <c r="Y43" s="1"/>
      <c r="Z43" s="1"/>
      <c r="IP43" s="1"/>
      <c r="IQ43" s="1"/>
      <c r="IR43" s="1"/>
      <c r="IS43" s="1"/>
    </row>
    <row r="44" spans="1:253" s="2" customFormat="1" ht="12.65" customHeight="1" x14ac:dyDescent="0.25">
      <c r="A44" s="935"/>
      <c r="B44" s="936" t="s">
        <v>139</v>
      </c>
      <c r="C44" s="937">
        <v>0</v>
      </c>
      <c r="D44" s="803">
        <v>1</v>
      </c>
      <c r="E44" s="803">
        <v>8</v>
      </c>
      <c r="F44" s="803">
        <v>1</v>
      </c>
      <c r="G44" s="803">
        <v>0</v>
      </c>
      <c r="H44" s="803">
        <f>SUM(C44:G44)</f>
        <v>10</v>
      </c>
      <c r="I44" s="804">
        <f>((C44*$C$5)+(D44*$D$5)+(E44*$E$5)+(F44*$F$5)+(G44*$G$5))</f>
        <v>1211.6580000000001</v>
      </c>
      <c r="J44" s="805">
        <v>0</v>
      </c>
      <c r="K44" s="923">
        <v>0</v>
      </c>
      <c r="L44" s="943">
        <f>0.11*$M$10</f>
        <v>6.2700000000000005</v>
      </c>
      <c r="M44" s="916">
        <f>(C44+D44+E44+F44+G44)*L44</f>
        <v>62.7</v>
      </c>
      <c r="N44" s="938">
        <f>J44*L44</f>
        <v>0</v>
      </c>
      <c r="O44" s="939">
        <f>K44*L44</f>
        <v>0</v>
      </c>
      <c r="P44" s="1309">
        <f t="shared" si="3"/>
        <v>7597.0956600000018</v>
      </c>
      <c r="Q44" s="13">
        <f>(I44+J44+K44)*L44</f>
        <v>7597.0956600000018</v>
      </c>
      <c r="R44" s="76" t="s">
        <v>200</v>
      </c>
      <c r="S44" s="62">
        <f>IF($R44="RP",L44,"")</f>
        <v>6.2700000000000005</v>
      </c>
      <c r="T44" s="62">
        <f>IF($R44="RP",M44,"")</f>
        <v>62.7</v>
      </c>
      <c r="U44" s="62">
        <f>IF($R44="RP",SUM(N44:O44),"")</f>
        <v>0</v>
      </c>
      <c r="V44" s="62" t="str">
        <f>IF($R44="RK",L44,"")</f>
        <v/>
      </c>
      <c r="W44" s="62" t="str">
        <f>IF($R44="RK",M44,"")</f>
        <v/>
      </c>
      <c r="X44" s="63" t="str">
        <f>IF($R44="Rk",SUM(N44:O44),"")</f>
        <v/>
      </c>
      <c r="Y44" s="1"/>
      <c r="Z44" s="1"/>
      <c r="IP44" s="1"/>
      <c r="IQ44" s="1"/>
      <c r="IR44" s="1"/>
      <c r="IS44" s="1"/>
    </row>
    <row r="45" spans="1:253" s="2" customFormat="1" ht="12.65" customHeight="1" x14ac:dyDescent="0.25">
      <c r="A45" s="880" t="s">
        <v>760</v>
      </c>
      <c r="B45" s="944"/>
      <c r="C45" s="900"/>
      <c r="D45" s="822"/>
      <c r="E45" s="823"/>
      <c r="F45" s="823"/>
      <c r="G45" s="823"/>
      <c r="H45" s="823"/>
      <c r="I45" s="824"/>
      <c r="J45" s="825"/>
      <c r="K45" s="826"/>
      <c r="L45" s="827"/>
      <c r="M45" s="918"/>
      <c r="N45" s="919"/>
      <c r="O45" s="919"/>
      <c r="P45" s="945"/>
      <c r="Q45" s="13"/>
      <c r="R45" s="77"/>
      <c r="S45" s="64"/>
      <c r="T45" s="64"/>
      <c r="U45" s="18"/>
      <c r="V45" s="71"/>
      <c r="W45" s="64"/>
      <c r="X45" s="17"/>
      <c r="Y45" s="1"/>
      <c r="Z45" s="1"/>
      <c r="IP45" s="1"/>
      <c r="IQ45" s="1"/>
      <c r="IR45" s="1"/>
      <c r="IS45" s="1"/>
    </row>
    <row r="46" spans="1:253" s="2" customFormat="1" ht="12.65" customHeight="1" x14ac:dyDescent="0.25">
      <c r="A46" s="946"/>
      <c r="B46" s="863" t="s">
        <v>145</v>
      </c>
      <c r="C46" s="802"/>
      <c r="D46" s="803"/>
      <c r="E46" s="803"/>
      <c r="F46" s="803"/>
      <c r="G46" s="947"/>
      <c r="H46" s="948"/>
      <c r="I46" s="804"/>
      <c r="J46" s="805"/>
      <c r="K46" s="923"/>
      <c r="L46" s="949"/>
      <c r="M46" s="916"/>
      <c r="N46" s="809"/>
      <c r="O46" s="809"/>
      <c r="P46" s="950"/>
      <c r="Q46" s="15"/>
      <c r="R46" s="124"/>
      <c r="S46" s="46"/>
      <c r="T46" s="46"/>
      <c r="V46" s="67"/>
      <c r="W46" s="46"/>
      <c r="X46" s="1"/>
      <c r="Y46" s="1"/>
      <c r="Z46" s="1"/>
      <c r="IP46" s="1"/>
      <c r="IQ46" s="1"/>
      <c r="IR46" s="1"/>
      <c r="IS46" s="1"/>
    </row>
    <row r="47" spans="1:253" s="2" customFormat="1" ht="12.65" customHeight="1" x14ac:dyDescent="0.25">
      <c r="A47" s="862"/>
      <c r="B47" s="863" t="s">
        <v>146</v>
      </c>
      <c r="C47" s="802">
        <v>0</v>
      </c>
      <c r="D47" s="803">
        <v>0</v>
      </c>
      <c r="E47" s="803">
        <v>0</v>
      </c>
      <c r="F47" s="803">
        <v>0</v>
      </c>
      <c r="G47" s="947">
        <v>0</v>
      </c>
      <c r="H47" s="948">
        <f>SUM(C47:G47)</f>
        <v>0</v>
      </c>
      <c r="I47" s="804">
        <f>((C47*$C$5)+(D47*$D$5)+(E47*$E$5)+(F47*$F$5)+(G47*$G$5))</f>
        <v>0</v>
      </c>
      <c r="J47" s="805">
        <v>0</v>
      </c>
      <c r="K47" s="923">
        <v>0</v>
      </c>
      <c r="L47" s="807">
        <v>0</v>
      </c>
      <c r="M47" s="916">
        <f>(C47+D47+E47+F47+G47)*L47</f>
        <v>0</v>
      </c>
      <c r="N47" s="809">
        <f>J47*L47</f>
        <v>0</v>
      </c>
      <c r="O47" s="809">
        <f>K47*L47</f>
        <v>0</v>
      </c>
      <c r="P47" s="950">
        <f>I47*L47</f>
        <v>0</v>
      </c>
      <c r="Q47" s="15">
        <f>(I47+J47+K47)*L47</f>
        <v>0</v>
      </c>
      <c r="R47" s="104" t="s">
        <v>200</v>
      </c>
      <c r="S47" s="46">
        <f>IF($R47="RP",L47,"")</f>
        <v>0</v>
      </c>
      <c r="T47" s="46">
        <f>IF($R47="RP",M47,"")</f>
        <v>0</v>
      </c>
      <c r="U47" s="46">
        <f>IF($R47="RP",SUM(N47:O47),"")</f>
        <v>0</v>
      </c>
      <c r="V47" s="46" t="str">
        <f>IF($R47="RK",L47,"")</f>
        <v/>
      </c>
      <c r="W47" s="46" t="str">
        <f>IF($R47="RK",M47,"")</f>
        <v/>
      </c>
      <c r="X47" s="1" t="str">
        <f>IF($R47="Rk",SUM(N47:O47),"")</f>
        <v/>
      </c>
      <c r="Y47" s="1"/>
      <c r="Z47" s="1"/>
      <c r="AA47" s="1"/>
      <c r="AB47" s="1"/>
      <c r="AC47" s="1"/>
      <c r="AD47" s="1"/>
      <c r="IP47" s="1"/>
      <c r="IQ47" s="1"/>
      <c r="IR47" s="1"/>
      <c r="IS47" s="1"/>
    </row>
    <row r="48" spans="1:253" s="2" customFormat="1" ht="12.65" customHeight="1" x14ac:dyDescent="0.25">
      <c r="A48" s="789" t="s">
        <v>208</v>
      </c>
      <c r="B48" s="951"/>
      <c r="C48" s="811"/>
      <c r="D48" s="952"/>
      <c r="E48" s="952"/>
      <c r="F48" s="952"/>
      <c r="G48" s="952"/>
      <c r="H48" s="952"/>
      <c r="I48" s="867"/>
      <c r="J48" s="953"/>
      <c r="K48" s="953"/>
      <c r="L48" s="954"/>
      <c r="M48" s="955"/>
      <c r="N48" s="956"/>
      <c r="O48" s="956"/>
      <c r="P48" s="956"/>
      <c r="Q48" s="16"/>
      <c r="R48" s="77"/>
      <c r="S48" s="122"/>
      <c r="T48" s="88"/>
      <c r="U48" s="89"/>
      <c r="V48" s="88"/>
      <c r="W48" s="88"/>
      <c r="X48" s="89"/>
      <c r="Y48" s="1"/>
      <c r="Z48" s="1"/>
      <c r="AA48" s="1"/>
      <c r="AB48" s="1"/>
      <c r="AC48" s="1"/>
      <c r="AD48" s="1"/>
      <c r="IP48" s="1"/>
      <c r="IQ48" s="1"/>
      <c r="IR48" s="1"/>
      <c r="IS48" s="1"/>
    </row>
    <row r="49" spans="1:253" s="2" customFormat="1" ht="12.65" customHeight="1" x14ac:dyDescent="0.25">
      <c r="A49" s="789" t="s">
        <v>209</v>
      </c>
      <c r="B49" s="957"/>
      <c r="C49" s="811"/>
      <c r="D49" s="952"/>
      <c r="E49" s="952"/>
      <c r="F49" s="952"/>
      <c r="G49" s="952"/>
      <c r="H49" s="952"/>
      <c r="I49" s="867"/>
      <c r="J49" s="953"/>
      <c r="K49" s="953"/>
      <c r="L49" s="954"/>
      <c r="M49" s="955"/>
      <c r="N49" s="956"/>
      <c r="O49" s="956"/>
      <c r="P49" s="956"/>
      <c r="Q49" s="16"/>
      <c r="R49" s="77"/>
      <c r="S49" s="122"/>
      <c r="T49" s="88"/>
      <c r="U49" s="89"/>
      <c r="V49" s="88"/>
      <c r="W49" s="88"/>
      <c r="X49" s="89"/>
      <c r="Y49" s="1"/>
      <c r="Z49" s="1"/>
      <c r="AA49" s="1"/>
      <c r="AB49" s="1"/>
      <c r="AC49" s="1"/>
      <c r="AD49" s="1"/>
      <c r="IP49" s="1"/>
      <c r="IQ49" s="1"/>
      <c r="IR49" s="1"/>
      <c r="IS49" s="1"/>
    </row>
    <row r="50" spans="1:253" s="2" customFormat="1" ht="12.65" customHeight="1" x14ac:dyDescent="0.25">
      <c r="A50" s="789" t="s">
        <v>210</v>
      </c>
      <c r="B50" s="957"/>
      <c r="C50" s="811"/>
      <c r="D50" s="812"/>
      <c r="E50" s="812"/>
      <c r="F50" s="812"/>
      <c r="G50" s="812"/>
      <c r="H50" s="812"/>
      <c r="I50" s="813"/>
      <c r="J50" s="814"/>
      <c r="K50" s="814"/>
      <c r="L50" s="958"/>
      <c r="M50" s="959"/>
      <c r="N50" s="817"/>
      <c r="O50" s="817"/>
      <c r="P50" s="817"/>
      <c r="Q50" s="16"/>
      <c r="R50" s="77"/>
      <c r="S50" s="122"/>
      <c r="T50" s="88"/>
      <c r="U50" s="89"/>
      <c r="V50" s="88"/>
      <c r="W50" s="88"/>
      <c r="X50" s="89"/>
      <c r="Y50" s="1"/>
      <c r="Z50" s="1"/>
      <c r="AA50" s="1"/>
      <c r="AB50" s="1"/>
      <c r="AC50" s="1"/>
      <c r="AD50" s="1"/>
      <c r="IP50" s="1"/>
      <c r="IQ50" s="1"/>
      <c r="IR50" s="1"/>
      <c r="IS50" s="1"/>
    </row>
    <row r="51" spans="1:253" s="2" customFormat="1" ht="12.65" customHeight="1" x14ac:dyDescent="0.25">
      <c r="A51" s="935" t="s">
        <v>761</v>
      </c>
      <c r="B51" s="960"/>
      <c r="C51" s="961"/>
      <c r="D51" s="962"/>
      <c r="E51" s="963"/>
      <c r="F51" s="963"/>
      <c r="G51" s="963"/>
      <c r="H51" s="963"/>
      <c r="I51" s="824"/>
      <c r="J51" s="825"/>
      <c r="K51" s="826"/>
      <c r="L51" s="827"/>
      <c r="M51" s="925"/>
      <c r="N51" s="829"/>
      <c r="O51" s="829"/>
      <c r="P51" s="964"/>
      <c r="Q51" s="506"/>
      <c r="R51" s="74"/>
      <c r="S51" s="46"/>
      <c r="T51" s="46"/>
      <c r="U51" s="1"/>
      <c r="V51" s="46"/>
      <c r="W51" s="46"/>
      <c r="X51" s="78"/>
      <c r="Y51" s="1"/>
      <c r="Z51" s="1"/>
      <c r="AA51" s="1"/>
      <c r="AB51" s="1"/>
      <c r="AC51" s="1"/>
      <c r="AD51" s="1"/>
      <c r="IP51" s="1"/>
      <c r="IQ51" s="1"/>
      <c r="IR51" s="1"/>
      <c r="IS51" s="1"/>
    </row>
    <row r="52" spans="1:253" s="2" customFormat="1" ht="12.65" customHeight="1" x14ac:dyDescent="0.25">
      <c r="A52" s="761"/>
      <c r="B52" s="965" t="s">
        <v>181</v>
      </c>
      <c r="C52" s="966"/>
      <c r="D52" s="967"/>
      <c r="E52" s="968"/>
      <c r="F52" s="967"/>
      <c r="G52" s="969"/>
      <c r="H52" s="970"/>
      <c r="I52" s="804"/>
      <c r="J52" s="805"/>
      <c r="K52" s="923"/>
      <c r="L52" s="971"/>
      <c r="M52" s="972"/>
      <c r="N52" s="973"/>
      <c r="O52" s="974"/>
      <c r="P52" s="975"/>
      <c r="Q52" s="507"/>
      <c r="R52" s="75"/>
      <c r="S52" s="60"/>
      <c r="T52" s="60"/>
      <c r="U52" s="24"/>
      <c r="V52" s="60"/>
      <c r="W52" s="60"/>
      <c r="X52" s="79"/>
      <c r="Y52" s="1"/>
      <c r="Z52" s="1"/>
      <c r="AA52" s="1"/>
      <c r="AB52" s="1"/>
      <c r="AC52" s="1"/>
      <c r="AD52" s="1"/>
      <c r="IP52" s="1"/>
      <c r="IQ52" s="1"/>
      <c r="IR52" s="1"/>
      <c r="IS52" s="1"/>
    </row>
    <row r="53" spans="1:253" s="2" customFormat="1" ht="12.65" customHeight="1" x14ac:dyDescent="0.25">
      <c r="A53" s="761"/>
      <c r="B53" s="976" t="s">
        <v>182</v>
      </c>
      <c r="C53" s="977"/>
      <c r="D53" s="967"/>
      <c r="E53" s="968"/>
      <c r="F53" s="967"/>
      <c r="G53" s="968"/>
      <c r="H53" s="968"/>
      <c r="I53" s="804"/>
      <c r="J53" s="805"/>
      <c r="K53" s="923"/>
      <c r="L53" s="971"/>
      <c r="M53" s="972"/>
      <c r="N53" s="973"/>
      <c r="O53" s="974"/>
      <c r="P53" s="975"/>
      <c r="Q53" s="507"/>
      <c r="R53" s="74"/>
      <c r="S53" s="46"/>
      <c r="T53" s="46"/>
      <c r="U53" s="1"/>
      <c r="V53" s="46"/>
      <c r="W53" s="46"/>
      <c r="X53" s="78"/>
      <c r="Y53" s="1"/>
      <c r="Z53" s="1"/>
      <c r="AA53" s="1"/>
      <c r="AB53" s="1"/>
      <c r="AC53" s="1"/>
      <c r="AD53" s="1"/>
      <c r="IP53" s="1"/>
      <c r="IQ53" s="1"/>
      <c r="IR53" s="1"/>
      <c r="IS53" s="1"/>
    </row>
    <row r="54" spans="1:253" s="2" customFormat="1" ht="12.65" customHeight="1" x14ac:dyDescent="0.25">
      <c r="A54" s="978"/>
      <c r="B54" s="921" t="s">
        <v>204</v>
      </c>
      <c r="C54" s="979">
        <v>0</v>
      </c>
      <c r="D54" s="894">
        <v>1</v>
      </c>
      <c r="E54" s="980">
        <v>3</v>
      </c>
      <c r="F54" s="894">
        <v>1</v>
      </c>
      <c r="G54" s="981">
        <v>0</v>
      </c>
      <c r="H54" s="981">
        <f>SUM(C54:G54)</f>
        <v>5</v>
      </c>
      <c r="I54" s="804">
        <f>((C54*$C$5)+(D54*$D$5)+(E54*$E$5)+(F54*$F$5)+(G54*$G$5))</f>
        <v>591.94800000000009</v>
      </c>
      <c r="J54" s="805">
        <v>0</v>
      </c>
      <c r="K54" s="805">
        <v>8</v>
      </c>
      <c r="L54" s="982">
        <v>1</v>
      </c>
      <c r="M54" s="972">
        <f>(C54+D54+E54+F54+G54)*L54</f>
        <v>5</v>
      </c>
      <c r="N54" s="973">
        <f>J54*L54</f>
        <v>0</v>
      </c>
      <c r="O54" s="974">
        <f>K54*L54</f>
        <v>8</v>
      </c>
      <c r="P54" s="983">
        <f>I54*L54</f>
        <v>591.94800000000009</v>
      </c>
      <c r="Q54" s="34">
        <f>(I54+J54+K54)*L54</f>
        <v>599.94800000000009</v>
      </c>
      <c r="R54" s="76" t="s">
        <v>200</v>
      </c>
      <c r="S54" s="65">
        <f>IF($R54="RP",L54,"")</f>
        <v>1</v>
      </c>
      <c r="T54" s="65">
        <f>IF($R54="RP",M54,"")</f>
        <v>5</v>
      </c>
      <c r="U54" s="61">
        <f>IF($R54="RP",SUM(N54:O54),"")</f>
        <v>8</v>
      </c>
      <c r="V54" s="65" t="str">
        <f>IF($R54="RK",L54,"")</f>
        <v/>
      </c>
      <c r="W54" s="65" t="str">
        <f>IF($R54="RK",M54,"")</f>
        <v/>
      </c>
      <c r="X54" s="82" t="str">
        <f>IF($R54="Rk",SUM(N54:O54),"")</f>
        <v/>
      </c>
      <c r="Y54" s="1"/>
      <c r="Z54" s="1"/>
      <c r="AA54" s="1"/>
      <c r="AB54" s="1"/>
      <c r="AC54" s="1"/>
      <c r="AD54" s="1"/>
      <c r="AE54" s="1"/>
      <c r="IP54" s="1"/>
      <c r="IQ54" s="1"/>
      <c r="IR54" s="1"/>
      <c r="IS54" s="1"/>
    </row>
    <row r="55" spans="1:253" ht="23.15" customHeight="1" x14ac:dyDescent="0.25">
      <c r="A55" s="1333" t="s">
        <v>762</v>
      </c>
      <c r="B55" s="1334"/>
      <c r="C55" s="984"/>
      <c r="D55" s="822"/>
      <c r="E55" s="823"/>
      <c r="F55" s="823"/>
      <c r="G55" s="823"/>
      <c r="H55" s="823"/>
      <c r="I55" s="824"/>
      <c r="J55" s="825"/>
      <c r="K55" s="826"/>
      <c r="L55" s="827"/>
      <c r="M55" s="985"/>
      <c r="N55" s="919"/>
      <c r="O55" s="919"/>
      <c r="P55" s="920"/>
      <c r="Q55" s="508"/>
      <c r="R55" s="76"/>
      <c r="S55" s="62"/>
      <c r="T55" s="62"/>
      <c r="U55" s="63"/>
      <c r="V55" s="62"/>
      <c r="W55" s="62"/>
      <c r="X55" s="80"/>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row>
    <row r="56" spans="1:253" ht="12.65" customHeight="1" x14ac:dyDescent="0.25">
      <c r="A56" s="986"/>
      <c r="B56" s="987" t="s">
        <v>91</v>
      </c>
      <c r="C56" s="988">
        <v>0</v>
      </c>
      <c r="D56" s="989">
        <v>2</v>
      </c>
      <c r="E56" s="989">
        <v>10</v>
      </c>
      <c r="F56" s="989">
        <v>4</v>
      </c>
      <c r="G56" s="989">
        <v>0</v>
      </c>
      <c r="H56" s="989">
        <v>30</v>
      </c>
      <c r="I56" s="930">
        <f>((C56*$C$5)+(D56*$D$5)+(E56*$E$5)+(F56*$F$5)+(G56*$G$5))</f>
        <v>1804.6980000000001</v>
      </c>
      <c r="J56" s="931">
        <v>0</v>
      </c>
      <c r="K56" s="932">
        <v>8</v>
      </c>
      <c r="L56" s="933">
        <f>0.2*V10</f>
        <v>6.6666666666666679</v>
      </c>
      <c r="M56" s="990">
        <f>(C56+D56+E56+F56+G56)*L56</f>
        <v>106.66666666666669</v>
      </c>
      <c r="N56" s="991">
        <f>J56*L56</f>
        <v>0</v>
      </c>
      <c r="O56" s="992">
        <f>K56*L56</f>
        <v>53.333333333333343</v>
      </c>
      <c r="P56" s="839">
        <f t="shared" ref="P56:P57" si="4">I56*L56</f>
        <v>12031.320000000003</v>
      </c>
      <c r="Q56" s="34">
        <f>(I56+J56+K56)*L56</f>
        <v>12084.653333333335</v>
      </c>
      <c r="R56" s="76" t="s">
        <v>200</v>
      </c>
      <c r="S56" s="62">
        <f>IF($R56="RP",L56,"")</f>
        <v>6.6666666666666679</v>
      </c>
      <c r="T56" s="62">
        <f>IF($R56="RP",M56,"")</f>
        <v>106.66666666666669</v>
      </c>
      <c r="U56" s="109">
        <f>IF($R56="RP",SUM(N56:O56),"")</f>
        <v>53.333333333333343</v>
      </c>
      <c r="V56" s="62" t="str">
        <f>IF($R56="RK",L56,"")</f>
        <v/>
      </c>
      <c r="W56" s="62" t="str">
        <f>IF($R56="RK",M56,"")</f>
        <v/>
      </c>
      <c r="X56" s="80" t="str">
        <f>IF($R56="Rk",SUM(N56:O56),"")</f>
        <v/>
      </c>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row>
    <row r="57" spans="1:253" ht="12.65" customHeight="1" x14ac:dyDescent="0.25">
      <c r="A57" s="993"/>
      <c r="B57" s="921" t="s">
        <v>21</v>
      </c>
      <c r="C57" s="994">
        <v>0</v>
      </c>
      <c r="D57" s="981">
        <v>1</v>
      </c>
      <c r="E57" s="981">
        <v>5</v>
      </c>
      <c r="F57" s="981">
        <v>2</v>
      </c>
      <c r="G57" s="981">
        <v>0</v>
      </c>
      <c r="H57" s="981">
        <v>15</v>
      </c>
      <c r="I57" s="804">
        <f>((C57*$C$5)+(D57*$D$5)+(E57*$E$5)+(F57*$F$5)+(G57*$G$5))</f>
        <v>902.34900000000005</v>
      </c>
      <c r="J57" s="805">
        <v>0</v>
      </c>
      <c r="K57" s="923">
        <v>8</v>
      </c>
      <c r="L57" s="807">
        <f>L56</f>
        <v>6.6666666666666679</v>
      </c>
      <c r="M57" s="808">
        <f>(C57+D57+E57+F57+G57)*L57</f>
        <v>53.333333333333343</v>
      </c>
      <c r="N57" s="809">
        <f>J57*L57</f>
        <v>0</v>
      </c>
      <c r="O57" s="809">
        <f>K57*L57</f>
        <v>53.333333333333343</v>
      </c>
      <c r="P57" s="995">
        <f t="shared" si="4"/>
        <v>6015.6600000000017</v>
      </c>
      <c r="Q57" s="34">
        <f>(I57+J57+K57)*L57</f>
        <v>6068.9933333333347</v>
      </c>
      <c r="R57" s="77" t="s">
        <v>200</v>
      </c>
      <c r="S57" s="64">
        <f>IF($R57="RP",L57,"")</f>
        <v>6.6666666666666679</v>
      </c>
      <c r="T57" s="64">
        <f>IF($R57="RP",M57,"")</f>
        <v>53.333333333333343</v>
      </c>
      <c r="U57" s="110">
        <f>IF($R57="RP",SUM(N57:O57),"")</f>
        <v>53.333333333333343</v>
      </c>
      <c r="V57" s="64" t="str">
        <f>IF($R57="RK",L57,"")</f>
        <v/>
      </c>
      <c r="W57" s="64" t="str">
        <f>IF($R57="RK",M57,"")</f>
        <v/>
      </c>
      <c r="X57" s="81" t="str">
        <f>IF($R57="Rk",SUM(N57:O57),"")</f>
        <v/>
      </c>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row>
    <row r="58" spans="1:253" ht="12.65" customHeight="1" x14ac:dyDescent="0.25">
      <c r="A58" s="880" t="s">
        <v>763</v>
      </c>
      <c r="B58" s="921"/>
      <c r="C58" s="900"/>
      <c r="D58" s="822"/>
      <c r="E58" s="823"/>
      <c r="F58" s="823"/>
      <c r="G58" s="823"/>
      <c r="H58" s="823"/>
      <c r="I58" s="824"/>
      <c r="J58" s="825"/>
      <c r="K58" s="826"/>
      <c r="L58" s="827"/>
      <c r="M58" s="985"/>
      <c r="N58" s="919"/>
      <c r="O58" s="919"/>
      <c r="P58" s="920"/>
      <c r="Q58" s="34"/>
      <c r="R58" s="74"/>
      <c r="S58" s="46"/>
      <c r="T58" s="46"/>
      <c r="V58" s="46"/>
      <c r="W58" s="46"/>
      <c r="X58" s="78"/>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row>
    <row r="59" spans="1:253" ht="12.65" customHeight="1" x14ac:dyDescent="0.25">
      <c r="A59" s="996"/>
      <c r="B59" s="863" t="s">
        <v>22</v>
      </c>
      <c r="C59" s="997"/>
      <c r="D59" s="981"/>
      <c r="E59" s="981"/>
      <c r="F59" s="981"/>
      <c r="G59" s="998"/>
      <c r="H59" s="981"/>
      <c r="I59" s="999"/>
      <c r="J59" s="1000"/>
      <c r="K59" s="1000"/>
      <c r="L59" s="1001"/>
      <c r="M59" s="1002"/>
      <c r="N59" s="975"/>
      <c r="O59" s="1003"/>
      <c r="P59" s="1004"/>
      <c r="Q59" s="35"/>
      <c r="R59" s="75"/>
      <c r="S59" s="60"/>
      <c r="T59" s="60"/>
      <c r="U59" s="24"/>
      <c r="V59" s="60"/>
      <c r="W59" s="60"/>
      <c r="X59" s="79"/>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row>
    <row r="60" spans="1:253" ht="12.65" customHeight="1" x14ac:dyDescent="0.25">
      <c r="A60" s="978"/>
      <c r="B60" s="881" t="s">
        <v>23</v>
      </c>
      <c r="C60" s="937">
        <v>0</v>
      </c>
      <c r="D60" s="803">
        <v>2</v>
      </c>
      <c r="E60" s="803">
        <v>52</v>
      </c>
      <c r="F60" s="803">
        <v>8</v>
      </c>
      <c r="G60" s="1005">
        <v>0</v>
      </c>
      <c r="H60" s="803">
        <f>SUM(C60:G60)</f>
        <v>62</v>
      </c>
      <c r="I60" s="804">
        <f>((C60*$C$5)+(D60*$D$5)+(E60*$E$5)+(F60*$F$5)+(G60*$G$5))</f>
        <v>7260.33</v>
      </c>
      <c r="J60" s="805">
        <v>0</v>
      </c>
      <c r="K60" s="923">
        <v>8</v>
      </c>
      <c r="L60" s="807">
        <f>0.5*M10</f>
        <v>28.5</v>
      </c>
      <c r="M60" s="916">
        <f>(C60+D60+E60+F60+G60)*L60</f>
        <v>1767</v>
      </c>
      <c r="N60" s="809">
        <f>J60*L60</f>
        <v>0</v>
      </c>
      <c r="O60" s="809">
        <f>K60*L60</f>
        <v>228</v>
      </c>
      <c r="P60" s="1004">
        <f t="shared" ref="P60" si="5">I60*L60</f>
        <v>206919.405</v>
      </c>
      <c r="Q60" s="34">
        <f>(I60+J60+K60)*L60</f>
        <v>207147.405</v>
      </c>
      <c r="R60" s="76" t="s">
        <v>200</v>
      </c>
      <c r="S60" s="62">
        <f>IF($R60="RP",L60,"")</f>
        <v>28.5</v>
      </c>
      <c r="T60" s="62">
        <f>IF($R60="RP",M60,"")</f>
        <v>1767</v>
      </c>
      <c r="U60" s="63">
        <f>IF($R60="RP",SUM(N60:O60),"")</f>
        <v>228</v>
      </c>
      <c r="V60" s="62" t="str">
        <f>IF($R60="RK",L60,"")</f>
        <v/>
      </c>
      <c r="W60" s="62" t="str">
        <f>IF($R60="RK",M60,"")</f>
        <v/>
      </c>
      <c r="X60" s="80" t="str">
        <f>IF($R60="Rk",SUM(N60:O60),"")</f>
        <v/>
      </c>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row>
    <row r="61" spans="1:253" ht="21.65" customHeight="1" x14ac:dyDescent="0.25">
      <c r="A61" s="1333" t="s">
        <v>764</v>
      </c>
      <c r="B61" s="1334"/>
      <c r="C61" s="984"/>
      <c r="D61" s="822"/>
      <c r="E61" s="823"/>
      <c r="F61" s="823"/>
      <c r="G61" s="823"/>
      <c r="H61" s="823"/>
      <c r="I61" s="824"/>
      <c r="J61" s="825"/>
      <c r="K61" s="826"/>
      <c r="L61" s="827"/>
      <c r="M61" s="918"/>
      <c r="N61" s="919"/>
      <c r="O61" s="919"/>
      <c r="P61" s="920"/>
      <c r="Q61" s="508"/>
      <c r="R61" s="76"/>
      <c r="S61" s="62"/>
      <c r="T61" s="62"/>
      <c r="U61" s="63"/>
      <c r="V61" s="62"/>
      <c r="W61" s="62"/>
      <c r="X61" s="80"/>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row>
    <row r="62" spans="1:253" ht="12.65" customHeight="1" x14ac:dyDescent="0.25">
      <c r="A62" s="1006"/>
      <c r="B62" s="1007" t="s">
        <v>24</v>
      </c>
      <c r="C62" s="1008"/>
      <c r="D62" s="981"/>
      <c r="E62" s="981"/>
      <c r="F62" s="981"/>
      <c r="G62" s="981"/>
      <c r="H62" s="981"/>
      <c r="I62" s="999"/>
      <c r="J62" s="1000"/>
      <c r="K62" s="1000"/>
      <c r="L62" s="1009"/>
      <c r="M62" s="1002"/>
      <c r="N62" s="975"/>
      <c r="O62" s="1003"/>
      <c r="P62" s="1004"/>
      <c r="Q62" s="11"/>
      <c r="R62" s="74"/>
      <c r="S62" s="46"/>
      <c r="T62" s="46"/>
      <c r="V62" s="46"/>
      <c r="W62" s="46"/>
      <c r="X62" s="78"/>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row>
    <row r="63" spans="1:253" ht="12.65" customHeight="1" x14ac:dyDescent="0.25">
      <c r="A63" s="1006"/>
      <c r="B63" s="1007" t="s">
        <v>25</v>
      </c>
      <c r="C63" s="1008"/>
      <c r="D63" s="981"/>
      <c r="E63" s="981"/>
      <c r="F63" s="981"/>
      <c r="G63" s="981"/>
      <c r="H63" s="981"/>
      <c r="I63" s="999"/>
      <c r="J63" s="1000"/>
      <c r="K63" s="1000"/>
      <c r="L63" s="1009"/>
      <c r="M63" s="1002"/>
      <c r="N63" s="975"/>
      <c r="O63" s="1003"/>
      <c r="P63" s="1004"/>
      <c r="Q63" s="11"/>
      <c r="R63" s="74"/>
      <c r="S63" s="46"/>
      <c r="T63" s="46"/>
      <c r="V63" s="46"/>
      <c r="W63" s="46"/>
      <c r="X63" s="78"/>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row>
    <row r="64" spans="1:253" ht="12.65" customHeight="1" x14ac:dyDescent="0.25">
      <c r="A64" s="1006"/>
      <c r="B64" s="1007" t="s">
        <v>26</v>
      </c>
      <c r="C64" s="1008"/>
      <c r="D64" s="981"/>
      <c r="E64" s="981"/>
      <c r="F64" s="981"/>
      <c r="G64" s="981"/>
      <c r="H64" s="981"/>
      <c r="I64" s="999"/>
      <c r="J64" s="1000"/>
      <c r="K64" s="1000"/>
      <c r="L64" s="1009"/>
      <c r="M64" s="1002"/>
      <c r="N64" s="975"/>
      <c r="O64" s="1003"/>
      <c r="P64" s="1004"/>
      <c r="Q64" s="11"/>
      <c r="R64" s="74"/>
      <c r="S64" s="46"/>
      <c r="T64" s="46"/>
      <c r="V64" s="46"/>
      <c r="W64" s="46"/>
      <c r="X64" s="78"/>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row>
    <row r="65" spans="1:253" ht="12.65" customHeight="1" x14ac:dyDescent="0.25">
      <c r="A65" s="1006"/>
      <c r="B65" s="1007" t="s">
        <v>27</v>
      </c>
      <c r="C65" s="1008"/>
      <c r="D65" s="981"/>
      <c r="E65" s="981"/>
      <c r="F65" s="981"/>
      <c r="G65" s="981"/>
      <c r="H65" s="981"/>
      <c r="I65" s="999"/>
      <c r="J65" s="1000"/>
      <c r="K65" s="1000"/>
      <c r="L65" s="1009"/>
      <c r="M65" s="1002"/>
      <c r="N65" s="975"/>
      <c r="O65" s="1003"/>
      <c r="P65" s="1004"/>
      <c r="Q65" s="11"/>
      <c r="R65" s="74"/>
      <c r="S65" s="46"/>
      <c r="T65" s="46"/>
      <c r="V65" s="46"/>
      <c r="W65" s="46"/>
      <c r="X65" s="78"/>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row>
    <row r="66" spans="1:253" ht="12.65" customHeight="1" x14ac:dyDescent="0.25">
      <c r="A66" s="1010"/>
      <c r="B66" s="921" t="s">
        <v>28</v>
      </c>
      <c r="C66" s="994">
        <v>0</v>
      </c>
      <c r="D66" s="981">
        <v>1</v>
      </c>
      <c r="E66" s="981">
        <v>6</v>
      </c>
      <c r="F66" s="981">
        <v>4</v>
      </c>
      <c r="G66" s="981">
        <v>0</v>
      </c>
      <c r="H66" s="803">
        <f>SUM(C66:G66)</f>
        <v>11</v>
      </c>
      <c r="I66" s="804">
        <f>((C66*$C$5)+(D66*$D$5)+(E66*$E$5)+(F66*$F$5)+(G66*$G$5))</f>
        <v>1151.325</v>
      </c>
      <c r="J66" s="1000">
        <v>0</v>
      </c>
      <c r="K66" s="1000">
        <v>0</v>
      </c>
      <c r="L66" s="1011">
        <f>$M$10*0.5</f>
        <v>28.5</v>
      </c>
      <c r="M66" s="916">
        <f>(C66+D66+E66+F66+G66)*L66</f>
        <v>313.5</v>
      </c>
      <c r="N66" s="975">
        <f>J66*L66</f>
        <v>0</v>
      </c>
      <c r="O66" s="1003">
        <f>K66*L66</f>
        <v>0</v>
      </c>
      <c r="P66" s="1004">
        <f t="shared" ref="P66" si="6">I66*L66</f>
        <v>32812.762500000004</v>
      </c>
      <c r="Q66" s="34">
        <f>(I66+J66+K66)*L66</f>
        <v>32812.762500000004</v>
      </c>
      <c r="R66" s="74" t="s">
        <v>200</v>
      </c>
      <c r="S66" s="46">
        <f>IF($R66="RP",L66,"")</f>
        <v>28.5</v>
      </c>
      <c r="T66" s="46">
        <f>IF($R66="RP",M66,"")</f>
        <v>313.5</v>
      </c>
      <c r="U66" s="1">
        <f>IF($R66="RP",SUM(N66:O66),"")</f>
        <v>0</v>
      </c>
      <c r="V66" s="46" t="str">
        <f>IF($R66="RK",L66,"")</f>
        <v/>
      </c>
      <c r="W66" s="46" t="str">
        <f>IF($R66="RK",M66,"")</f>
        <v/>
      </c>
      <c r="X66" s="78" t="str">
        <f>IF($R66="Rk",SUM(N66:O66),"")</f>
        <v/>
      </c>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row>
    <row r="67" spans="1:253" ht="24.65" customHeight="1" x14ac:dyDescent="0.25">
      <c r="A67" s="1331" t="s">
        <v>765</v>
      </c>
      <c r="B67" s="1332"/>
      <c r="C67" s="900"/>
      <c r="D67" s="822"/>
      <c r="E67" s="823"/>
      <c r="F67" s="823"/>
      <c r="G67" s="823"/>
      <c r="H67" s="823"/>
      <c r="I67" s="824"/>
      <c r="J67" s="825"/>
      <c r="K67" s="826"/>
      <c r="L67" s="827"/>
      <c r="M67" s="918"/>
      <c r="N67" s="919"/>
      <c r="O67" s="919"/>
      <c r="P67" s="920"/>
      <c r="Q67" s="34"/>
      <c r="R67" s="74"/>
      <c r="S67" s="46"/>
      <c r="T67" s="46"/>
      <c r="V67" s="46"/>
      <c r="W67" s="46"/>
      <c r="X67" s="78"/>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row>
    <row r="68" spans="1:253" ht="12.65" customHeight="1" x14ac:dyDescent="0.25">
      <c r="A68" s="870"/>
      <c r="B68" s="1007" t="s">
        <v>29</v>
      </c>
      <c r="C68" s="1008"/>
      <c r="D68" s="981"/>
      <c r="E68" s="981"/>
      <c r="F68" s="981"/>
      <c r="G68" s="981"/>
      <c r="H68" s="981"/>
      <c r="I68" s="999"/>
      <c r="J68" s="1000"/>
      <c r="K68" s="1000"/>
      <c r="L68" s="1313"/>
      <c r="M68" s="1002"/>
      <c r="N68" s="975"/>
      <c r="O68" s="1003"/>
      <c r="P68" s="1004"/>
      <c r="Q68" s="11"/>
      <c r="R68" s="74"/>
      <c r="S68" s="46"/>
      <c r="T68" s="46"/>
      <c r="V68" s="46"/>
      <c r="W68" s="46"/>
      <c r="X68" s="78"/>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row>
    <row r="69" spans="1:253" ht="12.65" customHeight="1" x14ac:dyDescent="0.25">
      <c r="A69" s="880"/>
      <c r="B69" s="921" t="s">
        <v>30</v>
      </c>
      <c r="C69" s="994">
        <v>0</v>
      </c>
      <c r="D69" s="989">
        <v>2</v>
      </c>
      <c r="E69" s="989">
        <v>16</v>
      </c>
      <c r="F69" s="989">
        <v>2</v>
      </c>
      <c r="G69" s="989">
        <v>0</v>
      </c>
      <c r="H69" s="929">
        <f>SUM(C69:G69)</f>
        <v>20</v>
      </c>
      <c r="I69" s="930">
        <f>((C69*$C$5)+(D69*$D$5)+(E69*$E$5)+(F69*$F$5)+(G69*$G$5))</f>
        <v>2423.3160000000003</v>
      </c>
      <c r="J69" s="906">
        <v>0</v>
      </c>
      <c r="K69" s="906">
        <v>8</v>
      </c>
      <c r="L69" s="1279">
        <f>0.65*M10/3</f>
        <v>12.350000000000001</v>
      </c>
      <c r="M69" s="1312">
        <f>(C69+D69+E69+F69+G69)*L69</f>
        <v>247.00000000000003</v>
      </c>
      <c r="N69" s="1013">
        <f>J69*L69</f>
        <v>0</v>
      </c>
      <c r="O69" s="1014">
        <f>K69*L69</f>
        <v>98.800000000000011</v>
      </c>
      <c r="P69" s="1015">
        <f t="shared" ref="P69:P70" si="7">I69*L69</f>
        <v>29927.952600000008</v>
      </c>
      <c r="Q69" s="34">
        <f>(I69+J69+K69)*L69</f>
        <v>30026.752600000007</v>
      </c>
      <c r="R69" s="74" t="s">
        <v>200</v>
      </c>
      <c r="S69" s="46">
        <f>IF($R69="RP",L69,"")</f>
        <v>12.350000000000001</v>
      </c>
      <c r="T69" s="46">
        <f>IF($R69="RP",M69,"")</f>
        <v>247.00000000000003</v>
      </c>
      <c r="U69" s="1">
        <f>IF($R69="RP",SUM(N69:O69),"")</f>
        <v>98.800000000000011</v>
      </c>
      <c r="V69" s="46" t="str">
        <f>IF($R69="RK",L69,"")</f>
        <v/>
      </c>
      <c r="W69" s="46" t="str">
        <f>IF($R69="RK",M69,"")</f>
        <v/>
      </c>
      <c r="X69" s="78" t="str">
        <f>IF($R69="Rk",SUM(N69:O69),"")</f>
        <v/>
      </c>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row>
    <row r="70" spans="1:253" ht="12.65" customHeight="1" x14ac:dyDescent="0.25">
      <c r="A70" s="880"/>
      <c r="B70" s="921" t="s">
        <v>89</v>
      </c>
      <c r="C70" s="994">
        <v>0</v>
      </c>
      <c r="D70" s="981">
        <v>0</v>
      </c>
      <c r="E70" s="981">
        <v>0.1</v>
      </c>
      <c r="F70" s="981">
        <v>0</v>
      </c>
      <c r="G70" s="981">
        <v>0</v>
      </c>
      <c r="H70" s="803">
        <f>SUM(C70:G70)</f>
        <v>0.1</v>
      </c>
      <c r="I70" s="804">
        <f>((C70*$C$5)+(D70*$D$5)+(E70*$E$5)+(F70*$F$5)+(G70*$G$5))</f>
        <v>12.394200000000001</v>
      </c>
      <c r="J70" s="1000">
        <v>0</v>
      </c>
      <c r="K70" s="1000">
        <v>0</v>
      </c>
      <c r="L70" s="1011">
        <v>0</v>
      </c>
      <c r="M70" s="916">
        <f>(C70+D70+E70+F70+G70)*L70</f>
        <v>0</v>
      </c>
      <c r="N70" s="975">
        <f>J70*L70</f>
        <v>0</v>
      </c>
      <c r="O70" s="1003">
        <f>K70*L70</f>
        <v>0</v>
      </c>
      <c r="P70" s="1016">
        <f t="shared" si="7"/>
        <v>0</v>
      </c>
      <c r="Q70" s="34">
        <v>0</v>
      </c>
      <c r="R70" s="74" t="s">
        <v>200</v>
      </c>
      <c r="S70" s="46">
        <f>IF($R70="RP",L70,"")</f>
        <v>0</v>
      </c>
      <c r="T70" s="46">
        <f>IF($R70="RP",M70,"")</f>
        <v>0</v>
      </c>
      <c r="U70" s="1">
        <f>IF($R70="RP",SUM(N70:O70),"")</f>
        <v>0</v>
      </c>
      <c r="V70" s="46" t="str">
        <f>IF($R70="RK",L70,"")</f>
        <v/>
      </c>
      <c r="W70" s="46" t="str">
        <f>IF($R70="RK",M70,"")</f>
        <v/>
      </c>
      <c r="X70" s="78" t="str">
        <f>IF($R70="Rk",SUM(N70:O70),"")</f>
        <v/>
      </c>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row>
    <row r="71" spans="1:253" ht="22" customHeight="1" x14ac:dyDescent="0.25">
      <c r="A71" s="1331" t="s">
        <v>766</v>
      </c>
      <c r="B71" s="1332"/>
      <c r="C71" s="900"/>
      <c r="D71" s="822"/>
      <c r="E71" s="823"/>
      <c r="F71" s="823"/>
      <c r="G71" s="823"/>
      <c r="H71" s="823"/>
      <c r="I71" s="824"/>
      <c r="J71" s="825"/>
      <c r="K71" s="826"/>
      <c r="L71" s="827"/>
      <c r="M71" s="985"/>
      <c r="N71" s="919"/>
      <c r="O71" s="919"/>
      <c r="P71" s="945"/>
      <c r="Q71" s="34"/>
      <c r="R71" s="74"/>
      <c r="S71" s="46"/>
      <c r="T71" s="46"/>
      <c r="V71" s="46"/>
      <c r="W71" s="46"/>
      <c r="X71" s="78"/>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row>
    <row r="72" spans="1:253" ht="12.75" customHeight="1" x14ac:dyDescent="0.25">
      <c r="A72" s="870"/>
      <c r="B72" s="1007" t="s">
        <v>101</v>
      </c>
      <c r="C72" s="1008"/>
      <c r="D72" s="981"/>
      <c r="E72" s="981"/>
      <c r="F72" s="981"/>
      <c r="G72" s="981"/>
      <c r="H72" s="981"/>
      <c r="I72" s="999"/>
      <c r="J72" s="1000"/>
      <c r="K72" s="1000"/>
      <c r="L72" s="1001"/>
      <c r="M72" s="1017"/>
      <c r="N72" s="975"/>
      <c r="O72" s="1003"/>
      <c r="P72" s="974"/>
      <c r="Q72" s="11"/>
      <c r="R72" s="74"/>
      <c r="S72" s="46"/>
      <c r="T72" s="46"/>
      <c r="V72" s="46"/>
      <c r="W72" s="46"/>
      <c r="X72" s="78"/>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row>
    <row r="73" spans="1:253" ht="12.65" customHeight="1" x14ac:dyDescent="0.25">
      <c r="A73" s="880"/>
      <c r="B73" s="921" t="s">
        <v>102</v>
      </c>
      <c r="C73" s="1018">
        <v>0</v>
      </c>
      <c r="D73" s="981">
        <v>1</v>
      </c>
      <c r="E73" s="981">
        <v>18</v>
      </c>
      <c r="F73" s="981">
        <v>0.5</v>
      </c>
      <c r="G73" s="981">
        <v>0</v>
      </c>
      <c r="H73" s="803">
        <f>SUM(C73:G73)</f>
        <v>19.5</v>
      </c>
      <c r="I73" s="804">
        <f>((C73*$C$5)+(D73*$D$5)+(E73*$E$5)+(F73*$F$5)+(G73*$G$5))</f>
        <v>2419.8195000000001</v>
      </c>
      <c r="J73" s="1000">
        <v>0</v>
      </c>
      <c r="K73" s="1000">
        <v>8</v>
      </c>
      <c r="L73" s="1011">
        <v>0</v>
      </c>
      <c r="M73" s="916">
        <f>(C73+D73+E73+F73+G73)*L73</f>
        <v>0</v>
      </c>
      <c r="N73" s="809">
        <f>J73*L73</f>
        <v>0</v>
      </c>
      <c r="O73" s="809">
        <f>K73*L73</f>
        <v>0</v>
      </c>
      <c r="P73" s="974">
        <f t="shared" ref="P73" si="8">I73*L73</f>
        <v>0</v>
      </c>
      <c r="Q73" s="34">
        <f>(I73+J73+K73)*L73</f>
        <v>0</v>
      </c>
      <c r="R73" s="74" t="s">
        <v>200</v>
      </c>
      <c r="S73" s="46">
        <f>IF($R73="RP",L73,"")</f>
        <v>0</v>
      </c>
      <c r="T73" s="46">
        <f>IF($R73="RP",M73,"")</f>
        <v>0</v>
      </c>
      <c r="U73" s="1">
        <f>IF($R73="RP",SUM(N73:O73),"")</f>
        <v>0</v>
      </c>
      <c r="V73" s="46" t="str">
        <f>IF($R73="RK",L73,"")</f>
        <v/>
      </c>
      <c r="W73" s="46" t="str">
        <f>IF($R73="RK",M73,"")</f>
        <v/>
      </c>
      <c r="X73" s="78" t="str">
        <f>IF($R73="Rk",SUM(N73:O73),"")</f>
        <v/>
      </c>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row>
    <row r="74" spans="1:253" ht="12.65" customHeight="1" x14ac:dyDescent="0.25">
      <c r="A74" s="880" t="s">
        <v>767</v>
      </c>
      <c r="B74" s="944"/>
      <c r="C74" s="900"/>
      <c r="D74" s="822"/>
      <c r="E74" s="823"/>
      <c r="F74" s="823"/>
      <c r="G74" s="823"/>
      <c r="H74" s="823"/>
      <c r="I74" s="824"/>
      <c r="J74" s="825"/>
      <c r="K74" s="826"/>
      <c r="L74" s="827"/>
      <c r="M74" s="918"/>
      <c r="N74" s="919"/>
      <c r="O74" s="919"/>
      <c r="P74" s="945"/>
      <c r="Q74" s="34"/>
      <c r="R74" s="74"/>
      <c r="S74" s="46"/>
      <c r="T74" s="46"/>
      <c r="V74" s="46"/>
      <c r="W74" s="46"/>
      <c r="X74" s="78"/>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row>
    <row r="75" spans="1:253" s="2" customFormat="1" ht="12.65" customHeight="1" x14ac:dyDescent="0.25">
      <c r="A75" s="911"/>
      <c r="B75" s="1019" t="s">
        <v>314</v>
      </c>
      <c r="C75" s="1020">
        <v>0</v>
      </c>
      <c r="D75" s="989">
        <v>1</v>
      </c>
      <c r="E75" s="989">
        <v>10</v>
      </c>
      <c r="F75" s="989">
        <v>2</v>
      </c>
      <c r="G75" s="989">
        <v>0</v>
      </c>
      <c r="H75" s="833">
        <f>SUM(C75:G75)</f>
        <v>13</v>
      </c>
      <c r="I75" s="834">
        <f>((C75*$C$5)+(D75*$D$5)+(E75*$E$5)+(F75*$F$5)+(G75*$G$5))</f>
        <v>1522.0590000000002</v>
      </c>
      <c r="J75" s="906">
        <v>0</v>
      </c>
      <c r="K75" s="906">
        <v>0</v>
      </c>
      <c r="L75" s="1021">
        <f>0.1*$M$10+1</f>
        <v>6.7</v>
      </c>
      <c r="M75" s="1012">
        <f>(C75+D75+E75+F75+G75)*L75</f>
        <v>87.100000000000009</v>
      </c>
      <c r="N75" s="1022">
        <f>J75*L75</f>
        <v>0</v>
      </c>
      <c r="O75" s="1022">
        <f>K75*L75</f>
        <v>0</v>
      </c>
      <c r="P75" s="839">
        <f t="shared" ref="P75:P76" si="9">I75*L75</f>
        <v>10197.795300000002</v>
      </c>
      <c r="Q75" s="26">
        <f>(I75+J75+K75)*L75</f>
        <v>10197.795300000002</v>
      </c>
      <c r="R75" s="77" t="s">
        <v>200</v>
      </c>
      <c r="S75" s="64">
        <f>IF($R75="RP",L75,"")</f>
        <v>6.7</v>
      </c>
      <c r="T75" s="64">
        <f>IF($R75="RP",M75,"")</f>
        <v>87.100000000000009</v>
      </c>
      <c r="U75" s="17">
        <f>IF($R75="RP",SUM(N75:O75),"")</f>
        <v>0</v>
      </c>
      <c r="V75" s="64" t="str">
        <f>IF($R75="RK",L75,"")</f>
        <v/>
      </c>
      <c r="W75" s="64" t="str">
        <f>IF($R75="RK",M75,"")</f>
        <v/>
      </c>
      <c r="X75" s="81" t="str">
        <f>IF($R75="Rk",SUM(N75:O75),"")</f>
        <v/>
      </c>
      <c r="Y75" s="1"/>
      <c r="Z75" s="1"/>
      <c r="AA75" s="1"/>
      <c r="AB75" s="1"/>
      <c r="AC75" s="1"/>
      <c r="AD75" s="1"/>
      <c r="IP75" s="1"/>
      <c r="IQ75" s="1"/>
      <c r="IR75" s="1"/>
      <c r="IS75" s="1"/>
    </row>
    <row r="76" spans="1:253" ht="12.65" customHeight="1" x14ac:dyDescent="0.25">
      <c r="A76" s="862"/>
      <c r="B76" s="1007" t="s">
        <v>158</v>
      </c>
      <c r="C76" s="981">
        <v>0</v>
      </c>
      <c r="D76" s="981">
        <v>3</v>
      </c>
      <c r="E76" s="981">
        <v>11</v>
      </c>
      <c r="F76" s="981">
        <v>1</v>
      </c>
      <c r="G76" s="981">
        <v>0</v>
      </c>
      <c r="H76" s="803">
        <f>SUM(C76:G76)</f>
        <v>15</v>
      </c>
      <c r="I76" s="804">
        <f>((C76*$C$5)+(D76*$D$5)+(E76*$E$5)+(F76*$F$5)+(G76*$G$5))</f>
        <v>1898.6940000000002</v>
      </c>
      <c r="J76" s="1000">
        <v>0</v>
      </c>
      <c r="K76" s="1000">
        <v>1</v>
      </c>
      <c r="L76" s="1011">
        <f>0.1*M10</f>
        <v>5.7</v>
      </c>
      <c r="M76" s="916">
        <f>(C76+D76+E76+F76+G76)*L76</f>
        <v>85.5</v>
      </c>
      <c r="N76" s="1023">
        <f>J76*L76</f>
        <v>0</v>
      </c>
      <c r="O76" s="809">
        <f>K76*L76</f>
        <v>5.7</v>
      </c>
      <c r="P76" s="995">
        <f t="shared" si="9"/>
        <v>10822.555800000002</v>
      </c>
      <c r="Q76" s="34">
        <f>(I76+J76+K76)*L76</f>
        <v>10828.255800000001</v>
      </c>
      <c r="R76" s="74" t="s">
        <v>200</v>
      </c>
      <c r="S76" s="46">
        <f>IF($R76="RP",L76,"")</f>
        <v>5.7</v>
      </c>
      <c r="T76" s="46">
        <f>IF($R76="RP",M76,"")</f>
        <v>85.5</v>
      </c>
      <c r="U76" s="1">
        <f>IF($R76="RP",SUM(N76:O76),"")</f>
        <v>5.7</v>
      </c>
      <c r="V76" s="46" t="str">
        <f>IF($R76="RK",L76,"")</f>
        <v/>
      </c>
      <c r="W76" s="46" t="str">
        <f>IF($R76="RK",M76,"")</f>
        <v/>
      </c>
      <c r="X76" s="78" t="str">
        <f>IF($R76="Rk",SUM(N76:O76),"")</f>
        <v/>
      </c>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row>
    <row r="77" spans="1:253" ht="12.65" customHeight="1" x14ac:dyDescent="0.25">
      <c r="A77" s="1024" t="s">
        <v>768</v>
      </c>
      <c r="B77" s="1025"/>
      <c r="C77" s="1026"/>
      <c r="D77" s="822"/>
      <c r="E77" s="823"/>
      <c r="F77" s="823"/>
      <c r="G77" s="823"/>
      <c r="H77" s="823"/>
      <c r="I77" s="824"/>
      <c r="J77" s="825"/>
      <c r="K77" s="826"/>
      <c r="L77" s="1027"/>
      <c r="M77" s="925"/>
      <c r="N77" s="829"/>
      <c r="O77" s="829"/>
      <c r="P77" s="830"/>
      <c r="Q77" s="509"/>
      <c r="R77" s="124"/>
      <c r="S77" s="46"/>
      <c r="T77" s="46"/>
      <c r="V77" s="46"/>
      <c r="W77" s="46"/>
      <c r="X77" s="78"/>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row>
    <row r="78" spans="1:253" ht="12.65" customHeight="1" x14ac:dyDescent="0.25">
      <c r="A78" s="761"/>
      <c r="B78" s="863" t="s">
        <v>33</v>
      </c>
      <c r="C78" s="802"/>
      <c r="D78" s="803"/>
      <c r="E78" s="803"/>
      <c r="F78" s="803"/>
      <c r="G78" s="803"/>
      <c r="H78" s="803"/>
      <c r="I78" s="804"/>
      <c r="J78" s="805"/>
      <c r="K78" s="923"/>
      <c r="L78" s="807"/>
      <c r="M78" s="916"/>
      <c r="N78" s="809"/>
      <c r="O78" s="809"/>
      <c r="P78" s="810"/>
      <c r="Q78" s="11"/>
      <c r="R78" s="75"/>
      <c r="S78" s="60"/>
      <c r="T78" s="60"/>
      <c r="U78" s="24"/>
      <c r="V78" s="60"/>
      <c r="W78" s="60"/>
      <c r="X78" s="79"/>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row>
    <row r="79" spans="1:253" ht="12.65" customHeight="1" x14ac:dyDescent="0.25">
      <c r="A79" s="862"/>
      <c r="B79" s="863" t="s">
        <v>34</v>
      </c>
      <c r="C79" s="802"/>
      <c r="D79" s="803"/>
      <c r="E79" s="803"/>
      <c r="F79" s="803"/>
      <c r="G79" s="803"/>
      <c r="H79" s="803"/>
      <c r="I79" s="804"/>
      <c r="J79" s="805"/>
      <c r="K79" s="923"/>
      <c r="L79" s="807"/>
      <c r="M79" s="916"/>
      <c r="N79" s="809"/>
      <c r="O79" s="809"/>
      <c r="P79" s="810"/>
      <c r="Q79" s="11"/>
      <c r="R79" s="74"/>
      <c r="S79" s="46"/>
      <c r="T79" s="46"/>
      <c r="V79" s="46"/>
      <c r="W79" s="46"/>
      <c r="X79" s="78"/>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row>
    <row r="80" spans="1:253" s="2" customFormat="1" ht="12.65" customHeight="1" x14ac:dyDescent="0.25">
      <c r="A80" s="880"/>
      <c r="B80" s="881" t="s">
        <v>35</v>
      </c>
      <c r="C80" s="937">
        <v>0</v>
      </c>
      <c r="D80" s="803">
        <v>2</v>
      </c>
      <c r="E80" s="803">
        <v>16</v>
      </c>
      <c r="F80" s="803">
        <v>0.5</v>
      </c>
      <c r="G80" s="803">
        <v>0</v>
      </c>
      <c r="H80" s="803">
        <f>SUM(C80:G80)</f>
        <v>18.5</v>
      </c>
      <c r="I80" s="804">
        <f>((C80*$C$5)+(D80*$D$5)+(E80*$E$5)+(F80*$F$5)+(G80*$G$5))</f>
        <v>2329.5405000000001</v>
      </c>
      <c r="J80" s="805">
        <v>0</v>
      </c>
      <c r="K80" s="923">
        <v>8</v>
      </c>
      <c r="L80" s="807">
        <f>0.1*M10</f>
        <v>5.7</v>
      </c>
      <c r="M80" s="916">
        <f>(C80+D80+E80+F80+G80)*L80</f>
        <v>105.45</v>
      </c>
      <c r="N80" s="809">
        <f>J80*L80</f>
        <v>0</v>
      </c>
      <c r="O80" s="1028">
        <f>K80*L80</f>
        <v>45.6</v>
      </c>
      <c r="P80" s="810">
        <f t="shared" ref="P80" si="10">I80*L80</f>
        <v>13278.380850000001</v>
      </c>
      <c r="Q80" s="34">
        <f>(I80+J80+K80)*L80</f>
        <v>13323.98085</v>
      </c>
      <c r="R80" s="104" t="s">
        <v>200</v>
      </c>
      <c r="S80" s="62">
        <f>IF($R80="RP",L80,"")</f>
        <v>5.7</v>
      </c>
      <c r="T80" s="62">
        <f>IF($R80="RP",M80,"")</f>
        <v>105.45</v>
      </c>
      <c r="U80" s="63">
        <f>IF($R80="RP",SUM(N80:O80),"")</f>
        <v>45.6</v>
      </c>
      <c r="V80" s="62" t="str">
        <f>IF($R80="RK",L80,"")</f>
        <v/>
      </c>
      <c r="W80" s="62" t="str">
        <f>IF($R80="RK",M80,"")</f>
        <v/>
      </c>
      <c r="X80" s="80" t="str">
        <f>IF($R80="Rk",SUM(N80:O80),"")</f>
        <v/>
      </c>
      <c r="Y80" s="1"/>
      <c r="Z80" s="1"/>
      <c r="AA80" s="1"/>
      <c r="AB80" s="1"/>
      <c r="AC80" s="1"/>
      <c r="AD80" s="1"/>
      <c r="IP80" s="1"/>
      <c r="IQ80" s="1"/>
      <c r="IR80" s="1"/>
      <c r="IS80" s="1"/>
    </row>
    <row r="81" spans="1:253" s="2" customFormat="1" ht="12.65" customHeight="1" x14ac:dyDescent="0.25">
      <c r="A81" s="1029" t="s">
        <v>769</v>
      </c>
      <c r="B81" s="881"/>
      <c r="C81" s="1030"/>
      <c r="D81" s="822"/>
      <c r="E81" s="823"/>
      <c r="F81" s="823"/>
      <c r="G81" s="823"/>
      <c r="H81" s="823"/>
      <c r="I81" s="824"/>
      <c r="J81" s="825"/>
      <c r="K81" s="825"/>
      <c r="L81" s="827"/>
      <c r="M81" s="985"/>
      <c r="N81" s="919"/>
      <c r="O81" s="919"/>
      <c r="P81" s="920"/>
      <c r="Q81" s="13"/>
      <c r="R81" s="124"/>
      <c r="S81" s="46"/>
      <c r="T81" s="46"/>
      <c r="V81" s="67"/>
      <c r="W81" s="46"/>
      <c r="X81" s="78"/>
      <c r="Y81" s="1"/>
      <c r="Z81" s="1"/>
      <c r="AA81" s="1"/>
      <c r="AB81" s="1"/>
      <c r="AC81" s="1"/>
      <c r="AD81" s="1"/>
      <c r="IP81" s="1"/>
      <c r="IQ81" s="1"/>
      <c r="IR81" s="1"/>
      <c r="IS81" s="1"/>
    </row>
    <row r="82" spans="1:253" s="2" customFormat="1" ht="12.65" customHeight="1" x14ac:dyDescent="0.25">
      <c r="A82" s="996"/>
      <c r="B82" s="871" t="s">
        <v>45</v>
      </c>
      <c r="C82" s="1031"/>
      <c r="D82" s="803"/>
      <c r="E82" s="803"/>
      <c r="F82" s="803"/>
      <c r="G82" s="803"/>
      <c r="H82" s="803"/>
      <c r="I82" s="804"/>
      <c r="J82" s="805"/>
      <c r="K82" s="923"/>
      <c r="L82" s="943" t="s">
        <v>19</v>
      </c>
      <c r="M82" s="808"/>
      <c r="N82" s="809"/>
      <c r="O82" s="809"/>
      <c r="P82" s="810"/>
      <c r="Q82" s="35"/>
      <c r="R82" s="124"/>
      <c r="S82" s="46"/>
      <c r="T82" s="46"/>
      <c r="U82" s="59"/>
      <c r="V82" s="69"/>
      <c r="W82" s="46"/>
      <c r="X82" s="78"/>
      <c r="Y82" s="1"/>
      <c r="Z82" s="1"/>
      <c r="AA82" s="1"/>
      <c r="AB82" s="1"/>
      <c r="AC82" s="1"/>
      <c r="AD82" s="1"/>
      <c r="IP82" s="1"/>
      <c r="IQ82" s="1"/>
      <c r="IR82" s="1"/>
      <c r="IS82" s="1"/>
    </row>
    <row r="83" spans="1:253" s="2" customFormat="1" ht="12.65" customHeight="1" x14ac:dyDescent="0.25">
      <c r="A83" s="862"/>
      <c r="B83" s="863" t="s">
        <v>92</v>
      </c>
      <c r="C83" s="802"/>
      <c r="D83" s="803"/>
      <c r="E83" s="803"/>
      <c r="F83" s="803"/>
      <c r="G83" s="803"/>
      <c r="H83" s="803"/>
      <c r="I83" s="804"/>
      <c r="J83" s="805"/>
      <c r="K83" s="923"/>
      <c r="L83" s="943"/>
      <c r="M83" s="808"/>
      <c r="N83" s="809"/>
      <c r="O83" s="809"/>
      <c r="P83" s="810"/>
      <c r="Q83" s="11"/>
      <c r="R83" s="124"/>
      <c r="S83" s="46"/>
      <c r="T83" s="46"/>
      <c r="U83" s="59"/>
      <c r="V83" s="69"/>
      <c r="W83" s="46"/>
      <c r="X83" s="78"/>
      <c r="Y83" s="1"/>
      <c r="Z83" s="1"/>
      <c r="AA83" s="1"/>
      <c r="AB83" s="1"/>
      <c r="AC83" s="1"/>
      <c r="AD83" s="1"/>
      <c r="IP83" s="1"/>
      <c r="IQ83" s="1"/>
      <c r="IR83" s="1"/>
      <c r="IS83" s="1"/>
    </row>
    <row r="84" spans="1:253" s="2" customFormat="1" ht="12.65" customHeight="1" x14ac:dyDescent="0.25">
      <c r="A84" s="978"/>
      <c r="B84" s="936" t="s">
        <v>104</v>
      </c>
      <c r="C84" s="937">
        <v>0</v>
      </c>
      <c r="D84" s="803">
        <v>2</v>
      </c>
      <c r="E84" s="803">
        <v>16</v>
      </c>
      <c r="F84" s="803">
        <v>0.5</v>
      </c>
      <c r="G84" s="803">
        <v>0</v>
      </c>
      <c r="H84" s="803">
        <f>SUM(C84:G84)</f>
        <v>18.5</v>
      </c>
      <c r="I84" s="804">
        <f>((C84*$C$5)+(D84*$D$5)+(E84*$E$5)+(F84*$F$5)+(G84*$G$5))</f>
        <v>2329.5405000000001</v>
      </c>
      <c r="J84" s="805">
        <v>0</v>
      </c>
      <c r="K84" s="923">
        <v>8</v>
      </c>
      <c r="L84" s="807">
        <f>0.5*M2*3</f>
        <v>33.5</v>
      </c>
      <c r="M84" s="808">
        <f>(C84+D84+E84+F84+G84)*L84</f>
        <v>619.75</v>
      </c>
      <c r="N84" s="809">
        <f>J84*L84</f>
        <v>0</v>
      </c>
      <c r="O84" s="809">
        <f>K84*L84</f>
        <v>268</v>
      </c>
      <c r="P84" s="810">
        <f t="shared" ref="P84" si="11">I84*L84</f>
        <v>78039.606750000006</v>
      </c>
      <c r="Q84" s="508">
        <f>(I84+J84+K84)*L84</f>
        <v>78307.606750000006</v>
      </c>
      <c r="R84" s="76" t="s">
        <v>200</v>
      </c>
      <c r="S84" s="62">
        <f>IF($R84="RP",L84,"")</f>
        <v>33.5</v>
      </c>
      <c r="T84" s="62">
        <f>IF($R84="RP",M84,"")</f>
        <v>619.75</v>
      </c>
      <c r="U84" s="63">
        <f>IF($R84="RP",SUM(N84:O84),"")</f>
        <v>268</v>
      </c>
      <c r="V84" s="62" t="str">
        <f>IF($R84="RK",L84,"")</f>
        <v/>
      </c>
      <c r="W84" s="62" t="str">
        <f>IF($R84="RK",M84,"")</f>
        <v/>
      </c>
      <c r="X84" s="80" t="str">
        <f>IF($R84="Rk",SUM(N84:O84),"")</f>
        <v/>
      </c>
      <c r="Y84" s="1"/>
      <c r="Z84" s="1"/>
      <c r="AA84" s="1"/>
      <c r="AB84" s="1"/>
      <c r="AC84" s="1"/>
      <c r="AD84" s="1"/>
      <c r="IP84" s="1"/>
      <c r="IQ84" s="1"/>
      <c r="IR84" s="1"/>
      <c r="IS84" s="1"/>
    </row>
    <row r="85" spans="1:253" s="2" customFormat="1" ht="12.65" customHeight="1" x14ac:dyDescent="0.25">
      <c r="A85" s="819" t="s">
        <v>770</v>
      </c>
      <c r="B85" s="1025"/>
      <c r="C85" s="1026"/>
      <c r="D85" s="822"/>
      <c r="E85" s="823"/>
      <c r="F85" s="823"/>
      <c r="G85" s="823"/>
      <c r="H85" s="823"/>
      <c r="I85" s="824"/>
      <c r="J85" s="825"/>
      <c r="K85" s="826"/>
      <c r="L85" s="827"/>
      <c r="M85" s="828"/>
      <c r="N85" s="829"/>
      <c r="O85" s="829"/>
      <c r="P85" s="830"/>
      <c r="Q85" s="20"/>
      <c r="R85" s="124"/>
      <c r="S85" s="46"/>
      <c r="T85" s="46"/>
      <c r="U85" s="23"/>
      <c r="V85" s="70"/>
      <c r="W85" s="46"/>
      <c r="X85" s="78"/>
      <c r="Y85" s="1"/>
      <c r="Z85" s="1"/>
      <c r="AA85" s="1"/>
      <c r="AB85" s="1"/>
      <c r="AC85" s="1"/>
      <c r="AD85" s="1"/>
      <c r="IP85" s="1"/>
      <c r="IQ85" s="1"/>
      <c r="IR85" s="1"/>
      <c r="IS85" s="1"/>
    </row>
    <row r="86" spans="1:253" s="2" customFormat="1" ht="12.65" customHeight="1" x14ac:dyDescent="0.25">
      <c r="A86" s="1032"/>
      <c r="B86" s="976" t="s">
        <v>93</v>
      </c>
      <c r="C86" s="802"/>
      <c r="D86" s="803"/>
      <c r="E86" s="803"/>
      <c r="F86" s="803"/>
      <c r="G86" s="803"/>
      <c r="H86" s="803"/>
      <c r="I86" s="804"/>
      <c r="J86" s="805"/>
      <c r="K86" s="923"/>
      <c r="L86" s="943"/>
      <c r="M86" s="808"/>
      <c r="N86" s="809"/>
      <c r="O86" s="809"/>
      <c r="P86" s="810"/>
      <c r="Q86" s="15"/>
      <c r="R86" s="75"/>
      <c r="S86" s="60"/>
      <c r="T86" s="60"/>
      <c r="U86" s="22"/>
      <c r="V86" s="66"/>
      <c r="W86" s="60"/>
      <c r="X86" s="79"/>
      <c r="Y86" s="1"/>
      <c r="Z86" s="1"/>
      <c r="AA86" s="1"/>
      <c r="AB86" s="1"/>
      <c r="AC86" s="1"/>
      <c r="AD86" s="1"/>
      <c r="IP86" s="1"/>
      <c r="IQ86" s="1"/>
      <c r="IR86" s="1"/>
      <c r="IS86" s="1"/>
    </row>
    <row r="87" spans="1:253" s="2" customFormat="1" ht="12.65" customHeight="1" x14ac:dyDescent="0.25">
      <c r="A87" s="862"/>
      <c r="B87" s="976" t="s">
        <v>46</v>
      </c>
      <c r="C87" s="937">
        <v>0</v>
      </c>
      <c r="D87" s="803">
        <v>0.5</v>
      </c>
      <c r="E87" s="803">
        <v>10</v>
      </c>
      <c r="F87" s="803">
        <v>0.5</v>
      </c>
      <c r="G87" s="803">
        <v>0</v>
      </c>
      <c r="H87" s="803">
        <f>SUM(C87:G87)</f>
        <v>11</v>
      </c>
      <c r="I87" s="804">
        <f>((C87*$C$5)+(D87*$D$5)+(E87*$E$5)+(F87*$F$5)+(G87*$G$5))</f>
        <v>1349.481</v>
      </c>
      <c r="J87" s="805">
        <v>0</v>
      </c>
      <c r="K87" s="923">
        <v>8</v>
      </c>
      <c r="L87" s="807">
        <f>$M$10*0.5</f>
        <v>28.5</v>
      </c>
      <c r="M87" s="916">
        <f>(C87+D87+E87+F87+G87)*L87</f>
        <v>313.5</v>
      </c>
      <c r="N87" s="809">
        <f>J87*L87</f>
        <v>0</v>
      </c>
      <c r="O87" s="1028">
        <f>K87*L87</f>
        <v>228</v>
      </c>
      <c r="P87" s="810">
        <f t="shared" ref="P87" si="12">I87*L87</f>
        <v>38460.208500000001</v>
      </c>
      <c r="Q87" s="13">
        <f>(I87+J87+K87)*L87</f>
        <v>38688.208500000001</v>
      </c>
      <c r="R87" s="76" t="s">
        <v>200</v>
      </c>
      <c r="S87" s="62">
        <f>IF($R87="RP",L87,"")</f>
        <v>28.5</v>
      </c>
      <c r="T87" s="62">
        <f>IF($R87="RP",M87,"")</f>
        <v>313.5</v>
      </c>
      <c r="U87" s="63">
        <f>IF($R87="RP",SUM(N87:O87),"")</f>
        <v>228</v>
      </c>
      <c r="V87" s="62" t="str">
        <f>IF($R87="RK",L87,"")</f>
        <v/>
      </c>
      <c r="W87" s="62" t="str">
        <f>IF($R87="RK",M87,"")</f>
        <v/>
      </c>
      <c r="X87" s="80" t="str">
        <f>IF($R87="Rk",SUM(N87:O87),"")</f>
        <v/>
      </c>
      <c r="Y87" s="1"/>
      <c r="Z87" s="1"/>
      <c r="AA87" s="1"/>
      <c r="AB87" s="1"/>
      <c r="AC87" s="1"/>
      <c r="AD87" s="1"/>
      <c r="IP87" s="1"/>
      <c r="IQ87" s="1"/>
      <c r="IR87" s="1"/>
      <c r="IS87" s="1"/>
    </row>
    <row r="88" spans="1:253" s="2" customFormat="1" ht="12.65" customHeight="1" x14ac:dyDescent="0.25">
      <c r="A88" s="1024" t="s">
        <v>771</v>
      </c>
      <c r="B88" s="1025"/>
      <c r="C88" s="1026"/>
      <c r="D88" s="822"/>
      <c r="E88" s="823"/>
      <c r="F88" s="823"/>
      <c r="G88" s="823"/>
      <c r="H88" s="823"/>
      <c r="I88" s="824"/>
      <c r="J88" s="825"/>
      <c r="K88" s="826"/>
      <c r="L88" s="827"/>
      <c r="M88" s="925"/>
      <c r="N88" s="829"/>
      <c r="O88" s="829"/>
      <c r="P88" s="830"/>
      <c r="Q88" s="72"/>
      <c r="R88" s="124"/>
      <c r="S88" s="46"/>
      <c r="T88" s="46"/>
      <c r="U88" s="23"/>
      <c r="V88" s="70"/>
      <c r="W88" s="46"/>
      <c r="X88" s="78"/>
      <c r="Y88" s="1"/>
      <c r="Z88" s="1"/>
      <c r="AA88" s="1"/>
      <c r="AB88" s="1"/>
      <c r="AC88" s="1"/>
      <c r="AD88" s="1"/>
      <c r="AE88" s="1"/>
      <c r="IP88" s="1"/>
      <c r="IQ88" s="1"/>
      <c r="IR88" s="1"/>
      <c r="IS88" s="1"/>
    </row>
    <row r="89" spans="1:253" ht="22" customHeight="1" x14ac:dyDescent="0.25">
      <c r="A89" s="840"/>
      <c r="B89" s="1033" t="s">
        <v>659</v>
      </c>
      <c r="C89" s="842">
        <v>0</v>
      </c>
      <c r="D89" s="803">
        <f>10/2</f>
        <v>5</v>
      </c>
      <c r="E89" s="803">
        <f>80/2</f>
        <v>40</v>
      </c>
      <c r="F89" s="803">
        <v>0</v>
      </c>
      <c r="G89" s="1005">
        <v>0</v>
      </c>
      <c r="H89" s="803">
        <f>SUM(C89:G89)</f>
        <v>45</v>
      </c>
      <c r="I89" s="804">
        <f>((C89*$C$5)+(D89*$D$5)+(E89*$E$5)+(F89*$F$5)+(G89*$G$5))</f>
        <v>5745.7049999999999</v>
      </c>
      <c r="J89" s="805">
        <v>0</v>
      </c>
      <c r="K89" s="923">
        <v>0</v>
      </c>
      <c r="L89" s="807">
        <f>M10*0.6/3</f>
        <v>11.399999999999999</v>
      </c>
      <c r="M89" s="1034">
        <f>(C89+D89+E89+F89+G89)*L89</f>
        <v>512.99999999999989</v>
      </c>
      <c r="N89" s="1035">
        <f>J89*L89</f>
        <v>0</v>
      </c>
      <c r="O89" s="1035">
        <f>K89*L89</f>
        <v>0</v>
      </c>
      <c r="P89" s="1004">
        <f t="shared" ref="P89" si="13">I89*L89</f>
        <v>65501.036999999989</v>
      </c>
      <c r="Q89" s="491">
        <f>(I89+J89+K89)*L89</f>
        <v>65501.036999999989</v>
      </c>
      <c r="R89" s="76" t="s">
        <v>200</v>
      </c>
      <c r="S89" s="62">
        <f>IF($R89="RP",L89,"")</f>
        <v>11.399999999999999</v>
      </c>
      <c r="T89" s="62">
        <f>IF($R89="RP",M89,"")</f>
        <v>512.99999999999989</v>
      </c>
      <c r="U89" s="62">
        <f>IF($R89="RP",SUM(N89:O89),"")</f>
        <v>0</v>
      </c>
      <c r="V89" s="62" t="str">
        <f>IF($R89="RK",L89,"")</f>
        <v/>
      </c>
      <c r="W89" s="62" t="str">
        <f>IF($R89="RK",M89,"")</f>
        <v/>
      </c>
      <c r="X89" s="80" t="str">
        <f>IF($R89="Rk",SUM(N89:O89),"")</f>
        <v/>
      </c>
      <c r="AE89" s="2"/>
    </row>
    <row r="90" spans="1:253" s="2" customFormat="1" ht="12.65" customHeight="1" x14ac:dyDescent="0.25">
      <c r="A90" s="880" t="s">
        <v>772</v>
      </c>
      <c r="B90" s="944"/>
      <c r="C90" s="783"/>
      <c r="D90" s="1036"/>
      <c r="E90" s="1037"/>
      <c r="F90" s="1037"/>
      <c r="G90" s="1037"/>
      <c r="H90" s="1037"/>
      <c r="I90" s="1038"/>
      <c r="J90" s="1039"/>
      <c r="K90" s="1040"/>
      <c r="L90" s="1041"/>
      <c r="M90" s="1042"/>
      <c r="N90" s="1043"/>
      <c r="O90" s="1043"/>
      <c r="P90" s="1044"/>
      <c r="Q90" s="25"/>
      <c r="R90" s="124"/>
      <c r="S90" s="46"/>
      <c r="T90" s="46"/>
      <c r="V90" s="67"/>
      <c r="W90" s="46"/>
      <c r="X90" s="78"/>
      <c r="Y90" s="1"/>
      <c r="Z90" s="1"/>
      <c r="AA90" s="1"/>
      <c r="AB90" s="1"/>
      <c r="AC90" s="1"/>
      <c r="AD90" s="1"/>
      <c r="IP90" s="1"/>
      <c r="IQ90" s="1"/>
      <c r="IR90" s="1"/>
      <c r="IS90" s="1"/>
    </row>
    <row r="91" spans="1:253" s="2" customFormat="1" ht="12.65" customHeight="1" x14ac:dyDescent="0.25">
      <c r="A91" s="996"/>
      <c r="B91" s="1007" t="s">
        <v>661</v>
      </c>
      <c r="C91" s="1008"/>
      <c r="D91" s="981"/>
      <c r="E91" s="981"/>
      <c r="F91" s="981"/>
      <c r="G91" s="981"/>
      <c r="H91" s="981"/>
      <c r="I91" s="999"/>
      <c r="J91" s="1000"/>
      <c r="K91" s="1000"/>
      <c r="L91" s="1045"/>
      <c r="M91" s="1017"/>
      <c r="N91" s="975"/>
      <c r="O91" s="975"/>
      <c r="P91" s="983"/>
      <c r="Q91" s="15"/>
      <c r="R91" s="124"/>
      <c r="S91" s="46"/>
      <c r="T91" s="46"/>
      <c r="V91" s="67"/>
      <c r="W91" s="46"/>
      <c r="X91" s="78"/>
      <c r="Y91" s="1"/>
      <c r="Z91" s="1"/>
      <c r="AA91" s="1"/>
      <c r="AB91" s="1"/>
      <c r="AC91" s="1"/>
      <c r="AD91" s="1"/>
      <c r="IP91" s="1"/>
      <c r="IQ91" s="1"/>
      <c r="IR91" s="1"/>
      <c r="IS91" s="1"/>
    </row>
    <row r="92" spans="1:253" s="2" customFormat="1" ht="12.65" customHeight="1" x14ac:dyDescent="0.25">
      <c r="A92" s="761"/>
      <c r="B92" s="1007" t="s">
        <v>47</v>
      </c>
      <c r="C92" s="1008"/>
      <c r="D92" s="981"/>
      <c r="E92" s="981"/>
      <c r="F92" s="981"/>
      <c r="G92" s="981"/>
      <c r="H92" s="981"/>
      <c r="I92" s="999"/>
      <c r="J92" s="1000"/>
      <c r="K92" s="1000"/>
      <c r="L92" s="1045"/>
      <c r="M92" s="1017"/>
      <c r="N92" s="975"/>
      <c r="O92" s="975"/>
      <c r="P92" s="983"/>
      <c r="Q92" s="15"/>
      <c r="R92" s="124"/>
      <c r="S92" s="46"/>
      <c r="T92" s="46"/>
      <c r="V92" s="67"/>
      <c r="W92" s="46"/>
      <c r="X92" s="78"/>
      <c r="Y92" s="1"/>
      <c r="Z92" s="1"/>
      <c r="AA92" s="1"/>
      <c r="AB92" s="1"/>
      <c r="AC92" s="1"/>
      <c r="AD92" s="1"/>
      <c r="IP92" s="1"/>
      <c r="IQ92" s="1"/>
      <c r="IR92" s="1"/>
      <c r="IS92" s="1"/>
    </row>
    <row r="93" spans="1:253" s="2" customFormat="1" ht="12.65" customHeight="1" x14ac:dyDescent="0.25">
      <c r="A93" s="862"/>
      <c r="B93" s="1007" t="s">
        <v>48</v>
      </c>
      <c r="C93" s="981">
        <v>0</v>
      </c>
      <c r="D93" s="981">
        <v>2</v>
      </c>
      <c r="E93" s="981">
        <v>40</v>
      </c>
      <c r="F93" s="981">
        <v>4</v>
      </c>
      <c r="G93" s="1046">
        <v>0</v>
      </c>
      <c r="H93" s="803">
        <f>SUM(C93:G93)</f>
        <v>46</v>
      </c>
      <c r="I93" s="999">
        <f>((C93*$C$5)+(D93*$D$5)+(E93*$E$5)+(F93*$F$5)+(G93*$G$5))</f>
        <v>5522.9580000000005</v>
      </c>
      <c r="J93" s="1000">
        <v>0</v>
      </c>
      <c r="K93" s="1000">
        <v>60000</v>
      </c>
      <c r="L93" s="1047">
        <f>M10*0.6</f>
        <v>34.199999999999996</v>
      </c>
      <c r="M93" s="916">
        <f>(C93+D93+E93+F93+G93)*L93</f>
        <v>1573.1999999999998</v>
      </c>
      <c r="N93" s="809">
        <f>J93*L93</f>
        <v>0</v>
      </c>
      <c r="O93" s="809">
        <f>K93*L93</f>
        <v>2051999.9999999998</v>
      </c>
      <c r="P93" s="839">
        <f t="shared" ref="P93:P96" si="14">I93*L93</f>
        <v>188885.1636</v>
      </c>
      <c r="Q93" s="15">
        <f>(I93+J93+K93)*L93</f>
        <v>2240885.1635999996</v>
      </c>
      <c r="R93" s="76" t="s">
        <v>200</v>
      </c>
      <c r="S93" s="62">
        <f t="shared" ref="S93:T96" si="15">IF($R93="RP",L93,"")</f>
        <v>34.199999999999996</v>
      </c>
      <c r="T93" s="62">
        <f t="shared" si="15"/>
        <v>1573.1999999999998</v>
      </c>
      <c r="U93" s="62">
        <f>IF($R93="RP",SUM(N93:O93),"")</f>
        <v>2051999.9999999998</v>
      </c>
      <c r="V93" s="62" t="str">
        <f t="shared" ref="V93:W96" si="16">IF($R93="RK",L93,"")</f>
        <v/>
      </c>
      <c r="W93" s="62" t="str">
        <f t="shared" si="16"/>
        <v/>
      </c>
      <c r="X93" s="80" t="str">
        <f>IF($R93="Rk",SUM(N93:O93),"")</f>
        <v/>
      </c>
      <c r="Y93" s="1"/>
      <c r="Z93" s="1"/>
      <c r="AA93" s="1"/>
      <c r="AB93" s="1"/>
      <c r="AC93" s="1"/>
      <c r="AD93" s="1"/>
      <c r="IP93" s="1"/>
      <c r="IQ93" s="1"/>
      <c r="IR93" s="1"/>
      <c r="IS93" s="1"/>
    </row>
    <row r="94" spans="1:253" s="2" customFormat="1" ht="12.65" customHeight="1" x14ac:dyDescent="0.25">
      <c r="A94" s="911"/>
      <c r="B94" s="1019" t="s">
        <v>660</v>
      </c>
      <c r="C94" s="1020">
        <v>0</v>
      </c>
      <c r="D94" s="1048">
        <v>0.5</v>
      </c>
      <c r="E94" s="1048">
        <v>10</v>
      </c>
      <c r="F94" s="1048">
        <v>1</v>
      </c>
      <c r="G94" s="1048">
        <v>0</v>
      </c>
      <c r="H94" s="842">
        <f>SUM(C94:G94)</f>
        <v>11.5</v>
      </c>
      <c r="I94" s="1049">
        <f>((C94*$C$5)+(D94*$D$5)+(E94*$E$5)+(F94*$F$5)+(G94*$G$5))</f>
        <v>1380.7395000000001</v>
      </c>
      <c r="J94" s="826">
        <v>0</v>
      </c>
      <c r="K94" s="826">
        <v>5000</v>
      </c>
      <c r="L94" s="1050">
        <v>1</v>
      </c>
      <c r="M94" s="1051">
        <f>(C94+D94+E94+F94+G94)*L94</f>
        <v>11.5</v>
      </c>
      <c r="N94" s="1052">
        <f>J94*L94</f>
        <v>0</v>
      </c>
      <c r="O94" s="1053">
        <f>K94*L94</f>
        <v>5000</v>
      </c>
      <c r="P94" s="839">
        <f t="shared" si="14"/>
        <v>1380.7395000000001</v>
      </c>
      <c r="Q94" s="16">
        <f>(I94+J94+K94)*L94</f>
        <v>6380.7394999999997</v>
      </c>
      <c r="R94" s="76" t="s">
        <v>200</v>
      </c>
      <c r="S94" s="62">
        <f t="shared" si="15"/>
        <v>1</v>
      </c>
      <c r="T94" s="62">
        <f t="shared" si="15"/>
        <v>11.5</v>
      </c>
      <c r="U94" s="62">
        <f>IF($R94="RP",SUM(N94:O94),"")</f>
        <v>5000</v>
      </c>
      <c r="V94" s="62" t="str">
        <f t="shared" si="16"/>
        <v/>
      </c>
      <c r="W94" s="62" t="str">
        <f t="shared" si="16"/>
        <v/>
      </c>
      <c r="X94" s="80" t="str">
        <f>IF($R94="Rk",SUM(N94:O94),"")</f>
        <v/>
      </c>
      <c r="Y94" s="1"/>
      <c r="Z94" s="1"/>
      <c r="AA94" s="1"/>
      <c r="AB94" s="1"/>
      <c r="AC94" s="1"/>
      <c r="AD94" s="1"/>
      <c r="IP94" s="1"/>
      <c r="IQ94" s="1"/>
      <c r="IR94" s="1"/>
      <c r="IS94" s="1"/>
    </row>
    <row r="95" spans="1:253" s="2" customFormat="1" ht="12.65" customHeight="1" x14ac:dyDescent="0.25">
      <c r="A95" s="911"/>
      <c r="B95" s="1019" t="s">
        <v>105</v>
      </c>
      <c r="C95" s="1020">
        <v>0</v>
      </c>
      <c r="D95" s="1048">
        <v>1</v>
      </c>
      <c r="E95" s="1048">
        <v>1</v>
      </c>
      <c r="F95" s="1048">
        <v>1</v>
      </c>
      <c r="G95" s="1048">
        <v>0</v>
      </c>
      <c r="H95" s="842">
        <f>SUM(C95:G95)</f>
        <v>3</v>
      </c>
      <c r="I95" s="1049">
        <f>((C95*$C$5)+(D95*$D$5)+(E95*$E$5)+(F95*$F$5)+(G95*$G$5))</f>
        <v>344.06400000000002</v>
      </c>
      <c r="J95" s="826">
        <v>0</v>
      </c>
      <c r="K95" s="826">
        <v>8</v>
      </c>
      <c r="L95" s="1050">
        <f>M10*0.2</f>
        <v>11.4</v>
      </c>
      <c r="M95" s="1054">
        <f>(C95+D95+E95+F95+G95)*L95</f>
        <v>34.200000000000003</v>
      </c>
      <c r="N95" s="945">
        <f>J95*L95</f>
        <v>0</v>
      </c>
      <c r="O95" s="945">
        <f>K95*L95</f>
        <v>91.2</v>
      </c>
      <c r="P95" s="839">
        <f t="shared" si="14"/>
        <v>3922.3296000000005</v>
      </c>
      <c r="Q95" s="16">
        <f>(I95+J95+K95)*L95</f>
        <v>4013.5296000000003</v>
      </c>
      <c r="R95" s="76" t="s">
        <v>200</v>
      </c>
      <c r="S95" s="62">
        <f t="shared" si="15"/>
        <v>11.4</v>
      </c>
      <c r="T95" s="62">
        <f t="shared" si="15"/>
        <v>34.200000000000003</v>
      </c>
      <c r="U95" s="62">
        <f>IF($R95="RP",SUM(N95:O95),"")</f>
        <v>91.2</v>
      </c>
      <c r="V95" s="62" t="str">
        <f t="shared" si="16"/>
        <v/>
      </c>
      <c r="W95" s="62" t="str">
        <f t="shared" si="16"/>
        <v/>
      </c>
      <c r="X95" s="80" t="str">
        <f>IF($R95="Rk",SUM(N95:O95),"")</f>
        <v/>
      </c>
      <c r="Y95" s="1"/>
      <c r="Z95" s="1"/>
      <c r="AA95" s="1"/>
      <c r="AB95" s="1"/>
      <c r="AC95" s="1"/>
      <c r="AD95" s="1"/>
      <c r="IP95" s="1"/>
      <c r="IQ95" s="1"/>
      <c r="IR95" s="1"/>
      <c r="IS95" s="1"/>
    </row>
    <row r="96" spans="1:253" s="2" customFormat="1" ht="12.65" customHeight="1" x14ac:dyDescent="0.25">
      <c r="A96" s="870"/>
      <c r="B96" s="1055" t="s">
        <v>106</v>
      </c>
      <c r="C96" s="1008">
        <v>0</v>
      </c>
      <c r="D96" s="981">
        <v>1</v>
      </c>
      <c r="E96" s="981">
        <v>1</v>
      </c>
      <c r="F96" s="981">
        <v>1</v>
      </c>
      <c r="G96" s="981">
        <v>0</v>
      </c>
      <c r="H96" s="803">
        <f>SUM(C96:G96)</f>
        <v>3</v>
      </c>
      <c r="I96" s="999">
        <f>((C96*$C$5)+(D96*$D$5)+(E96*$E$5)+(F96*$F$5)+(G96*$G$5))</f>
        <v>344.06400000000002</v>
      </c>
      <c r="J96" s="1000">
        <v>0</v>
      </c>
      <c r="K96" s="1000">
        <v>8</v>
      </c>
      <c r="L96" s="1047">
        <f>M10*0.1</f>
        <v>5.7</v>
      </c>
      <c r="M96" s="916">
        <f>(C96+D96+E96+F96+G96)*L96</f>
        <v>17.100000000000001</v>
      </c>
      <c r="N96" s="975">
        <f>J96*L96</f>
        <v>0</v>
      </c>
      <c r="O96" s="975">
        <f>K96*L96</f>
        <v>45.6</v>
      </c>
      <c r="P96" s="810">
        <f t="shared" si="14"/>
        <v>1961.1648000000002</v>
      </c>
      <c r="Q96" s="15">
        <f>(I96+J96+K96)*L96</f>
        <v>2006.7648000000002</v>
      </c>
      <c r="R96" s="74" t="s">
        <v>200</v>
      </c>
      <c r="S96" s="46">
        <f t="shared" si="15"/>
        <v>5.7</v>
      </c>
      <c r="T96" s="46">
        <f t="shared" si="15"/>
        <v>17.100000000000001</v>
      </c>
      <c r="U96" s="46">
        <f>IF($R96="RP",SUM(N96:O96),"")</f>
        <v>45.6</v>
      </c>
      <c r="V96" s="46" t="str">
        <f t="shared" si="16"/>
        <v/>
      </c>
      <c r="W96" s="46" t="str">
        <f t="shared" si="16"/>
        <v/>
      </c>
      <c r="X96" s="78" t="str">
        <f>IF($R96="Rk",SUM(N96:O96),"")</f>
        <v/>
      </c>
      <c r="Y96" s="1"/>
      <c r="Z96" s="1"/>
      <c r="AA96" s="1"/>
      <c r="AB96" s="1"/>
      <c r="AC96" s="1"/>
      <c r="AD96" s="1"/>
      <c r="IP96" s="1"/>
      <c r="IQ96" s="1"/>
      <c r="IR96" s="1"/>
      <c r="IS96" s="1"/>
    </row>
    <row r="97" spans="1:253" s="2" customFormat="1" ht="12.65" customHeight="1" x14ac:dyDescent="0.25">
      <c r="A97" s="911" t="s">
        <v>773</v>
      </c>
      <c r="B97" s="1056"/>
      <c r="C97" s="1057"/>
      <c r="D97" s="1036"/>
      <c r="E97" s="1037"/>
      <c r="F97" s="1037"/>
      <c r="G97" s="1037"/>
      <c r="H97" s="1037"/>
      <c r="I97" s="1038"/>
      <c r="J97" s="1039"/>
      <c r="K97" s="1040"/>
      <c r="L97" s="1041"/>
      <c r="M97" s="1042"/>
      <c r="N97" s="1043"/>
      <c r="O97" s="1043"/>
      <c r="P97" s="1044"/>
      <c r="Q97" s="85"/>
      <c r="R97" s="126"/>
      <c r="S97" s="64"/>
      <c r="T97" s="64"/>
      <c r="U97" s="18"/>
      <c r="V97" s="71"/>
      <c r="W97" s="64"/>
      <c r="X97" s="86"/>
      <c r="Y97" s="1"/>
      <c r="Z97" s="1"/>
      <c r="AA97" s="1"/>
      <c r="AB97" s="1"/>
      <c r="AC97" s="1"/>
      <c r="AD97" s="1"/>
      <c r="IP97" s="1"/>
      <c r="IQ97" s="1"/>
      <c r="IR97" s="1"/>
      <c r="IS97" s="1"/>
    </row>
    <row r="98" spans="1:253" s="2" customFormat="1" ht="12.65" customHeight="1" x14ac:dyDescent="0.25">
      <c r="A98" s="761"/>
      <c r="B98" s="1007" t="s">
        <v>49</v>
      </c>
      <c r="C98" s="1058"/>
      <c r="D98" s="1059"/>
      <c r="E98" s="1059"/>
      <c r="F98" s="1059"/>
      <c r="G98" s="1059"/>
      <c r="H98" s="1059"/>
      <c r="I98" s="1060"/>
      <c r="J98" s="1061"/>
      <c r="K98" s="1061"/>
      <c r="L98" s="1062"/>
      <c r="M98" s="1063"/>
      <c r="N98" s="1064"/>
      <c r="O98" s="1064"/>
      <c r="P98" s="1065"/>
      <c r="Q98" s="27"/>
      <c r="R98" s="124"/>
      <c r="S98" s="46"/>
      <c r="T98" s="46"/>
      <c r="V98" s="67"/>
      <c r="W98" s="46"/>
      <c r="X98" s="78"/>
      <c r="Y98" s="1"/>
      <c r="Z98" s="1"/>
      <c r="AA98" s="1"/>
      <c r="AB98" s="1"/>
      <c r="AC98" s="1"/>
      <c r="AD98" s="1"/>
      <c r="IP98" s="1"/>
      <c r="IQ98" s="1"/>
      <c r="IR98" s="1"/>
      <c r="IS98" s="1"/>
    </row>
    <row r="99" spans="1:253" s="2" customFormat="1" ht="12.65" customHeight="1" x14ac:dyDescent="0.25">
      <c r="A99" s="862"/>
      <c r="B99" s="1007" t="s">
        <v>47</v>
      </c>
      <c r="C99" s="1058"/>
      <c r="D99" s="1059"/>
      <c r="E99" s="1059"/>
      <c r="F99" s="1059"/>
      <c r="G99" s="1059"/>
      <c r="H99" s="1059"/>
      <c r="I99" s="1060"/>
      <c r="J99" s="1061"/>
      <c r="K99" s="1061"/>
      <c r="L99" s="1062"/>
      <c r="M99" s="1063"/>
      <c r="N99" s="1064"/>
      <c r="O99" s="1064"/>
      <c r="P99" s="1065"/>
      <c r="Q99" s="27"/>
      <c r="R99" s="124"/>
      <c r="S99" s="46"/>
      <c r="T99" s="46"/>
      <c r="V99" s="67"/>
      <c r="W99" s="46"/>
      <c r="X99" s="78"/>
      <c r="Y99" s="1"/>
      <c r="Z99" s="1"/>
      <c r="AA99" s="1"/>
      <c r="AB99" s="1"/>
      <c r="AC99" s="1"/>
      <c r="AD99" s="1"/>
      <c r="IP99" s="1"/>
      <c r="IQ99" s="1"/>
      <c r="IR99" s="1"/>
      <c r="IS99" s="1"/>
    </row>
    <row r="100" spans="1:253" s="2" customFormat="1" ht="12.65" customHeight="1" x14ac:dyDescent="0.25">
      <c r="A100" s="880"/>
      <c r="B100" s="921" t="s">
        <v>48</v>
      </c>
      <c r="C100" s="994">
        <v>0</v>
      </c>
      <c r="D100" s="981">
        <v>2</v>
      </c>
      <c r="E100" s="981">
        <v>40</v>
      </c>
      <c r="F100" s="981">
        <v>4</v>
      </c>
      <c r="G100" s="981">
        <v>0</v>
      </c>
      <c r="H100" s="803">
        <f>SUM(C100:G100)</f>
        <v>46</v>
      </c>
      <c r="I100" s="999">
        <f>((C100*$C$5)+(D100*$D$5)+(E100*$E$5)+(F100*$F$5)+(G100*$G$5))</f>
        <v>5522.9580000000005</v>
      </c>
      <c r="J100" s="1000">
        <v>0</v>
      </c>
      <c r="K100" s="1000">
        <v>6000</v>
      </c>
      <c r="L100" s="1047">
        <f>SUM(M2:M5)*60%</f>
        <v>29.4</v>
      </c>
      <c r="M100" s="1002">
        <f>(C100+D100+E100+F100+G100)*L100</f>
        <v>1352.3999999999999</v>
      </c>
      <c r="N100" s="975">
        <f>J100*L100</f>
        <v>0</v>
      </c>
      <c r="O100" s="975">
        <f>K100*L100</f>
        <v>176400</v>
      </c>
      <c r="P100" s="810">
        <f t="shared" ref="P100" si="17">I100*L100</f>
        <v>162374.96520000001</v>
      </c>
      <c r="Q100" s="13">
        <f>(I100+J100+K100)*L100</f>
        <v>338774.96519999998</v>
      </c>
      <c r="R100" s="76" t="s">
        <v>200</v>
      </c>
      <c r="S100" s="62">
        <f>IF($R100="RP",L100,"")</f>
        <v>29.4</v>
      </c>
      <c r="T100" s="62">
        <f>IF($R100="RP",M100,"")</f>
        <v>1352.3999999999999</v>
      </c>
      <c r="U100" s="62">
        <f>IF($R100="RP",SUM(N100:O100),"")</f>
        <v>176400</v>
      </c>
      <c r="V100" s="62" t="str">
        <f>IF($R100="RK",L100,"")</f>
        <v/>
      </c>
      <c r="W100" s="62" t="str">
        <f>IF($R100="RK",M100,"")</f>
        <v/>
      </c>
      <c r="X100" s="80" t="str">
        <f>IF($R100="Rk",SUM(N100:O100),"")</f>
        <v/>
      </c>
      <c r="Y100" s="1"/>
      <c r="Z100" s="1"/>
      <c r="AA100" s="1"/>
      <c r="AB100" s="1"/>
      <c r="AC100" s="1"/>
      <c r="AD100" s="1"/>
      <c r="IP100" s="1"/>
      <c r="IQ100" s="1"/>
      <c r="IR100" s="1"/>
      <c r="IS100" s="1"/>
    </row>
    <row r="101" spans="1:253" s="2" customFormat="1" ht="12.65" customHeight="1" x14ac:dyDescent="0.25">
      <c r="A101" s="831" t="s">
        <v>774</v>
      </c>
      <c r="B101" s="1066"/>
      <c r="C101" s="783"/>
      <c r="D101" s="1036"/>
      <c r="E101" s="1037"/>
      <c r="F101" s="1037"/>
      <c r="G101" s="1037"/>
      <c r="H101" s="1037"/>
      <c r="I101" s="1038"/>
      <c r="J101" s="1039"/>
      <c r="K101" s="1040"/>
      <c r="L101" s="1041"/>
      <c r="M101" s="1042"/>
      <c r="N101" s="1043"/>
      <c r="O101" s="1043"/>
      <c r="P101" s="1044"/>
      <c r="Q101" s="25"/>
      <c r="R101" s="76"/>
      <c r="S101" s="62"/>
      <c r="T101" s="62"/>
      <c r="U101" s="21"/>
      <c r="V101" s="68"/>
      <c r="W101" s="62"/>
      <c r="X101" s="80"/>
      <c r="Y101" s="1"/>
      <c r="Z101" s="1"/>
      <c r="AA101" s="1"/>
      <c r="AB101" s="1"/>
      <c r="AC101" s="1"/>
      <c r="AD101" s="1"/>
      <c r="IP101" s="1"/>
      <c r="IQ101" s="1"/>
      <c r="IR101" s="1"/>
      <c r="IS101" s="1"/>
    </row>
    <row r="102" spans="1:253" s="2" customFormat="1" ht="12.65" customHeight="1" x14ac:dyDescent="0.25">
      <c r="A102" s="996"/>
      <c r="B102" s="1007" t="s">
        <v>50</v>
      </c>
      <c r="C102" s="1058"/>
      <c r="D102" s="1059"/>
      <c r="E102" s="1059"/>
      <c r="F102" s="1059"/>
      <c r="G102" s="1059"/>
      <c r="H102" s="1059"/>
      <c r="I102" s="1060"/>
      <c r="J102" s="1061"/>
      <c r="K102" s="1061"/>
      <c r="L102" s="1067"/>
      <c r="M102" s="1063"/>
      <c r="N102" s="1064"/>
      <c r="O102" s="1064"/>
      <c r="P102" s="1065"/>
      <c r="Q102" s="27"/>
      <c r="R102" s="124"/>
      <c r="S102" s="46"/>
      <c r="T102" s="46"/>
      <c r="V102" s="67"/>
      <c r="W102" s="46"/>
      <c r="X102" s="78"/>
      <c r="Y102" s="1"/>
      <c r="Z102" s="1"/>
      <c r="AA102" s="1"/>
      <c r="AB102" s="1"/>
      <c r="AC102" s="1"/>
      <c r="AD102" s="1"/>
      <c r="IP102" s="1"/>
      <c r="IQ102" s="1"/>
      <c r="IR102" s="1"/>
      <c r="IS102" s="1"/>
    </row>
    <row r="103" spans="1:253" s="2" customFormat="1" ht="12.65" customHeight="1" x14ac:dyDescent="0.25">
      <c r="A103" s="862"/>
      <c r="B103" s="1007" t="s">
        <v>51</v>
      </c>
      <c r="C103" s="1058"/>
      <c r="D103" s="1059"/>
      <c r="E103" s="1059"/>
      <c r="F103" s="1059"/>
      <c r="G103" s="1059"/>
      <c r="H103" s="1059"/>
      <c r="I103" s="1060"/>
      <c r="J103" s="1061"/>
      <c r="K103" s="1061"/>
      <c r="L103" s="1067"/>
      <c r="M103" s="1063"/>
      <c r="N103" s="1064"/>
      <c r="O103" s="1064"/>
      <c r="P103" s="1065"/>
      <c r="Q103" s="27"/>
      <c r="R103" s="124"/>
      <c r="S103" s="46"/>
      <c r="T103" s="46"/>
      <c r="V103" s="67"/>
      <c r="W103" s="46"/>
      <c r="X103" s="78"/>
      <c r="Y103" s="1"/>
      <c r="Z103" s="1"/>
      <c r="AA103" s="1"/>
      <c r="AB103" s="1"/>
      <c r="AC103" s="1"/>
      <c r="AD103" s="1"/>
      <c r="IP103" s="1"/>
      <c r="IQ103" s="1"/>
      <c r="IR103" s="1"/>
      <c r="IS103" s="1"/>
    </row>
    <row r="104" spans="1:253" s="2" customFormat="1" ht="12.65" customHeight="1" x14ac:dyDescent="0.25">
      <c r="A104" s="880"/>
      <c r="B104" s="921" t="s">
        <v>20</v>
      </c>
      <c r="C104" s="994">
        <v>0</v>
      </c>
      <c r="D104" s="981">
        <v>1</v>
      </c>
      <c r="E104" s="981">
        <v>8</v>
      </c>
      <c r="F104" s="981">
        <v>2</v>
      </c>
      <c r="G104" s="981">
        <v>0</v>
      </c>
      <c r="H104" s="981">
        <f>SUM(C104:G104)</f>
        <v>11</v>
      </c>
      <c r="I104" s="999">
        <f>((C104*$C$5)+(D104*$D$5)+(E104*$E$5)+(F104*$F$5)+(G104*$G$5))</f>
        <v>1274.1750000000002</v>
      </c>
      <c r="J104" s="1000">
        <v>0</v>
      </c>
      <c r="K104" s="1000">
        <v>8</v>
      </c>
      <c r="L104" s="1047">
        <f>0.1*M10</f>
        <v>5.7</v>
      </c>
      <c r="M104" s="1002">
        <f>(C104+D104+E104+F104+G104)*L104</f>
        <v>62.7</v>
      </c>
      <c r="N104" s="975">
        <f>J104*L104</f>
        <v>0</v>
      </c>
      <c r="O104" s="975">
        <f>K104*L104</f>
        <v>45.6</v>
      </c>
      <c r="P104" s="810">
        <f t="shared" ref="P104" si="18">I104*L104</f>
        <v>7262.7975000000015</v>
      </c>
      <c r="Q104" s="13">
        <f>(I104+J104+K104)*L104</f>
        <v>7308.3975000000009</v>
      </c>
      <c r="R104" s="76" t="s">
        <v>200</v>
      </c>
      <c r="S104" s="62">
        <f>IF($R104="RP",L104,"")</f>
        <v>5.7</v>
      </c>
      <c r="T104" s="62">
        <f>IF($R104="RP",M104,"")</f>
        <v>62.7</v>
      </c>
      <c r="U104" s="62">
        <f>IF($R104="RP",SUM(N104:O104),"")</f>
        <v>45.6</v>
      </c>
      <c r="V104" s="62" t="str">
        <f>IF($R104="RK",L104,"")</f>
        <v/>
      </c>
      <c r="W104" s="62" t="str">
        <f>IF($R104="RK",M104,"")</f>
        <v/>
      </c>
      <c r="X104" s="80" t="str">
        <f>IF($R104="Rk",SUM(N104:O104),"")</f>
        <v/>
      </c>
      <c r="Y104" s="1"/>
      <c r="Z104" s="1"/>
      <c r="AA104" s="1"/>
      <c r="AB104" s="1"/>
      <c r="AC104" s="1"/>
      <c r="AD104" s="1"/>
      <c r="IP104" s="1"/>
      <c r="IQ104" s="1"/>
      <c r="IR104" s="1"/>
      <c r="IS104" s="1"/>
    </row>
    <row r="105" spans="1:253" s="2" customFormat="1" ht="34.5" customHeight="1" x14ac:dyDescent="0.25">
      <c r="A105" s="1331" t="s">
        <v>775</v>
      </c>
      <c r="B105" s="1332"/>
      <c r="C105" s="783"/>
      <c r="D105" s="1036"/>
      <c r="E105" s="1037"/>
      <c r="F105" s="1037"/>
      <c r="G105" s="1037"/>
      <c r="H105" s="1037"/>
      <c r="I105" s="1038"/>
      <c r="J105" s="1039"/>
      <c r="K105" s="1040"/>
      <c r="L105" s="1041"/>
      <c r="M105" s="1042"/>
      <c r="N105" s="1043"/>
      <c r="O105" s="1043"/>
      <c r="P105" s="1044"/>
      <c r="Q105" s="25"/>
      <c r="R105" s="124"/>
      <c r="S105" s="46"/>
      <c r="T105" s="46"/>
      <c r="V105" s="67"/>
      <c r="W105" s="46"/>
      <c r="X105" s="78"/>
      <c r="Y105" s="1"/>
      <c r="Z105" s="1"/>
      <c r="AA105" s="1"/>
      <c r="AB105" s="1"/>
      <c r="AC105" s="1"/>
      <c r="AD105" s="1"/>
      <c r="IP105" s="1"/>
      <c r="IQ105" s="1"/>
      <c r="IR105" s="1"/>
      <c r="IS105" s="1"/>
    </row>
    <row r="106" spans="1:253" s="2" customFormat="1" ht="12.65" customHeight="1" x14ac:dyDescent="0.25">
      <c r="A106" s="996"/>
      <c r="B106" s="1007" t="s">
        <v>52</v>
      </c>
      <c r="C106" s="1058"/>
      <c r="D106" s="1059"/>
      <c r="E106" s="1059"/>
      <c r="F106" s="1059"/>
      <c r="G106" s="1059"/>
      <c r="H106" s="1059"/>
      <c r="I106" s="1060"/>
      <c r="J106" s="1061"/>
      <c r="K106" s="1061"/>
      <c r="L106" s="1067"/>
      <c r="M106" s="1063"/>
      <c r="N106" s="1064"/>
      <c r="O106" s="1064"/>
      <c r="P106" s="1065"/>
      <c r="Q106" s="27"/>
      <c r="R106" s="124"/>
      <c r="S106" s="46"/>
      <c r="T106" s="46"/>
      <c r="V106" s="67"/>
      <c r="W106" s="46"/>
      <c r="X106" s="78"/>
      <c r="Y106" s="1"/>
      <c r="Z106" s="1"/>
      <c r="AA106" s="1"/>
      <c r="AB106" s="1"/>
      <c r="AC106" s="1"/>
      <c r="AD106" s="1"/>
      <c r="IP106" s="1"/>
      <c r="IQ106" s="1"/>
      <c r="IR106" s="1"/>
      <c r="IS106" s="1"/>
    </row>
    <row r="107" spans="1:253" s="2" customFormat="1" ht="12.65" customHeight="1" x14ac:dyDescent="0.25">
      <c r="A107" s="880"/>
      <c r="B107" s="921" t="s">
        <v>53</v>
      </c>
      <c r="C107" s="994">
        <v>0</v>
      </c>
      <c r="D107" s="989">
        <v>1</v>
      </c>
      <c r="E107" s="989">
        <v>4</v>
      </c>
      <c r="F107" s="989">
        <v>1</v>
      </c>
      <c r="G107" s="989">
        <v>0</v>
      </c>
      <c r="H107" s="989">
        <f>SUM(C107:G107)</f>
        <v>6</v>
      </c>
      <c r="I107" s="1068">
        <f>((C107*$C$5)+(D107*$D$5)+(E107*$E$5)+(F107*$F$5)+(G107*$G$5))</f>
        <v>715.8900000000001</v>
      </c>
      <c r="J107" s="906">
        <v>0</v>
      </c>
      <c r="K107" s="906">
        <v>1</v>
      </c>
      <c r="L107" s="1069">
        <f>M10*60%</f>
        <v>34.199999999999996</v>
      </c>
      <c r="M107" s="1070">
        <f>(C107+D107+E107+F107+G107)*L107</f>
        <v>205.2</v>
      </c>
      <c r="N107" s="1013">
        <f>J107*L107</f>
        <v>0</v>
      </c>
      <c r="O107" s="1013">
        <f>K107*L107</f>
        <v>34.199999999999996</v>
      </c>
      <c r="P107" s="839">
        <f t="shared" ref="P107" si="19">I107*L107</f>
        <v>24483.438000000002</v>
      </c>
      <c r="Q107" s="13">
        <f>(I107+J107+K107)*L107</f>
        <v>24517.637999999999</v>
      </c>
      <c r="R107" s="76" t="s">
        <v>200</v>
      </c>
      <c r="S107" s="62">
        <f>IF($R107="RP",L107,"")</f>
        <v>34.199999999999996</v>
      </c>
      <c r="T107" s="62">
        <f>IF($R107="RP",M107,"")</f>
        <v>205.2</v>
      </c>
      <c r="U107" s="62">
        <f>IF($R107="RP",SUM(N107:O107),"")</f>
        <v>34.199999999999996</v>
      </c>
      <c r="V107" s="62" t="str">
        <f>IF($R107="RK",L107,"")</f>
        <v/>
      </c>
      <c r="W107" s="62" t="str">
        <f>IF($R107="RK",M107,"")</f>
        <v/>
      </c>
      <c r="X107" s="80" t="str">
        <f>IF($R107="Rk",SUM(N107:O107),"")</f>
        <v/>
      </c>
      <c r="Y107" s="1"/>
      <c r="Z107" s="1"/>
      <c r="AA107" s="1"/>
      <c r="AB107" s="1"/>
      <c r="AC107" s="1"/>
      <c r="AD107" s="1"/>
      <c r="IP107" s="1"/>
      <c r="IQ107" s="1"/>
      <c r="IR107" s="1"/>
      <c r="IS107" s="1"/>
    </row>
    <row r="108" spans="1:253" s="2" customFormat="1" ht="12.65" customHeight="1" x14ac:dyDescent="0.25">
      <c r="A108" s="761"/>
      <c r="B108" s="1007" t="s">
        <v>54</v>
      </c>
      <c r="C108" s="1008"/>
      <c r="D108" s="981"/>
      <c r="E108" s="981"/>
      <c r="F108" s="981"/>
      <c r="G108" s="981"/>
      <c r="H108" s="981"/>
      <c r="I108" s="999"/>
      <c r="J108" s="1000"/>
      <c r="K108" s="1000"/>
      <c r="L108" s="1045"/>
      <c r="M108" s="1017"/>
      <c r="N108" s="975"/>
      <c r="O108" s="975"/>
      <c r="P108" s="983"/>
      <c r="Q108" s="15"/>
      <c r="R108" s="124"/>
      <c r="S108" s="46"/>
      <c r="T108" s="46"/>
      <c r="V108" s="67"/>
      <c r="W108" s="46"/>
      <c r="X108" s="78"/>
      <c r="Y108" s="1"/>
      <c r="Z108" s="1"/>
      <c r="AA108" s="1"/>
      <c r="AB108" s="1"/>
      <c r="AC108" s="1"/>
      <c r="AD108" s="1"/>
      <c r="IP108" s="1"/>
      <c r="IQ108" s="1"/>
      <c r="IR108" s="1"/>
      <c r="IS108" s="1"/>
    </row>
    <row r="109" spans="1:253" s="2" customFormat="1" ht="12.65" customHeight="1" x14ac:dyDescent="0.25">
      <c r="A109" s="880"/>
      <c r="B109" s="921" t="s">
        <v>55</v>
      </c>
      <c r="C109" s="994">
        <v>0</v>
      </c>
      <c r="D109" s="989">
        <v>1</v>
      </c>
      <c r="E109" s="989">
        <v>4</v>
      </c>
      <c r="F109" s="989">
        <v>1</v>
      </c>
      <c r="G109" s="989">
        <v>0</v>
      </c>
      <c r="H109" s="989">
        <f>SUM(C109:G109)</f>
        <v>6</v>
      </c>
      <c r="I109" s="1068">
        <f>((C109*$C$5)+(D109*$D$5)+(E109*$E$5)+(F109*$F$5)+(G109*$G$5))</f>
        <v>715.8900000000001</v>
      </c>
      <c r="J109" s="906">
        <v>0</v>
      </c>
      <c r="K109" s="906">
        <v>1</v>
      </c>
      <c r="L109" s="1071">
        <f>0.1*L107</f>
        <v>3.42</v>
      </c>
      <c r="M109" s="1072">
        <f>(C109+D109+E109+F109+G109)*L109</f>
        <v>20.52</v>
      </c>
      <c r="N109" s="1013">
        <f>J109*L109</f>
        <v>0</v>
      </c>
      <c r="O109" s="1013">
        <f>K109*L109</f>
        <v>3.42</v>
      </c>
      <c r="P109" s="839">
        <f t="shared" ref="P109" si="20">I109*L109</f>
        <v>2448.3438000000001</v>
      </c>
      <c r="Q109" s="13">
        <f>(I109+J109+K109)*L109</f>
        <v>2451.7638000000002</v>
      </c>
      <c r="R109" s="76" t="s">
        <v>200</v>
      </c>
      <c r="S109" s="62">
        <f>IF($R109="RP",L109,"")</f>
        <v>3.42</v>
      </c>
      <c r="T109" s="62">
        <f>IF($R109="RP",M109,"")</f>
        <v>20.52</v>
      </c>
      <c r="U109" s="62">
        <f>IF($R109="RP",SUM(N109:O109),"")</f>
        <v>3.42</v>
      </c>
      <c r="V109" s="62" t="str">
        <f>IF($R109="RK",L109,"")</f>
        <v/>
      </c>
      <c r="W109" s="62" t="str">
        <f>IF($R109="RK",M109,"")</f>
        <v/>
      </c>
      <c r="X109" s="80" t="str">
        <f>IF($R109="Rk",SUM(N109:O109),"")</f>
        <v/>
      </c>
      <c r="Y109" s="1"/>
      <c r="Z109" s="1"/>
      <c r="AA109" s="1"/>
      <c r="AB109" s="1"/>
      <c r="AC109" s="1"/>
      <c r="AD109" s="1"/>
      <c r="IP109" s="1"/>
      <c r="IQ109" s="1"/>
      <c r="IR109" s="1"/>
      <c r="IS109" s="1"/>
    </row>
    <row r="110" spans="1:253" s="2" customFormat="1" ht="12.65" customHeight="1" x14ac:dyDescent="0.25">
      <c r="A110" s="862"/>
      <c r="B110" s="1073" t="s">
        <v>56</v>
      </c>
      <c r="C110" s="981"/>
      <c r="D110" s="981"/>
      <c r="E110" s="981"/>
      <c r="F110" s="981"/>
      <c r="G110" s="981"/>
      <c r="H110" s="981"/>
      <c r="I110" s="999"/>
      <c r="J110" s="1000"/>
      <c r="K110" s="1000"/>
      <c r="L110" s="1045"/>
      <c r="M110" s="1017"/>
      <c r="N110" s="975"/>
      <c r="O110" s="975"/>
      <c r="P110" s="983"/>
      <c r="Q110" s="15"/>
      <c r="R110" s="124"/>
      <c r="S110" s="46"/>
      <c r="T110" s="46"/>
      <c r="V110" s="67"/>
      <c r="W110" s="46"/>
      <c r="X110" s="78"/>
      <c r="Y110" s="1"/>
      <c r="Z110" s="1"/>
      <c r="AA110" s="1"/>
      <c r="AB110" s="1"/>
      <c r="AC110" s="1"/>
      <c r="AD110" s="1"/>
      <c r="IP110" s="1"/>
      <c r="IQ110" s="1"/>
      <c r="IR110" s="1"/>
      <c r="IS110" s="1"/>
    </row>
    <row r="111" spans="1:253" s="2" customFormat="1" ht="12.65" customHeight="1" x14ac:dyDescent="0.25">
      <c r="A111" s="880"/>
      <c r="B111" s="1074" t="s">
        <v>57</v>
      </c>
      <c r="C111" s="989">
        <v>0</v>
      </c>
      <c r="D111" s="989">
        <v>7</v>
      </c>
      <c r="E111" s="989">
        <v>110</v>
      </c>
      <c r="F111" s="989">
        <v>12</v>
      </c>
      <c r="G111" s="1075">
        <v>0</v>
      </c>
      <c r="H111" s="989">
        <f>SUM(C111:G111)</f>
        <v>129</v>
      </c>
      <c r="I111" s="1068">
        <f>((C111*$C$5)+(D111*$D$5)+(E111*$E$5)+(F111*$F$5)+(G111*$G$5))</f>
        <v>15487.059000000001</v>
      </c>
      <c r="J111" s="906">
        <v>0</v>
      </c>
      <c r="K111" s="906">
        <v>8</v>
      </c>
      <c r="L111" s="1069">
        <f>M10*0.6</f>
        <v>34.199999999999996</v>
      </c>
      <c r="M111" s="1070">
        <f>(C111+D111+E111+F111+G111)*L111</f>
        <v>4411.7999999999993</v>
      </c>
      <c r="N111" s="1013">
        <f>J111*L111</f>
        <v>0</v>
      </c>
      <c r="O111" s="1013">
        <f>K111*L111</f>
        <v>273.59999999999997</v>
      </c>
      <c r="P111" s="839">
        <f t="shared" ref="P111" si="21">I111*L111</f>
        <v>529657.41779999994</v>
      </c>
      <c r="Q111" s="13">
        <f>(I111+J111+K111)*L111</f>
        <v>529931.01779999991</v>
      </c>
      <c r="R111" s="76" t="s">
        <v>200</v>
      </c>
      <c r="S111" s="62">
        <f>IF($R111="RP",L111,"")</f>
        <v>34.199999999999996</v>
      </c>
      <c r="T111" s="62">
        <f>IF($R111="RP",M111,"")</f>
        <v>4411.7999999999993</v>
      </c>
      <c r="U111" s="62">
        <f>IF($R111="RP",SUM(N111:O111),"")</f>
        <v>273.59999999999997</v>
      </c>
      <c r="V111" s="62" t="str">
        <f>IF($R111="RK",L111,"")</f>
        <v/>
      </c>
      <c r="W111" s="62" t="str">
        <f>IF($R111="RK",M111,"")</f>
        <v/>
      </c>
      <c r="X111" s="80" t="str">
        <f>IF($R111="Rk",SUM(N111:O111),"")</f>
        <v/>
      </c>
      <c r="Y111" s="1"/>
      <c r="Z111" s="1"/>
      <c r="AA111" s="1"/>
      <c r="AB111" s="1"/>
      <c r="AC111" s="1"/>
      <c r="AD111" s="1"/>
      <c r="IP111" s="1"/>
      <c r="IQ111" s="1"/>
      <c r="IR111" s="1"/>
      <c r="IS111" s="1"/>
    </row>
    <row r="112" spans="1:253" s="2" customFormat="1" ht="12.65" customHeight="1" x14ac:dyDescent="0.25">
      <c r="A112" s="761"/>
      <c r="B112" s="1007" t="s">
        <v>58</v>
      </c>
      <c r="C112" s="1008"/>
      <c r="D112" s="981"/>
      <c r="E112" s="981"/>
      <c r="F112" s="981"/>
      <c r="G112" s="981"/>
      <c r="H112" s="981"/>
      <c r="I112" s="999"/>
      <c r="J112" s="1000"/>
      <c r="K112" s="1000"/>
      <c r="L112" s="1045"/>
      <c r="M112" s="1017"/>
      <c r="N112" s="975"/>
      <c r="O112" s="975"/>
      <c r="P112" s="983"/>
      <c r="Q112" s="15"/>
      <c r="R112" s="124"/>
      <c r="S112" s="46"/>
      <c r="T112" s="46"/>
      <c r="V112" s="67"/>
      <c r="W112" s="46"/>
      <c r="X112" s="78"/>
      <c r="Y112" s="1"/>
      <c r="Z112" s="1"/>
      <c r="AA112" s="1"/>
      <c r="AB112" s="1"/>
      <c r="AC112" s="1"/>
      <c r="AD112" s="1"/>
      <c r="IP112" s="1"/>
      <c r="IQ112" s="1"/>
      <c r="IR112" s="1"/>
      <c r="IS112" s="1"/>
    </row>
    <row r="113" spans="1:253" s="2" customFormat="1" ht="12.65" customHeight="1" x14ac:dyDescent="0.25">
      <c r="A113" s="880"/>
      <c r="B113" s="921" t="s">
        <v>30</v>
      </c>
      <c r="C113" s="994">
        <v>0</v>
      </c>
      <c r="D113" s="981">
        <v>2</v>
      </c>
      <c r="E113" s="981">
        <v>30</v>
      </c>
      <c r="F113" s="981">
        <v>10</v>
      </c>
      <c r="G113" s="998">
        <v>0</v>
      </c>
      <c r="H113" s="981">
        <f>SUM(C113:G113)</f>
        <v>42</v>
      </c>
      <c r="I113" s="999">
        <f>((C113*$C$5)+(D113*$D$5)+(E113*$E$5)+(F113*$F$5)+(G113*$G$5))</f>
        <v>4658.6400000000003</v>
      </c>
      <c r="J113" s="1000">
        <v>0</v>
      </c>
      <c r="K113" s="1000">
        <v>8</v>
      </c>
      <c r="L113" s="1045">
        <f>R10*0.6/5</f>
        <v>20.52</v>
      </c>
      <c r="M113" s="1017">
        <f>(C113+D113+E113+F113+G113)*L113</f>
        <v>861.84</v>
      </c>
      <c r="N113" s="975">
        <f>J113*L113</f>
        <v>0</v>
      </c>
      <c r="O113" s="975">
        <f>K113*L113</f>
        <v>164.16</v>
      </c>
      <c r="P113" s="810">
        <f t="shared" ref="P113" si="22">I113*L113</f>
        <v>95595.29280000001</v>
      </c>
      <c r="Q113" s="13">
        <f>(I113+J113+K113)*L113</f>
        <v>95759.452799999999</v>
      </c>
      <c r="R113" s="76" t="s">
        <v>200</v>
      </c>
      <c r="S113" s="62">
        <f>IF($R113="RP",L113,"")</f>
        <v>20.52</v>
      </c>
      <c r="T113" s="62">
        <f>IF($R113="RP",M113,"")</f>
        <v>861.84</v>
      </c>
      <c r="U113" s="62">
        <f>IF($R113="RP",SUM(N113:O113),"")</f>
        <v>164.16</v>
      </c>
      <c r="V113" s="62" t="str">
        <f>IF($R113="RK",L113,"")</f>
        <v/>
      </c>
      <c r="W113" s="62" t="str">
        <f>IF($R113="RK",M113,"")</f>
        <v/>
      </c>
      <c r="X113" s="80" t="str">
        <f>IF($R113="Rk",SUM(N113:O113),"")</f>
        <v/>
      </c>
      <c r="Y113" s="1"/>
      <c r="Z113" s="1"/>
      <c r="AA113" s="1"/>
      <c r="AB113" s="1"/>
      <c r="AC113" s="1"/>
      <c r="AD113" s="1"/>
      <c r="IP113" s="1"/>
      <c r="IQ113" s="1"/>
      <c r="IR113" s="1"/>
      <c r="IS113" s="1"/>
    </row>
    <row r="114" spans="1:253" s="2" customFormat="1" ht="20.5" customHeight="1" x14ac:dyDescent="0.25">
      <c r="A114" s="1343" t="s">
        <v>776</v>
      </c>
      <c r="B114" s="1344"/>
      <c r="C114" s="1076"/>
      <c r="D114" s="853"/>
      <c r="E114" s="854"/>
      <c r="F114" s="854"/>
      <c r="G114" s="854"/>
      <c r="H114" s="854"/>
      <c r="I114" s="855"/>
      <c r="J114" s="856"/>
      <c r="K114" s="857"/>
      <c r="L114" s="858"/>
      <c r="M114" s="1077"/>
      <c r="N114" s="860"/>
      <c r="O114" s="860"/>
      <c r="P114" s="1078"/>
      <c r="Q114" s="28"/>
      <c r="R114" s="124"/>
      <c r="S114" s="46"/>
      <c r="T114" s="46"/>
      <c r="V114" s="67"/>
      <c r="W114" s="46"/>
      <c r="X114" s="78"/>
      <c r="Y114" s="1"/>
      <c r="Z114" s="1"/>
      <c r="AA114" s="1"/>
      <c r="AB114" s="1"/>
      <c r="AC114" s="1"/>
      <c r="AD114" s="1"/>
      <c r="IP114" s="1"/>
      <c r="IQ114" s="1"/>
      <c r="IR114" s="1"/>
      <c r="IS114" s="1"/>
    </row>
    <row r="115" spans="1:253" s="2" customFormat="1" ht="12.65" customHeight="1" x14ac:dyDescent="0.25">
      <c r="A115" s="986"/>
      <c r="B115" s="1079" t="s">
        <v>61</v>
      </c>
      <c r="C115" s="1080">
        <v>0</v>
      </c>
      <c r="D115" s="1081">
        <v>10</v>
      </c>
      <c r="E115" s="1081">
        <v>104</v>
      </c>
      <c r="F115" s="1081">
        <v>16</v>
      </c>
      <c r="G115" s="1082">
        <v>0</v>
      </c>
      <c r="H115" s="1081">
        <v>130</v>
      </c>
      <c r="I115" s="1083">
        <f>((C115*$C$5)+(D115*$D$5)+(E115*$E$5)+(F115*$F$5)+(G115*$G$5))</f>
        <v>15466.29</v>
      </c>
      <c r="J115" s="1084">
        <v>0</v>
      </c>
      <c r="K115" s="1085">
        <v>8</v>
      </c>
      <c r="L115" s="1086">
        <f>M10</f>
        <v>57</v>
      </c>
      <c r="M115" s="1070">
        <f>(C115+D115+E115+F115+G115)*L115</f>
        <v>7410</v>
      </c>
      <c r="N115" s="1013">
        <f>J115*L115</f>
        <v>0</v>
      </c>
      <c r="O115" s="1013">
        <f>K115*L115</f>
        <v>456</v>
      </c>
      <c r="P115" s="1087">
        <f t="shared" ref="P115" si="23">I115*L115</f>
        <v>881578.53</v>
      </c>
      <c r="Q115" s="13">
        <f>(I115+J115+K115)*L115</f>
        <v>882034.53</v>
      </c>
      <c r="R115" s="77" t="s">
        <v>200</v>
      </c>
      <c r="S115" s="64">
        <f>IF($R115="RP",L115,"")</f>
        <v>57</v>
      </c>
      <c r="T115" s="64">
        <f>IF($R115="RP",M115,"")</f>
        <v>7410</v>
      </c>
      <c r="U115" s="64">
        <f>IF($R115="RP",SUM(N115:O115),"")</f>
        <v>456</v>
      </c>
      <c r="V115" s="64" t="str">
        <f>IF($R115="RK",L115,"")</f>
        <v/>
      </c>
      <c r="W115" s="64" t="str">
        <f>IF($R115="RK",M115,"")</f>
        <v/>
      </c>
      <c r="X115" s="81" t="str">
        <f>IF($R115="Rk",SUM(N115:O115),"")</f>
        <v/>
      </c>
      <c r="Y115" s="1"/>
      <c r="Z115" s="1"/>
      <c r="AA115" s="1"/>
      <c r="AB115" s="1"/>
      <c r="AC115" s="1"/>
      <c r="AD115" s="1"/>
      <c r="IP115" s="1"/>
      <c r="IQ115" s="1"/>
      <c r="IR115" s="1"/>
      <c r="IS115" s="1"/>
    </row>
    <row r="116" spans="1:253" s="2" customFormat="1" ht="12.65" customHeight="1" x14ac:dyDescent="0.25">
      <c r="A116" s="862"/>
      <c r="B116" s="863" t="s">
        <v>62</v>
      </c>
      <c r="C116" s="802"/>
      <c r="D116" s="803"/>
      <c r="E116" s="803"/>
      <c r="F116" s="803"/>
      <c r="G116" s="803"/>
      <c r="H116" s="1088"/>
      <c r="I116" s="1089"/>
      <c r="J116" s="805"/>
      <c r="K116" s="923"/>
      <c r="L116" s="1090"/>
      <c r="M116" s="1091"/>
      <c r="N116" s="1092"/>
      <c r="O116" s="1003"/>
      <c r="P116" s="983"/>
      <c r="Q116" s="15"/>
      <c r="R116" s="124"/>
      <c r="S116" s="46"/>
      <c r="T116" s="46"/>
      <c r="V116" s="67"/>
      <c r="W116" s="46"/>
      <c r="X116" s="78"/>
      <c r="Y116" s="1"/>
      <c r="Z116" s="1"/>
      <c r="AA116" s="1"/>
      <c r="AB116" s="1"/>
      <c r="AC116" s="1"/>
      <c r="AD116" s="1"/>
      <c r="IP116" s="1"/>
      <c r="IQ116" s="1"/>
      <c r="IR116" s="1"/>
      <c r="IS116" s="1"/>
    </row>
    <row r="117" spans="1:253" s="2" customFormat="1" ht="12.65" customHeight="1" x14ac:dyDescent="0.25">
      <c r="A117" s="862"/>
      <c r="B117" s="863" t="s">
        <v>63</v>
      </c>
      <c r="C117" s="802">
        <v>0</v>
      </c>
      <c r="D117" s="803">
        <v>0.5</v>
      </c>
      <c r="E117" s="803">
        <v>0</v>
      </c>
      <c r="F117" s="803">
        <v>1</v>
      </c>
      <c r="G117" s="803">
        <v>0</v>
      </c>
      <c r="H117" s="803">
        <v>1.5</v>
      </c>
      <c r="I117" s="999">
        <f>((C117*$C$5)+(D117*$D$5)+(E117*$E$5)+(F117*$F$5)+(G117*$G$5))</f>
        <v>141.31950000000001</v>
      </c>
      <c r="J117" s="805">
        <v>0</v>
      </c>
      <c r="K117" s="923">
        <v>8</v>
      </c>
      <c r="L117" s="807">
        <f>0.1*M10</f>
        <v>5.7</v>
      </c>
      <c r="M117" s="1002">
        <f>(C117+D117+E117+F117+G117)*L117</f>
        <v>8.5500000000000007</v>
      </c>
      <c r="N117" s="975">
        <f>J117*L117</f>
        <v>0</v>
      </c>
      <c r="O117" s="975">
        <f>K117*L117</f>
        <v>45.6</v>
      </c>
      <c r="P117" s="810">
        <f t="shared" ref="P117" si="24">I117*L117</f>
        <v>805.52115000000003</v>
      </c>
      <c r="Q117" s="13">
        <f>(I117+J117+K117)*L117</f>
        <v>851.12115000000006</v>
      </c>
      <c r="R117" s="77" t="s">
        <v>200</v>
      </c>
      <c r="S117" s="64">
        <f>IF($R117="RP",L117,"")</f>
        <v>5.7</v>
      </c>
      <c r="T117" s="64">
        <f>IF($R117="RP",M117,"")</f>
        <v>8.5500000000000007</v>
      </c>
      <c r="U117" s="64">
        <f>IF($R117="RP",SUM(N117:O117),"")</f>
        <v>45.6</v>
      </c>
      <c r="V117" s="64" t="str">
        <f>IF($R117="RK",L117,"")</f>
        <v/>
      </c>
      <c r="W117" s="64" t="str">
        <f>IF($R117="RK",M117,"")</f>
        <v/>
      </c>
      <c r="X117" s="81" t="str">
        <f>IF($R117="Rk",SUM(N117:O117),"")</f>
        <v/>
      </c>
      <c r="Y117" s="1"/>
      <c r="Z117" s="1"/>
      <c r="AA117" s="1"/>
      <c r="AB117" s="1"/>
      <c r="AC117" s="1"/>
      <c r="AD117" s="1"/>
      <c r="IP117" s="1"/>
      <c r="IQ117" s="1"/>
      <c r="IR117" s="1"/>
      <c r="IS117" s="1"/>
    </row>
    <row r="118" spans="1:253" s="2" customFormat="1" ht="24" customHeight="1" x14ac:dyDescent="0.25">
      <c r="A118" s="1341" t="s">
        <v>777</v>
      </c>
      <c r="B118" s="1342"/>
      <c r="C118" s="1076"/>
      <c r="D118" s="853"/>
      <c r="E118" s="854"/>
      <c r="F118" s="854"/>
      <c r="G118" s="854"/>
      <c r="H118" s="854"/>
      <c r="I118" s="855"/>
      <c r="J118" s="856"/>
      <c r="K118" s="857"/>
      <c r="L118" s="1093"/>
      <c r="M118" s="1077"/>
      <c r="N118" s="860"/>
      <c r="O118" s="860"/>
      <c r="P118" s="1078"/>
      <c r="Q118" s="28"/>
      <c r="R118" s="124"/>
      <c r="S118" s="46"/>
      <c r="T118" s="46"/>
      <c r="V118" s="67"/>
      <c r="W118" s="46"/>
      <c r="X118" s="78"/>
      <c r="Y118" s="1"/>
      <c r="Z118" s="1"/>
      <c r="AA118" s="1"/>
      <c r="AB118" s="1"/>
      <c r="AC118" s="1"/>
      <c r="AD118" s="1"/>
      <c r="IP118" s="1"/>
      <c r="IQ118" s="1"/>
      <c r="IR118" s="1"/>
      <c r="IS118" s="1"/>
    </row>
    <row r="119" spans="1:253" s="2" customFormat="1" ht="12.65" customHeight="1" x14ac:dyDescent="0.25">
      <c r="A119" s="761"/>
      <c r="B119" s="863" t="s">
        <v>96</v>
      </c>
      <c r="C119" s="1094"/>
      <c r="D119" s="1095"/>
      <c r="E119" s="1095"/>
      <c r="F119" s="1095"/>
      <c r="G119" s="1095"/>
      <c r="H119" s="1095"/>
      <c r="I119" s="1096"/>
      <c r="J119" s="1097"/>
      <c r="K119" s="1098"/>
      <c r="L119" s="1099"/>
      <c r="M119" s="1100"/>
      <c r="N119" s="1101"/>
      <c r="O119" s="1101"/>
      <c r="P119" s="1102"/>
      <c r="Q119" s="510"/>
      <c r="R119" s="75"/>
      <c r="S119" s="60"/>
      <c r="T119" s="60"/>
      <c r="U119" s="22"/>
      <c r="V119" s="66"/>
      <c r="W119" s="60"/>
      <c r="X119" s="79"/>
      <c r="Y119" s="1"/>
      <c r="Z119" s="1"/>
      <c r="AA119" s="1"/>
      <c r="AB119" s="1"/>
      <c r="AC119" s="1"/>
      <c r="AD119" s="1"/>
      <c r="IP119" s="1"/>
      <c r="IQ119" s="1"/>
      <c r="IR119" s="1"/>
      <c r="IS119" s="1"/>
    </row>
    <row r="120" spans="1:253" s="2" customFormat="1" ht="12.65" customHeight="1" x14ac:dyDescent="0.25">
      <c r="A120" s="862"/>
      <c r="B120" s="863" t="s">
        <v>97</v>
      </c>
      <c r="C120" s="922">
        <v>0</v>
      </c>
      <c r="D120" s="833">
        <v>2</v>
      </c>
      <c r="E120" s="833">
        <v>24</v>
      </c>
      <c r="F120" s="833">
        <v>2</v>
      </c>
      <c r="G120" s="833">
        <v>0</v>
      </c>
      <c r="H120" s="989">
        <f>SUM(C120:G120)</f>
        <v>28</v>
      </c>
      <c r="I120" s="1068">
        <f>((C120*$C$5)+(D120*$D$5)+(E120*$E$5)+(F120*$F$5)+(G120*$G$5))</f>
        <v>3414.8520000000003</v>
      </c>
      <c r="J120" s="835">
        <v>0</v>
      </c>
      <c r="K120" s="806">
        <v>8</v>
      </c>
      <c r="L120" s="836">
        <f>0.1*M10</f>
        <v>5.7</v>
      </c>
      <c r="M120" s="1070">
        <f>(C120+D120+E120+F120+G120)*L120</f>
        <v>159.6</v>
      </c>
      <c r="N120" s="1013">
        <f>J120*L120</f>
        <v>0</v>
      </c>
      <c r="O120" s="1013">
        <f>K120*L120</f>
        <v>45.6</v>
      </c>
      <c r="P120" s="839">
        <f t="shared" ref="P120:P121" si="25">I120*L120</f>
        <v>19464.656400000003</v>
      </c>
      <c r="Q120" s="13">
        <f>(I120+J120+K120)*L120</f>
        <v>19510.256400000002</v>
      </c>
      <c r="R120" s="76" t="s">
        <v>200</v>
      </c>
      <c r="S120" s="62">
        <f>IF($R120="RP",L120,"")</f>
        <v>5.7</v>
      </c>
      <c r="T120" s="62">
        <f>IF($R120="RP",M120,"")</f>
        <v>159.6</v>
      </c>
      <c r="U120" s="62">
        <f>IF($R120="RP",SUM(N120:O120),"")</f>
        <v>45.6</v>
      </c>
      <c r="V120" s="62" t="str">
        <f>IF($R120="RK",L120,"")</f>
        <v/>
      </c>
      <c r="W120" s="62" t="str">
        <f>IF($R120="RK",M120,"")</f>
        <v/>
      </c>
      <c r="X120" s="80" t="str">
        <f>IF($R120="Rk",SUM(N120:O120),"")</f>
        <v/>
      </c>
      <c r="Y120" s="1"/>
      <c r="Z120" s="1"/>
      <c r="AA120" s="1"/>
      <c r="AB120" s="1"/>
      <c r="AC120" s="1"/>
      <c r="AD120" s="1"/>
      <c r="AE120" s="18"/>
      <c r="IP120" s="1"/>
      <c r="IQ120" s="1"/>
      <c r="IR120" s="1"/>
      <c r="IS120" s="1"/>
    </row>
    <row r="121" spans="1:253" s="2" customFormat="1" ht="12.65" customHeight="1" x14ac:dyDescent="0.25">
      <c r="A121" s="911"/>
      <c r="B121" s="912" t="s">
        <v>98</v>
      </c>
      <c r="C121" s="833">
        <v>0</v>
      </c>
      <c r="D121" s="803">
        <v>3</v>
      </c>
      <c r="E121" s="803">
        <v>2</v>
      </c>
      <c r="F121" s="803">
        <v>1</v>
      </c>
      <c r="G121" s="803">
        <v>0</v>
      </c>
      <c r="H121" s="981">
        <f>SUM(C121:G121)</f>
        <v>6</v>
      </c>
      <c r="I121" s="999">
        <f>((C121*$C$5)+(D121*$D$5)+(E121*$E$5)+(F121*$F$5)+(G121*$G$5))</f>
        <v>783.21600000000012</v>
      </c>
      <c r="J121" s="805">
        <v>0</v>
      </c>
      <c r="K121" s="923">
        <v>0</v>
      </c>
      <c r="L121" s="807">
        <f>0.1*M10</f>
        <v>5.7</v>
      </c>
      <c r="M121" s="916">
        <f>(C121+D121+E121+F121+G121)*L121</f>
        <v>34.200000000000003</v>
      </c>
      <c r="N121" s="1028">
        <f>J121*L121</f>
        <v>0</v>
      </c>
      <c r="O121" s="1003">
        <f>K121*L121</f>
        <v>0</v>
      </c>
      <c r="P121" s="810">
        <f t="shared" si="25"/>
        <v>4464.3312000000005</v>
      </c>
      <c r="Q121" s="13">
        <f>(I121+J121+K121)*L121</f>
        <v>4464.3312000000005</v>
      </c>
      <c r="R121" s="77" t="s">
        <v>200</v>
      </c>
      <c r="S121" s="64">
        <f>IF($R121="RP",L121,"")</f>
        <v>5.7</v>
      </c>
      <c r="T121" s="64">
        <f>IF($R121="RP",M121,"")</f>
        <v>34.200000000000003</v>
      </c>
      <c r="U121" s="64">
        <f>IF($R121="RP",SUM(N121:O121),"")</f>
        <v>0</v>
      </c>
      <c r="V121" s="64" t="str">
        <f>IF($R121="RK",L121,"")</f>
        <v/>
      </c>
      <c r="W121" s="64" t="str">
        <f>IF($R121="RK",M121,"")</f>
        <v/>
      </c>
      <c r="X121" s="81" t="str">
        <f>IF($R121="Rk",SUM(N121:O121),"")</f>
        <v/>
      </c>
      <c r="Y121" s="1"/>
      <c r="Z121" s="1"/>
      <c r="AA121" s="1"/>
      <c r="AB121" s="1"/>
      <c r="AC121" s="1"/>
      <c r="AD121" s="1"/>
      <c r="AF121" s="18"/>
      <c r="IP121" s="1"/>
      <c r="IQ121" s="1"/>
      <c r="IR121" s="1"/>
      <c r="IS121" s="1"/>
    </row>
    <row r="122" spans="1:253" s="2" customFormat="1" ht="12.65" customHeight="1" x14ac:dyDescent="0.25">
      <c r="A122" s="819" t="s">
        <v>778</v>
      </c>
      <c r="B122" s="820"/>
      <c r="C122" s="852"/>
      <c r="D122" s="853"/>
      <c r="E122" s="854"/>
      <c r="F122" s="854"/>
      <c r="G122" s="854"/>
      <c r="H122" s="854"/>
      <c r="I122" s="855"/>
      <c r="J122" s="856"/>
      <c r="K122" s="857"/>
      <c r="L122" s="858"/>
      <c r="M122" s="1077"/>
      <c r="N122" s="860"/>
      <c r="O122" s="860"/>
      <c r="P122" s="1078"/>
      <c r="Q122" s="31"/>
      <c r="R122" s="77"/>
      <c r="S122" s="64"/>
      <c r="T122" s="64"/>
      <c r="U122" s="18"/>
      <c r="V122" s="71"/>
      <c r="W122" s="64"/>
      <c r="X122" s="81"/>
      <c r="Y122" s="1"/>
      <c r="Z122" s="1"/>
      <c r="AA122" s="1"/>
      <c r="AB122" s="1"/>
      <c r="AC122" s="1"/>
      <c r="AD122" s="1"/>
      <c r="IP122" s="1"/>
      <c r="IQ122" s="1"/>
      <c r="IR122" s="1"/>
      <c r="IS122" s="1"/>
    </row>
    <row r="123" spans="1:253" s="2" customFormat="1" ht="12.65" customHeight="1" x14ac:dyDescent="0.25">
      <c r="A123" s="862"/>
      <c r="B123" s="863" t="s">
        <v>463</v>
      </c>
      <c r="C123" s="1103"/>
      <c r="D123" s="803"/>
      <c r="E123" s="803"/>
      <c r="F123" s="803"/>
      <c r="G123" s="803"/>
      <c r="H123" s="803"/>
      <c r="I123" s="804"/>
      <c r="J123" s="805"/>
      <c r="K123" s="923"/>
      <c r="L123" s="943"/>
      <c r="M123" s="1104"/>
      <c r="N123" s="1105"/>
      <c r="O123" s="1105"/>
      <c r="P123" s="1106"/>
      <c r="Q123" s="15"/>
      <c r="R123" s="124"/>
      <c r="S123" s="46"/>
      <c r="T123" s="46"/>
      <c r="V123" s="67"/>
      <c r="W123" s="46"/>
      <c r="X123" s="78"/>
      <c r="Y123" s="1"/>
      <c r="Z123" s="1"/>
      <c r="AA123" s="1"/>
      <c r="AB123" s="1"/>
      <c r="AC123" s="1"/>
      <c r="AD123" s="1"/>
      <c r="IP123" s="1"/>
      <c r="IQ123" s="1"/>
      <c r="IR123" s="1"/>
      <c r="IS123" s="1"/>
    </row>
    <row r="124" spans="1:253" s="2" customFormat="1" ht="12.65" customHeight="1" x14ac:dyDescent="0.25">
      <c r="A124" s="880"/>
      <c r="B124" s="881" t="s">
        <v>31</v>
      </c>
      <c r="C124" s="882">
        <v>0</v>
      </c>
      <c r="D124" s="803">
        <v>0</v>
      </c>
      <c r="E124" s="803">
        <v>0</v>
      </c>
      <c r="F124" s="803">
        <v>0.5</v>
      </c>
      <c r="G124" s="803">
        <v>0</v>
      </c>
      <c r="H124" s="803">
        <v>0.5</v>
      </c>
      <c r="I124" s="804">
        <f>((C124*$C$5)+(D124*$D$5)+(E124*$E$5)+(F124*$F$5)+(G124*$G$5))</f>
        <v>31.258499999999998</v>
      </c>
      <c r="J124" s="805">
        <v>0</v>
      </c>
      <c r="K124" s="923">
        <v>0</v>
      </c>
      <c r="L124" s="807">
        <v>0</v>
      </c>
      <c r="M124" s="1034">
        <f>(C124+D124+E124+F124+G124)*L124</f>
        <v>0</v>
      </c>
      <c r="N124" s="1035">
        <f>J124*L124</f>
        <v>0</v>
      </c>
      <c r="O124" s="1107">
        <f>K124*L124</f>
        <v>0</v>
      </c>
      <c r="P124" s="1108">
        <f t="shared" ref="P124" si="26">I124*L124</f>
        <v>0</v>
      </c>
      <c r="Q124" s="13">
        <f>(I124+J124+K124)*L124</f>
        <v>0</v>
      </c>
      <c r="R124" s="76" t="s">
        <v>200</v>
      </c>
      <c r="S124" s="62">
        <f>IF($R124="RP",L124,"")</f>
        <v>0</v>
      </c>
      <c r="T124" s="62">
        <f>IF($R124="RP",M124,"")</f>
        <v>0</v>
      </c>
      <c r="U124" s="62">
        <f>IF($R124="RP",SUM(N124:O124),"")</f>
        <v>0</v>
      </c>
      <c r="V124" s="62" t="str">
        <f>IF($R124="RK",L124,"")</f>
        <v/>
      </c>
      <c r="W124" s="62" t="str">
        <f>IF($R124="RK",M124,"")</f>
        <v/>
      </c>
      <c r="X124" s="80" t="str">
        <f>IF($R124="Rk",SUM(N124:O124),"")</f>
        <v/>
      </c>
      <c r="Y124" s="1"/>
      <c r="Z124" s="1"/>
      <c r="AA124" s="1"/>
      <c r="AB124" s="1"/>
      <c r="AC124" s="1"/>
      <c r="AD124" s="1"/>
      <c r="AE124" s="18"/>
      <c r="IP124" s="1"/>
      <c r="IQ124" s="1"/>
      <c r="IR124" s="1"/>
      <c r="IS124" s="1"/>
    </row>
    <row r="125" spans="1:253" s="2" customFormat="1" ht="23.5" customHeight="1" x14ac:dyDescent="0.25">
      <c r="A125" s="1339" t="s">
        <v>779</v>
      </c>
      <c r="B125" s="1340"/>
      <c r="C125" s="942"/>
      <c r="D125" s="822"/>
      <c r="E125" s="823"/>
      <c r="F125" s="823"/>
      <c r="G125" s="823"/>
      <c r="H125" s="823"/>
      <c r="I125" s="824"/>
      <c r="J125" s="825"/>
      <c r="K125" s="826"/>
      <c r="L125" s="827"/>
      <c r="M125" s="925"/>
      <c r="N125" s="829"/>
      <c r="O125" s="829"/>
      <c r="P125" s="830"/>
      <c r="Q125" s="32"/>
      <c r="R125" s="124"/>
      <c r="S125" s="46"/>
      <c r="T125" s="46"/>
      <c r="V125" s="67"/>
      <c r="W125" s="46"/>
      <c r="X125" s="78"/>
      <c r="Y125" s="1"/>
      <c r="Z125" s="1"/>
      <c r="AA125" s="1"/>
      <c r="AB125" s="1"/>
      <c r="AC125" s="1"/>
      <c r="AD125" s="1"/>
      <c r="IP125" s="1"/>
      <c r="IQ125" s="1"/>
      <c r="IR125" s="1"/>
      <c r="IS125" s="1"/>
    </row>
    <row r="126" spans="1:253" s="2" customFormat="1" ht="12.65" customHeight="1" x14ac:dyDescent="0.25">
      <c r="A126" s="1109"/>
      <c r="B126" s="1055" t="s">
        <v>67</v>
      </c>
      <c r="C126" s="1110"/>
      <c r="D126" s="803"/>
      <c r="E126" s="803"/>
      <c r="F126" s="803"/>
      <c r="G126" s="803"/>
      <c r="H126" s="803"/>
      <c r="I126" s="804"/>
      <c r="J126" s="805"/>
      <c r="K126" s="923"/>
      <c r="L126" s="943"/>
      <c r="M126" s="1111"/>
      <c r="N126" s="1105"/>
      <c r="O126" s="1105"/>
      <c r="P126" s="1106"/>
      <c r="Q126" s="145"/>
      <c r="R126" s="75"/>
      <c r="S126" s="60"/>
      <c r="T126" s="60"/>
      <c r="U126" s="22"/>
      <c r="V126" s="66"/>
      <c r="W126" s="60"/>
      <c r="X126" s="79"/>
      <c r="Y126" s="1"/>
      <c r="Z126" s="1"/>
      <c r="AA126" s="1"/>
      <c r="AB126" s="1"/>
      <c r="AC126" s="1"/>
      <c r="AD126" s="1"/>
      <c r="IP126" s="1"/>
      <c r="IQ126" s="1"/>
      <c r="IR126" s="1"/>
      <c r="IS126" s="1"/>
    </row>
    <row r="127" spans="1:253" s="2" customFormat="1" ht="12.65" customHeight="1" x14ac:dyDescent="0.25">
      <c r="A127" s="935"/>
      <c r="B127" s="1112" t="s">
        <v>68</v>
      </c>
      <c r="C127" s="984">
        <v>0</v>
      </c>
      <c r="D127" s="929">
        <v>8</v>
      </c>
      <c r="E127" s="929">
        <v>100</v>
      </c>
      <c r="F127" s="929">
        <v>10</v>
      </c>
      <c r="G127" s="1113">
        <v>0</v>
      </c>
      <c r="H127" s="929">
        <f>SUM(C127:G127)</f>
        <v>118</v>
      </c>
      <c r="I127" s="930">
        <f>((C127*$C$5)+(D127*$D$5)+(E127*$E$5)+(F127*$F$5)+(G127*$G$5))</f>
        <v>14280.210000000001</v>
      </c>
      <c r="J127" s="931">
        <v>0</v>
      </c>
      <c r="K127" s="932">
        <v>8</v>
      </c>
      <c r="L127" s="1114">
        <f>M10*0.1</f>
        <v>5.7</v>
      </c>
      <c r="M127" s="934">
        <f>(C127+D127+E127+F127+G127)*L127</f>
        <v>672.6</v>
      </c>
      <c r="N127" s="991">
        <f>J127*L127</f>
        <v>0</v>
      </c>
      <c r="O127" s="992">
        <f>K127*L127</f>
        <v>45.6</v>
      </c>
      <c r="P127" s="839">
        <f t="shared" ref="P127:P128" si="27">I127*L127</f>
        <v>81397.197000000015</v>
      </c>
      <c r="Q127" s="13">
        <f>(I127+J127+K127)*L127</f>
        <v>81442.797000000006</v>
      </c>
      <c r="R127" s="76" t="s">
        <v>200</v>
      </c>
      <c r="S127" s="62">
        <f>IF($R127="RP",L127,"")</f>
        <v>5.7</v>
      </c>
      <c r="T127" s="62">
        <f>IF($R127="RP",M127,"")</f>
        <v>672.6</v>
      </c>
      <c r="U127" s="62">
        <f>IF($R127="RP",SUM(N127:O127),"")</f>
        <v>45.6</v>
      </c>
      <c r="V127" s="62" t="str">
        <f>IF($R127="RK",L127,"")</f>
        <v/>
      </c>
      <c r="W127" s="62" t="str">
        <f>IF($R127="RK",M127,"")</f>
        <v/>
      </c>
      <c r="X127" s="80" t="str">
        <f>IF($R127="Rk",SUM(N127:O127),"")</f>
        <v/>
      </c>
      <c r="Y127" s="1"/>
      <c r="Z127" s="1"/>
      <c r="AA127" s="1"/>
      <c r="AB127" s="1"/>
      <c r="AC127" s="1"/>
      <c r="AD127" s="1"/>
      <c r="IP127" s="1"/>
      <c r="IQ127" s="1"/>
      <c r="IR127" s="1"/>
      <c r="IS127" s="1"/>
    </row>
    <row r="128" spans="1:253" s="2" customFormat="1" ht="12.65" customHeight="1" x14ac:dyDescent="0.25">
      <c r="A128" s="862"/>
      <c r="B128" s="1007" t="s">
        <v>69</v>
      </c>
      <c r="C128" s="988">
        <v>0</v>
      </c>
      <c r="D128" s="1115">
        <v>4</v>
      </c>
      <c r="E128" s="1115">
        <v>24</v>
      </c>
      <c r="F128" s="1115">
        <v>2</v>
      </c>
      <c r="G128" s="1115">
        <v>0</v>
      </c>
      <c r="H128" s="803">
        <f>SUM(C128:G128)</f>
        <v>30</v>
      </c>
      <c r="I128" s="804">
        <f>((C128*$C$5)+(D128*$D$5)+(E128*$E$5)+(F128*$F$5)+(G128*$G$5))</f>
        <v>3730.0620000000004</v>
      </c>
      <c r="J128" s="1116">
        <v>0</v>
      </c>
      <c r="K128" s="1116">
        <v>8</v>
      </c>
      <c r="L128" s="807">
        <v>0</v>
      </c>
      <c r="M128" s="916">
        <f>(C128+D128+E128+F128+G128)*L128</f>
        <v>0</v>
      </c>
      <c r="N128" s="809">
        <f>J128*L128</f>
        <v>0</v>
      </c>
      <c r="O128" s="809">
        <f>K128*L128</f>
        <v>0</v>
      </c>
      <c r="P128" s="950">
        <f t="shared" si="27"/>
        <v>0</v>
      </c>
      <c r="Q128" s="13">
        <f>(I128+J128+K128)*L128</f>
        <v>0</v>
      </c>
      <c r="R128" s="76" t="s">
        <v>200</v>
      </c>
      <c r="S128" s="62">
        <f>IF($R128="RP",L128,"")</f>
        <v>0</v>
      </c>
      <c r="T128" s="62">
        <f>IF($R128="RP",M128,"")</f>
        <v>0</v>
      </c>
      <c r="U128" s="62">
        <f>IF($R128="RP",SUM(N128:O128),"")</f>
        <v>0</v>
      </c>
      <c r="V128" s="62" t="str">
        <f>IF($R128="RK",L128,"")</f>
        <v/>
      </c>
      <c r="W128" s="62" t="str">
        <f>IF($R128="RK",M128,"")</f>
        <v/>
      </c>
      <c r="X128" s="80" t="str">
        <f>IF($R128="Rk",SUM(N128:O128),"")</f>
        <v/>
      </c>
      <c r="Y128" s="1"/>
      <c r="Z128" s="1"/>
      <c r="AA128" s="1"/>
      <c r="AB128" s="1"/>
      <c r="AC128" s="1"/>
      <c r="AD128" s="1"/>
      <c r="IP128" s="1"/>
      <c r="IQ128" s="1"/>
      <c r="IR128" s="1"/>
      <c r="IS128" s="1"/>
    </row>
    <row r="129" spans="1:253" s="2" customFormat="1" ht="24" customHeight="1" x14ac:dyDescent="0.25">
      <c r="A129" s="1339" t="s">
        <v>780</v>
      </c>
      <c r="B129" s="1340"/>
      <c r="C129" s="903"/>
      <c r="D129" s="822"/>
      <c r="E129" s="823"/>
      <c r="F129" s="823"/>
      <c r="G129" s="823"/>
      <c r="H129" s="823"/>
      <c r="I129" s="824"/>
      <c r="J129" s="825"/>
      <c r="K129" s="826"/>
      <c r="L129" s="827"/>
      <c r="M129" s="925"/>
      <c r="N129" s="829"/>
      <c r="O129" s="829"/>
      <c r="P129" s="964"/>
      <c r="Q129" s="30"/>
      <c r="R129" s="124"/>
      <c r="S129" s="46"/>
      <c r="T129" s="46"/>
      <c r="V129" s="67"/>
      <c r="W129" s="46"/>
      <c r="X129" s="78"/>
      <c r="Y129" s="1"/>
      <c r="Z129" s="1"/>
      <c r="AA129" s="1"/>
      <c r="AB129" s="1"/>
      <c r="AC129" s="1"/>
      <c r="AD129" s="1"/>
      <c r="IP129" s="1"/>
      <c r="IQ129" s="1"/>
      <c r="IR129" s="1"/>
      <c r="IS129" s="1"/>
    </row>
    <row r="130" spans="1:253" s="2" customFormat="1" ht="12.65" customHeight="1" x14ac:dyDescent="0.25">
      <c r="A130" s="1109"/>
      <c r="B130" s="1055" t="s">
        <v>67</v>
      </c>
      <c r="C130" s="1110"/>
      <c r="D130" s="803"/>
      <c r="E130" s="803"/>
      <c r="F130" s="803"/>
      <c r="G130" s="803"/>
      <c r="H130" s="803"/>
      <c r="I130" s="804"/>
      <c r="J130" s="805"/>
      <c r="K130" s="923"/>
      <c r="L130" s="943"/>
      <c r="M130" s="1111"/>
      <c r="N130" s="1105"/>
      <c r="O130" s="1105"/>
      <c r="P130" s="1117"/>
      <c r="Q130" s="145"/>
      <c r="R130" s="75"/>
      <c r="S130" s="60"/>
      <c r="T130" s="60"/>
      <c r="U130" s="22"/>
      <c r="V130" s="66"/>
      <c r="W130" s="60"/>
      <c r="X130" s="79"/>
      <c r="Y130" s="1"/>
      <c r="Z130" s="1"/>
      <c r="AA130" s="1"/>
      <c r="AB130" s="1"/>
      <c r="AC130" s="1"/>
      <c r="AD130" s="1"/>
      <c r="IP130" s="1"/>
      <c r="IQ130" s="1"/>
      <c r="IR130" s="1"/>
      <c r="IS130" s="1"/>
    </row>
    <row r="131" spans="1:253" s="2" customFormat="1" ht="12.65" customHeight="1" x14ac:dyDescent="0.25">
      <c r="A131" s="935"/>
      <c r="B131" s="1112" t="s">
        <v>68</v>
      </c>
      <c r="C131" s="984">
        <v>0</v>
      </c>
      <c r="D131" s="929">
        <v>8</v>
      </c>
      <c r="E131" s="929">
        <v>100</v>
      </c>
      <c r="F131" s="929">
        <v>10</v>
      </c>
      <c r="G131" s="1113">
        <v>0</v>
      </c>
      <c r="H131" s="929">
        <f>SUM(C131:G131)</f>
        <v>118</v>
      </c>
      <c r="I131" s="930">
        <f>((C131*$C$5)+(D131*$D$5)+(E131*$E$5)+(F131*$F$5)+(G131*$G$5))</f>
        <v>14280.210000000001</v>
      </c>
      <c r="J131" s="931">
        <v>0</v>
      </c>
      <c r="K131" s="932">
        <v>8</v>
      </c>
      <c r="L131" s="933">
        <v>0</v>
      </c>
      <c r="M131" s="934">
        <f>(C131+D131+E131+F131+G131)*L131</f>
        <v>0</v>
      </c>
      <c r="N131" s="991">
        <f>J131*L131</f>
        <v>0</v>
      </c>
      <c r="O131" s="992">
        <f>K131*L131</f>
        <v>0</v>
      </c>
      <c r="P131" s="1087">
        <f t="shared" ref="P131:P132" si="28">I131*L131</f>
        <v>0</v>
      </c>
      <c r="Q131" s="13">
        <f>(I131+J131+K131)*L131</f>
        <v>0</v>
      </c>
      <c r="R131" s="76" t="s">
        <v>200</v>
      </c>
      <c r="S131" s="62">
        <f>IF($R131="RP",L131,"")</f>
        <v>0</v>
      </c>
      <c r="T131" s="62">
        <f>IF($R131="RP",M131,"")</f>
        <v>0</v>
      </c>
      <c r="U131" s="62">
        <f>IF($R131="RP",SUM(N131:O131),"")</f>
        <v>0</v>
      </c>
      <c r="V131" s="62" t="str">
        <f>IF($R131="RK",L131,"")</f>
        <v/>
      </c>
      <c r="W131" s="62" t="str">
        <f>IF($R131="RK",M131,"")</f>
        <v/>
      </c>
      <c r="X131" s="80" t="str">
        <f>IF($R131="Rk",SUM(N131:O131),"")</f>
        <v/>
      </c>
      <c r="Y131" s="1"/>
      <c r="Z131" s="1"/>
      <c r="AA131" s="1"/>
      <c r="AB131" s="1"/>
      <c r="AC131" s="1"/>
      <c r="AD131" s="1"/>
      <c r="IP131" s="1"/>
      <c r="IQ131" s="1"/>
      <c r="IR131" s="1"/>
      <c r="IS131" s="1"/>
    </row>
    <row r="132" spans="1:253" s="2" customFormat="1" ht="12.65" customHeight="1" x14ac:dyDescent="0.25">
      <c r="A132" s="1118"/>
      <c r="B132" s="921" t="s">
        <v>69</v>
      </c>
      <c r="C132" s="988">
        <v>0</v>
      </c>
      <c r="D132" s="1119">
        <v>4</v>
      </c>
      <c r="E132" s="1119">
        <v>24</v>
      </c>
      <c r="F132" s="1119">
        <v>2</v>
      </c>
      <c r="G132" s="1119">
        <v>0</v>
      </c>
      <c r="H132" s="833">
        <f>SUM(C132:G132)</f>
        <v>30</v>
      </c>
      <c r="I132" s="834">
        <f>((C132*$C$5)+(D132*$D$5)+(E132*$E$5)+(F132*$F$5)+(G132*$G$5))</f>
        <v>3730.0620000000004</v>
      </c>
      <c r="J132" s="1120">
        <v>0</v>
      </c>
      <c r="K132" s="1120">
        <v>8</v>
      </c>
      <c r="L132" s="836">
        <v>0</v>
      </c>
      <c r="M132" s="1012">
        <f>(C132+D132+E132+F132+G132)*L132</f>
        <v>0</v>
      </c>
      <c r="N132" s="1022">
        <f>J132*L132</f>
        <v>0</v>
      </c>
      <c r="O132" s="1022">
        <f>K132*L132</f>
        <v>0</v>
      </c>
      <c r="P132" s="1087">
        <f t="shared" si="28"/>
        <v>0</v>
      </c>
      <c r="Q132" s="13">
        <f>(I132+J132+K132)*L132</f>
        <v>0</v>
      </c>
      <c r="R132" s="77" t="s">
        <v>200</v>
      </c>
      <c r="S132" s="64">
        <f>IF($R132="RP",L132,"")</f>
        <v>0</v>
      </c>
      <c r="T132" s="64">
        <f>IF($R132="RP",M132,"")</f>
        <v>0</v>
      </c>
      <c r="U132" s="64">
        <f>IF($R132="RP",SUM(N132:O132),"")</f>
        <v>0</v>
      </c>
      <c r="V132" s="64" t="str">
        <f>IF($R132="RK",L132,"")</f>
        <v/>
      </c>
      <c r="W132" s="64" t="str">
        <f>IF($R132="RK",M132,"")</f>
        <v/>
      </c>
      <c r="X132" s="86" t="str">
        <f>IF($R132="Rk",SUM(N132:O132),"")</f>
        <v/>
      </c>
      <c r="Y132" s="1"/>
      <c r="Z132" s="1"/>
      <c r="AA132" s="1"/>
      <c r="AB132" s="1"/>
      <c r="AC132" s="1"/>
      <c r="AD132" s="1"/>
      <c r="AE132" s="33"/>
      <c r="IP132" s="1"/>
      <c r="IQ132" s="1"/>
      <c r="IR132" s="1"/>
      <c r="IS132" s="1"/>
    </row>
    <row r="133" spans="1:253" s="2" customFormat="1" ht="12.65" customHeight="1" x14ac:dyDescent="0.25">
      <c r="A133" s="862"/>
      <c r="B133" s="1007" t="s">
        <v>73</v>
      </c>
      <c r="C133" s="1121"/>
      <c r="D133" s="1115"/>
      <c r="E133" s="1115"/>
      <c r="F133" s="1115"/>
      <c r="G133" s="1115"/>
      <c r="H133" s="1115"/>
      <c r="I133" s="1122"/>
      <c r="J133" s="1116"/>
      <c r="K133" s="1116"/>
      <c r="L133" s="943"/>
      <c r="M133" s="916"/>
      <c r="N133" s="809"/>
      <c r="O133" s="809"/>
      <c r="P133" s="950"/>
      <c r="Q133" s="15"/>
      <c r="R133" s="75"/>
      <c r="S133" s="46"/>
      <c r="T133" s="46"/>
      <c r="V133" s="67"/>
      <c r="W133" s="46"/>
      <c r="X133" s="78"/>
      <c r="Y133" s="1"/>
      <c r="Z133" s="1"/>
      <c r="AA133" s="1"/>
      <c r="AB133" s="1"/>
      <c r="AC133" s="1"/>
      <c r="AD133" s="1"/>
      <c r="IP133" s="1"/>
      <c r="IQ133" s="1"/>
      <c r="IR133" s="1"/>
      <c r="IS133" s="1"/>
    </row>
    <row r="134" spans="1:253" s="2" customFormat="1" ht="12.65" customHeight="1" x14ac:dyDescent="0.25">
      <c r="A134" s="880"/>
      <c r="B134" s="921" t="s">
        <v>781</v>
      </c>
      <c r="C134" s="1018">
        <v>0</v>
      </c>
      <c r="D134" s="1123">
        <v>0.5</v>
      </c>
      <c r="E134" s="1123">
        <v>4</v>
      </c>
      <c r="F134" s="1123">
        <v>1</v>
      </c>
      <c r="G134" s="1123">
        <v>0</v>
      </c>
      <c r="H134" s="929">
        <f>SUM(C134:G134)</f>
        <v>5.5</v>
      </c>
      <c r="I134" s="930">
        <f>((C134*$C$5)+(D134*$D$5)+(E134*$E$5)+(F134*$F$5)+(G134*$G$5))</f>
        <v>637.08750000000009</v>
      </c>
      <c r="J134" s="1124">
        <v>0</v>
      </c>
      <c r="K134" s="1124">
        <v>8</v>
      </c>
      <c r="L134" s="836">
        <f>0.1*$M$10</f>
        <v>5.7</v>
      </c>
      <c r="M134" s="934">
        <f>(C134+D134+E134+F134+G134)*L134</f>
        <v>31.35</v>
      </c>
      <c r="N134" s="991">
        <f>J134*L134</f>
        <v>0</v>
      </c>
      <c r="O134" s="992">
        <f>K134*L134</f>
        <v>45.6</v>
      </c>
      <c r="P134" s="839">
        <f t="shared" ref="P134" si="29">I134*L134</f>
        <v>3631.3987500000007</v>
      </c>
      <c r="Q134" s="13">
        <f>(I134+J134+K134)*L134</f>
        <v>3676.9987500000007</v>
      </c>
      <c r="R134" s="104" t="s">
        <v>200</v>
      </c>
      <c r="S134" s="62">
        <f>IF($R134="RP",L134,"")</f>
        <v>5.7</v>
      </c>
      <c r="T134" s="62">
        <f>IF($R134="RP",M134,"")</f>
        <v>31.35</v>
      </c>
      <c r="U134" s="62">
        <f>IF($R134="RP",SUM(N134:O134),"")</f>
        <v>45.6</v>
      </c>
      <c r="V134" s="62" t="str">
        <f>IF($R134="RK",L134,"")</f>
        <v/>
      </c>
      <c r="W134" s="62" t="str">
        <f>IF($R134="RK",M134,"")</f>
        <v/>
      </c>
      <c r="X134" s="80" t="str">
        <f>IF($R134="Rk",SUM(N134:O134),"")</f>
        <v/>
      </c>
      <c r="Y134" s="1"/>
      <c r="Z134" s="1"/>
      <c r="AA134" s="1"/>
      <c r="AB134" s="1"/>
      <c r="AC134" s="1"/>
      <c r="AD134" s="1"/>
      <c r="IP134" s="1"/>
      <c r="IQ134" s="1"/>
      <c r="IR134" s="1"/>
      <c r="IS134" s="1"/>
    </row>
    <row r="135" spans="1:253" s="2" customFormat="1" ht="12.65" customHeight="1" x14ac:dyDescent="0.25">
      <c r="A135" s="862"/>
      <c r="B135" s="1007" t="s">
        <v>74</v>
      </c>
      <c r="C135" s="1121"/>
      <c r="D135" s="1115"/>
      <c r="E135" s="1115"/>
      <c r="F135" s="1115"/>
      <c r="G135" s="1115"/>
      <c r="H135" s="1115"/>
      <c r="I135" s="1122"/>
      <c r="J135" s="1116"/>
      <c r="K135" s="1116"/>
      <c r="L135" s="943"/>
      <c r="M135" s="916"/>
      <c r="N135" s="809"/>
      <c r="O135" s="809"/>
      <c r="P135" s="810"/>
      <c r="Q135" s="15"/>
      <c r="R135" s="75"/>
      <c r="S135" s="60"/>
      <c r="T135" s="60"/>
      <c r="U135" s="22"/>
      <c r="V135" s="66"/>
      <c r="W135" s="60"/>
      <c r="X135" s="79"/>
      <c r="Y135" s="1"/>
      <c r="Z135" s="1"/>
      <c r="AA135" s="1"/>
      <c r="AB135" s="1"/>
      <c r="AC135" s="1"/>
      <c r="AD135" s="1"/>
      <c r="IP135" s="1"/>
      <c r="IQ135" s="1"/>
      <c r="IR135" s="1"/>
      <c r="IS135" s="1"/>
    </row>
    <row r="136" spans="1:253" s="2" customFormat="1" ht="12.65" customHeight="1" x14ac:dyDescent="0.25">
      <c r="A136" s="862"/>
      <c r="B136" s="1007" t="s">
        <v>782</v>
      </c>
      <c r="C136" s="1018">
        <v>0</v>
      </c>
      <c r="D136" s="1123">
        <v>0.5</v>
      </c>
      <c r="E136" s="1123">
        <v>4</v>
      </c>
      <c r="F136" s="1123">
        <v>1</v>
      </c>
      <c r="G136" s="1123">
        <v>0</v>
      </c>
      <c r="H136" s="929">
        <f>SUM(C136:G136)</f>
        <v>5.5</v>
      </c>
      <c r="I136" s="930">
        <f>((C136*$C$5)+(D136*$D$5)+(E136*$E$5)+(F136*$F$5)+(G136*$G$5))</f>
        <v>637.08750000000009</v>
      </c>
      <c r="J136" s="1124">
        <v>0</v>
      </c>
      <c r="K136" s="1124">
        <v>8</v>
      </c>
      <c r="L136" s="836">
        <f>0.1*$M$10</f>
        <v>5.7</v>
      </c>
      <c r="M136" s="934">
        <f>(C136+D136+E136+F136+G136)*L136</f>
        <v>31.35</v>
      </c>
      <c r="N136" s="991">
        <f>J136*L136</f>
        <v>0</v>
      </c>
      <c r="O136" s="992">
        <f>K136*L136</f>
        <v>45.6</v>
      </c>
      <c r="P136" s="839">
        <f t="shared" ref="P136" si="30">I136*L136</f>
        <v>3631.3987500000007</v>
      </c>
      <c r="Q136" s="13">
        <f>(I136+J136+K136)*L136</f>
        <v>3676.9987500000007</v>
      </c>
      <c r="R136" s="76" t="s">
        <v>200</v>
      </c>
      <c r="S136" s="62">
        <f>IF($R136="RP",L136,"")</f>
        <v>5.7</v>
      </c>
      <c r="T136" s="62">
        <f>IF($R136="RP",M136,"")</f>
        <v>31.35</v>
      </c>
      <c r="U136" s="62">
        <f>IF($R136="RP",SUM(N136:O136),"")</f>
        <v>45.6</v>
      </c>
      <c r="V136" s="62" t="str">
        <f>IF($R136="RK",L136,"")</f>
        <v/>
      </c>
      <c r="W136" s="62" t="str">
        <f>IF($R136="RK",M136,"")</f>
        <v/>
      </c>
      <c r="X136" s="80" t="str">
        <f>IF($R136="Rk",SUM(N136:O136),"")</f>
        <v/>
      </c>
      <c r="Y136" s="1"/>
      <c r="Z136" s="1"/>
      <c r="AA136" s="1"/>
      <c r="AB136" s="1"/>
      <c r="AC136" s="1"/>
      <c r="AD136" s="1"/>
      <c r="IP136" s="1"/>
      <c r="IQ136" s="1"/>
      <c r="IR136" s="1"/>
      <c r="IS136" s="1"/>
    </row>
    <row r="137" spans="1:253" s="2" customFormat="1" ht="12.65" customHeight="1" x14ac:dyDescent="0.25">
      <c r="A137" s="862"/>
      <c r="B137" s="863" t="s">
        <v>80</v>
      </c>
      <c r="C137" s="802"/>
      <c r="D137" s="803"/>
      <c r="E137" s="803"/>
      <c r="F137" s="803"/>
      <c r="G137" s="803"/>
      <c r="H137" s="803"/>
      <c r="I137" s="804"/>
      <c r="J137" s="805"/>
      <c r="K137" s="923"/>
      <c r="L137" s="1125"/>
      <c r="M137" s="916"/>
      <c r="N137" s="809"/>
      <c r="O137" s="809"/>
      <c r="P137" s="810"/>
      <c r="Q137" s="15"/>
      <c r="R137" s="124"/>
      <c r="S137" s="46"/>
      <c r="T137" s="46"/>
      <c r="V137" s="67"/>
      <c r="W137" s="46"/>
      <c r="X137" s="78"/>
      <c r="Y137" s="1"/>
      <c r="Z137" s="1"/>
      <c r="AA137" s="1"/>
      <c r="AB137" s="1"/>
      <c r="AC137" s="1"/>
      <c r="AD137" s="1"/>
      <c r="IP137" s="1"/>
      <c r="IQ137" s="1"/>
      <c r="IR137" s="1"/>
      <c r="IS137" s="1"/>
    </row>
    <row r="138" spans="1:253" s="2" customFormat="1" ht="12.65" customHeight="1" x14ac:dyDescent="0.25">
      <c r="A138" s="880"/>
      <c r="B138" s="881" t="s">
        <v>783</v>
      </c>
      <c r="C138" s="922">
        <v>0</v>
      </c>
      <c r="D138" s="803">
        <v>0</v>
      </c>
      <c r="E138" s="803">
        <v>0</v>
      </c>
      <c r="F138" s="803">
        <v>0.5</v>
      </c>
      <c r="G138" s="803">
        <v>0</v>
      </c>
      <c r="H138" s="803">
        <f>SUM(C138:G138)</f>
        <v>0.5</v>
      </c>
      <c r="I138" s="804">
        <f>((C138*$C$5)+(D138*$D$5)+(E138*$E$5)+(F138*$F$5)+(G138*$G$5))</f>
        <v>31.258499999999998</v>
      </c>
      <c r="J138" s="805">
        <v>0</v>
      </c>
      <c r="K138" s="923">
        <v>8</v>
      </c>
      <c r="L138" s="915">
        <f>0.1*M10</f>
        <v>5.7</v>
      </c>
      <c r="M138" s="916">
        <f>(C138+D138+E138+F138+G138)*L138</f>
        <v>2.85</v>
      </c>
      <c r="N138" s="809">
        <f>J138*L138</f>
        <v>0</v>
      </c>
      <c r="O138" s="809">
        <f>K138*L138</f>
        <v>45.6</v>
      </c>
      <c r="P138" s="810">
        <f t="shared" ref="P138" si="31">I138*L138</f>
        <v>178.17345</v>
      </c>
      <c r="Q138" s="13">
        <f>(I138+J138+K138)*L138</f>
        <v>223.77345</v>
      </c>
      <c r="R138" s="76" t="s">
        <v>200</v>
      </c>
      <c r="S138" s="62">
        <f>IF($R138="RP",L138,"")</f>
        <v>5.7</v>
      </c>
      <c r="T138" s="62">
        <f>IF($R138="RP",M138,"")</f>
        <v>2.85</v>
      </c>
      <c r="U138" s="62">
        <f>IF($R138="RP",SUM(N138:O138),"")</f>
        <v>45.6</v>
      </c>
      <c r="V138" s="62" t="str">
        <f>IF($R138="RK",L138,"")</f>
        <v/>
      </c>
      <c r="W138" s="62" t="str">
        <f>IF($R138="RK",M138,"")</f>
        <v/>
      </c>
      <c r="X138" s="80" t="str">
        <f>IF($R138="Rk",SUM(N138:O138),"")</f>
        <v/>
      </c>
      <c r="Y138" s="1"/>
      <c r="Z138" s="1"/>
      <c r="AA138" s="1"/>
      <c r="AB138" s="1"/>
      <c r="AC138" s="1"/>
      <c r="AD138" s="1"/>
      <c r="IP138" s="1"/>
      <c r="IQ138" s="1"/>
      <c r="IR138" s="1"/>
      <c r="IS138" s="1"/>
    </row>
    <row r="139" spans="1:253" s="2" customFormat="1" ht="12.65" customHeight="1" x14ac:dyDescent="0.25">
      <c r="A139" s="901" t="s">
        <v>784</v>
      </c>
      <c r="B139" s="902"/>
      <c r="C139" s="903"/>
      <c r="D139" s="822"/>
      <c r="E139" s="823"/>
      <c r="F139" s="823"/>
      <c r="G139" s="823"/>
      <c r="H139" s="823"/>
      <c r="I139" s="824"/>
      <c r="J139" s="825"/>
      <c r="K139" s="826"/>
      <c r="L139" s="827"/>
      <c r="M139" s="925"/>
      <c r="N139" s="829"/>
      <c r="O139" s="829"/>
      <c r="P139" s="830"/>
      <c r="Q139" s="30"/>
      <c r="R139" s="124"/>
      <c r="S139" s="46"/>
      <c r="T139" s="46"/>
      <c r="V139" s="67"/>
      <c r="W139" s="46"/>
      <c r="X139" s="78"/>
      <c r="Y139" s="1"/>
      <c r="Z139" s="1"/>
      <c r="AA139" s="1"/>
      <c r="AB139" s="1"/>
      <c r="AC139" s="1"/>
      <c r="AD139" s="1"/>
      <c r="IP139" s="1"/>
      <c r="IQ139" s="1"/>
      <c r="IR139" s="1"/>
      <c r="IS139" s="1"/>
    </row>
    <row r="140" spans="1:253" s="2" customFormat="1" ht="12.65" customHeight="1" x14ac:dyDescent="0.25">
      <c r="A140" s="862"/>
      <c r="B140" s="863" t="s">
        <v>81</v>
      </c>
      <c r="C140" s="802"/>
      <c r="D140" s="803"/>
      <c r="E140" s="803"/>
      <c r="F140" s="803"/>
      <c r="G140" s="803"/>
      <c r="H140" s="803"/>
      <c r="I140" s="804"/>
      <c r="J140" s="805"/>
      <c r="K140" s="923"/>
      <c r="L140" s="1125"/>
      <c r="M140" s="916"/>
      <c r="N140" s="809"/>
      <c r="O140" s="809"/>
      <c r="P140" s="810"/>
      <c r="Q140" s="15"/>
      <c r="R140" s="124"/>
      <c r="S140" s="46"/>
      <c r="T140" s="46"/>
      <c r="V140" s="67"/>
      <c r="W140" s="46"/>
      <c r="X140" s="78"/>
      <c r="Y140" s="1"/>
      <c r="Z140" s="1"/>
      <c r="AA140" s="1"/>
      <c r="AB140" s="1"/>
      <c r="AC140" s="1"/>
      <c r="AD140" s="1"/>
      <c r="IP140" s="1"/>
      <c r="IQ140" s="1"/>
      <c r="IR140" s="1"/>
      <c r="IS140" s="1"/>
    </row>
    <row r="141" spans="1:253" s="2" customFormat="1" ht="12.65" customHeight="1" x14ac:dyDescent="0.25">
      <c r="A141" s="880"/>
      <c r="B141" s="863" t="s">
        <v>82</v>
      </c>
      <c r="C141" s="802">
        <v>0</v>
      </c>
      <c r="D141" s="803">
        <v>1</v>
      </c>
      <c r="E141" s="803">
        <v>4</v>
      </c>
      <c r="F141" s="803">
        <v>1</v>
      </c>
      <c r="G141" s="803">
        <v>0</v>
      </c>
      <c r="H141" s="803">
        <f>SUM(C141:G141)</f>
        <v>6</v>
      </c>
      <c r="I141" s="804">
        <f>((C141*$C$5)+(D141*$D$5)+(E141*$E$5)+(F141*$F$5)+(G141*$G$5))</f>
        <v>715.8900000000001</v>
      </c>
      <c r="J141" s="805">
        <v>0</v>
      </c>
      <c r="K141" s="923">
        <v>1</v>
      </c>
      <c r="L141" s="1126">
        <f>$M$10*0.5</f>
        <v>28.5</v>
      </c>
      <c r="M141" s="916">
        <f>(C141+D141+E141+F141+G141)*L141</f>
        <v>171</v>
      </c>
      <c r="N141" s="809">
        <f>J141*L141</f>
        <v>0</v>
      </c>
      <c r="O141" s="809">
        <f>K141*L141</f>
        <v>28.5</v>
      </c>
      <c r="P141" s="810">
        <f t="shared" ref="P141" si="32">I141*L141</f>
        <v>20402.865000000002</v>
      </c>
      <c r="Q141" s="13">
        <f>(I141+J141+K141)*L141</f>
        <v>20431.365000000002</v>
      </c>
      <c r="R141" s="76" t="s">
        <v>200</v>
      </c>
      <c r="S141" s="62">
        <f>IF($R141="RP",L141,"")</f>
        <v>28.5</v>
      </c>
      <c r="T141" s="62">
        <f>IF($R141="RP",M141,"")</f>
        <v>171</v>
      </c>
      <c r="U141" s="62">
        <f>IF($R141="RP",SUM(N141:O141),"")</f>
        <v>28.5</v>
      </c>
      <c r="V141" s="62" t="str">
        <f>IF($R141="RK",L141,"")</f>
        <v/>
      </c>
      <c r="W141" s="62" t="str">
        <f>IF($R141="RK",M141,"")</f>
        <v/>
      </c>
      <c r="X141" s="80" t="str">
        <f>IF($R141="Rk",SUM(N141:O141),"")</f>
        <v/>
      </c>
      <c r="Y141" s="1"/>
      <c r="Z141" s="1"/>
      <c r="AA141" s="1"/>
      <c r="AB141" s="1"/>
      <c r="AC141" s="1"/>
      <c r="AD141" s="1"/>
      <c r="IP141" s="1"/>
      <c r="IQ141" s="1"/>
      <c r="IR141" s="1"/>
      <c r="IS141" s="1"/>
    </row>
    <row r="142" spans="1:253" s="2" customFormat="1" ht="12.65" customHeight="1" x14ac:dyDescent="0.25">
      <c r="A142" s="880" t="s">
        <v>785</v>
      </c>
      <c r="B142" s="941"/>
      <c r="C142" s="942"/>
      <c r="D142" s="822"/>
      <c r="E142" s="823"/>
      <c r="F142" s="823"/>
      <c r="G142" s="823"/>
      <c r="H142" s="823"/>
      <c r="I142" s="824"/>
      <c r="J142" s="825"/>
      <c r="K142" s="826"/>
      <c r="L142" s="827"/>
      <c r="M142" s="925"/>
      <c r="N142" s="829"/>
      <c r="O142" s="829"/>
      <c r="P142" s="830"/>
      <c r="Q142" s="32"/>
      <c r="R142" s="124"/>
      <c r="S142" s="46"/>
      <c r="T142" s="46"/>
      <c r="V142" s="67"/>
      <c r="W142" s="46"/>
      <c r="X142" s="78"/>
      <c r="Y142" s="1"/>
      <c r="Z142" s="1"/>
      <c r="AA142" s="1"/>
      <c r="AB142" s="1"/>
      <c r="AC142" s="1"/>
      <c r="AD142" s="1"/>
      <c r="IP142" s="1"/>
      <c r="IQ142" s="1"/>
      <c r="IR142" s="1"/>
      <c r="IS142" s="1"/>
    </row>
    <row r="143" spans="1:253" s="2" customFormat="1" ht="12.65" customHeight="1" x14ac:dyDescent="0.25">
      <c r="A143" s="862"/>
      <c r="B143" s="863" t="s">
        <v>85</v>
      </c>
      <c r="C143" s="802"/>
      <c r="D143" s="803"/>
      <c r="E143" s="803"/>
      <c r="F143" s="803"/>
      <c r="G143" s="803"/>
      <c r="H143" s="803"/>
      <c r="I143" s="804"/>
      <c r="J143" s="805"/>
      <c r="K143" s="923"/>
      <c r="L143" s="1125"/>
      <c r="M143" s="916"/>
      <c r="N143" s="809"/>
      <c r="O143" s="809"/>
      <c r="P143" s="810"/>
      <c r="Q143" s="15"/>
      <c r="R143" s="124"/>
      <c r="S143" s="46"/>
      <c r="T143" s="46"/>
      <c r="V143" s="67"/>
      <c r="W143" s="46"/>
      <c r="X143" s="78"/>
      <c r="Y143" s="1"/>
      <c r="Z143" s="1"/>
      <c r="AA143" s="1"/>
      <c r="AB143" s="1"/>
      <c r="AC143" s="1"/>
      <c r="AD143" s="1"/>
      <c r="IP143" s="1"/>
      <c r="IQ143" s="1"/>
      <c r="IR143" s="1"/>
      <c r="IS143" s="1"/>
    </row>
    <row r="144" spans="1:253" s="2" customFormat="1" ht="12.65" customHeight="1" x14ac:dyDescent="0.25">
      <c r="A144" s="880"/>
      <c r="B144" s="881" t="s">
        <v>86</v>
      </c>
      <c r="C144" s="922">
        <v>0</v>
      </c>
      <c r="D144" s="803">
        <v>1</v>
      </c>
      <c r="E144" s="803">
        <v>4</v>
      </c>
      <c r="F144" s="803">
        <v>1</v>
      </c>
      <c r="G144" s="803">
        <v>0</v>
      </c>
      <c r="H144" s="803">
        <f>SUM(C144:G144)</f>
        <v>6</v>
      </c>
      <c r="I144" s="804">
        <f>((C144*$C$5)+(D144*$D$5)+(E144*$E$5)+(F144*$F$5)+(G144*$G$5))</f>
        <v>715.8900000000001</v>
      </c>
      <c r="J144" s="805">
        <v>0</v>
      </c>
      <c r="K144" s="923">
        <v>1</v>
      </c>
      <c r="L144" s="1126">
        <f>$M$10*0.5</f>
        <v>28.5</v>
      </c>
      <c r="M144" s="916">
        <f>(C144+D144+E144+F144+G144)*L144</f>
        <v>171</v>
      </c>
      <c r="N144" s="809">
        <f>J144*L144</f>
        <v>0</v>
      </c>
      <c r="O144" s="809">
        <f>K144*L144</f>
        <v>28.5</v>
      </c>
      <c r="P144" s="810">
        <f t="shared" ref="P144" si="33">I144*L144</f>
        <v>20402.865000000002</v>
      </c>
      <c r="Q144" s="13">
        <f>(I144+J144+K144)*L144</f>
        <v>20431.365000000002</v>
      </c>
      <c r="R144" s="76" t="s">
        <v>200</v>
      </c>
      <c r="S144" s="62">
        <f>IF($R144="RP",L144,"")</f>
        <v>28.5</v>
      </c>
      <c r="T144" s="62">
        <f>IF($R144="RP",M144,"")</f>
        <v>171</v>
      </c>
      <c r="U144" s="62">
        <f>IF($R144="RP",SUM(N144:O144),"")</f>
        <v>28.5</v>
      </c>
      <c r="V144" s="62" t="str">
        <f>IF($R144="RK",L144,"")</f>
        <v/>
      </c>
      <c r="W144" s="62" t="str">
        <f>IF($R144="RK",M144,"")</f>
        <v/>
      </c>
      <c r="X144" s="80" t="str">
        <f>IF($R144="Rk",SUM(N144:O144),"")</f>
        <v/>
      </c>
      <c r="Y144" s="1"/>
      <c r="Z144" s="1"/>
      <c r="AA144" s="1"/>
      <c r="AB144" s="1"/>
      <c r="AC144" s="1"/>
      <c r="AD144" s="1"/>
      <c r="IP144" s="1"/>
      <c r="IQ144" s="1"/>
      <c r="IR144" s="1"/>
      <c r="IS144" s="1"/>
    </row>
    <row r="145" spans="1:253" s="2" customFormat="1" ht="22" customHeight="1" x14ac:dyDescent="0.25">
      <c r="A145" s="1331" t="s">
        <v>786</v>
      </c>
      <c r="B145" s="1332"/>
      <c r="C145" s="900"/>
      <c r="D145" s="822"/>
      <c r="E145" s="823"/>
      <c r="F145" s="823"/>
      <c r="G145" s="823"/>
      <c r="H145" s="823"/>
      <c r="I145" s="824"/>
      <c r="J145" s="825"/>
      <c r="K145" s="826"/>
      <c r="L145" s="917"/>
      <c r="M145" s="918"/>
      <c r="N145" s="919"/>
      <c r="O145" s="919"/>
      <c r="P145" s="920"/>
      <c r="Q145" s="13"/>
      <c r="R145" s="76"/>
      <c r="S145" s="62"/>
      <c r="T145" s="62"/>
      <c r="U145" s="21"/>
      <c r="V145" s="68"/>
      <c r="W145" s="62"/>
      <c r="X145" s="80"/>
      <c r="Y145" s="1"/>
      <c r="Z145" s="1"/>
      <c r="AA145" s="1"/>
      <c r="AB145" s="1"/>
      <c r="AC145" s="1"/>
      <c r="AD145" s="1"/>
      <c r="IP145" s="1"/>
      <c r="IQ145" s="1"/>
      <c r="IR145" s="1"/>
      <c r="IS145" s="1"/>
    </row>
    <row r="146" spans="1:253" s="2" customFormat="1" ht="12.65" customHeight="1" x14ac:dyDescent="0.25">
      <c r="A146" s="870"/>
      <c r="B146" s="1007" t="s">
        <v>83</v>
      </c>
      <c r="C146" s="997"/>
      <c r="D146" s="981"/>
      <c r="E146" s="981"/>
      <c r="F146" s="981"/>
      <c r="G146" s="981"/>
      <c r="H146" s="981"/>
      <c r="I146" s="999"/>
      <c r="J146" s="1000"/>
      <c r="K146" s="1000"/>
      <c r="L146" s="915"/>
      <c r="M146" s="1002"/>
      <c r="N146" s="975"/>
      <c r="O146" s="975"/>
      <c r="P146" s="983"/>
      <c r="Q146" s="14"/>
      <c r="R146" s="124"/>
      <c r="S146" s="46"/>
      <c r="T146" s="46"/>
      <c r="V146" s="67"/>
      <c r="W146" s="46"/>
      <c r="X146" s="78"/>
      <c r="Y146" s="1"/>
      <c r="Z146" s="1"/>
      <c r="AA146" s="1"/>
      <c r="AB146" s="1"/>
      <c r="AC146" s="1"/>
      <c r="AD146" s="1"/>
      <c r="IP146" s="1"/>
      <c r="IQ146" s="1"/>
      <c r="IR146" s="1"/>
      <c r="IS146" s="1"/>
    </row>
    <row r="147" spans="1:253" s="2" customFormat="1" ht="12.65" customHeight="1" x14ac:dyDescent="0.25">
      <c r="A147" s="880"/>
      <c r="B147" s="921" t="s">
        <v>84</v>
      </c>
      <c r="C147" s="1018">
        <v>0</v>
      </c>
      <c r="D147" s="981">
        <v>10</v>
      </c>
      <c r="E147" s="981">
        <v>44</v>
      </c>
      <c r="F147" s="981">
        <v>8</v>
      </c>
      <c r="G147" s="981">
        <v>0</v>
      </c>
      <c r="H147" s="803">
        <f>SUM(C147:G147)</f>
        <v>62</v>
      </c>
      <c r="I147" s="804">
        <f>((C147*$C$5)+(D147*$D$5)+(E147*$E$5)+(F147*$F$5)+(G147*$G$5))</f>
        <v>7529.634</v>
      </c>
      <c r="J147" s="1000">
        <v>0</v>
      </c>
      <c r="K147" s="1000">
        <v>8</v>
      </c>
      <c r="L147" s="1126">
        <f>$M$10*0.6</f>
        <v>34.199999999999996</v>
      </c>
      <c r="M147" s="916">
        <f>(C147+D147+E147+F147+G147)*L147</f>
        <v>2120.3999999999996</v>
      </c>
      <c r="N147" s="809">
        <f>J147*L147</f>
        <v>0</v>
      </c>
      <c r="O147" s="1028">
        <f>K147*L147</f>
        <v>273.59999999999997</v>
      </c>
      <c r="P147" s="810">
        <f t="shared" ref="P147" si="34">I147*L147</f>
        <v>257513.48279999997</v>
      </c>
      <c r="Q147" s="13">
        <f>(I147+J147+K147)*L147</f>
        <v>257787.08279999997</v>
      </c>
      <c r="R147" s="76" t="s">
        <v>200</v>
      </c>
      <c r="S147" s="62">
        <f>IF($R147="RP",L147,"")</f>
        <v>34.199999999999996</v>
      </c>
      <c r="T147" s="62">
        <f>IF($R147="RP",M147,"")</f>
        <v>2120.3999999999996</v>
      </c>
      <c r="U147" s="62">
        <f>IF($R147="RP",SUM(N147:O147),"")</f>
        <v>273.59999999999997</v>
      </c>
      <c r="V147" s="62" t="str">
        <f>IF($R147="RK",L147,"")</f>
        <v/>
      </c>
      <c r="W147" s="62" t="str">
        <f>IF($R147="RK",M147,"")</f>
        <v/>
      </c>
      <c r="X147" s="80" t="str">
        <f>IF($R147="Rk",SUM(N147:O147),"")</f>
        <v/>
      </c>
      <c r="Y147" s="1"/>
      <c r="Z147" s="1"/>
      <c r="AA147" s="1"/>
      <c r="AB147" s="1"/>
      <c r="AC147" s="1"/>
      <c r="AD147" s="1"/>
      <c r="IP147" s="1"/>
      <c r="IQ147" s="1"/>
      <c r="IR147" s="1"/>
      <c r="IS147" s="1"/>
    </row>
    <row r="148" spans="1:253" s="2" customFormat="1" ht="12.65" customHeight="1" x14ac:dyDescent="0.25">
      <c r="A148" s="880" t="s">
        <v>787</v>
      </c>
      <c r="B148" s="944"/>
      <c r="C148" s="900"/>
      <c r="D148" s="822"/>
      <c r="E148" s="823"/>
      <c r="F148" s="823"/>
      <c r="G148" s="823"/>
      <c r="H148" s="823"/>
      <c r="I148" s="824"/>
      <c r="J148" s="825"/>
      <c r="K148" s="826"/>
      <c r="L148" s="1127"/>
      <c r="M148" s="918"/>
      <c r="N148" s="919"/>
      <c r="O148" s="919"/>
      <c r="P148" s="920"/>
      <c r="Q148" s="13"/>
      <c r="R148" s="124"/>
      <c r="S148" s="46"/>
      <c r="T148" s="46"/>
      <c r="V148" s="67"/>
      <c r="W148" s="46"/>
      <c r="X148" s="78"/>
      <c r="Y148" s="1"/>
      <c r="Z148" s="1"/>
      <c r="AA148" s="1"/>
      <c r="AB148" s="1"/>
      <c r="AC148" s="1"/>
      <c r="AD148" s="1"/>
      <c r="IP148" s="1"/>
      <c r="IQ148" s="1"/>
      <c r="IR148" s="1"/>
      <c r="IS148" s="1"/>
    </row>
    <row r="149" spans="1:253" s="2" customFormat="1" ht="12.65" customHeight="1" x14ac:dyDescent="0.25">
      <c r="A149" s="862"/>
      <c r="B149" s="1007" t="s">
        <v>1</v>
      </c>
      <c r="C149" s="997"/>
      <c r="D149" s="981"/>
      <c r="E149" s="981"/>
      <c r="F149" s="981"/>
      <c r="G149" s="981"/>
      <c r="H149" s="981"/>
      <c r="I149" s="999"/>
      <c r="J149" s="1000"/>
      <c r="K149" s="1000"/>
      <c r="L149" s="1125"/>
      <c r="M149" s="1002"/>
      <c r="N149" s="975"/>
      <c r="O149" s="975"/>
      <c r="P149" s="983"/>
      <c r="Q149" s="14"/>
      <c r="R149" s="75"/>
      <c r="S149" s="60"/>
      <c r="T149" s="60"/>
      <c r="U149" s="22"/>
      <c r="V149" s="66"/>
      <c r="W149" s="60"/>
      <c r="X149" s="101"/>
      <c r="Y149" s="1"/>
      <c r="Z149" s="1"/>
      <c r="AA149" s="1"/>
      <c r="AB149" s="1"/>
      <c r="AC149" s="1"/>
      <c r="AD149" s="1"/>
      <c r="IP149" s="1"/>
      <c r="IQ149" s="1"/>
      <c r="IR149" s="1"/>
      <c r="IS149" s="1"/>
    </row>
    <row r="150" spans="1:253" s="2" customFormat="1" ht="12.65" customHeight="1" x14ac:dyDescent="0.25">
      <c r="A150" s="880"/>
      <c r="B150" s="921" t="s">
        <v>2</v>
      </c>
      <c r="C150" s="1018">
        <v>0</v>
      </c>
      <c r="D150" s="989">
        <v>1</v>
      </c>
      <c r="E150" s="989">
        <v>36</v>
      </c>
      <c r="F150" s="989">
        <v>6</v>
      </c>
      <c r="G150" s="989">
        <v>0</v>
      </c>
      <c r="H150" s="929">
        <f>SUM(C150:G150)</f>
        <v>43</v>
      </c>
      <c r="I150" s="930">
        <f>((C150*$C$5)+(D150*$D$5)+(E150*$E$5)+(F150*$F$5)+(G150*$G$5))</f>
        <v>4994.6189999999997</v>
      </c>
      <c r="J150" s="906">
        <v>0</v>
      </c>
      <c r="K150" s="906">
        <v>8</v>
      </c>
      <c r="L150" s="1128">
        <f>$M$10*0.6</f>
        <v>34.199999999999996</v>
      </c>
      <c r="M150" s="934">
        <f>(C150+D150+E150+F150+G150)*L150</f>
        <v>1470.6</v>
      </c>
      <c r="N150" s="991">
        <f>J150*L150</f>
        <v>0</v>
      </c>
      <c r="O150" s="992">
        <f>K150*L150</f>
        <v>273.59999999999997</v>
      </c>
      <c r="P150" s="839">
        <f t="shared" ref="P150" si="35">I150*L150</f>
        <v>170815.96979999996</v>
      </c>
      <c r="Q150" s="13">
        <f>(I150+J150+K150)*L150</f>
        <v>171089.56979999997</v>
      </c>
      <c r="R150" s="76" t="s">
        <v>200</v>
      </c>
      <c r="S150" s="62">
        <f>IF($R150="RP",L150,"")</f>
        <v>34.199999999999996</v>
      </c>
      <c r="T150" s="62">
        <f>IF($R150="RP",M150,"")</f>
        <v>1470.6</v>
      </c>
      <c r="U150" s="62">
        <f>IF($R150="RP",SUM(N150:O150),"")</f>
        <v>273.59999999999997</v>
      </c>
      <c r="V150" s="62" t="str">
        <f>IF($R150="RK",L150,"")</f>
        <v/>
      </c>
      <c r="W150" s="62" t="str">
        <f>IF($R150="RK",M150,"")</f>
        <v/>
      </c>
      <c r="X150" s="100" t="str">
        <f>IF($R150="Rk",SUM(N150:O150),"")</f>
        <v/>
      </c>
      <c r="Y150" s="1"/>
      <c r="Z150" s="1"/>
      <c r="AA150" s="1"/>
      <c r="AB150" s="1"/>
      <c r="AC150" s="1"/>
      <c r="AD150" s="1"/>
      <c r="AE150" s="1"/>
      <c r="AF150" s="1"/>
      <c r="AG150" s="1"/>
      <c r="AH150" s="1"/>
      <c r="AI150" s="1"/>
      <c r="IP150" s="1"/>
      <c r="IQ150" s="1"/>
      <c r="IR150" s="1"/>
      <c r="IS150" s="1"/>
    </row>
    <row r="151" spans="1:253" s="2" customFormat="1" ht="12.65" customHeight="1" x14ac:dyDescent="0.25">
      <c r="A151" s="862"/>
      <c r="B151" s="1007" t="s">
        <v>3</v>
      </c>
      <c r="C151" s="1008"/>
      <c r="D151" s="981"/>
      <c r="E151" s="981"/>
      <c r="F151" s="981"/>
      <c r="G151" s="981"/>
      <c r="H151" s="981"/>
      <c r="I151" s="999"/>
      <c r="J151" s="1000"/>
      <c r="K151" s="1000"/>
      <c r="L151" s="1129"/>
      <c r="M151" s="1002"/>
      <c r="N151" s="975"/>
      <c r="O151" s="975"/>
      <c r="P151" s="975"/>
      <c r="Q151" s="15"/>
      <c r="R151" s="75"/>
      <c r="S151" s="60"/>
      <c r="T151" s="60"/>
      <c r="U151" s="22"/>
      <c r="V151" s="66"/>
      <c r="W151" s="60"/>
      <c r="X151" s="101"/>
      <c r="Y151" s="1"/>
      <c r="Z151" s="1"/>
      <c r="AA151" s="1"/>
      <c r="AB151" s="1"/>
      <c r="AC151" s="1"/>
      <c r="AD151" s="1"/>
      <c r="AE151" s="1"/>
      <c r="AF151" s="1"/>
      <c r="AG151" s="1"/>
      <c r="AH151" s="1"/>
      <c r="AI151" s="1"/>
      <c r="IP151" s="1"/>
      <c r="IQ151" s="1"/>
      <c r="IR151" s="1"/>
      <c r="IS151" s="1"/>
    </row>
    <row r="152" spans="1:253" s="2" customFormat="1" ht="12.65" customHeight="1" x14ac:dyDescent="0.25">
      <c r="A152" s="880"/>
      <c r="B152" s="921" t="s">
        <v>788</v>
      </c>
      <c r="C152" s="994">
        <v>0</v>
      </c>
      <c r="D152" s="981">
        <v>1</v>
      </c>
      <c r="E152" s="981">
        <v>18</v>
      </c>
      <c r="F152" s="981">
        <v>4</v>
      </c>
      <c r="G152" s="981">
        <v>0</v>
      </c>
      <c r="H152" s="803">
        <f>SUM(C152:G152)</f>
        <v>23</v>
      </c>
      <c r="I152" s="804">
        <f>((C152*$C$5)+(D152*$D$5)+(E152*$E$5)+(F152*$F$5)+(G152*$G$5))</f>
        <v>2638.6289999999999</v>
      </c>
      <c r="J152" s="1000">
        <v>0</v>
      </c>
      <c r="K152" s="1000">
        <v>8</v>
      </c>
      <c r="L152" s="1130">
        <v>0</v>
      </c>
      <c r="M152" s="916">
        <f>(C152+D152+E152+F152+G152)*L152</f>
        <v>0</v>
      </c>
      <c r="N152" s="809">
        <f>J152*L152</f>
        <v>0</v>
      </c>
      <c r="O152" s="809">
        <f>K152*L152</f>
        <v>0</v>
      </c>
      <c r="P152" s="950">
        <f t="shared" ref="P152" si="36">I152*L152</f>
        <v>0</v>
      </c>
      <c r="Q152" s="13">
        <f>(I152+J152+K152)*L152</f>
        <v>0</v>
      </c>
      <c r="R152" s="76" t="s">
        <v>200</v>
      </c>
      <c r="S152" s="62">
        <f>IF($R152="RP",L152,"")</f>
        <v>0</v>
      </c>
      <c r="T152" s="62">
        <f>IF($R152="RP",M152,"")</f>
        <v>0</v>
      </c>
      <c r="U152" s="62">
        <f>IF($R152="RP",SUM(N152:O152),"")</f>
        <v>0</v>
      </c>
      <c r="V152" s="62" t="str">
        <f>IF($R152="RK",L152,"")</f>
        <v/>
      </c>
      <c r="W152" s="62" t="str">
        <f>IF($R152="RK",M152,"")</f>
        <v/>
      </c>
      <c r="X152" s="100" t="str">
        <f>IF($R152="Rk",SUM(N152:O152),"")</f>
        <v/>
      </c>
      <c r="Y152" s="1"/>
      <c r="Z152" s="1"/>
      <c r="AA152" s="1"/>
      <c r="AB152" s="1"/>
      <c r="AC152" s="1"/>
      <c r="AD152" s="1"/>
      <c r="AE152" s="1"/>
      <c r="AF152" s="1"/>
      <c r="AG152" s="1"/>
      <c r="AH152" s="1"/>
      <c r="AI152" s="1"/>
      <c r="IP152" s="1"/>
      <c r="IQ152" s="1"/>
      <c r="IR152" s="1"/>
      <c r="IS152" s="1"/>
    </row>
    <row r="153" spans="1:253" s="2" customFormat="1" ht="12.65" customHeight="1" x14ac:dyDescent="0.25">
      <c r="A153" s="880" t="s">
        <v>789</v>
      </c>
      <c r="B153" s="944"/>
      <c r="C153" s="783"/>
      <c r="D153" s="1036"/>
      <c r="E153" s="1037"/>
      <c r="F153" s="1037"/>
      <c r="G153" s="1037"/>
      <c r="H153" s="1037"/>
      <c r="I153" s="1038"/>
      <c r="J153" s="1039"/>
      <c r="K153" s="1040"/>
      <c r="L153" s="1041"/>
      <c r="M153" s="1131"/>
      <c r="N153" s="1043"/>
      <c r="O153" s="1043"/>
      <c r="P153" s="1132"/>
      <c r="Q153" s="25"/>
      <c r="R153" s="127"/>
      <c r="S153" s="46"/>
      <c r="T153" s="46"/>
      <c r="V153" s="67"/>
      <c r="W153" s="46"/>
      <c r="X153" s="78"/>
      <c r="Y153" s="1"/>
      <c r="Z153" s="1"/>
      <c r="AA153" s="1"/>
      <c r="AB153" s="1"/>
      <c r="AC153" s="1"/>
      <c r="AD153" s="1"/>
      <c r="AE153" s="1"/>
      <c r="AF153" s="1"/>
      <c r="AG153" s="1"/>
      <c r="AH153" s="1"/>
      <c r="AI153" s="1"/>
      <c r="IP153" s="1"/>
      <c r="IQ153" s="1"/>
      <c r="IR153" s="1"/>
      <c r="IS153" s="1"/>
    </row>
    <row r="154" spans="1:253" s="2" customFormat="1" ht="12.65" customHeight="1" x14ac:dyDescent="0.25">
      <c r="A154" s="1133"/>
      <c r="B154" s="1056" t="s">
        <v>161</v>
      </c>
      <c r="C154" s="952">
        <v>0</v>
      </c>
      <c r="D154" s="1123">
        <v>9</v>
      </c>
      <c r="E154" s="1123">
        <v>45</v>
      </c>
      <c r="F154" s="1123">
        <v>3</v>
      </c>
      <c r="G154" s="1123">
        <v>0</v>
      </c>
      <c r="H154" s="1123">
        <f>SUM(C154:G154)</f>
        <v>57</v>
      </c>
      <c r="I154" s="930">
        <f>((C154*$C$5)+(D154*$D$5)+(E154*$E$5)+(F154*$F$5)+(G154*$G$5))</f>
        <v>7183.3860000000013</v>
      </c>
      <c r="J154" s="1124">
        <v>0</v>
      </c>
      <c r="K154" s="906">
        <v>20</v>
      </c>
      <c r="L154" s="887">
        <v>1</v>
      </c>
      <c r="M154" s="1134">
        <f>(C154+D154+E154+F154+G154)*L154</f>
        <v>57</v>
      </c>
      <c r="N154" s="974">
        <f>J154*L154</f>
        <v>0</v>
      </c>
      <c r="O154" s="974">
        <f>K154*L154</f>
        <v>20</v>
      </c>
      <c r="P154" s="839">
        <f t="shared" ref="P154:P158" si="37">I154*L154</f>
        <v>7183.3860000000013</v>
      </c>
      <c r="Q154" s="16">
        <f>(I154+J154+K154)*L154</f>
        <v>7203.3860000000013</v>
      </c>
      <c r="R154" s="77" t="s">
        <v>200</v>
      </c>
      <c r="S154" s="64">
        <f t="shared" ref="S154:T158" si="38">IF($R154="RP",L154,"")</f>
        <v>1</v>
      </c>
      <c r="T154" s="64">
        <f t="shared" si="38"/>
        <v>57</v>
      </c>
      <c r="U154" s="64">
        <f>IF($R154="RP",SUM(N154:O154),"")</f>
        <v>20</v>
      </c>
      <c r="V154" s="64" t="str">
        <f t="shared" ref="V154:W158" si="39">IF($R154="RK",L154,"")</f>
        <v/>
      </c>
      <c r="W154" s="64" t="str">
        <f t="shared" si="39"/>
        <v/>
      </c>
      <c r="X154" s="86" t="str">
        <f>IF($R154="Rk",SUM(N154:O154),"")</f>
        <v/>
      </c>
      <c r="Y154" s="1"/>
      <c r="Z154" s="1"/>
      <c r="AA154" s="1"/>
      <c r="AB154" s="1"/>
      <c r="AC154" s="1"/>
      <c r="AD154" s="1"/>
      <c r="AE154" s="1"/>
      <c r="AF154" s="1"/>
      <c r="AG154" s="1"/>
      <c r="AH154" s="1"/>
      <c r="AI154" s="1"/>
      <c r="IP154" s="1"/>
      <c r="IQ154" s="1"/>
      <c r="IR154" s="1"/>
      <c r="IS154" s="1"/>
    </row>
    <row r="155" spans="1:253" s="2" customFormat="1" ht="12.65" customHeight="1" x14ac:dyDescent="0.25">
      <c r="A155" s="1133"/>
      <c r="B155" s="1056" t="s">
        <v>162</v>
      </c>
      <c r="C155" s="811">
        <v>0</v>
      </c>
      <c r="D155" s="952">
        <v>1</v>
      </c>
      <c r="E155" s="952">
        <v>3</v>
      </c>
      <c r="F155" s="952">
        <v>2</v>
      </c>
      <c r="G155" s="952">
        <v>0</v>
      </c>
      <c r="H155" s="952">
        <f>SUM(C155:G155)</f>
        <v>6</v>
      </c>
      <c r="I155" s="930">
        <f>((C155*$C$5)+(D155*$D$5)+(E155*$E$5)+(F155*$F$5)+(G155*$G$5))</f>
        <v>654.46500000000003</v>
      </c>
      <c r="J155" s="953">
        <v>0</v>
      </c>
      <c r="K155" s="826">
        <v>150</v>
      </c>
      <c r="L155" s="1135">
        <f>L154</f>
        <v>1</v>
      </c>
      <c r="M155" s="955">
        <f>(C155+D155+E155+F155+G155)*L155</f>
        <v>6</v>
      </c>
      <c r="N155" s="817">
        <f>J155*L155</f>
        <v>0</v>
      </c>
      <c r="O155" s="817">
        <f>K155*L155</f>
        <v>150</v>
      </c>
      <c r="P155" s="839">
        <f t="shared" si="37"/>
        <v>654.46500000000003</v>
      </c>
      <c r="Q155" s="16">
        <f>(I155+J155+K155)*L155</f>
        <v>804.46500000000003</v>
      </c>
      <c r="R155" s="76" t="s">
        <v>200</v>
      </c>
      <c r="S155" s="62">
        <f t="shared" si="38"/>
        <v>1</v>
      </c>
      <c r="T155" s="62">
        <f t="shared" si="38"/>
        <v>6</v>
      </c>
      <c r="U155" s="62">
        <f>IF($R155="RP",SUM(N155:O155),"")</f>
        <v>150</v>
      </c>
      <c r="V155" s="62" t="str">
        <f t="shared" si="39"/>
        <v/>
      </c>
      <c r="W155" s="62" t="str">
        <f t="shared" si="39"/>
        <v/>
      </c>
      <c r="X155" s="80" t="str">
        <f>IF($R155="Rk",SUM(N155:O155),"")</f>
        <v/>
      </c>
      <c r="Y155" s="1"/>
      <c r="Z155" s="1"/>
      <c r="AA155" s="1"/>
      <c r="AB155" s="1"/>
      <c r="AC155" s="1"/>
      <c r="AD155" s="1"/>
      <c r="AE155" s="1"/>
      <c r="AF155" s="1"/>
      <c r="AG155" s="1"/>
      <c r="AH155" s="1"/>
      <c r="AI155" s="1"/>
      <c r="IP155" s="1"/>
      <c r="IQ155" s="1"/>
      <c r="IR155" s="1"/>
      <c r="IS155" s="1"/>
    </row>
    <row r="156" spans="1:253" s="2" customFormat="1" ht="12.65" customHeight="1" x14ac:dyDescent="0.25">
      <c r="A156" s="1133"/>
      <c r="B156" s="1056" t="s">
        <v>163</v>
      </c>
      <c r="C156" s="952">
        <v>0</v>
      </c>
      <c r="D156" s="952">
        <v>4</v>
      </c>
      <c r="E156" s="952">
        <v>20</v>
      </c>
      <c r="F156" s="952">
        <v>3</v>
      </c>
      <c r="G156" s="952">
        <v>0</v>
      </c>
      <c r="H156" s="952">
        <f>SUM(C156:G156)</f>
        <v>27</v>
      </c>
      <c r="I156" s="930">
        <f>((C156*$C$5)+(D156*$D$5)+(E156*$E$5)+(F156*$F$5)+(G156*$G$5))</f>
        <v>3296.8110000000001</v>
      </c>
      <c r="J156" s="953">
        <v>250</v>
      </c>
      <c r="K156" s="826">
        <v>200</v>
      </c>
      <c r="L156" s="1135">
        <f>L155</f>
        <v>1</v>
      </c>
      <c r="M156" s="955">
        <f>(C156+D156+E156+F156+G156)*L156</f>
        <v>27</v>
      </c>
      <c r="N156" s="817">
        <f>J156*L156</f>
        <v>250</v>
      </c>
      <c r="O156" s="817">
        <f>K156*L156</f>
        <v>200</v>
      </c>
      <c r="P156" s="839">
        <f t="shared" si="37"/>
        <v>3296.8110000000001</v>
      </c>
      <c r="Q156" s="16">
        <f>(I156+J156+K156)*L156</f>
        <v>3746.8110000000001</v>
      </c>
      <c r="R156" s="76" t="s">
        <v>200</v>
      </c>
      <c r="S156" s="62">
        <f t="shared" si="38"/>
        <v>1</v>
      </c>
      <c r="T156" s="62">
        <f t="shared" si="38"/>
        <v>27</v>
      </c>
      <c r="U156" s="62">
        <f>IF($R156="RP",SUM(N156:O156),"")</f>
        <v>450</v>
      </c>
      <c r="V156" s="62" t="str">
        <f t="shared" si="39"/>
        <v/>
      </c>
      <c r="W156" s="62" t="str">
        <f t="shared" si="39"/>
        <v/>
      </c>
      <c r="X156" s="80" t="str">
        <f>IF($R156="Rk",SUM(N156:O156),"")</f>
        <v/>
      </c>
      <c r="Y156" s="1"/>
      <c r="Z156" s="1"/>
      <c r="AA156" s="1"/>
      <c r="AB156" s="1"/>
      <c r="AC156" s="1"/>
      <c r="AD156" s="1"/>
      <c r="AE156" s="1"/>
      <c r="AF156" s="1"/>
      <c r="AG156" s="1"/>
      <c r="AH156" s="1"/>
      <c r="AI156" s="1"/>
      <c r="IP156" s="1"/>
      <c r="IQ156" s="1"/>
      <c r="IR156" s="1"/>
      <c r="IS156" s="1"/>
    </row>
    <row r="157" spans="1:253" s="2" customFormat="1" ht="12.65" customHeight="1" x14ac:dyDescent="0.25">
      <c r="A157" s="1133"/>
      <c r="B157" s="1056" t="s">
        <v>164</v>
      </c>
      <c r="C157" s="952">
        <v>0</v>
      </c>
      <c r="D157" s="952">
        <v>2</v>
      </c>
      <c r="E157" s="952">
        <f>35</f>
        <v>35</v>
      </c>
      <c r="F157" s="952">
        <v>3</v>
      </c>
      <c r="G157" s="952">
        <v>0</v>
      </c>
      <c r="H157" s="952">
        <f>SUM(C157:G157)</f>
        <v>40</v>
      </c>
      <c r="I157" s="930">
        <f>((C157*$C$5)+(D157*$D$5)+(E157*$E$5)+(F157*$F$5)+(G157*$G$5))</f>
        <v>4840.7310000000007</v>
      </c>
      <c r="J157" s="953">
        <v>0</v>
      </c>
      <c r="K157" s="826">
        <v>100</v>
      </c>
      <c r="L157" s="1135">
        <f>L156</f>
        <v>1</v>
      </c>
      <c r="M157" s="955">
        <f>(C157+D157+E157+F157+G157)*L157</f>
        <v>40</v>
      </c>
      <c r="N157" s="817">
        <f>J157*L157</f>
        <v>0</v>
      </c>
      <c r="O157" s="817">
        <f>K157*L157</f>
        <v>100</v>
      </c>
      <c r="P157" s="839">
        <f t="shared" si="37"/>
        <v>4840.7310000000007</v>
      </c>
      <c r="Q157" s="16">
        <f>(I157+J157+K157)*L157</f>
        <v>4940.7310000000007</v>
      </c>
      <c r="R157" s="76" t="s">
        <v>200</v>
      </c>
      <c r="S157" s="62">
        <f t="shared" si="38"/>
        <v>1</v>
      </c>
      <c r="T157" s="62">
        <f t="shared" si="38"/>
        <v>40</v>
      </c>
      <c r="U157" s="62">
        <f>IF($R157="RP",SUM(N157:O157),"")</f>
        <v>100</v>
      </c>
      <c r="V157" s="62" t="str">
        <f t="shared" si="39"/>
        <v/>
      </c>
      <c r="W157" s="62" t="str">
        <f t="shared" si="39"/>
        <v/>
      </c>
      <c r="X157" s="80" t="str">
        <f>IF($R157="Rk",SUM(N157:O157),"")</f>
        <v/>
      </c>
      <c r="Y157" s="1"/>
      <c r="Z157" s="1"/>
      <c r="AA157" s="1"/>
      <c r="AB157" s="1"/>
      <c r="AC157" s="1"/>
      <c r="AD157" s="1"/>
      <c r="AE157" s="1"/>
      <c r="AF157" s="1"/>
      <c r="AG157" s="1"/>
      <c r="AH157" s="1"/>
      <c r="AI157" s="1"/>
      <c r="IP157" s="1"/>
      <c r="IQ157" s="1"/>
      <c r="IR157" s="1"/>
      <c r="IS157" s="1"/>
    </row>
    <row r="158" spans="1:253" s="2" customFormat="1" ht="12.65" customHeight="1" x14ac:dyDescent="0.25">
      <c r="A158" s="1133"/>
      <c r="B158" s="1056" t="s">
        <v>165</v>
      </c>
      <c r="C158" s="811">
        <v>0</v>
      </c>
      <c r="D158" s="812">
        <v>3</v>
      </c>
      <c r="E158" s="812">
        <v>30</v>
      </c>
      <c r="F158" s="812">
        <v>3</v>
      </c>
      <c r="G158" s="812">
        <v>0</v>
      </c>
      <c r="H158" s="812">
        <f>SUM(C158:G158)</f>
        <v>36</v>
      </c>
      <c r="I158" s="804">
        <f>((C158*$C$5)+(D158*$D$5)+(E158*$E$5)+(F158*$F$5)+(G158*$G$5))</f>
        <v>4378.6260000000011</v>
      </c>
      <c r="J158" s="814">
        <v>0</v>
      </c>
      <c r="K158" s="1136">
        <v>50</v>
      </c>
      <c r="L158" s="876">
        <f>L157</f>
        <v>1</v>
      </c>
      <c r="M158" s="959">
        <f>(C158+D158+E158+F158+G158)*L158</f>
        <v>36</v>
      </c>
      <c r="N158" s="817">
        <f>J158*L158</f>
        <v>0</v>
      </c>
      <c r="O158" s="817">
        <f>K158*L158</f>
        <v>50</v>
      </c>
      <c r="P158" s="810">
        <f t="shared" si="37"/>
        <v>4378.6260000000011</v>
      </c>
      <c r="Q158" s="16">
        <f>(I158+J158+K158)*L158</f>
        <v>4428.6260000000011</v>
      </c>
      <c r="R158" s="76" t="s">
        <v>200</v>
      </c>
      <c r="S158" s="62">
        <f t="shared" si="38"/>
        <v>1</v>
      </c>
      <c r="T158" s="62">
        <f t="shared" si="38"/>
        <v>36</v>
      </c>
      <c r="U158" s="62">
        <f>IF($R158="RP",SUM(N158:O158),"")</f>
        <v>50</v>
      </c>
      <c r="V158" s="62" t="str">
        <f t="shared" si="39"/>
        <v/>
      </c>
      <c r="W158" s="62" t="str">
        <f t="shared" si="39"/>
        <v/>
      </c>
      <c r="X158" s="80" t="str">
        <f>IF($R158="Rk",SUM(N158:O158),"")</f>
        <v/>
      </c>
      <c r="Y158" s="1"/>
      <c r="Z158" s="1"/>
      <c r="AA158" s="1"/>
      <c r="AB158" s="1"/>
      <c r="AC158" s="1"/>
      <c r="AD158" s="1"/>
      <c r="AE158" s="1"/>
      <c r="AF158" s="1"/>
      <c r="AG158" s="1"/>
      <c r="AH158" s="1"/>
      <c r="AI158" s="1"/>
      <c r="IP158" s="1"/>
      <c r="IQ158" s="1"/>
      <c r="IR158" s="1"/>
      <c r="IS158" s="1"/>
    </row>
    <row r="159" spans="1:253" s="2" customFormat="1" ht="12.65" customHeight="1" x14ac:dyDescent="0.25">
      <c r="A159" s="901" t="s">
        <v>790</v>
      </c>
      <c r="B159" s="1137"/>
      <c r="C159" s="1138"/>
      <c r="D159" s="853"/>
      <c r="E159" s="854"/>
      <c r="F159" s="854"/>
      <c r="G159" s="854"/>
      <c r="H159" s="854"/>
      <c r="I159" s="855"/>
      <c r="J159" s="856"/>
      <c r="K159" s="857"/>
      <c r="L159" s="858"/>
      <c r="M159" s="859"/>
      <c r="N159" s="860"/>
      <c r="O159" s="860"/>
      <c r="P159" s="1078"/>
      <c r="Q159" s="37"/>
      <c r="R159" s="128"/>
      <c r="S159" s="64"/>
      <c r="T159" s="64"/>
      <c r="U159" s="18"/>
      <c r="V159" s="71"/>
      <c r="W159" s="64"/>
      <c r="X159" s="81"/>
      <c r="Y159" s="1"/>
      <c r="Z159" s="1"/>
      <c r="AA159" s="1"/>
      <c r="AB159" s="1"/>
      <c r="AC159" s="1"/>
      <c r="AD159" s="1"/>
      <c r="AE159" s="1"/>
      <c r="AF159" s="1"/>
      <c r="AG159" s="1"/>
      <c r="AH159" s="1"/>
      <c r="AI159" s="1"/>
      <c r="IP159" s="1"/>
      <c r="IQ159" s="1"/>
      <c r="IR159" s="1"/>
      <c r="IS159" s="1"/>
    </row>
    <row r="160" spans="1:253" s="2" customFormat="1" ht="12.65" customHeight="1" x14ac:dyDescent="0.25">
      <c r="A160" s="1139"/>
      <c r="B160" s="1140" t="s">
        <v>110</v>
      </c>
      <c r="C160" s="882">
        <v>0</v>
      </c>
      <c r="D160" s="1141">
        <v>2</v>
      </c>
      <c r="E160" s="1141">
        <v>8</v>
      </c>
      <c r="F160" s="1141">
        <v>1</v>
      </c>
      <c r="G160" s="1141">
        <v>0</v>
      </c>
      <c r="H160" s="929">
        <f>SUM(C160:G160)</f>
        <v>11</v>
      </c>
      <c r="I160" s="930">
        <f>((C160*$C$5)+(D160*$D$5)+(E160*$E$5)+(F160*$F$5))</f>
        <v>1369.2630000000001</v>
      </c>
      <c r="J160" s="931">
        <v>0</v>
      </c>
      <c r="K160" s="932">
        <v>0</v>
      </c>
      <c r="L160" s="1142">
        <v>1</v>
      </c>
      <c r="M160" s="934">
        <f>(C160+D160+E160+F160)*L160</f>
        <v>11</v>
      </c>
      <c r="N160" s="991">
        <f>J160*L160</f>
        <v>0</v>
      </c>
      <c r="O160" s="991">
        <f>K160*L160</f>
        <v>0</v>
      </c>
      <c r="P160" s="1015">
        <f t="shared" ref="P160" si="40">I160*L160</f>
        <v>1369.2630000000001</v>
      </c>
      <c r="Q160" s="13">
        <f>(I160+J160+K160)*L160</f>
        <v>1369.2630000000001</v>
      </c>
      <c r="R160" s="76" t="s">
        <v>200</v>
      </c>
      <c r="S160" s="62">
        <f>IF($R160="RP",L160,"")</f>
        <v>1</v>
      </c>
      <c r="T160" s="62">
        <f>IF($R160="RP",M160,"")</f>
        <v>11</v>
      </c>
      <c r="U160" s="62">
        <f>IF($R160="RP",SUM(N160:O160),"")</f>
        <v>0</v>
      </c>
      <c r="V160" s="62" t="str">
        <f>IF($R160="RK",L160,"")</f>
        <v/>
      </c>
      <c r="W160" s="62" t="str">
        <f>IF($R160="RK",M160,"")</f>
        <v/>
      </c>
      <c r="X160" s="80" t="str">
        <f>IF($R160="Rk",SUM(N160:O160),"")</f>
        <v/>
      </c>
      <c r="Y160" s="1"/>
      <c r="Z160" s="1"/>
      <c r="AA160" s="1"/>
      <c r="AB160" s="1"/>
      <c r="AC160" s="1"/>
      <c r="AD160" s="1"/>
      <c r="AE160" s="1"/>
      <c r="AF160" s="1"/>
      <c r="AG160" s="1"/>
      <c r="AH160" s="1"/>
      <c r="AI160" s="1"/>
      <c r="IP160" s="1"/>
      <c r="IQ160" s="1"/>
      <c r="IR160" s="1"/>
      <c r="IS160" s="1"/>
    </row>
    <row r="161" spans="1:253" s="2" customFormat="1" ht="12.65" customHeight="1" x14ac:dyDescent="0.25">
      <c r="A161" s="1143"/>
      <c r="B161" s="1144" t="s">
        <v>111</v>
      </c>
      <c r="C161" s="1145"/>
      <c r="D161" s="1146"/>
      <c r="E161" s="1146"/>
      <c r="F161" s="1146"/>
      <c r="G161" s="1146"/>
      <c r="H161" s="1147"/>
      <c r="I161" s="1148"/>
      <c r="J161" s="1149"/>
      <c r="K161" s="1150"/>
      <c r="L161" s="1151"/>
      <c r="M161" s="1152"/>
      <c r="N161" s="1153"/>
      <c r="O161" s="1153"/>
      <c r="P161" s="1154"/>
      <c r="Q161" s="38"/>
      <c r="R161" s="129"/>
      <c r="S161" s="46"/>
      <c r="T161" s="46"/>
      <c r="U161" s="22"/>
      <c r="V161" s="66"/>
      <c r="W161" s="46"/>
      <c r="X161" s="78"/>
      <c r="Y161" s="1"/>
      <c r="Z161" s="1"/>
      <c r="AA161" s="1"/>
      <c r="AB161" s="1"/>
      <c r="AC161" s="1"/>
      <c r="AD161" s="1"/>
      <c r="AE161" s="1"/>
      <c r="AF161" s="1"/>
      <c r="AG161" s="1"/>
      <c r="AH161" s="1"/>
      <c r="AI161" s="1"/>
      <c r="IP161" s="1"/>
      <c r="IQ161" s="1"/>
      <c r="IR161" s="1"/>
      <c r="IS161" s="1"/>
    </row>
    <row r="162" spans="1:253" s="2" customFormat="1" ht="12.65" customHeight="1" x14ac:dyDescent="0.25">
      <c r="A162" s="1139"/>
      <c r="B162" s="1140" t="s">
        <v>112</v>
      </c>
      <c r="C162" s="929">
        <v>0</v>
      </c>
      <c r="D162" s="929">
        <v>7</v>
      </c>
      <c r="E162" s="929">
        <v>32</v>
      </c>
      <c r="F162" s="929">
        <v>0.5</v>
      </c>
      <c r="G162" s="929">
        <v>0</v>
      </c>
      <c r="H162" s="1155">
        <f>SUM(C162:G162)</f>
        <v>39.5</v>
      </c>
      <c r="I162" s="1156">
        <f>((C162*$C$5)+(D162*$D$5)+(E162*$E$5)+(F162*$F$5))</f>
        <v>5100.6375000000007</v>
      </c>
      <c r="J162" s="931">
        <v>0</v>
      </c>
      <c r="K162" s="1157">
        <v>0</v>
      </c>
      <c r="L162" s="1158">
        <v>1</v>
      </c>
      <c r="M162" s="1159">
        <f>(C162+D162+E162+F162)*L162</f>
        <v>39.5</v>
      </c>
      <c r="N162" s="975">
        <f>J162*L162</f>
        <v>0</v>
      </c>
      <c r="O162" s="975">
        <f>K162*L162</f>
        <v>0</v>
      </c>
      <c r="P162" s="839">
        <f t="shared" ref="P162" si="41">I162*L162</f>
        <v>5100.6375000000007</v>
      </c>
      <c r="Q162" s="13">
        <f>(I162+J162+K162)*L162</f>
        <v>5100.6375000000007</v>
      </c>
      <c r="R162" s="76" t="s">
        <v>200</v>
      </c>
      <c r="S162" s="62">
        <f>IF($R162="RP",L162,"")</f>
        <v>1</v>
      </c>
      <c r="T162" s="62">
        <f>IF($R162="RP",M162,"")</f>
        <v>39.5</v>
      </c>
      <c r="U162" s="62">
        <f>IF($R162="RP",SUM(N162:O162),"")</f>
        <v>0</v>
      </c>
      <c r="V162" s="62" t="str">
        <f>IF($R162="RK",L162,"")</f>
        <v/>
      </c>
      <c r="W162" s="62" t="str">
        <f>IF($R162="RK",M162,"")</f>
        <v/>
      </c>
      <c r="X162" s="80" t="str">
        <f>IF($R162="Rk",SUM(N162:O162),"")</f>
        <v/>
      </c>
      <c r="Y162" s="1"/>
      <c r="Z162" s="1"/>
      <c r="AA162" s="1"/>
      <c r="AB162" s="1"/>
      <c r="AC162" s="1"/>
      <c r="AD162" s="1"/>
      <c r="AE162" s="1"/>
      <c r="AF162" s="1"/>
      <c r="AG162" s="1"/>
      <c r="AH162" s="1"/>
      <c r="AI162" s="1"/>
      <c r="IP162" s="1"/>
      <c r="IQ162" s="1"/>
      <c r="IR162" s="1"/>
      <c r="IS162" s="1"/>
    </row>
    <row r="163" spans="1:253" s="2" customFormat="1" ht="12.65" customHeight="1" x14ac:dyDescent="0.25">
      <c r="A163" s="1143"/>
      <c r="B163" s="1144" t="s">
        <v>113</v>
      </c>
      <c r="C163" s="1146"/>
      <c r="D163" s="1146"/>
      <c r="E163" s="1146"/>
      <c r="F163" s="1146"/>
      <c r="G163" s="1146"/>
      <c r="H163" s="1147"/>
      <c r="I163" s="1160"/>
      <c r="J163" s="1161"/>
      <c r="K163" s="1150"/>
      <c r="L163" s="1162"/>
      <c r="M163" s="1163"/>
      <c r="N163" s="1164"/>
      <c r="O163" s="1164"/>
      <c r="P163" s="1165"/>
      <c r="Q163" s="38"/>
      <c r="R163" s="129"/>
      <c r="S163" s="46"/>
      <c r="T163" s="46"/>
      <c r="U163" s="22"/>
      <c r="V163" s="66"/>
      <c r="W163" s="46"/>
      <c r="X163" s="78"/>
      <c r="Y163" s="1"/>
      <c r="Z163" s="1"/>
      <c r="AA163" s="1"/>
      <c r="AB163" s="1"/>
      <c r="AC163" s="1"/>
      <c r="AD163" s="1"/>
      <c r="AE163" s="1"/>
      <c r="AF163" s="1"/>
      <c r="AG163" s="1"/>
      <c r="AH163" s="1"/>
      <c r="AI163" s="1"/>
      <c r="IP163" s="1"/>
      <c r="IQ163" s="1"/>
      <c r="IR163" s="1"/>
      <c r="IS163" s="1"/>
    </row>
    <row r="164" spans="1:253" s="2" customFormat="1" ht="12.65" customHeight="1" x14ac:dyDescent="0.25">
      <c r="A164" s="1139"/>
      <c r="B164" s="1166" t="s">
        <v>112</v>
      </c>
      <c r="C164" s="803">
        <v>0</v>
      </c>
      <c r="D164" s="803">
        <v>7</v>
      </c>
      <c r="E164" s="803">
        <v>32</v>
      </c>
      <c r="F164" s="803">
        <v>0.5</v>
      </c>
      <c r="G164" s="803">
        <v>0</v>
      </c>
      <c r="H164" s="947">
        <f>SUM(C164:G164)</f>
        <v>39.5</v>
      </c>
      <c r="I164" s="1167">
        <f>((C164*$C$5)+(D164*$D$5)+(E164*$E$5)+(F164*$F$5))</f>
        <v>5100.6375000000007</v>
      </c>
      <c r="J164" s="805">
        <v>0</v>
      </c>
      <c r="K164" s="1000">
        <v>0</v>
      </c>
      <c r="L164" s="1168">
        <v>1</v>
      </c>
      <c r="M164" s="1169">
        <f>(C164+D164+E164+F164)*L164</f>
        <v>39.5</v>
      </c>
      <c r="N164" s="975">
        <f>J164*L164</f>
        <v>0</v>
      </c>
      <c r="O164" s="975">
        <f>K164*L164</f>
        <v>0</v>
      </c>
      <c r="P164" s="810">
        <f t="shared" ref="P164" si="42">I164*L164</f>
        <v>5100.6375000000007</v>
      </c>
      <c r="Q164" s="13">
        <f>(I164+J164+K164)*L164</f>
        <v>5100.6375000000007</v>
      </c>
      <c r="R164" s="76" t="s">
        <v>200</v>
      </c>
      <c r="S164" s="62">
        <f>IF($R164="RP",L164,"")</f>
        <v>1</v>
      </c>
      <c r="T164" s="62">
        <f>IF($R164="RP",M164,"")</f>
        <v>39.5</v>
      </c>
      <c r="U164" s="62">
        <f>IF($R164="RP",SUM(N164:O164),"")</f>
        <v>0</v>
      </c>
      <c r="V164" s="62" t="str">
        <f>IF($R164="RK",L164,"")</f>
        <v/>
      </c>
      <c r="W164" s="62" t="str">
        <f>IF($R164="RK",M164,"")</f>
        <v/>
      </c>
      <c r="X164" s="80" t="str">
        <f>IF($R164="Rk",SUM(N164:O164),"")</f>
        <v/>
      </c>
      <c r="Y164" s="1"/>
      <c r="Z164" s="1"/>
      <c r="AA164" s="1"/>
      <c r="AB164" s="1"/>
      <c r="AC164" s="1"/>
      <c r="AD164" s="1"/>
      <c r="AE164" s="1"/>
      <c r="AF164" s="1"/>
      <c r="AG164" s="1"/>
      <c r="AH164" s="1"/>
      <c r="AI164" s="1"/>
      <c r="IP164" s="1"/>
      <c r="IQ164" s="1"/>
      <c r="IR164" s="1"/>
      <c r="IS164" s="1"/>
    </row>
    <row r="165" spans="1:253" s="2" customFormat="1" ht="25" customHeight="1" x14ac:dyDescent="0.25">
      <c r="A165" s="1331" t="s">
        <v>791</v>
      </c>
      <c r="B165" s="1332"/>
      <c r="C165" s="1170"/>
      <c r="D165" s="822"/>
      <c r="E165" s="823"/>
      <c r="F165" s="823"/>
      <c r="G165" s="823"/>
      <c r="H165" s="823"/>
      <c r="I165" s="824"/>
      <c r="J165" s="825"/>
      <c r="K165" s="825"/>
      <c r="L165" s="1127"/>
      <c r="M165" s="985"/>
      <c r="N165" s="919"/>
      <c r="O165" s="919"/>
      <c r="P165" s="945"/>
      <c r="Q165" s="13"/>
      <c r="R165" s="130"/>
      <c r="S165" s="64"/>
      <c r="T165" s="64"/>
      <c r="U165" s="18"/>
      <c r="V165" s="71"/>
      <c r="W165" s="64"/>
      <c r="X165" s="81"/>
      <c r="Y165" s="1"/>
      <c r="Z165" s="1"/>
      <c r="AA165" s="1"/>
      <c r="AB165" s="1"/>
      <c r="AC165" s="1"/>
      <c r="AD165" s="1"/>
      <c r="AE165" s="1"/>
      <c r="AF165" s="1"/>
      <c r="AG165" s="1"/>
      <c r="AH165" s="1"/>
      <c r="AI165" s="1"/>
      <c r="IP165" s="1"/>
      <c r="IQ165" s="1"/>
      <c r="IR165" s="1"/>
      <c r="IS165" s="1"/>
    </row>
    <row r="166" spans="1:253" s="2" customFormat="1" ht="12.65" customHeight="1" x14ac:dyDescent="0.25">
      <c r="A166" s="862"/>
      <c r="B166" s="976" t="s">
        <v>114</v>
      </c>
      <c r="C166" s="802"/>
      <c r="D166" s="803"/>
      <c r="E166" s="803"/>
      <c r="F166" s="803"/>
      <c r="G166" s="803"/>
      <c r="H166" s="981"/>
      <c r="I166" s="1089"/>
      <c r="J166" s="805"/>
      <c r="K166" s="1000"/>
      <c r="L166" s="1171"/>
      <c r="M166" s="1169"/>
      <c r="N166" s="975"/>
      <c r="O166" s="975"/>
      <c r="P166" s="975"/>
      <c r="Q166" s="15"/>
      <c r="R166" s="127"/>
      <c r="S166" s="46"/>
      <c r="T166" s="46"/>
      <c r="V166" s="67"/>
      <c r="W166" s="46"/>
      <c r="X166" s="78"/>
      <c r="Y166" s="1"/>
      <c r="Z166" s="1"/>
      <c r="AA166" s="1"/>
      <c r="AB166" s="1"/>
      <c r="AC166" s="1"/>
      <c r="AD166" s="1"/>
      <c r="AE166" s="1"/>
      <c r="AF166" s="1"/>
      <c r="AG166" s="1"/>
      <c r="AH166" s="1"/>
      <c r="AI166" s="1"/>
      <c r="IP166" s="1"/>
      <c r="IQ166" s="1"/>
      <c r="IR166" s="1"/>
      <c r="IS166" s="1"/>
    </row>
    <row r="167" spans="1:253" s="2" customFormat="1" ht="12.65" customHeight="1" x14ac:dyDescent="0.25">
      <c r="A167" s="880"/>
      <c r="B167" s="944" t="s">
        <v>115</v>
      </c>
      <c r="C167" s="922">
        <v>0</v>
      </c>
      <c r="D167" s="833">
        <v>0.25</v>
      </c>
      <c r="E167" s="833">
        <v>2</v>
      </c>
      <c r="F167" s="833">
        <v>0.5</v>
      </c>
      <c r="G167" s="833">
        <v>0</v>
      </c>
      <c r="H167" s="989">
        <f>SUM(C167:G167)</f>
        <v>2.75</v>
      </c>
      <c r="I167" s="1172">
        <f>((C167*$C$5)+(D167*$D$5)+(E167*$E$5)+(F167*$F$5))</f>
        <v>318.54375000000005</v>
      </c>
      <c r="J167" s="835">
        <v>0</v>
      </c>
      <c r="K167" s="906">
        <v>8</v>
      </c>
      <c r="L167" s="1173">
        <f>0.25*M10</f>
        <v>14.25</v>
      </c>
      <c r="M167" s="1174">
        <f>(C167+D167+E167+F167)*L167</f>
        <v>39.1875</v>
      </c>
      <c r="N167" s="1022">
        <f>J167*L167</f>
        <v>0</v>
      </c>
      <c r="O167" s="1175">
        <f>K167*L167</f>
        <v>114</v>
      </c>
      <c r="P167" s="839">
        <f t="shared" ref="P167" si="43">I167*L167</f>
        <v>4539.2484375000004</v>
      </c>
      <c r="Q167" s="15">
        <f>(I167+J167+K167)*L167</f>
        <v>4653.2484375000004</v>
      </c>
      <c r="R167" s="76" t="s">
        <v>200</v>
      </c>
      <c r="S167" s="62">
        <f>IF($R167="RP",L167,"")</f>
        <v>14.25</v>
      </c>
      <c r="T167" s="62">
        <f>IF($R167="RP",M167,"")</f>
        <v>39.1875</v>
      </c>
      <c r="U167" s="62">
        <f>IF($R167="RP",SUM(N167:O167),"")</f>
        <v>114</v>
      </c>
      <c r="V167" s="62" t="str">
        <f>IF($R167="RK",L167,"")</f>
        <v/>
      </c>
      <c r="W167" s="62" t="str">
        <f>IF($R167="RK",M167,"")</f>
        <v/>
      </c>
      <c r="X167" s="80" t="str">
        <f>IF($R167="Rk",SUM(N167:O167),"")</f>
        <v/>
      </c>
      <c r="Y167" s="1"/>
      <c r="Z167" s="1"/>
      <c r="AA167" s="1"/>
      <c r="AB167" s="1"/>
      <c r="AC167" s="1"/>
      <c r="AD167" s="1"/>
      <c r="AE167" s="1"/>
      <c r="AF167" s="1"/>
      <c r="AG167" s="1"/>
      <c r="AH167" s="1"/>
      <c r="AI167" s="1"/>
      <c r="IP167" s="1"/>
      <c r="IQ167" s="1"/>
      <c r="IR167" s="1"/>
      <c r="IS167" s="1"/>
    </row>
    <row r="168" spans="1:253" s="2" customFormat="1" ht="22.5" customHeight="1" x14ac:dyDescent="0.25">
      <c r="A168" s="1331" t="s">
        <v>792</v>
      </c>
      <c r="B168" s="1332"/>
      <c r="C168" s="900"/>
      <c r="D168" s="822"/>
      <c r="E168" s="823"/>
      <c r="F168" s="823"/>
      <c r="G168" s="823"/>
      <c r="H168" s="823"/>
      <c r="I168" s="824"/>
      <c r="J168" s="825"/>
      <c r="K168" s="826"/>
      <c r="L168" s="1127"/>
      <c r="M168" s="985"/>
      <c r="N168" s="919"/>
      <c r="O168" s="919"/>
      <c r="P168" s="920"/>
      <c r="Q168" s="13"/>
      <c r="R168" s="128"/>
      <c r="S168" s="64"/>
      <c r="T168" s="64"/>
      <c r="U168" s="18"/>
      <c r="V168" s="71"/>
      <c r="W168" s="64"/>
      <c r="X168" s="81"/>
      <c r="Y168" s="1"/>
      <c r="Z168" s="1"/>
      <c r="AA168" s="1"/>
      <c r="AB168" s="1"/>
      <c r="AC168" s="1"/>
      <c r="AD168" s="1"/>
      <c r="AE168" s="1"/>
      <c r="AF168" s="1"/>
      <c r="AG168" s="1"/>
      <c r="AH168" s="1"/>
      <c r="AI168" s="1"/>
      <c r="IP168" s="1"/>
      <c r="IQ168" s="1"/>
      <c r="IR168" s="1"/>
      <c r="IS168" s="1"/>
    </row>
    <row r="169" spans="1:253" s="2" customFormat="1" ht="12.65" customHeight="1" x14ac:dyDescent="0.25">
      <c r="A169" s="870"/>
      <c r="B169" s="1007" t="s">
        <v>116</v>
      </c>
      <c r="C169" s="1008"/>
      <c r="D169" s="981"/>
      <c r="E169" s="981"/>
      <c r="F169" s="981"/>
      <c r="G169" s="981"/>
      <c r="H169" s="981"/>
      <c r="I169" s="999"/>
      <c r="J169" s="1000"/>
      <c r="K169" s="1000"/>
      <c r="L169" s="1129"/>
      <c r="M169" s="1017"/>
      <c r="N169" s="975"/>
      <c r="O169" s="975"/>
      <c r="P169" s="983"/>
      <c r="Q169" s="15"/>
      <c r="R169" s="127"/>
      <c r="S169" s="46"/>
      <c r="T169" s="46"/>
      <c r="V169" s="67"/>
      <c r="W169" s="46"/>
      <c r="X169" s="78"/>
      <c r="Y169" s="1"/>
      <c r="Z169" s="1"/>
      <c r="AA169" s="1"/>
      <c r="AB169" s="1"/>
      <c r="AC169" s="1"/>
      <c r="AD169" s="1"/>
      <c r="AE169" s="1"/>
      <c r="AF169" s="1"/>
      <c r="AG169" s="1"/>
      <c r="AH169" s="1"/>
      <c r="AI169" s="1"/>
      <c r="IP169" s="1"/>
      <c r="IQ169" s="1"/>
      <c r="IR169" s="1"/>
      <c r="IS169" s="1"/>
    </row>
    <row r="170" spans="1:253" s="2" customFormat="1" ht="12.65" customHeight="1" x14ac:dyDescent="0.25">
      <c r="A170" s="880"/>
      <c r="B170" s="921" t="s">
        <v>117</v>
      </c>
      <c r="C170" s="994">
        <v>0</v>
      </c>
      <c r="D170" s="989">
        <v>0.25</v>
      </c>
      <c r="E170" s="989">
        <v>2</v>
      </c>
      <c r="F170" s="989">
        <v>0.5</v>
      </c>
      <c r="G170" s="989">
        <v>0</v>
      </c>
      <c r="H170" s="989">
        <f>SUM(C170:G170)</f>
        <v>2.75</v>
      </c>
      <c r="I170" s="1068">
        <f>((C170*$C$5)+(D170*$D$5)+(E170*$E$5)+(F170*$F$5))</f>
        <v>318.54375000000005</v>
      </c>
      <c r="J170" s="906">
        <v>0</v>
      </c>
      <c r="K170" s="906">
        <v>8</v>
      </c>
      <c r="L170" s="1176">
        <f>0.1*$M$10</f>
        <v>5.7</v>
      </c>
      <c r="M170" s="1072">
        <f>(C170+D170+E170+F170)*L170</f>
        <v>15.675000000000001</v>
      </c>
      <c r="N170" s="1013">
        <f>J170*L170</f>
        <v>0</v>
      </c>
      <c r="O170" s="1013">
        <f>K170*L170</f>
        <v>45.6</v>
      </c>
      <c r="P170" s="839">
        <f t="shared" ref="P170" si="44">I170*L170</f>
        <v>1815.6993750000004</v>
      </c>
      <c r="Q170" s="13">
        <f>(I170+J170+K170)*L170</f>
        <v>1861.2993750000003</v>
      </c>
      <c r="R170" s="76" t="s">
        <v>200</v>
      </c>
      <c r="S170" s="62">
        <f>IF($R170="RP",L170,"")</f>
        <v>5.7</v>
      </c>
      <c r="T170" s="62">
        <f>IF($R170="RP",M170,"")</f>
        <v>15.675000000000001</v>
      </c>
      <c r="U170" s="62">
        <f>IF($R170="RP",SUM(N170:O170),"")</f>
        <v>45.6</v>
      </c>
      <c r="V170" s="62" t="str">
        <f>IF($R170="RK",L170,"")</f>
        <v/>
      </c>
      <c r="W170" s="62" t="str">
        <f>IF($R170="RK",M170,"")</f>
        <v/>
      </c>
      <c r="X170" s="80" t="str">
        <f>IF($R170="Rk",SUM(N170:O170),"")</f>
        <v/>
      </c>
      <c r="Y170" s="1"/>
      <c r="Z170" s="1"/>
      <c r="AA170" s="1"/>
      <c r="AB170" s="1"/>
      <c r="AC170" s="1"/>
      <c r="AD170" s="1"/>
      <c r="AE170" s="1"/>
      <c r="AF170" s="1"/>
      <c r="AG170" s="1"/>
      <c r="AH170" s="1"/>
      <c r="AI170" s="1"/>
      <c r="IP170" s="1"/>
      <c r="IQ170" s="1"/>
      <c r="IR170" s="1"/>
      <c r="IS170" s="1"/>
    </row>
    <row r="171" spans="1:253" s="2" customFormat="1" ht="12.65" customHeight="1" x14ac:dyDescent="0.25">
      <c r="A171" s="880" t="s">
        <v>793</v>
      </c>
      <c r="B171" s="1177"/>
      <c r="C171" s="900"/>
      <c r="D171" s="822"/>
      <c r="E171" s="823"/>
      <c r="F171" s="823"/>
      <c r="G171" s="823"/>
      <c r="H171" s="823"/>
      <c r="I171" s="824"/>
      <c r="J171" s="825"/>
      <c r="K171" s="826"/>
      <c r="L171" s="1127"/>
      <c r="M171" s="985"/>
      <c r="N171" s="919"/>
      <c r="O171" s="919"/>
      <c r="P171" s="920"/>
      <c r="Q171" s="13"/>
      <c r="R171" s="130"/>
      <c r="S171" s="64"/>
      <c r="T171" s="64"/>
      <c r="U171" s="18"/>
      <c r="V171" s="71"/>
      <c r="W171" s="64"/>
      <c r="X171" s="81"/>
      <c r="Y171" s="1"/>
      <c r="Z171" s="1"/>
      <c r="AA171" s="1"/>
      <c r="AB171" s="1"/>
      <c r="AC171" s="1"/>
      <c r="AD171" s="1"/>
      <c r="AE171" s="1"/>
      <c r="AF171" s="1"/>
      <c r="AG171" s="1"/>
      <c r="AH171" s="1"/>
      <c r="AI171" s="1"/>
      <c r="IP171" s="1"/>
      <c r="IQ171" s="1"/>
      <c r="IR171" s="1"/>
      <c r="IS171" s="1"/>
    </row>
    <row r="172" spans="1:253" s="2" customFormat="1" ht="12.65" customHeight="1" x14ac:dyDescent="0.25">
      <c r="A172" s="880"/>
      <c r="B172" s="921" t="s">
        <v>119</v>
      </c>
      <c r="C172" s="994">
        <v>0</v>
      </c>
      <c r="D172" s="989">
        <v>0.25</v>
      </c>
      <c r="E172" s="989">
        <v>2</v>
      </c>
      <c r="F172" s="989">
        <v>0.5</v>
      </c>
      <c r="G172" s="989">
        <v>0</v>
      </c>
      <c r="H172" s="989">
        <f>SUM(C172:G172)</f>
        <v>2.75</v>
      </c>
      <c r="I172" s="1068">
        <f>((C172*$C$5)+(D172*$D$5)+(E172*$E$5)+(F172*$F$5))</f>
        <v>318.54375000000005</v>
      </c>
      <c r="J172" s="906">
        <v>0</v>
      </c>
      <c r="K172" s="906">
        <v>8</v>
      </c>
      <c r="L172" s="1178">
        <f>0.01*M10</f>
        <v>0.57000000000000006</v>
      </c>
      <c r="M172" s="1072">
        <f>(C172+D172+E172+F172)*L172</f>
        <v>1.5675000000000001</v>
      </c>
      <c r="N172" s="1013">
        <f>J172*L172</f>
        <v>0</v>
      </c>
      <c r="O172" s="1013">
        <f>K172*L172</f>
        <v>4.5600000000000005</v>
      </c>
      <c r="P172" s="839">
        <f t="shared" ref="P172" si="45">I172*L172</f>
        <v>181.56993750000004</v>
      </c>
      <c r="Q172" s="13">
        <f>(I172+J172+K172)*L172</f>
        <v>186.12993750000004</v>
      </c>
      <c r="R172" s="77" t="s">
        <v>200</v>
      </c>
      <c r="S172" s="64">
        <f>IF($R172="RP",L172,"")</f>
        <v>0.57000000000000006</v>
      </c>
      <c r="T172" s="64">
        <f>IF($R172="RP",M172,"")</f>
        <v>1.5675000000000001</v>
      </c>
      <c r="U172" s="64">
        <f>IF($R172="RP",SUM(N172:O172),"")</f>
        <v>4.5600000000000005</v>
      </c>
      <c r="V172" s="64" t="str">
        <f>IF($R172="RK",L172,"")</f>
        <v/>
      </c>
      <c r="W172" s="64" t="str">
        <f>IF($R172="RK",M172,"")</f>
        <v/>
      </c>
      <c r="X172" s="81" t="str">
        <f>IF($R172="Rk",SUM(N172:O172),"")</f>
        <v/>
      </c>
      <c r="Y172" s="1"/>
      <c r="Z172" s="1"/>
      <c r="AA172" s="1"/>
      <c r="AB172" s="1"/>
      <c r="AC172" s="1"/>
      <c r="AD172" s="1"/>
      <c r="AE172" s="1"/>
      <c r="AF172" s="1"/>
      <c r="AG172" s="1"/>
      <c r="AH172" s="1"/>
      <c r="AI172" s="1"/>
      <c r="IP172" s="1"/>
      <c r="IQ172" s="1"/>
      <c r="IR172" s="1"/>
      <c r="IS172" s="1"/>
    </row>
    <row r="173" spans="1:253" s="2" customFormat="1" ht="12.65" customHeight="1" x14ac:dyDescent="0.25">
      <c r="A173" s="901" t="s">
        <v>794</v>
      </c>
      <c r="B173" s="902"/>
      <c r="C173" s="903"/>
      <c r="D173" s="822"/>
      <c r="E173" s="823"/>
      <c r="F173" s="823"/>
      <c r="G173" s="823"/>
      <c r="H173" s="823"/>
      <c r="I173" s="824"/>
      <c r="J173" s="825"/>
      <c r="K173" s="826"/>
      <c r="L173" s="827"/>
      <c r="M173" s="828"/>
      <c r="N173" s="829"/>
      <c r="O173" s="829"/>
      <c r="P173" s="830"/>
      <c r="Q173" s="29"/>
      <c r="R173" s="130"/>
      <c r="S173" s="62"/>
      <c r="T173" s="62"/>
      <c r="U173" s="21"/>
      <c r="V173" s="68"/>
      <c r="W173" s="62"/>
      <c r="X173" s="63"/>
      <c r="Y173" s="1"/>
      <c r="Z173" s="1"/>
      <c r="AA173" s="1"/>
      <c r="AB173" s="1"/>
      <c r="AC173" s="1"/>
      <c r="AD173" s="1"/>
      <c r="AE173" s="1"/>
      <c r="AF173" s="1"/>
      <c r="AG173" s="1"/>
      <c r="AH173" s="1"/>
      <c r="AI173" s="1"/>
      <c r="IP173" s="1"/>
      <c r="IQ173" s="1"/>
      <c r="IR173" s="1"/>
      <c r="IS173" s="1"/>
    </row>
    <row r="174" spans="1:253" s="2" customFormat="1" ht="12.65" customHeight="1" x14ac:dyDescent="0.25">
      <c r="A174" s="870"/>
      <c r="B174" s="863" t="s">
        <v>123</v>
      </c>
      <c r="C174" s="802"/>
      <c r="D174" s="803"/>
      <c r="E174" s="803"/>
      <c r="F174" s="803"/>
      <c r="G174" s="803"/>
      <c r="H174" s="803"/>
      <c r="I174" s="804"/>
      <c r="J174" s="805"/>
      <c r="K174" s="923"/>
      <c r="L174" s="943"/>
      <c r="M174" s="808"/>
      <c r="N174" s="809"/>
      <c r="O174" s="809"/>
      <c r="P174" s="810"/>
      <c r="Q174" s="15"/>
      <c r="R174" s="131"/>
      <c r="S174" s="60"/>
      <c r="T174" s="60"/>
      <c r="U174" s="22"/>
      <c r="V174" s="66"/>
      <c r="W174" s="60"/>
      <c r="X174" s="101"/>
      <c r="Y174" s="1"/>
      <c r="Z174" s="1"/>
      <c r="AA174" s="1"/>
      <c r="AB174" s="1"/>
      <c r="AC174" s="1"/>
      <c r="AD174" s="1"/>
      <c r="AE174" s="1"/>
      <c r="AF174" s="1"/>
      <c r="AG174" s="1"/>
      <c r="AH174" s="1"/>
      <c r="AI174" s="1"/>
      <c r="IP174" s="1"/>
      <c r="IQ174" s="1"/>
      <c r="IR174" s="1"/>
      <c r="IS174" s="1"/>
    </row>
    <row r="175" spans="1:253" s="2" customFormat="1" ht="12.65" customHeight="1" x14ac:dyDescent="0.25">
      <c r="A175" s="935"/>
      <c r="B175" s="936" t="s">
        <v>124</v>
      </c>
      <c r="C175" s="937">
        <v>0</v>
      </c>
      <c r="D175" s="929">
        <v>0.25</v>
      </c>
      <c r="E175" s="929">
        <v>5</v>
      </c>
      <c r="F175" s="929">
        <v>1</v>
      </c>
      <c r="G175" s="929">
        <v>0</v>
      </c>
      <c r="H175" s="929">
        <f>SUM(C175:G175)</f>
        <v>6.25</v>
      </c>
      <c r="I175" s="930">
        <f>((C175*$C$5)+(D175*$D$5)+(E175*$E$5)+(F175*$F$5)+(G175*$G$5))</f>
        <v>721.62824999999998</v>
      </c>
      <c r="J175" s="931">
        <v>0</v>
      </c>
      <c r="K175" s="932">
        <v>8</v>
      </c>
      <c r="L175" s="933">
        <f>0.25*$M$10</f>
        <v>14.25</v>
      </c>
      <c r="M175" s="990">
        <f>(C175+D175+E175+F175+G175)*L175</f>
        <v>89.0625</v>
      </c>
      <c r="N175" s="991">
        <f>J175*L175</f>
        <v>0</v>
      </c>
      <c r="O175" s="992">
        <f>K175*L175</f>
        <v>114</v>
      </c>
      <c r="P175" s="839">
        <f t="shared" ref="P175" si="46">I175*L175</f>
        <v>10283.202562500001</v>
      </c>
      <c r="Q175" s="13">
        <f>(I175+J175+K175)*L175</f>
        <v>10397.202562500001</v>
      </c>
      <c r="R175" s="76" t="s">
        <v>200</v>
      </c>
      <c r="S175" s="62">
        <f>IF($R175="RP",L175,"")</f>
        <v>14.25</v>
      </c>
      <c r="T175" s="62">
        <f>IF($R175="RP",M175,"")</f>
        <v>89.0625</v>
      </c>
      <c r="U175" s="62">
        <f>IF($R175="RP",SUM(N175:O175),"")</f>
        <v>114</v>
      </c>
      <c r="V175" s="62" t="str">
        <f>IF($R175="RK",L175,"")</f>
        <v/>
      </c>
      <c r="W175" s="62" t="str">
        <f>IF($R175="RK",M175,"")</f>
        <v/>
      </c>
      <c r="X175" s="100" t="str">
        <f>IF($R175="Rk",SUM(N175:O175),"")</f>
        <v/>
      </c>
      <c r="Y175" s="1"/>
      <c r="Z175" s="1"/>
      <c r="AA175" s="1"/>
      <c r="AB175" s="1"/>
      <c r="AC175" s="1"/>
      <c r="AD175" s="1"/>
      <c r="AE175" s="1"/>
      <c r="AF175" s="1"/>
      <c r="AG175" s="1"/>
      <c r="AH175" s="1"/>
      <c r="AI175" s="1"/>
      <c r="IP175" s="1"/>
      <c r="IQ175" s="1"/>
      <c r="IR175" s="1"/>
      <c r="IS175" s="1"/>
    </row>
    <row r="176" spans="1:253" s="2" customFormat="1" ht="12.65" customHeight="1" x14ac:dyDescent="0.25">
      <c r="A176" s="862"/>
      <c r="B176" s="863" t="s">
        <v>125</v>
      </c>
      <c r="C176" s="802"/>
      <c r="D176" s="803"/>
      <c r="E176" s="803"/>
      <c r="F176" s="803"/>
      <c r="G176" s="803"/>
      <c r="H176" s="803"/>
      <c r="I176" s="804"/>
      <c r="J176" s="805"/>
      <c r="K176" s="923" t="s">
        <v>19</v>
      </c>
      <c r="L176" s="943"/>
      <c r="M176" s="808"/>
      <c r="N176" s="809"/>
      <c r="O176" s="809"/>
      <c r="P176" s="810"/>
      <c r="Q176" s="15"/>
      <c r="R176" s="127"/>
      <c r="S176" s="46"/>
      <c r="T176" s="46"/>
      <c r="V176" s="67"/>
      <c r="W176" s="46"/>
      <c r="X176" s="1"/>
      <c r="Y176" s="1"/>
      <c r="Z176" s="1"/>
      <c r="AA176" s="1"/>
      <c r="AB176" s="1"/>
      <c r="AC176" s="1"/>
      <c r="AD176" s="1"/>
      <c r="AE176" s="1"/>
      <c r="AF176" s="1"/>
      <c r="AG176" s="1"/>
      <c r="AH176" s="1"/>
      <c r="AI176" s="1"/>
      <c r="IP176" s="1"/>
      <c r="IQ176" s="1"/>
      <c r="IR176" s="1"/>
      <c r="IS176" s="1"/>
    </row>
    <row r="177" spans="1:253" s="2" customFormat="1" ht="12.65" customHeight="1" x14ac:dyDescent="0.25">
      <c r="A177" s="935"/>
      <c r="B177" s="936" t="s">
        <v>124</v>
      </c>
      <c r="C177" s="937">
        <v>0</v>
      </c>
      <c r="D177" s="929">
        <v>0.25</v>
      </c>
      <c r="E177" s="929">
        <v>5</v>
      </c>
      <c r="F177" s="833">
        <v>1</v>
      </c>
      <c r="G177" s="833">
        <v>0</v>
      </c>
      <c r="H177" s="833">
        <f>SUM(C177:G177)</f>
        <v>6.25</v>
      </c>
      <c r="I177" s="834">
        <f>((C177*$C$5)+(D177*$D$5)+(E177*$E$5)+(F177*$F$5)+(G177*$G$5))</f>
        <v>721.62824999999998</v>
      </c>
      <c r="J177" s="835">
        <v>0</v>
      </c>
      <c r="K177" s="806">
        <v>8</v>
      </c>
      <c r="L177" s="836">
        <f>0.1*$M$10</f>
        <v>5.7</v>
      </c>
      <c r="M177" s="1174">
        <f>(C177+D177+E177+F177+G177)*L177</f>
        <v>35.625</v>
      </c>
      <c r="N177" s="1022">
        <f>J177*L177</f>
        <v>0</v>
      </c>
      <c r="O177" s="1022">
        <f>K177*L177</f>
        <v>45.6</v>
      </c>
      <c r="P177" s="839">
        <f t="shared" ref="P177" si="47">I177*L177</f>
        <v>4113.2810250000002</v>
      </c>
      <c r="Q177" s="13">
        <f>(I177+J177+K177)*L177</f>
        <v>4158.8810249999997</v>
      </c>
      <c r="R177" s="76" t="s">
        <v>200</v>
      </c>
      <c r="S177" s="62">
        <f>IF($R177="RP",L177,"")</f>
        <v>5.7</v>
      </c>
      <c r="T177" s="62">
        <f>IF($R177="RP",M177,"")</f>
        <v>35.625</v>
      </c>
      <c r="U177" s="62">
        <f>IF($R177="RP",SUM(N177:O177),"")</f>
        <v>45.6</v>
      </c>
      <c r="V177" s="62" t="str">
        <f>IF($R177="RK",L177,"")</f>
        <v/>
      </c>
      <c r="W177" s="62" t="str">
        <f>IF($R177="RK",M177,"")</f>
        <v/>
      </c>
      <c r="X177" s="63" t="str">
        <f>IF($R177="Rk",SUM(N177:O177),"")</f>
        <v/>
      </c>
      <c r="Y177" s="1"/>
      <c r="Z177" s="1"/>
      <c r="AA177" s="1"/>
      <c r="AB177" s="1"/>
      <c r="AC177" s="1"/>
      <c r="AD177" s="1"/>
      <c r="AE177" s="1"/>
      <c r="AF177" s="1"/>
      <c r="AG177" s="1"/>
      <c r="AH177" s="1"/>
      <c r="AI177" s="1"/>
      <c r="IP177" s="1"/>
      <c r="IQ177" s="1"/>
      <c r="IR177" s="1"/>
      <c r="IS177" s="1"/>
    </row>
    <row r="178" spans="1:253" s="2" customFormat="1" ht="24" customHeight="1" x14ac:dyDescent="0.25">
      <c r="A178" s="1347" t="s">
        <v>795</v>
      </c>
      <c r="B178" s="1348"/>
      <c r="C178" s="922"/>
      <c r="D178" s="833"/>
      <c r="E178" s="1179"/>
      <c r="F178" s="1180"/>
      <c r="G178" s="1180"/>
      <c r="H178" s="1180"/>
      <c r="I178" s="904"/>
      <c r="J178" s="905"/>
      <c r="K178" s="906"/>
      <c r="L178" s="907"/>
      <c r="M178" s="1181"/>
      <c r="N178" s="1014"/>
      <c r="O178" s="1014"/>
      <c r="P178" s="1013"/>
      <c r="Q178" s="13"/>
      <c r="R178" s="128"/>
      <c r="S178" s="64"/>
      <c r="T178" s="64"/>
      <c r="U178" s="18"/>
      <c r="V178" s="71"/>
      <c r="W178" s="64"/>
      <c r="X178" s="17"/>
      <c r="Y178" s="1"/>
      <c r="Z178" s="1"/>
      <c r="AA178" s="1"/>
      <c r="AB178" s="1"/>
      <c r="AC178" s="1"/>
      <c r="AD178" s="1"/>
      <c r="AE178" s="1"/>
      <c r="AF178" s="1"/>
      <c r="AG178" s="1"/>
      <c r="AH178" s="1"/>
      <c r="AI178" s="1"/>
      <c r="IP178" s="1"/>
      <c r="IQ178" s="1"/>
      <c r="IR178" s="1"/>
      <c r="IS178" s="1"/>
    </row>
    <row r="179" spans="1:253" s="2" customFormat="1" ht="12.65" customHeight="1" x14ac:dyDescent="0.25">
      <c r="A179" s="862"/>
      <c r="B179" s="871" t="s">
        <v>126</v>
      </c>
      <c r="C179" s="1031"/>
      <c r="D179" s="843"/>
      <c r="E179" s="843"/>
      <c r="F179" s="843"/>
      <c r="G179" s="843"/>
      <c r="H179" s="843"/>
      <c r="I179" s="844"/>
      <c r="J179" s="845"/>
      <c r="K179" s="846" t="s">
        <v>19</v>
      </c>
      <c r="L179" s="1182"/>
      <c r="M179" s="1091"/>
      <c r="N179" s="1023"/>
      <c r="O179" s="1023"/>
      <c r="P179" s="1183"/>
      <c r="Q179" s="14"/>
      <c r="R179" s="129"/>
      <c r="S179" s="60"/>
      <c r="T179" s="60"/>
      <c r="U179" s="22"/>
      <c r="V179" s="66"/>
      <c r="W179" s="60"/>
      <c r="X179" s="24"/>
      <c r="Y179" s="1"/>
      <c r="Z179" s="1"/>
      <c r="AA179" s="1"/>
      <c r="AB179" s="1"/>
      <c r="AC179" s="1"/>
      <c r="AD179" s="1"/>
      <c r="AE179" s="1"/>
      <c r="AF179" s="1"/>
      <c r="AG179" s="1"/>
      <c r="AH179" s="1"/>
      <c r="AI179" s="1"/>
      <c r="IP179" s="1"/>
      <c r="IQ179" s="1"/>
      <c r="IR179" s="1"/>
      <c r="IS179" s="1"/>
    </row>
    <row r="180" spans="1:253" s="2" customFormat="1" ht="12.65" customHeight="1" x14ac:dyDescent="0.25">
      <c r="A180" s="880"/>
      <c r="B180" s="881" t="s">
        <v>127</v>
      </c>
      <c r="C180" s="922">
        <v>0</v>
      </c>
      <c r="D180" s="833">
        <v>0.25</v>
      </c>
      <c r="E180" s="833">
        <v>4</v>
      </c>
      <c r="F180" s="833">
        <v>2</v>
      </c>
      <c r="G180" s="833">
        <v>0</v>
      </c>
      <c r="H180" s="833">
        <f>SUM(C180:G180)</f>
        <v>6.25</v>
      </c>
      <c r="I180" s="834">
        <f>((C180*$C$5)+(D180*$D$5)+(E180*$E$5)+(F180*$F$5)+(G180*$G$5))</f>
        <v>660.20325000000003</v>
      </c>
      <c r="J180" s="835">
        <v>0</v>
      </c>
      <c r="K180" s="806">
        <v>8</v>
      </c>
      <c r="L180" s="836">
        <f>M10</f>
        <v>57</v>
      </c>
      <c r="M180" s="1012">
        <f>(C180+D180+E180+F180+G180)*L180</f>
        <v>356.25</v>
      </c>
      <c r="N180" s="1022">
        <f>J180*L180</f>
        <v>0</v>
      </c>
      <c r="O180" s="1022">
        <f>K180*L180</f>
        <v>456</v>
      </c>
      <c r="P180" s="839">
        <f t="shared" ref="P180" si="48">I180*L180</f>
        <v>37631.585250000004</v>
      </c>
      <c r="Q180" s="13">
        <f>(I180+J180+K180)*L180</f>
        <v>38087.585250000004</v>
      </c>
      <c r="R180" s="76" t="s">
        <v>200</v>
      </c>
      <c r="S180" s="62" t="s">
        <v>201</v>
      </c>
      <c r="T180" s="62">
        <f>IF($R180="RP",M180,"")</f>
        <v>356.25</v>
      </c>
      <c r="U180" s="62">
        <f>IF($R180="RP",SUM(N180:O180),"")</f>
        <v>456</v>
      </c>
      <c r="V180" s="62" t="str">
        <f>IF($R180="RK",L180,"")</f>
        <v/>
      </c>
      <c r="W180" s="62" t="str">
        <f>IF($R180="RK",M180,"")</f>
        <v/>
      </c>
      <c r="X180" s="63" t="str">
        <f>IF($R180="Rk",SUM(N180:O180),"")</f>
        <v/>
      </c>
      <c r="Y180" s="1"/>
      <c r="Z180" s="1"/>
      <c r="AA180" s="1"/>
      <c r="AB180" s="1"/>
      <c r="AC180" s="1"/>
      <c r="AD180" s="1"/>
      <c r="AE180" s="1"/>
      <c r="AF180" s="1"/>
      <c r="AG180" s="1"/>
      <c r="AH180" s="1"/>
      <c r="AI180" s="1"/>
      <c r="IP180" s="1"/>
      <c r="IQ180" s="1"/>
      <c r="IR180" s="1"/>
      <c r="IS180" s="1"/>
    </row>
    <row r="181" spans="1:253" s="2" customFormat="1" ht="12.65" customHeight="1" x14ac:dyDescent="0.25">
      <c r="A181" s="880" t="s">
        <v>796</v>
      </c>
      <c r="B181" s="944"/>
      <c r="C181" s="900"/>
      <c r="D181" s="822"/>
      <c r="E181" s="823"/>
      <c r="F181" s="823"/>
      <c r="G181" s="823"/>
      <c r="H181" s="823"/>
      <c r="I181" s="824"/>
      <c r="J181" s="825"/>
      <c r="K181" s="826"/>
      <c r="L181" s="1127"/>
      <c r="M181" s="985"/>
      <c r="N181" s="919"/>
      <c r="O181" s="919"/>
      <c r="P181" s="920"/>
      <c r="Q181" s="13"/>
      <c r="R181" s="127"/>
      <c r="S181" s="46"/>
      <c r="T181" s="46"/>
      <c r="V181" s="67"/>
      <c r="W181" s="46"/>
      <c r="X181" s="1"/>
      <c r="Y181" s="1"/>
      <c r="Z181" s="1"/>
      <c r="AA181" s="1"/>
      <c r="AB181" s="1"/>
      <c r="AC181" s="1"/>
      <c r="AD181" s="1"/>
      <c r="AE181" s="1"/>
      <c r="AF181" s="1"/>
      <c r="AG181" s="1"/>
      <c r="AH181" s="1"/>
      <c r="AI181" s="1"/>
      <c r="IP181" s="1"/>
      <c r="IQ181" s="1"/>
      <c r="IR181" s="1"/>
      <c r="IS181" s="1"/>
    </row>
    <row r="182" spans="1:253" s="2" customFormat="1" ht="12.65" customHeight="1" x14ac:dyDescent="0.25">
      <c r="A182" s="862"/>
      <c r="B182" s="1007" t="s">
        <v>120</v>
      </c>
      <c r="C182" s="1008"/>
      <c r="D182" s="981"/>
      <c r="E182" s="981"/>
      <c r="F182" s="981"/>
      <c r="G182" s="981"/>
      <c r="H182" s="981"/>
      <c r="I182" s="999"/>
      <c r="J182" s="1000"/>
      <c r="K182" s="1000"/>
      <c r="L182" s="1129"/>
      <c r="M182" s="1017"/>
      <c r="N182" s="975"/>
      <c r="O182" s="975"/>
      <c r="P182" s="983"/>
      <c r="Q182" s="15"/>
      <c r="R182" s="127"/>
      <c r="S182" s="46"/>
      <c r="T182" s="46"/>
      <c r="V182" s="67"/>
      <c r="W182" s="46"/>
      <c r="X182" s="1"/>
      <c r="Y182" s="1"/>
      <c r="Z182" s="1"/>
      <c r="AA182" s="1"/>
      <c r="AB182" s="1"/>
      <c r="AC182" s="1"/>
      <c r="AD182" s="1"/>
      <c r="AE182" s="1"/>
      <c r="AF182" s="1"/>
      <c r="AG182" s="1"/>
      <c r="AH182" s="1"/>
      <c r="AI182" s="1"/>
      <c r="IP182" s="1"/>
      <c r="IQ182" s="1"/>
      <c r="IR182" s="1"/>
      <c r="IS182" s="1"/>
    </row>
    <row r="183" spans="1:253" s="2" customFormat="1" ht="12.65" customHeight="1" x14ac:dyDescent="0.25">
      <c r="A183" s="862"/>
      <c r="B183" s="1007" t="s">
        <v>121</v>
      </c>
      <c r="C183" s="1008"/>
      <c r="D183" s="981"/>
      <c r="E183" s="981"/>
      <c r="F183" s="981"/>
      <c r="G183" s="981"/>
      <c r="H183" s="981"/>
      <c r="I183" s="999"/>
      <c r="J183" s="1000"/>
      <c r="K183" s="1000"/>
      <c r="L183" s="1129"/>
      <c r="M183" s="1017"/>
      <c r="N183" s="975"/>
      <c r="O183" s="975"/>
      <c r="P183" s="983"/>
      <c r="Q183" s="15"/>
      <c r="R183" s="127"/>
      <c r="S183" s="46"/>
      <c r="T183" s="46"/>
      <c r="V183" s="67"/>
      <c r="W183" s="46"/>
      <c r="X183" s="1"/>
      <c r="Y183" s="1"/>
      <c r="Z183" s="1"/>
      <c r="AA183" s="1"/>
      <c r="AB183" s="1"/>
      <c r="AC183" s="1"/>
      <c r="AD183" s="1"/>
      <c r="AE183" s="1"/>
      <c r="AF183" s="1"/>
      <c r="AG183" s="1"/>
      <c r="AH183" s="1"/>
      <c r="AI183" s="1"/>
      <c r="IP183" s="1"/>
      <c r="IQ183" s="1"/>
      <c r="IR183" s="1"/>
      <c r="IS183" s="1"/>
    </row>
    <row r="184" spans="1:253" s="2" customFormat="1" ht="12.65" customHeight="1" thickBot="1" x14ac:dyDescent="0.3">
      <c r="A184" s="880"/>
      <c r="B184" s="921" t="s">
        <v>122</v>
      </c>
      <c r="C184" s="994">
        <v>0</v>
      </c>
      <c r="D184" s="989">
        <v>0.25</v>
      </c>
      <c r="E184" s="989">
        <v>2</v>
      </c>
      <c r="F184" s="989">
        <v>0.5</v>
      </c>
      <c r="G184" s="989">
        <v>0</v>
      </c>
      <c r="H184" s="989">
        <f>SUM(C184:G184)</f>
        <v>2.75</v>
      </c>
      <c r="I184" s="1068">
        <f>((C184*$C$5)+(D184*$D$5)+(E184*$E$5)+(F184*$F$5))</f>
        <v>318.54375000000005</v>
      </c>
      <c r="J184" s="906">
        <v>0</v>
      </c>
      <c r="K184" s="906">
        <v>8</v>
      </c>
      <c r="L184" s="1176">
        <f>0.25*M10</f>
        <v>14.25</v>
      </c>
      <c r="M184" s="1072">
        <f>(C184+D184+E184+F184)*L184</f>
        <v>39.1875</v>
      </c>
      <c r="N184" s="1013">
        <f>J184*L184</f>
        <v>0</v>
      </c>
      <c r="O184" s="1013">
        <f>K184*L184</f>
        <v>114</v>
      </c>
      <c r="P184" s="839">
        <f t="shared" ref="P184" si="49">I184*L184</f>
        <v>4539.2484375000004</v>
      </c>
      <c r="Q184" s="13">
        <f>(I184+J184+K184)*L184</f>
        <v>4653.2484375000004</v>
      </c>
      <c r="R184" s="76" t="s">
        <v>200</v>
      </c>
      <c r="S184" s="62">
        <f>IF($R184="RP",L184,"")</f>
        <v>14.25</v>
      </c>
      <c r="T184" s="62">
        <f>IF($R184="RP",M184,"")</f>
        <v>39.1875</v>
      </c>
      <c r="U184" s="62">
        <f>IF($R184="RP",SUM(N184:O184),"")</f>
        <v>114</v>
      </c>
      <c r="V184" s="62" t="str">
        <f>IF($R184="RK",L184,"")</f>
        <v/>
      </c>
      <c r="W184" s="62" t="str">
        <f>IF($R184="RK",M184,"")</f>
        <v/>
      </c>
      <c r="X184" s="63" t="str">
        <f>IF($R184="Rk",SUM(N184:O184),"")</f>
        <v/>
      </c>
      <c r="Y184" s="1"/>
      <c r="Z184" s="1"/>
      <c r="AA184" s="1"/>
      <c r="AB184" s="1"/>
      <c r="AC184" s="1"/>
      <c r="AD184" s="1"/>
      <c r="AE184" s="1"/>
      <c r="AF184" s="1"/>
      <c r="AG184" s="1"/>
      <c r="AH184" s="1"/>
      <c r="AI184" s="1"/>
      <c r="IP184" s="1"/>
      <c r="IQ184" s="1"/>
      <c r="IR184" s="1"/>
      <c r="IS184" s="1"/>
    </row>
    <row r="185" spans="1:253" s="2" customFormat="1" ht="22.5" customHeight="1" x14ac:dyDescent="0.25">
      <c r="A185" s="1331" t="s">
        <v>797</v>
      </c>
      <c r="B185" s="1332"/>
      <c r="C185" s="1184"/>
      <c r="D185" s="853"/>
      <c r="E185" s="854"/>
      <c r="F185" s="854"/>
      <c r="G185" s="854"/>
      <c r="H185" s="854"/>
      <c r="I185" s="855"/>
      <c r="J185" s="856"/>
      <c r="K185" s="857"/>
      <c r="L185" s="858"/>
      <c r="M185" s="1185"/>
      <c r="N185" s="1186"/>
      <c r="O185" s="1186"/>
      <c r="P185" s="1187"/>
      <c r="Q185" s="36"/>
      <c r="R185" s="125"/>
      <c r="S185" s="96"/>
      <c r="T185" s="96"/>
      <c r="U185" s="97"/>
      <c r="V185" s="98"/>
      <c r="W185" s="96"/>
      <c r="X185" s="99"/>
      <c r="Y185" s="1"/>
      <c r="Z185" s="1"/>
      <c r="AA185" s="1"/>
      <c r="AB185" s="1"/>
      <c r="AC185" s="1"/>
      <c r="AD185" s="1"/>
      <c r="AE185" s="1"/>
      <c r="AF185" s="1"/>
      <c r="AG185" s="1"/>
      <c r="AH185" s="1"/>
      <c r="AI185" s="1"/>
      <c r="IP185" s="1"/>
      <c r="IQ185" s="1"/>
      <c r="IR185" s="1"/>
      <c r="IS185" s="1"/>
    </row>
    <row r="186" spans="1:253" s="2" customFormat="1" ht="12.65" customHeight="1" x14ac:dyDescent="0.25">
      <c r="A186" s="996"/>
      <c r="B186" s="762" t="s">
        <v>91</v>
      </c>
      <c r="C186" s="1188"/>
      <c r="D186" s="1189"/>
      <c r="E186" s="1189"/>
      <c r="F186" s="1189"/>
      <c r="G186" s="1189"/>
      <c r="H186" s="1189"/>
      <c r="I186" s="1190"/>
      <c r="J186" s="1191"/>
      <c r="K186" s="1191"/>
      <c r="L186" s="1192"/>
      <c r="M186" s="1193"/>
      <c r="N186" s="1194"/>
      <c r="O186" s="1194"/>
      <c r="P186" s="1195"/>
      <c r="Q186" s="39"/>
      <c r="R186" s="127"/>
      <c r="S186" s="46"/>
      <c r="T186" s="46"/>
      <c r="V186" s="67"/>
      <c r="W186" s="46"/>
      <c r="X186" s="1"/>
      <c r="Y186" s="1"/>
      <c r="Z186" s="1"/>
      <c r="AA186" s="1"/>
      <c r="AB186" s="1"/>
      <c r="AC186" s="1"/>
      <c r="AD186" s="1"/>
      <c r="AE186" s="1"/>
      <c r="AF186" s="1"/>
      <c r="AG186" s="1"/>
      <c r="AH186" s="1"/>
      <c r="AI186" s="1"/>
      <c r="IP186" s="1"/>
      <c r="IQ186" s="1"/>
      <c r="IR186" s="1"/>
      <c r="IS186" s="1"/>
    </row>
    <row r="187" spans="1:253" s="2" customFormat="1" ht="12.65" customHeight="1" x14ac:dyDescent="0.25">
      <c r="A187" s="978"/>
      <c r="B187" s="1196" t="s">
        <v>152</v>
      </c>
      <c r="C187" s="1197">
        <v>0</v>
      </c>
      <c r="D187" s="1198">
        <v>4</v>
      </c>
      <c r="E187" s="1198">
        <v>24</v>
      </c>
      <c r="F187" s="1198">
        <v>2</v>
      </c>
      <c r="G187" s="1198">
        <v>0</v>
      </c>
      <c r="H187" s="1198">
        <f>SUM(C187:G187)</f>
        <v>30</v>
      </c>
      <c r="I187" s="1199">
        <f>((C187*$C$5)+(D187*$D$5)+(E187*$E$5)+(F187*$F$5)+(G187*$G$5))</f>
        <v>3730.0620000000004</v>
      </c>
      <c r="J187" s="1200">
        <v>0</v>
      </c>
      <c r="K187" s="1200">
        <v>8</v>
      </c>
      <c r="L187" s="1201">
        <f>0.1*M10</f>
        <v>5.7</v>
      </c>
      <c r="M187" s="1202">
        <f>(C187+D187+E187+F187+G187)*L187</f>
        <v>171</v>
      </c>
      <c r="N187" s="1203">
        <f>J187*L187</f>
        <v>0</v>
      </c>
      <c r="O187" s="1203">
        <f>K187*L187</f>
        <v>45.6</v>
      </c>
      <c r="P187" s="839">
        <f t="shared" ref="P187" si="50">I187*L187</f>
        <v>21261.353400000004</v>
      </c>
      <c r="Q187" s="36">
        <f>(I187+J187+K187)*L187</f>
        <v>21306.953400000002</v>
      </c>
      <c r="R187" s="76" t="s">
        <v>200</v>
      </c>
      <c r="S187" s="62">
        <f>IF($R187="RP",L187,"")</f>
        <v>5.7</v>
      </c>
      <c r="T187" s="62">
        <f>IF($R187="RP",M187,"")</f>
        <v>171</v>
      </c>
      <c r="U187" s="62">
        <f>IF($R187="RP",SUM(N187:O187),"")</f>
        <v>45.6</v>
      </c>
      <c r="V187" s="62" t="str">
        <f>IF($R187="RK",L187,"")</f>
        <v/>
      </c>
      <c r="W187" s="62" t="str">
        <f>IF($R187="RK",M187,"")</f>
        <v/>
      </c>
      <c r="X187" s="63" t="str">
        <f>IF($R187="Rk",SUM(N187:O187),"")</f>
        <v/>
      </c>
      <c r="Y187" s="1"/>
      <c r="Z187" s="1"/>
      <c r="AA187" s="1"/>
      <c r="AB187" s="1"/>
      <c r="AC187" s="1"/>
      <c r="AD187" s="1"/>
      <c r="AE187" s="1"/>
      <c r="AF187" s="1"/>
      <c r="AG187" s="1"/>
      <c r="AH187" s="1"/>
      <c r="AI187" s="1"/>
      <c r="IP187" s="1"/>
      <c r="IQ187" s="1"/>
      <c r="IR187" s="1"/>
      <c r="IS187" s="1"/>
    </row>
    <row r="188" spans="1:253" s="2" customFormat="1" ht="12.65" customHeight="1" x14ac:dyDescent="0.25">
      <c r="A188" s="761"/>
      <c r="B188" s="762" t="s">
        <v>91</v>
      </c>
      <c r="C188" s="1188"/>
      <c r="D188" s="1189"/>
      <c r="E188" s="1189"/>
      <c r="F188" s="1189"/>
      <c r="G188" s="1189"/>
      <c r="H188" s="1189"/>
      <c r="I188" s="1190"/>
      <c r="J188" s="1191"/>
      <c r="K188" s="1191"/>
      <c r="L188" s="1204"/>
      <c r="M188" s="1205"/>
      <c r="N188" s="1194"/>
      <c r="O188" s="1194"/>
      <c r="P188" s="1195"/>
      <c r="Q188" s="39"/>
      <c r="R188" s="127"/>
      <c r="S188" s="46"/>
      <c r="T188" s="46"/>
      <c r="V188" s="67"/>
      <c r="W188" s="46"/>
      <c r="X188" s="1"/>
      <c r="Y188" s="1"/>
      <c r="Z188" s="1"/>
      <c r="AA188" s="1"/>
      <c r="AB188" s="1"/>
      <c r="AC188" s="1"/>
      <c r="AD188" s="1"/>
      <c r="AE188" s="1"/>
      <c r="AF188" s="1"/>
      <c r="AG188" s="1"/>
      <c r="AH188" s="1"/>
      <c r="AI188" s="1"/>
      <c r="IP188" s="1"/>
      <c r="IQ188" s="1"/>
      <c r="IR188" s="1"/>
      <c r="IS188" s="1"/>
    </row>
    <row r="189" spans="1:253" s="2" customFormat="1" ht="12.65" customHeight="1" x14ac:dyDescent="0.25">
      <c r="A189" s="978"/>
      <c r="B189" s="1196" t="s">
        <v>134</v>
      </c>
      <c r="C189" s="1197">
        <v>0</v>
      </c>
      <c r="D189" s="1198">
        <v>4</v>
      </c>
      <c r="E189" s="1198">
        <v>24</v>
      </c>
      <c r="F189" s="1198">
        <v>2</v>
      </c>
      <c r="G189" s="1198">
        <v>0</v>
      </c>
      <c r="H189" s="1198">
        <f>SUM(C189:G189)</f>
        <v>30</v>
      </c>
      <c r="I189" s="1199">
        <f>((C189*$C$5)+(D189*$D$5)+(E189*$E$5)+(F189*$F$5)+(G189*$G$5))</f>
        <v>3730.0620000000004</v>
      </c>
      <c r="J189" s="1200">
        <v>0</v>
      </c>
      <c r="K189" s="1200">
        <v>8</v>
      </c>
      <c r="L189" s="1201">
        <f>0.1*M10</f>
        <v>5.7</v>
      </c>
      <c r="M189" s="1202">
        <f>(C189+D189+E189+F189+G189)*L189</f>
        <v>171</v>
      </c>
      <c r="N189" s="1203">
        <f>J189*L189</f>
        <v>0</v>
      </c>
      <c r="O189" s="1203">
        <f>K189*L189</f>
        <v>45.6</v>
      </c>
      <c r="P189" s="839">
        <f t="shared" ref="P189" si="51">I189*L189</f>
        <v>21261.353400000004</v>
      </c>
      <c r="Q189" s="36">
        <f>(I189+J189+K189)*L189</f>
        <v>21306.953400000002</v>
      </c>
      <c r="R189" s="76" t="s">
        <v>200</v>
      </c>
      <c r="S189" s="62">
        <f>IF($R189="RP",L189,"")</f>
        <v>5.7</v>
      </c>
      <c r="T189" s="62">
        <f>IF($R189="RP",M189,"")</f>
        <v>171</v>
      </c>
      <c r="U189" s="62">
        <f>IF($R189="RP",SUM(N189:O189),"")</f>
        <v>45.6</v>
      </c>
      <c r="V189" s="62" t="str">
        <f>IF($R189="RK",L189,"")</f>
        <v/>
      </c>
      <c r="W189" s="62" t="str">
        <f>IF($R189="RK",M189,"")</f>
        <v/>
      </c>
      <c r="X189" s="63" t="str">
        <f>IF($R189="Rk",SUM(N189:O189),"")</f>
        <v/>
      </c>
      <c r="Y189" s="1"/>
      <c r="Z189" s="1"/>
      <c r="AA189" s="1"/>
      <c r="AB189" s="1"/>
      <c r="AC189" s="1"/>
      <c r="AD189" s="1"/>
      <c r="AE189" s="1"/>
      <c r="AF189" s="1"/>
      <c r="AG189" s="1"/>
      <c r="AH189" s="1"/>
      <c r="AI189" s="1"/>
      <c r="IP189" s="1"/>
      <c r="IQ189" s="1"/>
      <c r="IR189" s="1"/>
      <c r="IS189" s="1"/>
    </row>
    <row r="190" spans="1:253" s="2" customFormat="1" ht="12.65" customHeight="1" x14ac:dyDescent="0.25">
      <c r="A190" s="862" t="s">
        <v>760</v>
      </c>
      <c r="B190" s="944"/>
      <c r="C190" s="900"/>
      <c r="D190" s="1180"/>
      <c r="E190" s="1180"/>
      <c r="F190" s="1180"/>
      <c r="G190" s="1180"/>
      <c r="H190" s="1180"/>
      <c r="I190" s="904"/>
      <c r="J190" s="905"/>
      <c r="K190" s="906"/>
      <c r="L190" s="907"/>
      <c r="M190" s="1206"/>
      <c r="N190" s="1014"/>
      <c r="O190" s="1014"/>
      <c r="P190" s="1013"/>
      <c r="Q190" s="13"/>
      <c r="R190" s="77"/>
      <c r="S190" s="64"/>
      <c r="T190" s="64"/>
      <c r="U190" s="18"/>
      <c r="V190" s="71"/>
      <c r="W190" s="64"/>
      <c r="X190" s="17"/>
      <c r="Y190" s="1"/>
      <c r="Z190" s="1"/>
      <c r="AA190" s="1"/>
      <c r="AB190" s="1"/>
      <c r="AC190" s="1"/>
      <c r="AD190" s="1"/>
      <c r="AE190" s="1"/>
      <c r="AF190" s="1"/>
      <c r="AG190" s="1"/>
      <c r="AH190" s="1"/>
      <c r="AI190" s="1"/>
      <c r="IP190" s="1"/>
      <c r="IQ190" s="1"/>
      <c r="IR190" s="1"/>
      <c r="IS190" s="1"/>
    </row>
    <row r="191" spans="1:253" s="2" customFormat="1" ht="12.65" customHeight="1" x14ac:dyDescent="0.25">
      <c r="A191" s="996"/>
      <c r="B191" s="863" t="s">
        <v>147</v>
      </c>
      <c r="C191" s="802"/>
      <c r="D191" s="803"/>
      <c r="E191" s="803"/>
      <c r="F191" s="803"/>
      <c r="G191" s="980"/>
      <c r="H191" s="1207" t="s">
        <v>19</v>
      </c>
      <c r="I191" s="804"/>
      <c r="J191" s="805"/>
      <c r="K191" s="923"/>
      <c r="L191" s="943"/>
      <c r="M191" s="916"/>
      <c r="N191" s="809"/>
      <c r="O191" s="809"/>
      <c r="P191" s="950"/>
      <c r="Q191" s="15"/>
      <c r="R191" s="124"/>
      <c r="S191" s="46"/>
      <c r="T191" s="46"/>
      <c r="V191" s="67"/>
      <c r="W191" s="46"/>
      <c r="X191" s="1"/>
      <c r="Y191" s="1"/>
      <c r="Z191" s="1"/>
      <c r="AA191" s="1"/>
      <c r="AB191" s="1"/>
      <c r="AC191" s="1"/>
      <c r="AD191" s="1"/>
      <c r="AE191" s="1"/>
      <c r="AF191" s="1"/>
      <c r="AG191" s="1"/>
      <c r="AH191" s="1"/>
      <c r="AI191" s="1"/>
      <c r="IP191" s="1"/>
      <c r="IQ191" s="1"/>
      <c r="IR191" s="1"/>
      <c r="IS191" s="1"/>
    </row>
    <row r="192" spans="1:253" s="2" customFormat="1" ht="12.65" customHeight="1" x14ac:dyDescent="0.25">
      <c r="A192" s="978"/>
      <c r="B192" s="863" t="s">
        <v>148</v>
      </c>
      <c r="C192" s="802">
        <v>0</v>
      </c>
      <c r="D192" s="803">
        <v>0.25</v>
      </c>
      <c r="E192" s="803">
        <v>1</v>
      </c>
      <c r="F192" s="803">
        <v>0</v>
      </c>
      <c r="G192" s="803">
        <v>0</v>
      </c>
      <c r="H192" s="929">
        <f>SUM(C192:G192)</f>
        <v>1.25</v>
      </c>
      <c r="I192" s="930">
        <f>((C192*$C$5)+(D192*$D$5)+(E192*$E$5)+(F192*$F$5)+(G192*$G$5))</f>
        <v>163.34325000000001</v>
      </c>
      <c r="J192" s="931">
        <v>0</v>
      </c>
      <c r="K192" s="932">
        <v>8</v>
      </c>
      <c r="L192" s="807">
        <v>0</v>
      </c>
      <c r="M192" s="934">
        <f>(C192+D192+E192+F192+G192)*L192</f>
        <v>0</v>
      </c>
      <c r="N192" s="809">
        <f>J192*L192</f>
        <v>0</v>
      </c>
      <c r="O192" s="809">
        <f>K192*L192</f>
        <v>0</v>
      </c>
      <c r="P192" s="1087">
        <f t="shared" ref="P192" si="52">I192*L192</f>
        <v>0</v>
      </c>
      <c r="Q192" s="13">
        <f>(I192+J192+K192)*L192</f>
        <v>0</v>
      </c>
      <c r="R192" s="76" t="s">
        <v>200</v>
      </c>
      <c r="S192" s="62">
        <f>IF($R192="RP",L192,"")</f>
        <v>0</v>
      </c>
      <c r="T192" s="62">
        <f>IF($R192="RP",M192,"")</f>
        <v>0</v>
      </c>
      <c r="U192" s="62">
        <f>IF($R192="RP",SUM(N192:O192),"")</f>
        <v>0</v>
      </c>
      <c r="V192" s="62" t="str">
        <f>IF($R192="RK",L192,"")</f>
        <v/>
      </c>
      <c r="W192" s="62" t="str">
        <f>IF($R192="RK",M192,"")</f>
        <v/>
      </c>
      <c r="X192" s="63" t="str">
        <f>IF($R192="Rk",SUM(N192:O192),"")</f>
        <v/>
      </c>
      <c r="Y192" s="1"/>
      <c r="Z192" s="1"/>
      <c r="AA192" s="1"/>
      <c r="AB192" s="1"/>
      <c r="AC192" s="1"/>
      <c r="AD192" s="1"/>
      <c r="AE192" s="1"/>
      <c r="AF192" s="1"/>
      <c r="AG192" s="1"/>
      <c r="AH192" s="1"/>
      <c r="AI192" s="1"/>
      <c r="IP192" s="1"/>
      <c r="IQ192" s="1"/>
      <c r="IR192" s="1"/>
      <c r="IS192" s="1"/>
    </row>
    <row r="193" spans="1:253" s="2" customFormat="1" ht="12.65" customHeight="1" x14ac:dyDescent="0.25">
      <c r="A193" s="924" t="s">
        <v>798</v>
      </c>
      <c r="B193" s="941"/>
      <c r="C193" s="942"/>
      <c r="D193" s="823"/>
      <c r="E193" s="823"/>
      <c r="F193" s="823"/>
      <c r="G193" s="823"/>
      <c r="H193" s="823"/>
      <c r="I193" s="824"/>
      <c r="J193" s="825"/>
      <c r="K193" s="826"/>
      <c r="L193" s="827"/>
      <c r="M193" s="828"/>
      <c r="N193" s="829"/>
      <c r="O193" s="829"/>
      <c r="P193" s="964"/>
      <c r="Q193" s="32"/>
      <c r="R193" s="77"/>
      <c r="S193" s="64"/>
      <c r="T193" s="64"/>
      <c r="U193" s="18"/>
      <c r="V193" s="71"/>
      <c r="W193" s="64"/>
      <c r="X193" s="17"/>
      <c r="Y193" s="1"/>
      <c r="Z193" s="1"/>
      <c r="AA193" s="1"/>
      <c r="AB193" s="1"/>
      <c r="AC193" s="1"/>
      <c r="AD193" s="1"/>
      <c r="AE193" s="1"/>
      <c r="AF193" s="1"/>
      <c r="AG193" s="1"/>
      <c r="AH193" s="1"/>
      <c r="AI193" s="1"/>
      <c r="IP193" s="1"/>
      <c r="IQ193" s="1"/>
      <c r="IR193" s="1"/>
      <c r="IS193" s="1"/>
    </row>
    <row r="194" spans="1:253" s="2" customFormat="1" ht="12.65" customHeight="1" x14ac:dyDescent="0.25">
      <c r="A194" s="1208" t="s">
        <v>149</v>
      </c>
      <c r="B194" s="1208"/>
      <c r="C194" s="997"/>
      <c r="D194" s="812"/>
      <c r="E194" s="812"/>
      <c r="F194" s="812"/>
      <c r="G194" s="812"/>
      <c r="H194" s="812"/>
      <c r="I194" s="813"/>
      <c r="J194" s="814"/>
      <c r="K194" s="814"/>
      <c r="L194" s="958"/>
      <c r="M194" s="816"/>
      <c r="N194" s="817"/>
      <c r="O194" s="817"/>
      <c r="P194" s="817"/>
      <c r="Q194" s="14"/>
      <c r="R194" s="124"/>
      <c r="S194" s="46"/>
      <c r="T194" s="46"/>
      <c r="V194" s="67"/>
      <c r="W194" s="46"/>
      <c r="X194" s="1"/>
      <c r="Y194" s="1"/>
      <c r="Z194" s="1"/>
      <c r="AA194" s="1"/>
      <c r="AB194" s="1"/>
      <c r="AC194" s="1"/>
      <c r="AD194" s="1"/>
      <c r="AE194" s="1"/>
      <c r="AF194" s="1"/>
      <c r="AG194" s="1"/>
      <c r="AH194" s="1"/>
      <c r="AI194" s="1"/>
      <c r="IP194" s="1"/>
      <c r="IQ194" s="1"/>
      <c r="IR194" s="1"/>
      <c r="IS194" s="1"/>
    </row>
    <row r="195" spans="1:253" s="2" customFormat="1" ht="12.65" customHeight="1" x14ac:dyDescent="0.25">
      <c r="A195" s="1209" t="s">
        <v>150</v>
      </c>
      <c r="B195" s="1209"/>
      <c r="C195" s="1018">
        <v>0</v>
      </c>
      <c r="D195" s="1123">
        <v>0.5</v>
      </c>
      <c r="E195" s="1123">
        <v>25</v>
      </c>
      <c r="F195" s="1123">
        <v>1</v>
      </c>
      <c r="G195" s="1210">
        <v>0</v>
      </c>
      <c r="H195" s="833">
        <f>SUM(C195:G195)</f>
        <v>26.5</v>
      </c>
      <c r="I195" s="834">
        <f>((C195*$C$5)+(D195*$D$5)+(E195*$E$5)+(F195*$F$5)+(G195*$G$5))</f>
        <v>3239.8694999999998</v>
      </c>
      <c r="J195" s="835">
        <v>0</v>
      </c>
      <c r="K195" s="806">
        <v>8</v>
      </c>
      <c r="L195" s="1176">
        <v>0</v>
      </c>
      <c r="M195" s="1012">
        <f>(C195+D195+E195+F195+G195)*L195</f>
        <v>0</v>
      </c>
      <c r="N195" s="1022">
        <f>J195*L195</f>
        <v>0</v>
      </c>
      <c r="O195" s="1022">
        <f>K195*L195</f>
        <v>0</v>
      </c>
      <c r="P195" s="1087">
        <f t="shared" ref="P195" si="53">I195*L195</f>
        <v>0</v>
      </c>
      <c r="Q195" s="13">
        <f>(I195+J195+K195)*L195</f>
        <v>0</v>
      </c>
      <c r="R195" s="76" t="s">
        <v>200</v>
      </c>
      <c r="S195" s="62">
        <f>IF($R195="RP",L195,"")</f>
        <v>0</v>
      </c>
      <c r="T195" s="62">
        <f>IF($R195="RP",M195,"")</f>
        <v>0</v>
      </c>
      <c r="U195" s="62">
        <f>IF($R195="RP",SUM(N195:O195),"")</f>
        <v>0</v>
      </c>
      <c r="V195" s="62" t="str">
        <f>IF($R195="RK",L195,"")</f>
        <v/>
      </c>
      <c r="W195" s="62" t="str">
        <f>IF($R195="RK",M195,"")</f>
        <v/>
      </c>
      <c r="X195" s="63" t="str">
        <f>IF($R195="Rk",SUM(N195:O195),"")</f>
        <v/>
      </c>
      <c r="Y195" s="1"/>
      <c r="Z195" s="1"/>
      <c r="AA195" s="1"/>
      <c r="AB195" s="1"/>
      <c r="AC195" s="1"/>
      <c r="AD195" s="1"/>
      <c r="AE195" s="1"/>
      <c r="AF195" s="1"/>
      <c r="AG195" s="1"/>
      <c r="AH195" s="1"/>
      <c r="AI195" s="1"/>
      <c r="IP195" s="1"/>
      <c r="IQ195" s="1"/>
      <c r="IR195" s="1"/>
      <c r="IS195" s="1"/>
    </row>
    <row r="196" spans="1:253" s="2" customFormat="1" ht="12.65" customHeight="1" x14ac:dyDescent="0.25">
      <c r="A196" s="911" t="s">
        <v>799</v>
      </c>
      <c r="B196" s="841"/>
      <c r="C196" s="1211"/>
      <c r="D196" s="1212"/>
      <c r="E196" s="1212"/>
      <c r="F196" s="1212"/>
      <c r="G196" s="1212"/>
      <c r="H196" s="823"/>
      <c r="I196" s="824"/>
      <c r="J196" s="825"/>
      <c r="K196" s="825"/>
      <c r="L196" s="1127"/>
      <c r="M196" s="1213"/>
      <c r="N196" s="1214"/>
      <c r="O196" s="1214"/>
      <c r="P196" s="1215"/>
      <c r="Q196" s="476"/>
      <c r="R196" s="477"/>
      <c r="S196" s="64"/>
      <c r="T196" s="64"/>
      <c r="U196" s="18"/>
      <c r="V196" s="71"/>
      <c r="W196" s="64"/>
      <c r="X196" s="86"/>
      <c r="Y196" s="1"/>
      <c r="Z196" s="1"/>
      <c r="AA196" s="1"/>
      <c r="AB196" s="1"/>
      <c r="AC196" s="1"/>
      <c r="AD196" s="1"/>
      <c r="AE196" s="1"/>
      <c r="AF196" s="1"/>
      <c r="AG196" s="1"/>
      <c r="AH196" s="1"/>
      <c r="AI196" s="1"/>
      <c r="IP196" s="1"/>
      <c r="IQ196" s="1"/>
      <c r="IR196" s="1"/>
      <c r="IS196" s="1"/>
    </row>
    <row r="197" spans="1:253" s="2" customFormat="1" ht="12.65" customHeight="1" x14ac:dyDescent="0.25">
      <c r="A197" s="880"/>
      <c r="B197" s="944" t="s">
        <v>166</v>
      </c>
      <c r="C197" s="1123">
        <v>0</v>
      </c>
      <c r="D197" s="1123">
        <v>2</v>
      </c>
      <c r="E197" s="1123">
        <v>40</v>
      </c>
      <c r="F197" s="1123">
        <v>5</v>
      </c>
      <c r="G197" s="1216">
        <v>0</v>
      </c>
      <c r="H197" s="1123">
        <f>SUM(C197:G197)</f>
        <v>47</v>
      </c>
      <c r="I197" s="886">
        <f>((C197*$C$5)+(D197*$D$5)+(E197*$E$5)+(F197*$F$5)+(G197*$G$5))</f>
        <v>5585.4750000000004</v>
      </c>
      <c r="J197" s="1124">
        <v>0</v>
      </c>
      <c r="K197" s="906">
        <v>8</v>
      </c>
      <c r="L197" s="1217">
        <f>0.25*(SUM(M8:M9))</f>
        <v>14.25</v>
      </c>
      <c r="M197" s="1218">
        <f>(C197+D197+E197+F197+G197)*L197</f>
        <v>669.75</v>
      </c>
      <c r="N197" s="1219">
        <f>J197*L197</f>
        <v>0</v>
      </c>
      <c r="O197" s="1219">
        <f>K197*L197</f>
        <v>114</v>
      </c>
      <c r="P197" s="839">
        <f t="shared" ref="P197" si="54">I197*L197</f>
        <v>79593.018750000003</v>
      </c>
      <c r="Q197" s="13">
        <f>(I197+J197+K197)*L197</f>
        <v>79707.018750000003</v>
      </c>
      <c r="R197" s="76" t="s">
        <v>200</v>
      </c>
      <c r="S197" s="62">
        <f>IF($R197="RP",L197,"")</f>
        <v>14.25</v>
      </c>
      <c r="T197" s="62">
        <f>IF($R197="RP",M197,"")</f>
        <v>669.75</v>
      </c>
      <c r="U197" s="62">
        <f>IF($R197="RP",SUM(N197:O197),"")</f>
        <v>114</v>
      </c>
      <c r="V197" s="62" t="str">
        <f>IF($R197="RK",L197,"")</f>
        <v/>
      </c>
      <c r="W197" s="62" t="str">
        <f>IF($R197="RK",M197,"")</f>
        <v/>
      </c>
      <c r="X197" s="80" t="str">
        <f>IF($R197="Rk",SUM(N197:O197),"")</f>
        <v/>
      </c>
      <c r="Y197" s="1"/>
      <c r="Z197" s="1"/>
      <c r="AA197" s="1"/>
      <c r="AB197" s="1"/>
      <c r="AC197" s="1"/>
      <c r="AD197" s="1"/>
      <c r="AE197" s="1"/>
      <c r="AF197" s="1"/>
      <c r="AG197" s="1"/>
      <c r="AH197" s="1"/>
      <c r="AI197" s="1"/>
      <c r="IP197" s="1"/>
      <c r="IQ197" s="1"/>
      <c r="IR197" s="1"/>
      <c r="IS197" s="1"/>
    </row>
    <row r="198" spans="1:253" ht="12.65" customHeight="1" x14ac:dyDescent="0.25">
      <c r="A198" s="1220" t="s">
        <v>219</v>
      </c>
      <c r="B198" s="1221"/>
      <c r="C198" s="1222">
        <f>SUM(C169:C197,C167,C149:C160,C123:C147,C115:C121,C68:C106,C24:C53,C162,C164,C107:C113,C54:C66)</f>
        <v>0</v>
      </c>
      <c r="D198" s="1223">
        <f>SUM(D169:D197,D167,D149:D160,D123:D147,D115:D121,D68:D106,D24:D34,D36:D53,D162,D164,D107:D113,D54:D66)</f>
        <v>171</v>
      </c>
      <c r="E198" s="1223">
        <f>SUM(E169:E197,E167,E149:E160,E123:E147,E115:E121,E68:E106,E24:E34,E36:E53,E162,E164,E107:E113,E54:E66)</f>
        <v>1806.6</v>
      </c>
      <c r="F198" s="1223">
        <f>SUM(F169:F197,F167,F149:F160,F123:F147,F115:F121,F68:F106,F24:F34,F36:F53,F162,F164,F107:F113,F54:F66)</f>
        <v>204</v>
      </c>
      <c r="G198" s="1223">
        <f>SUM(G169:G197,G167,G149:G160,G123:G147,G115:G121,G68:G106,G24:G53,G162,G164,G107:G113,G54:G66)</f>
        <v>0</v>
      </c>
      <c r="H198" s="1224">
        <f>SUM(H24:H197)</f>
        <v>2202.6</v>
      </c>
      <c r="I198" s="1225">
        <f>((C198*$C$5)+(D198*$D$5)+(E198*$E$5)+(F198*$F$5)+(G198*$G$5))</f>
        <v>263617.54019999999</v>
      </c>
      <c r="J198" s="905"/>
      <c r="K198" s="906"/>
      <c r="L198" s="1226"/>
      <c r="M198" s="1227">
        <f>SUM(M24:M197)</f>
        <v>43763.398333333331</v>
      </c>
      <c r="N198" s="1228">
        <f>SUM(N169:N197,N167,N149:N164,N137:N147,N136,N133:N134,N123:N132,N115:N121,N68:N113,N66,N52:N60,N36:N47,N27:N34,N24)</f>
        <v>18250</v>
      </c>
      <c r="O198" s="1228">
        <f>SUM(O24:O197)</f>
        <v>2239999.306666668</v>
      </c>
      <c r="P198" s="1228">
        <f>SUM(P24:P197)</f>
        <v>5237448.3560349988</v>
      </c>
      <c r="Q198" s="93"/>
      <c r="R198" s="132"/>
      <c r="S198" s="62">
        <f>SUM(S169:S197,S167,S150:S164,S124:S147,S115:S121,S69:S113,S66,S24:S60)</f>
        <v>868.79666666666651</v>
      </c>
      <c r="T198" s="62">
        <f>SUM(T169:T197,T167,T150:T164,T124:T147,T115:T121,T69:T113,T66,T24:T60)</f>
        <v>43763.398333333331</v>
      </c>
      <c r="U198" s="62">
        <f>SUM(U169:U197,U167,U150:U164,U124:U147,U115:U121,U69:U113,U66,U24:U60)</f>
        <v>2258249.3066666676</v>
      </c>
      <c r="V198" s="62"/>
      <c r="W198" s="62"/>
      <c r="X198" s="80"/>
    </row>
    <row r="199" spans="1:253" ht="12.65" customHeight="1" x14ac:dyDescent="0.25">
      <c r="A199" s="103" t="s">
        <v>203</v>
      </c>
      <c r="B199" s="1229"/>
      <c r="C199" s="952"/>
      <c r="D199" s="952"/>
      <c r="E199" s="952"/>
      <c r="F199" s="952"/>
      <c r="G199" s="952"/>
      <c r="H199" s="952"/>
      <c r="I199" s="953"/>
      <c r="J199" s="953"/>
      <c r="K199" s="953"/>
      <c r="L199" s="1230"/>
      <c r="M199" s="1231"/>
      <c r="N199" s="1232"/>
      <c r="O199" s="1232"/>
      <c r="P199" s="1232"/>
      <c r="Q199" s="491"/>
      <c r="R199" s="77"/>
      <c r="S199" s="122"/>
      <c r="T199" s="88"/>
      <c r="U199" s="89"/>
      <c r="V199" s="88"/>
      <c r="W199" s="88"/>
      <c r="X199" s="89"/>
    </row>
    <row r="200" spans="1:253" ht="12.65" customHeight="1" x14ac:dyDescent="0.25">
      <c r="A200" s="87" t="s">
        <v>211</v>
      </c>
      <c r="B200" s="957"/>
      <c r="C200" s="952"/>
      <c r="D200" s="952"/>
      <c r="E200" s="952"/>
      <c r="F200" s="952"/>
      <c r="G200" s="952"/>
      <c r="H200" s="952"/>
      <c r="I200" s="953"/>
      <c r="J200" s="953"/>
      <c r="K200" s="953"/>
      <c r="L200" s="1233"/>
      <c r="M200" s="1231"/>
      <c r="N200" s="1232"/>
      <c r="O200" s="1232"/>
      <c r="P200" s="1232"/>
      <c r="Q200" s="491"/>
      <c r="R200" s="77"/>
      <c r="S200" s="122"/>
      <c r="T200" s="88"/>
      <c r="U200" s="89"/>
      <c r="V200" s="88"/>
      <c r="W200" s="88"/>
      <c r="X200" s="89"/>
    </row>
    <row r="201" spans="1:253" ht="12.65" customHeight="1" x14ac:dyDescent="0.25">
      <c r="A201" s="87" t="s">
        <v>212</v>
      </c>
      <c r="B201" s="957"/>
      <c r="C201" s="952"/>
      <c r="D201" s="952"/>
      <c r="E201" s="952"/>
      <c r="F201" s="952"/>
      <c r="G201" s="952"/>
      <c r="H201" s="952"/>
      <c r="I201" s="953"/>
      <c r="J201" s="953"/>
      <c r="K201" s="953"/>
      <c r="L201" s="1233"/>
      <c r="M201" s="1231"/>
      <c r="N201" s="1232"/>
      <c r="O201" s="1232"/>
      <c r="P201" s="1232"/>
      <c r="Q201" s="491"/>
      <c r="R201" s="77"/>
      <c r="S201" s="122"/>
      <c r="T201" s="88"/>
      <c r="U201" s="89"/>
      <c r="V201" s="88"/>
      <c r="W201" s="88"/>
      <c r="X201" s="89"/>
    </row>
    <row r="202" spans="1:253" ht="12.65" customHeight="1" x14ac:dyDescent="0.25">
      <c r="A202" s="87" t="s">
        <v>213</v>
      </c>
      <c r="B202" s="957"/>
      <c r="C202" s="952"/>
      <c r="D202" s="952"/>
      <c r="E202" s="952"/>
      <c r="F202" s="952"/>
      <c r="G202" s="952"/>
      <c r="H202" s="952"/>
      <c r="I202" s="953"/>
      <c r="J202" s="953"/>
      <c r="K202" s="953"/>
      <c r="L202" s="1233"/>
      <c r="M202" s="1231"/>
      <c r="N202" s="1232"/>
      <c r="O202" s="1232"/>
      <c r="P202" s="1232"/>
      <c r="Q202" s="491"/>
      <c r="R202" s="77"/>
      <c r="S202" s="122"/>
      <c r="T202" s="88"/>
      <c r="U202" s="89"/>
      <c r="V202" s="88"/>
      <c r="W202" s="88"/>
      <c r="X202" s="89"/>
    </row>
    <row r="203" spans="1:253" ht="12.65" customHeight="1" x14ac:dyDescent="0.25">
      <c r="A203" s="87" t="s">
        <v>214</v>
      </c>
      <c r="B203" s="957"/>
      <c r="C203" s="952"/>
      <c r="D203" s="952"/>
      <c r="E203" s="952"/>
      <c r="F203" s="952"/>
      <c r="G203" s="952"/>
      <c r="H203" s="952"/>
      <c r="I203" s="953"/>
      <c r="J203" s="953"/>
      <c r="K203" s="953"/>
      <c r="L203" s="1233"/>
      <c r="M203" s="1231"/>
      <c r="N203" s="1232"/>
      <c r="O203" s="1232"/>
      <c r="P203" s="1232"/>
      <c r="Q203" s="491"/>
      <c r="R203" s="77"/>
      <c r="S203" s="122"/>
      <c r="T203" s="88"/>
      <c r="U203" s="89"/>
      <c r="V203" s="88"/>
      <c r="W203" s="88"/>
      <c r="X203" s="89"/>
    </row>
    <row r="204" spans="1:253" ht="12.65" customHeight="1" x14ac:dyDescent="0.25">
      <c r="A204" s="87" t="s">
        <v>215</v>
      </c>
      <c r="B204" s="957"/>
      <c r="C204" s="952"/>
      <c r="D204" s="952"/>
      <c r="E204" s="952"/>
      <c r="F204" s="952"/>
      <c r="G204" s="952"/>
      <c r="H204" s="952"/>
      <c r="I204" s="953"/>
      <c r="J204" s="953"/>
      <c r="K204" s="953"/>
      <c r="L204" s="1233"/>
      <c r="M204" s="1231"/>
      <c r="N204" s="1232"/>
      <c r="O204" s="1232"/>
      <c r="P204" s="1232"/>
      <c r="Q204" s="491"/>
      <c r="R204" s="77"/>
      <c r="S204" s="122"/>
      <c r="T204" s="88"/>
      <c r="U204" s="89"/>
      <c r="V204" s="88"/>
      <c r="W204" s="88"/>
      <c r="X204" s="89"/>
      <c r="AE204" s="2"/>
    </row>
    <row r="205" spans="1:253" ht="12.65" customHeight="1" x14ac:dyDescent="0.25">
      <c r="A205" s="761"/>
      <c r="B205" s="976" t="s">
        <v>183</v>
      </c>
      <c r="C205" s="1234"/>
      <c r="D205" s="970"/>
      <c r="E205" s="970"/>
      <c r="F205" s="970"/>
      <c r="G205" s="970"/>
      <c r="H205" s="970"/>
      <c r="I205" s="804"/>
      <c r="J205" s="805"/>
      <c r="K205" s="923"/>
      <c r="L205" s="1125"/>
      <c r="M205" s="808"/>
      <c r="N205" s="1028"/>
      <c r="O205" s="1028"/>
      <c r="P205" s="950"/>
      <c r="Q205" s="490"/>
      <c r="R205" s="74"/>
      <c r="S205" s="46"/>
      <c r="T205" s="46"/>
      <c r="V205" s="46"/>
      <c r="W205" s="46"/>
      <c r="X205" s="78"/>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row>
    <row r="206" spans="1:253" ht="12.65" customHeight="1" x14ac:dyDescent="0.25">
      <c r="A206" s="761"/>
      <c r="B206" s="976" t="s">
        <v>182</v>
      </c>
      <c r="C206" s="1234"/>
      <c r="D206" s="970"/>
      <c r="E206" s="970"/>
      <c r="F206" s="970"/>
      <c r="G206" s="970"/>
      <c r="H206" s="970"/>
      <c r="I206" s="804"/>
      <c r="J206" s="805"/>
      <c r="K206" s="923"/>
      <c r="L206" s="1125"/>
      <c r="M206" s="808"/>
      <c r="N206" s="1028"/>
      <c r="O206" s="1028"/>
      <c r="P206" s="950"/>
      <c r="Q206" s="490"/>
      <c r="R206" s="74"/>
      <c r="S206" s="46"/>
      <c r="T206" s="46"/>
      <c r="V206" s="46"/>
      <c r="W206" s="46"/>
      <c r="X206" s="78"/>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row>
    <row r="207" spans="1:253" ht="12.65" customHeight="1" x14ac:dyDescent="0.25">
      <c r="A207" s="978"/>
      <c r="B207" s="881" t="s">
        <v>800</v>
      </c>
      <c r="C207" s="1235">
        <v>0</v>
      </c>
      <c r="D207" s="803">
        <v>0</v>
      </c>
      <c r="E207" s="803">
        <v>0.5</v>
      </c>
      <c r="F207" s="803">
        <v>0.5</v>
      </c>
      <c r="G207" s="803">
        <v>0</v>
      </c>
      <c r="H207" s="803">
        <f>SUM(C207:G207)</f>
        <v>1</v>
      </c>
      <c r="I207" s="804">
        <f>((C207*$C$5)+(D207*$D$5)+(E207*$E$5)+(F207*$F$5)+(G207*$G$5))</f>
        <v>93.229500000000002</v>
      </c>
      <c r="J207" s="805">
        <v>0</v>
      </c>
      <c r="K207" s="805">
        <v>0</v>
      </c>
      <c r="L207" s="807">
        <v>1</v>
      </c>
      <c r="M207" s="916">
        <f>(C207+D207+E207+F207+G207)*L207</f>
        <v>1</v>
      </c>
      <c r="N207" s="809">
        <f>J207*L207</f>
        <v>0</v>
      </c>
      <c r="O207" s="809">
        <f>K207*L207</f>
        <v>0</v>
      </c>
      <c r="P207" s="1236">
        <f t="shared" ref="P207" si="55">I207*L207</f>
        <v>93.229500000000002</v>
      </c>
      <c r="Q207" s="12">
        <f>(I207+J207+K207)*L207</f>
        <v>93.229500000000002</v>
      </c>
      <c r="R207" s="76" t="s">
        <v>199</v>
      </c>
      <c r="S207" s="65" t="str">
        <f>IF($R207="RP",L207,"")</f>
        <v/>
      </c>
      <c r="T207" s="65" t="str">
        <f>IF($R207="RP",M207,"")</f>
        <v/>
      </c>
      <c r="U207" s="61" t="str">
        <f>IF($R207="RP",SUM(N207:O207),"")</f>
        <v/>
      </c>
      <c r="V207" s="65">
        <f>IF($R207="RK",L207,"")</f>
        <v>1</v>
      </c>
      <c r="W207" s="65">
        <f>IF($R207="RK",M207,"")</f>
        <v>1</v>
      </c>
      <c r="X207" s="82">
        <f>IF($R207="Rk",SUM(N207:O207),"")</f>
        <v>0</v>
      </c>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row>
    <row r="208" spans="1:253" ht="24.65" customHeight="1" x14ac:dyDescent="0.25">
      <c r="A208" s="1333" t="s">
        <v>801</v>
      </c>
      <c r="B208" s="1334"/>
      <c r="C208" s="984"/>
      <c r="D208" s="822"/>
      <c r="E208" s="823"/>
      <c r="F208" s="823"/>
      <c r="G208" s="823"/>
      <c r="H208" s="823"/>
      <c r="I208" s="824"/>
      <c r="J208" s="825"/>
      <c r="K208" s="826"/>
      <c r="L208" s="827"/>
      <c r="M208" s="918"/>
      <c r="N208" s="919"/>
      <c r="O208" s="919"/>
      <c r="P208" s="920"/>
      <c r="Q208" s="10"/>
      <c r="R208" s="76"/>
      <c r="S208" s="62"/>
      <c r="T208" s="62"/>
      <c r="U208" s="63"/>
      <c r="V208" s="62"/>
      <c r="W208" s="62"/>
      <c r="X208" s="80"/>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row>
    <row r="209" spans="1:249" ht="12.65" customHeight="1" x14ac:dyDescent="0.25">
      <c r="A209" s="761"/>
      <c r="B209" s="1237" t="s">
        <v>190</v>
      </c>
      <c r="C209" s="1238"/>
      <c r="D209" s="803"/>
      <c r="E209" s="803"/>
      <c r="F209" s="803"/>
      <c r="G209" s="803"/>
      <c r="H209" s="803"/>
      <c r="I209" s="804"/>
      <c r="J209" s="805"/>
      <c r="K209" s="923"/>
      <c r="L209" s="1001"/>
      <c r="M209" s="972"/>
      <c r="N209" s="974"/>
      <c r="O209" s="974"/>
      <c r="P209" s="1004"/>
      <c r="Q209" s="492"/>
      <c r="R209" s="74"/>
      <c r="S209" s="46"/>
      <c r="T209" s="46"/>
      <c r="V209" s="46"/>
      <c r="W209" s="46"/>
      <c r="X209" s="78"/>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row>
    <row r="210" spans="1:249" ht="12.65" customHeight="1" x14ac:dyDescent="0.25">
      <c r="A210" s="761"/>
      <c r="B210" s="976" t="s">
        <v>159</v>
      </c>
      <c r="C210" s="802"/>
      <c r="D210" s="803"/>
      <c r="E210" s="803"/>
      <c r="F210" s="803"/>
      <c r="G210" s="803"/>
      <c r="H210" s="803"/>
      <c r="I210" s="804"/>
      <c r="J210" s="805"/>
      <c r="K210" s="923"/>
      <c r="L210" s="1001"/>
      <c r="M210" s="972"/>
      <c r="N210" s="974"/>
      <c r="O210" s="974"/>
      <c r="P210" s="1004"/>
      <c r="Q210" s="9"/>
      <c r="R210" s="74"/>
      <c r="S210" s="46"/>
      <c r="T210" s="46"/>
      <c r="V210" s="46"/>
      <c r="W210" s="46"/>
      <c r="X210" s="78"/>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row>
    <row r="211" spans="1:249" ht="12.65" customHeight="1" x14ac:dyDescent="0.25">
      <c r="A211" s="978"/>
      <c r="B211" s="1239" t="s">
        <v>160</v>
      </c>
      <c r="C211" s="937">
        <v>0</v>
      </c>
      <c r="D211" s="929">
        <v>0</v>
      </c>
      <c r="E211" s="929">
        <v>4</v>
      </c>
      <c r="F211" s="929">
        <v>0</v>
      </c>
      <c r="G211" s="929">
        <v>0</v>
      </c>
      <c r="H211" s="929">
        <f>SUM(C211:G211)</f>
        <v>4</v>
      </c>
      <c r="I211" s="930">
        <f>((C211*$C$5)+(D211*$D$5)+(E211*$E$5)+(F211*$F$5)+(G211*$G$5))</f>
        <v>495.76800000000003</v>
      </c>
      <c r="J211" s="931">
        <v>0</v>
      </c>
      <c r="K211" s="932">
        <v>0</v>
      </c>
      <c r="L211" s="933">
        <f>0.05*M10</f>
        <v>2.85</v>
      </c>
      <c r="M211" s="934">
        <f>(C211+D211+E211+F211+G211)*L211</f>
        <v>11.4</v>
      </c>
      <c r="N211" s="1022">
        <f>J211*L211</f>
        <v>0</v>
      </c>
      <c r="O211" s="1175">
        <f>K211*L211</f>
        <v>0</v>
      </c>
      <c r="P211" s="839">
        <f t="shared" ref="P211" si="56">I211*L211</f>
        <v>1412.9388000000001</v>
      </c>
      <c r="Q211" s="12">
        <f>(I211+J211+K211)*L211</f>
        <v>1412.9388000000001</v>
      </c>
      <c r="R211" s="74" t="s">
        <v>199</v>
      </c>
      <c r="S211" s="46" t="str">
        <f>IF($R211="RP",L211,"")</f>
        <v/>
      </c>
      <c r="T211" s="46" t="str">
        <f>IF($R211="RP",M211,"")</f>
        <v/>
      </c>
      <c r="U211" s="1" t="str">
        <f>IF($R211="RP",SUM(N211:O211),"")</f>
        <v/>
      </c>
      <c r="V211" s="46">
        <f>IF($R211="RK",L211,"")</f>
        <v>2.85</v>
      </c>
      <c r="W211" s="46">
        <f>IF($R211="RK",M211,"")</f>
        <v>11.4</v>
      </c>
      <c r="X211" s="78">
        <f>IF($R211="Rk",SUM(N211:O211),"")</f>
        <v>0</v>
      </c>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row>
    <row r="212" spans="1:249" ht="12.65" customHeight="1" x14ac:dyDescent="0.25">
      <c r="A212" s="996"/>
      <c r="B212" s="1055" t="s">
        <v>667</v>
      </c>
      <c r="C212" s="1008"/>
      <c r="D212" s="981"/>
      <c r="E212" s="981"/>
      <c r="F212" s="981"/>
      <c r="G212" s="981"/>
      <c r="H212" s="981"/>
      <c r="I212" s="999"/>
      <c r="J212" s="1000"/>
      <c r="K212" s="1000"/>
      <c r="L212" s="1001"/>
      <c r="M212" s="1002"/>
      <c r="N212" s="975"/>
      <c r="O212" s="975"/>
      <c r="P212" s="983"/>
      <c r="Q212" s="9"/>
      <c r="R212" s="75"/>
      <c r="S212" s="60"/>
      <c r="T212" s="60"/>
      <c r="U212" s="24"/>
      <c r="V212" s="60"/>
      <c r="W212" s="60"/>
      <c r="X212" s="79"/>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row>
    <row r="213" spans="1:249" ht="12.65" customHeight="1" x14ac:dyDescent="0.25">
      <c r="A213" s="761"/>
      <c r="B213" s="1007" t="s">
        <v>536</v>
      </c>
      <c r="C213" s="1008"/>
      <c r="D213" s="981"/>
      <c r="E213" s="981"/>
      <c r="F213" s="981"/>
      <c r="G213" s="981"/>
      <c r="H213" s="981"/>
      <c r="I213" s="999"/>
      <c r="J213" s="1000"/>
      <c r="K213" s="1000"/>
      <c r="L213" s="1001"/>
      <c r="M213" s="1002"/>
      <c r="N213" s="975"/>
      <c r="O213" s="975"/>
      <c r="P213" s="983"/>
      <c r="Q213" s="9"/>
      <c r="R213" s="74"/>
      <c r="S213" s="46"/>
      <c r="T213" s="46"/>
      <c r="V213" s="46"/>
      <c r="W213" s="46"/>
      <c r="X213" s="78"/>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row>
    <row r="214" spans="1:249" ht="12.65" customHeight="1" x14ac:dyDescent="0.25">
      <c r="A214" s="978"/>
      <c r="B214" s="921" t="s">
        <v>802</v>
      </c>
      <c r="C214" s="1018">
        <v>0</v>
      </c>
      <c r="D214" s="981">
        <v>0</v>
      </c>
      <c r="E214" s="981">
        <v>1</v>
      </c>
      <c r="F214" s="981">
        <v>0</v>
      </c>
      <c r="G214" s="981">
        <v>0</v>
      </c>
      <c r="H214" s="803">
        <f>SUM(C214:G214)</f>
        <v>1</v>
      </c>
      <c r="I214" s="804">
        <f>((C214*$C$5)+(D214*$D$5)+(E214*$E$5)+(F214*$F$5)+(G214*$G$5))</f>
        <v>123.94200000000001</v>
      </c>
      <c r="J214" s="1000">
        <v>0</v>
      </c>
      <c r="K214" s="1000">
        <v>0</v>
      </c>
      <c r="L214" s="1011">
        <f>L60</f>
        <v>28.5</v>
      </c>
      <c r="M214" s="916">
        <f>(C214+D214+E214+F214+G214)*L214</f>
        <v>28.5</v>
      </c>
      <c r="N214" s="975">
        <f>J214*L214</f>
        <v>0</v>
      </c>
      <c r="O214" s="975">
        <f>K214*L214</f>
        <v>0</v>
      </c>
      <c r="P214" s="810">
        <f t="shared" ref="P214" si="57">I214*L214</f>
        <v>3532.3470000000002</v>
      </c>
      <c r="Q214" s="12">
        <f>(I214+J214+K214)*L214</f>
        <v>3532.3470000000002</v>
      </c>
      <c r="R214" s="76" t="s">
        <v>199</v>
      </c>
      <c r="S214" s="62" t="str">
        <f>IF($R214="RP",L214,"")</f>
        <v/>
      </c>
      <c r="T214" s="62" t="str">
        <f>IF($R214="RP",M214,"")</f>
        <v/>
      </c>
      <c r="U214" s="63" t="str">
        <f>IF($R214="RP",SUM(N214:O214),"")</f>
        <v/>
      </c>
      <c r="V214" s="62">
        <f>IF($R214="RK",L214,"")</f>
        <v>28.5</v>
      </c>
      <c r="W214" s="62">
        <f>IF($R214="RK",M214,"")</f>
        <v>28.5</v>
      </c>
      <c r="X214" s="80">
        <f>IF($R214="Rk",SUM(N214:O214),"")</f>
        <v>0</v>
      </c>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row>
    <row r="215" spans="1:249" ht="12.65" customHeight="1" x14ac:dyDescent="0.25">
      <c r="A215" s="880" t="s">
        <v>803</v>
      </c>
      <c r="B215" s="944"/>
      <c r="C215" s="900"/>
      <c r="D215" s="822"/>
      <c r="E215" s="823"/>
      <c r="F215" s="823"/>
      <c r="G215" s="823"/>
      <c r="H215" s="823"/>
      <c r="I215" s="824"/>
      <c r="J215" s="825"/>
      <c r="K215" s="826"/>
      <c r="L215" s="827"/>
      <c r="M215" s="985"/>
      <c r="N215" s="919"/>
      <c r="O215" s="919"/>
      <c r="P215" s="920"/>
      <c r="Q215" s="12"/>
      <c r="R215" s="74"/>
      <c r="S215" s="46"/>
      <c r="T215" s="46"/>
      <c r="V215" s="46"/>
      <c r="W215" s="46"/>
      <c r="X215" s="78"/>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row>
    <row r="216" spans="1:249" ht="12.65" customHeight="1" x14ac:dyDescent="0.25">
      <c r="A216" s="880"/>
      <c r="B216" s="921" t="s">
        <v>100</v>
      </c>
      <c r="C216" s="994">
        <v>0</v>
      </c>
      <c r="D216" s="981">
        <v>0</v>
      </c>
      <c r="E216" s="981">
        <v>4</v>
      </c>
      <c r="F216" s="981">
        <v>0.5</v>
      </c>
      <c r="G216" s="998">
        <v>0</v>
      </c>
      <c r="H216" s="803">
        <f>SUM(C216:G216)</f>
        <v>4.5</v>
      </c>
      <c r="I216" s="804">
        <f>((C216*$C$5)+(D216*$D$5)+(E216*$E$5)+(F216*$F$5)+(G216*$G$5))</f>
        <v>527.02650000000006</v>
      </c>
      <c r="J216" s="1000">
        <v>0</v>
      </c>
      <c r="K216" s="1000">
        <v>0</v>
      </c>
      <c r="L216" s="1011">
        <v>1</v>
      </c>
      <c r="M216" s="808">
        <f>(C216+D216+E216+F216+G216)*L216</f>
        <v>4.5</v>
      </c>
      <c r="N216" s="809">
        <f>J216*L216</f>
        <v>0</v>
      </c>
      <c r="O216" s="809">
        <f>K216*L216</f>
        <v>0</v>
      </c>
      <c r="P216" s="810">
        <f t="shared" ref="P216" si="58">I216*L216</f>
        <v>527.02650000000006</v>
      </c>
      <c r="Q216" s="12">
        <f>(I216+J216+K216)*L216</f>
        <v>527.02650000000006</v>
      </c>
      <c r="R216" s="76" t="s">
        <v>199</v>
      </c>
      <c r="S216" s="62" t="str">
        <f>IF($R216="RP",L216,"")</f>
        <v/>
      </c>
      <c r="T216" s="62" t="str">
        <f>IF($R216="RP",M216,"")</f>
        <v/>
      </c>
      <c r="U216" s="63" t="str">
        <f>IF($R216="RP",SUM(N216:O216),"")</f>
        <v/>
      </c>
      <c r="V216" s="62">
        <f>IF($R216="RK",L216,"")</f>
        <v>1</v>
      </c>
      <c r="W216" s="62">
        <f>IF($R216="RK",M216,"")</f>
        <v>4.5</v>
      </c>
      <c r="X216" s="80">
        <f>IF($R216="Rk",SUM(N216:O216),"")</f>
        <v>0</v>
      </c>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row>
    <row r="217" spans="1:249" ht="12.65" customHeight="1" x14ac:dyDescent="0.25">
      <c r="A217" s="880" t="s">
        <v>767</v>
      </c>
      <c r="B217" s="944"/>
      <c r="C217" s="900"/>
      <c r="D217" s="822"/>
      <c r="E217" s="823"/>
      <c r="F217" s="823"/>
      <c r="G217" s="823"/>
      <c r="H217" s="823"/>
      <c r="I217" s="824"/>
      <c r="J217" s="825"/>
      <c r="K217" s="826"/>
      <c r="L217" s="827"/>
      <c r="M217" s="985"/>
      <c r="N217" s="919"/>
      <c r="O217" s="919"/>
      <c r="P217" s="920"/>
      <c r="Q217" s="12"/>
      <c r="R217" s="77"/>
      <c r="S217" s="64"/>
      <c r="T217" s="64"/>
      <c r="U217" s="17"/>
      <c r="V217" s="64"/>
      <c r="W217" s="64"/>
      <c r="X217" s="81"/>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row>
    <row r="218" spans="1:249" ht="12.65" customHeight="1" x14ac:dyDescent="0.25">
      <c r="A218" s="911"/>
      <c r="B218" s="1019" t="s">
        <v>668</v>
      </c>
      <c r="C218" s="1020">
        <v>0</v>
      </c>
      <c r="D218" s="981">
        <v>6</v>
      </c>
      <c r="E218" s="981">
        <v>82</v>
      </c>
      <c r="F218" s="981">
        <v>8</v>
      </c>
      <c r="G218" s="998">
        <v>0</v>
      </c>
      <c r="H218" s="803">
        <f>SUM(C218:G218)</f>
        <v>96</v>
      </c>
      <c r="I218" s="804">
        <f>((C218*$C$5)+(D218*$D$5)+(E218*$E$5)+(F218*$F$5)+(G218*$G$5))</f>
        <v>11609.01</v>
      </c>
      <c r="J218" s="1000">
        <v>0</v>
      </c>
      <c r="K218" s="1000">
        <v>0</v>
      </c>
      <c r="L218" s="1011">
        <f>0.1*$M$10+1</f>
        <v>6.7</v>
      </c>
      <c r="M218" s="916">
        <f>(C218+D218+E218+F218+G218)*L218</f>
        <v>643.20000000000005</v>
      </c>
      <c r="N218" s="809">
        <f>J218*L218</f>
        <v>0</v>
      </c>
      <c r="O218" s="809">
        <f>K218*L218</f>
        <v>0</v>
      </c>
      <c r="P218" s="810">
        <f t="shared" ref="P218" si="59">I218*L218</f>
        <v>77780.366999999998</v>
      </c>
      <c r="Q218" s="16">
        <f>(I218+J218+K218)*L218</f>
        <v>77780.366999999998</v>
      </c>
      <c r="R218" s="74" t="s">
        <v>199</v>
      </c>
      <c r="S218" s="46" t="str">
        <f>IF($R218="RP",L218,"")</f>
        <v/>
      </c>
      <c r="T218" s="46" t="str">
        <f>IF($R218="RP",M218,"")</f>
        <v/>
      </c>
      <c r="U218" s="1" t="str">
        <f>IF($R218="RP",SUM(N218:O218),"")</f>
        <v/>
      </c>
      <c r="V218" s="46">
        <f>IF($R218="RK",L218,"")</f>
        <v>6.7</v>
      </c>
      <c r="W218" s="46">
        <f>IF($R218="RK",M218,"")</f>
        <v>643.20000000000005</v>
      </c>
      <c r="X218" s="78">
        <f>IF($R218="Rk",SUM(N218:O218),"")</f>
        <v>0</v>
      </c>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row>
    <row r="219" spans="1:249" ht="12.65" customHeight="1" x14ac:dyDescent="0.25">
      <c r="A219" s="1024" t="s">
        <v>804</v>
      </c>
      <c r="B219" s="1025"/>
      <c r="C219" s="1026"/>
      <c r="D219" s="822"/>
      <c r="E219" s="823"/>
      <c r="F219" s="823"/>
      <c r="G219" s="823"/>
      <c r="H219" s="823"/>
      <c r="I219" s="824"/>
      <c r="J219" s="825"/>
      <c r="K219" s="826"/>
      <c r="L219" s="827"/>
      <c r="M219" s="828"/>
      <c r="N219" s="829"/>
      <c r="O219" s="829"/>
      <c r="P219" s="830"/>
      <c r="Q219" s="20"/>
      <c r="R219" s="124"/>
      <c r="S219" s="46"/>
      <c r="T219" s="46"/>
      <c r="V219" s="46"/>
      <c r="W219" s="46"/>
      <c r="X219" s="78"/>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row>
    <row r="220" spans="1:249" ht="12.65" customHeight="1" x14ac:dyDescent="0.25">
      <c r="A220" s="1032"/>
      <c r="B220" s="863" t="s">
        <v>32</v>
      </c>
      <c r="C220" s="802"/>
      <c r="D220" s="803"/>
      <c r="E220" s="803"/>
      <c r="F220" s="803"/>
      <c r="G220" s="803"/>
      <c r="H220" s="803"/>
      <c r="I220" s="804"/>
      <c r="J220" s="805"/>
      <c r="K220" s="923"/>
      <c r="L220" s="943"/>
      <c r="M220" s="808"/>
      <c r="N220" s="809"/>
      <c r="O220" s="809"/>
      <c r="P220" s="810"/>
      <c r="Q220" s="145"/>
      <c r="R220" s="75"/>
      <c r="S220" s="60"/>
      <c r="T220" s="60"/>
      <c r="U220" s="24"/>
      <c r="V220" s="60"/>
      <c r="W220" s="60"/>
      <c r="X220" s="79"/>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row>
    <row r="221" spans="1:249" ht="12.65" customHeight="1" x14ac:dyDescent="0.25">
      <c r="A221" s="862"/>
      <c r="B221" s="863" t="s">
        <v>185</v>
      </c>
      <c r="C221" s="802"/>
      <c r="D221" s="803"/>
      <c r="E221" s="803"/>
      <c r="F221" s="803"/>
      <c r="G221" s="803"/>
      <c r="H221" s="803"/>
      <c r="I221" s="804"/>
      <c r="J221" s="805"/>
      <c r="K221" s="923"/>
      <c r="L221" s="943"/>
      <c r="M221" s="808"/>
      <c r="N221" s="809"/>
      <c r="O221" s="809"/>
      <c r="P221" s="810"/>
      <c r="Q221" s="15"/>
      <c r="R221" s="74"/>
      <c r="S221" s="46"/>
      <c r="T221" s="46"/>
      <c r="V221" s="46"/>
      <c r="W221" s="46"/>
      <c r="X221" s="78"/>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row>
    <row r="222" spans="1:249" ht="12.65" customHeight="1" x14ac:dyDescent="0.25">
      <c r="A222" s="862"/>
      <c r="B222" s="863" t="s">
        <v>103</v>
      </c>
      <c r="C222" s="802"/>
      <c r="D222" s="803"/>
      <c r="E222" s="803"/>
      <c r="F222" s="803"/>
      <c r="G222" s="803"/>
      <c r="H222" s="803"/>
      <c r="I222" s="804"/>
      <c r="J222" s="805"/>
      <c r="K222" s="923"/>
      <c r="L222" s="943"/>
      <c r="M222" s="808"/>
      <c r="N222" s="809"/>
      <c r="O222" s="809"/>
      <c r="P222" s="810"/>
      <c r="Q222" s="15"/>
      <c r="R222" s="74"/>
      <c r="S222" s="46"/>
      <c r="T222" s="46"/>
      <c r="V222" s="46"/>
      <c r="W222" s="46"/>
      <c r="X222" s="78"/>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row>
    <row r="223" spans="1:249" ht="12.65" customHeight="1" x14ac:dyDescent="0.25">
      <c r="A223" s="935"/>
      <c r="B223" s="936" t="s">
        <v>18</v>
      </c>
      <c r="C223" s="937">
        <v>0</v>
      </c>
      <c r="D223" s="929">
        <v>2</v>
      </c>
      <c r="E223" s="929">
        <v>16</v>
      </c>
      <c r="F223" s="929">
        <v>0.5</v>
      </c>
      <c r="G223" s="929">
        <v>0</v>
      </c>
      <c r="H223" s="929">
        <f>SUM(C223:G223)</f>
        <v>18.5</v>
      </c>
      <c r="I223" s="930">
        <f>((C223*$C$5)+(D223*$D$5)+(E223*$E$5)+(F223*$F$5)+(G223*$G$5))</f>
        <v>2329.5405000000001</v>
      </c>
      <c r="J223" s="931">
        <v>0</v>
      </c>
      <c r="K223" s="932">
        <v>0</v>
      </c>
      <c r="L223" s="933">
        <f>M10*2</f>
        <v>114</v>
      </c>
      <c r="M223" s="934">
        <f>(C223+D223+E223+F223+G223)*L223</f>
        <v>2109</v>
      </c>
      <c r="N223" s="991">
        <f>J223*L223</f>
        <v>0</v>
      </c>
      <c r="O223" s="992">
        <f>K223*L223</f>
        <v>0</v>
      </c>
      <c r="P223" s="839">
        <f t="shared" ref="P223" si="60">I223*L223</f>
        <v>265567.61700000003</v>
      </c>
      <c r="Q223" s="13">
        <f>(I223+J223+K223)*L223</f>
        <v>265567.61700000003</v>
      </c>
      <c r="R223" s="76" t="s">
        <v>199</v>
      </c>
      <c r="S223" s="62" t="str">
        <f>IF($R223="RP",L223,"")</f>
        <v/>
      </c>
      <c r="T223" s="62" t="str">
        <f>IF($R223="RP",M223,"")</f>
        <v/>
      </c>
      <c r="U223" s="63" t="str">
        <f>IF($R223="RP",SUM(N223:O223),"")</f>
        <v/>
      </c>
      <c r="V223" s="62">
        <f>IF($R223="RK",L223,"")</f>
        <v>114</v>
      </c>
      <c r="W223" s="62">
        <f>IF($R223="RK",M223,"")</f>
        <v>2109</v>
      </c>
      <c r="X223" s="80">
        <f>IF($R223="Rk",SUM(N223:O223),"")</f>
        <v>0</v>
      </c>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row>
    <row r="224" spans="1:249" ht="12.65" customHeight="1" x14ac:dyDescent="0.25">
      <c r="A224" s="761"/>
      <c r="B224" s="863" t="s">
        <v>36</v>
      </c>
      <c r="C224" s="802"/>
      <c r="D224" s="803"/>
      <c r="E224" s="803"/>
      <c r="F224" s="803"/>
      <c r="G224" s="803"/>
      <c r="H224" s="803"/>
      <c r="I224" s="804"/>
      <c r="J224" s="805"/>
      <c r="K224" s="923"/>
      <c r="L224" s="943"/>
      <c r="M224" s="916"/>
      <c r="N224" s="809"/>
      <c r="O224" s="809"/>
      <c r="P224" s="810"/>
      <c r="Q224" s="15"/>
      <c r="R224" s="75"/>
      <c r="S224" s="60"/>
      <c r="T224" s="60"/>
      <c r="U224" s="22"/>
      <c r="V224" s="66"/>
      <c r="W224" s="60"/>
      <c r="X224" s="79"/>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row>
    <row r="225" spans="1:253" ht="12.65" customHeight="1" x14ac:dyDescent="0.25">
      <c r="A225" s="862"/>
      <c r="B225" s="863" t="s">
        <v>37</v>
      </c>
      <c r="C225" s="802"/>
      <c r="D225" s="803"/>
      <c r="E225" s="803"/>
      <c r="F225" s="803"/>
      <c r="G225" s="803"/>
      <c r="H225" s="803"/>
      <c r="I225" s="804"/>
      <c r="J225" s="805"/>
      <c r="K225" s="923"/>
      <c r="L225" s="943"/>
      <c r="M225" s="916"/>
      <c r="N225" s="809"/>
      <c r="O225" s="809"/>
      <c r="P225" s="810"/>
      <c r="Q225" s="15"/>
      <c r="R225" s="74"/>
      <c r="S225" s="46"/>
      <c r="T225" s="46"/>
      <c r="U225" s="2"/>
      <c r="V225" s="67"/>
      <c r="W225" s="46"/>
      <c r="X225" s="78"/>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row>
    <row r="226" spans="1:253" s="2" customFormat="1" ht="12.65" customHeight="1" x14ac:dyDescent="0.25">
      <c r="A226" s="935"/>
      <c r="B226" s="936" t="s">
        <v>38</v>
      </c>
      <c r="C226" s="937">
        <v>0</v>
      </c>
      <c r="D226" s="929">
        <v>0</v>
      </c>
      <c r="E226" s="929">
        <v>1.5</v>
      </c>
      <c r="F226" s="929">
        <v>0</v>
      </c>
      <c r="G226" s="929">
        <v>0</v>
      </c>
      <c r="H226" s="929">
        <f>SUM(C226:G226)</f>
        <v>1.5</v>
      </c>
      <c r="I226" s="930">
        <f>((C226*$C$5)+(D226*$D$5)+(E226*$E$5)+(F226*$F$5)+(G226*$G$5))</f>
        <v>185.91300000000001</v>
      </c>
      <c r="J226" s="931">
        <v>0</v>
      </c>
      <c r="K226" s="932">
        <v>0</v>
      </c>
      <c r="L226" s="933">
        <f>0.5*M10</f>
        <v>28.5</v>
      </c>
      <c r="M226" s="934">
        <f>(C226+D226+E226+F226+G226)*L226</f>
        <v>42.75</v>
      </c>
      <c r="N226" s="991">
        <f>J226*L226</f>
        <v>0</v>
      </c>
      <c r="O226" s="992">
        <f>K226*L226</f>
        <v>0</v>
      </c>
      <c r="P226" s="839">
        <f t="shared" ref="P226" si="61">I226*L226</f>
        <v>5298.5205000000005</v>
      </c>
      <c r="Q226" s="13">
        <f>(I226+J226+K226)*L226</f>
        <v>5298.5205000000005</v>
      </c>
      <c r="R226" s="76" t="s">
        <v>199</v>
      </c>
      <c r="S226" s="62" t="str">
        <f>IF($R226="RP",L226,"")</f>
        <v/>
      </c>
      <c r="T226" s="62" t="str">
        <f>IF($R226="RP",M226,"")</f>
        <v/>
      </c>
      <c r="U226" s="63" t="str">
        <f>IF($R226="RP",SUM(N226:O226),"")</f>
        <v/>
      </c>
      <c r="V226" s="62">
        <f>IF($R226="RK",L226,"")</f>
        <v>28.5</v>
      </c>
      <c r="W226" s="62">
        <f>IF($R226="RK",M226,"")</f>
        <v>42.75</v>
      </c>
      <c r="X226" s="80">
        <f>IF($R226="Rk",SUM(N226:O226),"")</f>
        <v>0</v>
      </c>
      <c r="Y226" s="1"/>
      <c r="Z226" s="1"/>
      <c r="AA226" s="1"/>
      <c r="AB226" s="1"/>
      <c r="AC226" s="1"/>
      <c r="AD226" s="1"/>
      <c r="IP226" s="1"/>
      <c r="IQ226" s="1"/>
      <c r="IR226" s="1"/>
      <c r="IS226" s="1"/>
    </row>
    <row r="227" spans="1:253" s="2" customFormat="1" ht="12.65" customHeight="1" x14ac:dyDescent="0.25">
      <c r="A227" s="862"/>
      <c r="B227" s="863" t="s">
        <v>39</v>
      </c>
      <c r="C227" s="802"/>
      <c r="D227" s="803"/>
      <c r="E227" s="803"/>
      <c r="F227" s="803"/>
      <c r="G227" s="803"/>
      <c r="H227" s="803"/>
      <c r="I227" s="804"/>
      <c r="J227" s="805"/>
      <c r="K227" s="923"/>
      <c r="L227" s="807"/>
      <c r="M227" s="916"/>
      <c r="N227" s="809"/>
      <c r="O227" s="809"/>
      <c r="P227" s="810"/>
      <c r="Q227" s="15"/>
      <c r="R227" s="75"/>
      <c r="S227" s="60"/>
      <c r="T227" s="60"/>
      <c r="U227" s="22"/>
      <c r="V227" s="66"/>
      <c r="W227" s="60"/>
      <c r="X227" s="79"/>
      <c r="Y227" s="1"/>
      <c r="Z227" s="1"/>
      <c r="AA227" s="1"/>
      <c r="AB227" s="1"/>
      <c r="AC227" s="1"/>
      <c r="AD227" s="1"/>
      <c r="IP227" s="1"/>
      <c r="IQ227" s="1"/>
      <c r="IR227" s="1"/>
      <c r="IS227" s="1"/>
    </row>
    <row r="228" spans="1:253" s="2" customFormat="1" ht="12.65" customHeight="1" x14ac:dyDescent="0.25">
      <c r="A228" s="761"/>
      <c r="B228" s="863" t="s">
        <v>40</v>
      </c>
      <c r="C228" s="937">
        <v>0</v>
      </c>
      <c r="D228" s="929">
        <v>0</v>
      </c>
      <c r="E228" s="929">
        <v>0.5</v>
      </c>
      <c r="F228" s="929">
        <v>0</v>
      </c>
      <c r="G228" s="929">
        <v>0</v>
      </c>
      <c r="H228" s="929">
        <f>SUM(C228:G228)</f>
        <v>0.5</v>
      </c>
      <c r="I228" s="930">
        <f>((C228*$C$5)+(D228*$D$5)+(E228*$E$5)+(F228*$F$5)+(G228*$G$5))</f>
        <v>61.971000000000004</v>
      </c>
      <c r="J228" s="931">
        <v>0</v>
      </c>
      <c r="K228" s="932">
        <v>0</v>
      </c>
      <c r="L228" s="933">
        <f>0.5*M10</f>
        <v>28.5</v>
      </c>
      <c r="M228" s="934">
        <f>(C228+D228+E228+F228+G228)*L228</f>
        <v>14.25</v>
      </c>
      <c r="N228" s="991">
        <f>J228*L228</f>
        <v>0</v>
      </c>
      <c r="O228" s="992">
        <f>K228*L228</f>
        <v>0</v>
      </c>
      <c r="P228" s="839">
        <f t="shared" ref="P228" si="62">I228*L228</f>
        <v>1766.1735000000001</v>
      </c>
      <c r="Q228" s="13">
        <f>(I228+J228+K228)*L228</f>
        <v>1766.1735000000001</v>
      </c>
      <c r="R228" s="76" t="s">
        <v>199</v>
      </c>
      <c r="S228" s="62" t="str">
        <f>IF($R228="RP",L228,"")</f>
        <v/>
      </c>
      <c r="T228" s="62" t="str">
        <f>IF($R228="RP",M228,"")</f>
        <v/>
      </c>
      <c r="U228" s="63" t="str">
        <f>IF($R228="RP",SUM(N228:O228),"")</f>
        <v/>
      </c>
      <c r="V228" s="62">
        <f>IF($R228="RK",L228,"")</f>
        <v>28.5</v>
      </c>
      <c r="W228" s="62">
        <f>IF($R228="RK",M228,"")</f>
        <v>14.25</v>
      </c>
      <c r="X228" s="80">
        <f>IF($R228="Rk",SUM(N228:O228),"")</f>
        <v>0</v>
      </c>
      <c r="Y228" s="1"/>
      <c r="Z228" s="1"/>
      <c r="AA228" s="1"/>
      <c r="AB228" s="1"/>
      <c r="AC228" s="1"/>
      <c r="AD228" s="1"/>
      <c r="IP228" s="1"/>
      <c r="IQ228" s="1"/>
      <c r="IR228" s="1"/>
      <c r="IS228" s="1"/>
    </row>
    <row r="229" spans="1:253" s="2" customFormat="1" ht="12.65" customHeight="1" x14ac:dyDescent="0.25">
      <c r="A229" s="1032"/>
      <c r="B229" s="1240" t="s">
        <v>665</v>
      </c>
      <c r="C229" s="802"/>
      <c r="D229" s="803"/>
      <c r="E229" s="803"/>
      <c r="F229" s="803"/>
      <c r="G229" s="803"/>
      <c r="H229" s="803"/>
      <c r="I229" s="804"/>
      <c r="J229" s="805"/>
      <c r="K229" s="923"/>
      <c r="L229" s="807"/>
      <c r="M229" s="916"/>
      <c r="N229" s="809"/>
      <c r="O229" s="809"/>
      <c r="P229" s="810"/>
      <c r="Q229" s="15"/>
      <c r="R229" s="75"/>
      <c r="S229" s="60"/>
      <c r="T229" s="60"/>
      <c r="U229" s="22"/>
      <c r="V229" s="66"/>
      <c r="W229" s="60"/>
      <c r="X229" s="79"/>
      <c r="Y229" s="1"/>
      <c r="Z229" s="1"/>
      <c r="AA229" s="1"/>
      <c r="AB229" s="1"/>
      <c r="AC229" s="1"/>
      <c r="AD229" s="1"/>
      <c r="IP229" s="1"/>
      <c r="IQ229" s="1"/>
      <c r="IR229" s="1"/>
      <c r="IS229" s="1"/>
    </row>
    <row r="230" spans="1:253" s="2" customFormat="1" ht="12.65" customHeight="1" x14ac:dyDescent="0.25">
      <c r="A230" s="761"/>
      <c r="B230" s="863" t="s">
        <v>41</v>
      </c>
      <c r="C230" s="802">
        <v>0</v>
      </c>
      <c r="D230" s="803">
        <v>0</v>
      </c>
      <c r="E230" s="803">
        <v>1.5</v>
      </c>
      <c r="F230" s="803">
        <v>0</v>
      </c>
      <c r="G230" s="803">
        <v>0</v>
      </c>
      <c r="H230" s="929">
        <f>SUM(C230:G230)</f>
        <v>1.5</v>
      </c>
      <c r="I230" s="930">
        <f>((C230*$C$5)+(D230*$D$5)+(E230*$E$5)+(F230*$F$5)+(G230*$G$5))</f>
        <v>185.91300000000001</v>
      </c>
      <c r="J230" s="805">
        <v>0</v>
      </c>
      <c r="K230" s="923">
        <v>0</v>
      </c>
      <c r="L230" s="807">
        <f>0.5*M10</f>
        <v>28.5</v>
      </c>
      <c r="M230" s="934">
        <f>(C230+D230+E230+F230+G230)*L230</f>
        <v>42.75</v>
      </c>
      <c r="N230" s="809">
        <f>J230*L230</f>
        <v>0</v>
      </c>
      <c r="O230" s="809">
        <f>K230*L230</f>
        <v>0</v>
      </c>
      <c r="P230" s="839">
        <f t="shared" ref="P230" si="63">I230*L230</f>
        <v>5298.5205000000005</v>
      </c>
      <c r="Q230" s="13">
        <f>(I230+J230+K230)*L230</f>
        <v>5298.5205000000005</v>
      </c>
      <c r="R230" s="76" t="s">
        <v>199</v>
      </c>
      <c r="S230" s="62" t="str">
        <f>IF($R230="RP",L230,"")</f>
        <v/>
      </c>
      <c r="T230" s="62" t="str">
        <f>IF($R230="RP",M230,"")</f>
        <v/>
      </c>
      <c r="U230" s="63" t="str">
        <f>IF($R230="RP",SUM(N230:O230),"")</f>
        <v/>
      </c>
      <c r="V230" s="62">
        <f>IF($R230="RK",L230,"")</f>
        <v>28.5</v>
      </c>
      <c r="W230" s="62">
        <f>IF($R230="RK",M230,"")</f>
        <v>42.75</v>
      </c>
      <c r="X230" s="80">
        <f>IF($R230="Rk",SUM(N230:O230),"")</f>
        <v>0</v>
      </c>
      <c r="Y230" s="1"/>
      <c r="Z230" s="1"/>
      <c r="AA230" s="1"/>
      <c r="AB230" s="1"/>
      <c r="AC230" s="1"/>
      <c r="AD230" s="1"/>
      <c r="IP230" s="1"/>
      <c r="IQ230" s="1"/>
      <c r="IR230" s="1"/>
      <c r="IS230" s="1"/>
    </row>
    <row r="231" spans="1:253" s="2" customFormat="1" ht="12.65" customHeight="1" x14ac:dyDescent="0.25">
      <c r="A231" s="1032"/>
      <c r="B231" s="1240" t="s">
        <v>154</v>
      </c>
      <c r="C231" s="1238"/>
      <c r="D231" s="1088"/>
      <c r="E231" s="1088"/>
      <c r="F231" s="1088"/>
      <c r="G231" s="1088"/>
      <c r="H231" s="1088"/>
      <c r="I231" s="1241"/>
      <c r="J231" s="1242"/>
      <c r="K231" s="1243"/>
      <c r="L231" s="1244"/>
      <c r="M231" s="1245"/>
      <c r="N231" s="938"/>
      <c r="O231" s="938"/>
      <c r="P231" s="849"/>
      <c r="Q231" s="145"/>
      <c r="R231" s="124"/>
      <c r="S231" s="46"/>
      <c r="T231" s="46"/>
      <c r="V231" s="67"/>
      <c r="W231" s="46"/>
      <c r="X231" s="78"/>
      <c r="Y231" s="1"/>
      <c r="Z231" s="1"/>
      <c r="AA231" s="1"/>
      <c r="AB231" s="1"/>
      <c r="AC231" s="1"/>
      <c r="AD231" s="1"/>
      <c r="IP231" s="1"/>
      <c r="IQ231" s="1"/>
      <c r="IR231" s="1"/>
      <c r="IS231" s="1"/>
    </row>
    <row r="232" spans="1:253" s="2" customFormat="1" ht="12.65" customHeight="1" x14ac:dyDescent="0.25">
      <c r="A232" s="880"/>
      <c r="B232" s="1246" t="s">
        <v>155</v>
      </c>
      <c r="C232" s="922">
        <v>0</v>
      </c>
      <c r="D232" s="803">
        <v>0.5</v>
      </c>
      <c r="E232" s="803">
        <v>6</v>
      </c>
      <c r="F232" s="803">
        <v>1</v>
      </c>
      <c r="G232" s="803">
        <v>0</v>
      </c>
      <c r="H232" s="803">
        <f>SUM(C232:G232)</f>
        <v>7.5</v>
      </c>
      <c r="I232" s="804">
        <f>((C232*$C$5)+(D232*$D$5)+(E232*$E$5)+(F232*$F$5)+(G232*$G$5))</f>
        <v>884.97150000000011</v>
      </c>
      <c r="J232" s="805">
        <v>0</v>
      </c>
      <c r="K232" s="923">
        <v>0</v>
      </c>
      <c r="L232" s="807">
        <f>L223</f>
        <v>114</v>
      </c>
      <c r="M232" s="916">
        <f>(C232+D232+E232+F232+G232)*L232</f>
        <v>855</v>
      </c>
      <c r="N232" s="809">
        <f>J232*L232</f>
        <v>0</v>
      </c>
      <c r="O232" s="809">
        <f>K232*L232</f>
        <v>0</v>
      </c>
      <c r="P232" s="810">
        <f t="shared" ref="P232" si="64">I232*L232</f>
        <v>100886.75100000002</v>
      </c>
      <c r="Q232" s="13">
        <f>(I232+J232+K232)*L232</f>
        <v>100886.75100000002</v>
      </c>
      <c r="R232" s="76" t="s">
        <v>199</v>
      </c>
      <c r="S232" s="62" t="str">
        <f>IF($R232="RP",L232,"")</f>
        <v/>
      </c>
      <c r="T232" s="62" t="str">
        <f>IF($R232="RP",M232,"")</f>
        <v/>
      </c>
      <c r="U232" s="63" t="str">
        <f>IF($R232="RP",SUM(N232:O232),"")</f>
        <v/>
      </c>
      <c r="V232" s="62">
        <f>IF($R232="RK",L232,"")</f>
        <v>114</v>
      </c>
      <c r="W232" s="62">
        <f>IF($R232="RK",M232,"")</f>
        <v>855</v>
      </c>
      <c r="X232" s="80">
        <f>IF($R232="Rk",SUM(N232:O232),"")</f>
        <v>0</v>
      </c>
      <c r="Y232" s="1"/>
      <c r="Z232" s="1"/>
      <c r="AA232" s="1"/>
      <c r="AB232" s="1"/>
      <c r="AC232" s="1"/>
      <c r="AD232" s="1"/>
      <c r="AE232" s="21"/>
      <c r="IP232" s="1"/>
      <c r="IQ232" s="1"/>
      <c r="IR232" s="1"/>
      <c r="IS232" s="1"/>
    </row>
    <row r="233" spans="1:253" s="2" customFormat="1" ht="12.65" customHeight="1" x14ac:dyDescent="0.25">
      <c r="A233" s="1029" t="s">
        <v>769</v>
      </c>
      <c r="B233" s="881"/>
      <c r="C233" s="1030"/>
      <c r="D233" s="822"/>
      <c r="E233" s="823"/>
      <c r="F233" s="823"/>
      <c r="G233" s="823"/>
      <c r="H233" s="823"/>
      <c r="I233" s="824"/>
      <c r="J233" s="825"/>
      <c r="K233" s="825"/>
      <c r="L233" s="827"/>
      <c r="M233" s="985"/>
      <c r="N233" s="919"/>
      <c r="O233" s="919"/>
      <c r="P233" s="920"/>
      <c r="Q233" s="13"/>
      <c r="R233" s="124"/>
      <c r="S233" s="46"/>
      <c r="T233" s="46"/>
      <c r="V233" s="67"/>
      <c r="W233" s="46"/>
      <c r="X233" s="78"/>
      <c r="Y233" s="1"/>
      <c r="Z233" s="1"/>
      <c r="AA233" s="1"/>
      <c r="AB233" s="1"/>
      <c r="AC233" s="1"/>
      <c r="AD233" s="1"/>
      <c r="AF233" s="21"/>
      <c r="IP233" s="1"/>
      <c r="IQ233" s="1"/>
      <c r="IR233" s="1"/>
      <c r="IS233" s="1"/>
    </row>
    <row r="234" spans="1:253" s="2" customFormat="1" ht="12.65" customHeight="1" x14ac:dyDescent="0.25">
      <c r="A234" s="761"/>
      <c r="B234" s="863" t="s">
        <v>42</v>
      </c>
      <c r="C234" s="802"/>
      <c r="D234" s="803"/>
      <c r="E234" s="803"/>
      <c r="F234" s="803"/>
      <c r="G234" s="803"/>
      <c r="H234" s="803"/>
      <c r="I234" s="804"/>
      <c r="J234" s="805"/>
      <c r="K234" s="923"/>
      <c r="L234" s="943"/>
      <c r="M234" s="808"/>
      <c r="N234" s="809"/>
      <c r="O234" s="809"/>
      <c r="P234" s="810"/>
      <c r="Q234" s="15"/>
      <c r="R234" s="75"/>
      <c r="S234" s="60"/>
      <c r="T234" s="60"/>
      <c r="U234" s="22"/>
      <c r="V234" s="66"/>
      <c r="W234" s="60"/>
      <c r="X234" s="79"/>
      <c r="Y234" s="1"/>
      <c r="Z234" s="1"/>
      <c r="AA234" s="1"/>
      <c r="AB234" s="1"/>
      <c r="AC234" s="1"/>
      <c r="AD234" s="1"/>
      <c r="IP234" s="1"/>
      <c r="IQ234" s="1"/>
      <c r="IR234" s="1"/>
      <c r="IS234" s="1"/>
    </row>
    <row r="235" spans="1:253" s="2" customFormat="1" ht="12.65" customHeight="1" x14ac:dyDescent="0.25">
      <c r="A235" s="880"/>
      <c r="B235" s="881" t="s">
        <v>18</v>
      </c>
      <c r="C235" s="922">
        <v>0</v>
      </c>
      <c r="D235" s="833">
        <v>2</v>
      </c>
      <c r="E235" s="833">
        <v>20</v>
      </c>
      <c r="F235" s="833">
        <v>1</v>
      </c>
      <c r="G235" s="833">
        <v>0</v>
      </c>
      <c r="H235" s="833">
        <f>SUM(C235:G235)</f>
        <v>23</v>
      </c>
      <c r="I235" s="930">
        <f>((C235*$C$5)+(D235*$D$5)+(E235*$E$5)+(F235*$F$5)+(G235*$G$5))</f>
        <v>2856.567</v>
      </c>
      <c r="J235" s="835">
        <v>0</v>
      </c>
      <c r="K235" s="806">
        <v>0</v>
      </c>
      <c r="L235" s="1247">
        <f>0.5*M2</f>
        <v>11.166666666666666</v>
      </c>
      <c r="M235" s="990">
        <f>(C235+D235+E235+F235+G235)*L235</f>
        <v>256.83333333333331</v>
      </c>
      <c r="N235" s="991">
        <f>J235*L235</f>
        <v>0</v>
      </c>
      <c r="O235" s="992">
        <f>K235*L235</f>
        <v>0</v>
      </c>
      <c r="P235" s="839">
        <f t="shared" ref="P235" si="65">I235*L235</f>
        <v>31898.331499999997</v>
      </c>
      <c r="Q235" s="13">
        <f>(I235+J235+K235)*L235</f>
        <v>31898.331499999997</v>
      </c>
      <c r="R235" s="76" t="s">
        <v>199</v>
      </c>
      <c r="S235" s="62" t="str">
        <f>IF($R235="RP",L235,"")</f>
        <v/>
      </c>
      <c r="T235" s="62" t="str">
        <f>IF($R235="RP",M235,"")</f>
        <v/>
      </c>
      <c r="U235" s="63" t="str">
        <f>IF($R235="RP",SUM(N235:O235),"")</f>
        <v/>
      </c>
      <c r="V235" s="62">
        <f>IF($R235="RK",L235,"")</f>
        <v>11.166666666666666</v>
      </c>
      <c r="W235" s="62">
        <f>IF($R235="RK",M235,"")</f>
        <v>256.83333333333331</v>
      </c>
      <c r="X235" s="80">
        <f>IF($R235="Rk",SUM(N235:O235),"")</f>
        <v>0</v>
      </c>
      <c r="Y235" s="1"/>
      <c r="Z235" s="1"/>
      <c r="AA235" s="1"/>
      <c r="AB235" s="1"/>
      <c r="AC235" s="1"/>
      <c r="AD235" s="1"/>
      <c r="IP235" s="1"/>
      <c r="IQ235" s="1"/>
      <c r="IR235" s="1"/>
      <c r="IS235" s="1"/>
    </row>
    <row r="236" spans="1:253" s="2" customFormat="1" ht="12.65" customHeight="1" x14ac:dyDescent="0.25">
      <c r="A236" s="996"/>
      <c r="B236" s="863" t="s">
        <v>43</v>
      </c>
      <c r="C236" s="802"/>
      <c r="D236" s="803"/>
      <c r="E236" s="803"/>
      <c r="F236" s="803"/>
      <c r="G236" s="803"/>
      <c r="H236" s="803"/>
      <c r="I236" s="804"/>
      <c r="J236" s="805"/>
      <c r="K236" s="923"/>
      <c r="L236" s="943"/>
      <c r="M236" s="808"/>
      <c r="N236" s="809"/>
      <c r="O236" s="809"/>
      <c r="P236" s="810"/>
      <c r="Q236" s="15"/>
      <c r="R236" s="124"/>
      <c r="S236" s="46"/>
      <c r="T236" s="46"/>
      <c r="V236" s="67"/>
      <c r="W236" s="46"/>
      <c r="X236" s="78"/>
      <c r="Y236" s="1"/>
      <c r="Z236" s="1"/>
      <c r="AA236" s="1"/>
      <c r="AB236" s="1"/>
      <c r="AC236" s="1"/>
      <c r="AD236" s="1"/>
      <c r="IP236" s="1"/>
      <c r="IQ236" s="1"/>
      <c r="IR236" s="1"/>
      <c r="IS236" s="1"/>
    </row>
    <row r="237" spans="1:253" s="2" customFormat="1" ht="12.65" customHeight="1" x14ac:dyDescent="0.25">
      <c r="A237" s="761"/>
      <c r="B237" s="863" t="s">
        <v>44</v>
      </c>
      <c r="C237" s="802"/>
      <c r="D237" s="803"/>
      <c r="E237" s="803"/>
      <c r="F237" s="803"/>
      <c r="G237" s="803"/>
      <c r="H237" s="803"/>
      <c r="I237" s="804"/>
      <c r="J237" s="805"/>
      <c r="K237" s="923"/>
      <c r="L237" s="943"/>
      <c r="M237" s="808"/>
      <c r="N237" s="809"/>
      <c r="O237" s="809"/>
      <c r="P237" s="810"/>
      <c r="Q237" s="15"/>
      <c r="R237" s="124"/>
      <c r="S237" s="46"/>
      <c r="T237" s="46"/>
      <c r="V237" s="67"/>
      <c r="W237" s="46"/>
      <c r="X237" s="78"/>
      <c r="Y237" s="1"/>
      <c r="Z237" s="1"/>
      <c r="AA237" s="1"/>
      <c r="AB237" s="1"/>
      <c r="AC237" s="1"/>
      <c r="AD237" s="1"/>
      <c r="IP237" s="1"/>
      <c r="IQ237" s="1"/>
      <c r="IR237" s="1"/>
      <c r="IS237" s="1"/>
    </row>
    <row r="238" spans="1:253" s="2" customFormat="1" ht="12.65" customHeight="1" x14ac:dyDescent="0.25">
      <c r="A238" s="862"/>
      <c r="B238" s="863" t="s">
        <v>103</v>
      </c>
      <c r="C238" s="802"/>
      <c r="D238" s="803"/>
      <c r="E238" s="803"/>
      <c r="F238" s="803"/>
      <c r="G238" s="803"/>
      <c r="H238" s="803"/>
      <c r="I238" s="804"/>
      <c r="J238" s="805"/>
      <c r="K238" s="923"/>
      <c r="L238" s="943"/>
      <c r="M238" s="808"/>
      <c r="N238" s="809"/>
      <c r="O238" s="809"/>
      <c r="P238" s="810"/>
      <c r="Q238" s="15"/>
      <c r="R238" s="124"/>
      <c r="S238" s="46"/>
      <c r="T238" s="46"/>
      <c r="V238" s="67"/>
      <c r="W238" s="46"/>
      <c r="X238" s="78"/>
      <c r="Y238" s="1"/>
      <c r="Z238" s="1"/>
      <c r="AA238" s="1"/>
      <c r="AB238" s="1"/>
      <c r="AC238" s="1"/>
      <c r="AD238" s="1"/>
      <c r="IP238" s="1"/>
      <c r="IQ238" s="1"/>
      <c r="IR238" s="1"/>
      <c r="IS238" s="1"/>
    </row>
    <row r="239" spans="1:253" s="2" customFormat="1" ht="12.65" customHeight="1" x14ac:dyDescent="0.25">
      <c r="A239" s="935"/>
      <c r="B239" s="936" t="s">
        <v>666</v>
      </c>
      <c r="C239" s="937">
        <v>0</v>
      </c>
      <c r="D239" s="803">
        <v>2</v>
      </c>
      <c r="E239" s="803">
        <v>16</v>
      </c>
      <c r="F239" s="803">
        <v>0.5</v>
      </c>
      <c r="G239" s="803">
        <v>0</v>
      </c>
      <c r="H239" s="803">
        <f>SUM(C239:G239)</f>
        <v>18.5</v>
      </c>
      <c r="I239" s="804">
        <f>((C239*$C$5)+(D239*$D$5)+(E239*$E$5)+(F239*$F$5)+(G239*$G$5))</f>
        <v>2329.5405000000001</v>
      </c>
      <c r="J239" s="805">
        <v>0</v>
      </c>
      <c r="K239" s="923">
        <v>0</v>
      </c>
      <c r="L239" s="807">
        <f>3*L235</f>
        <v>33.5</v>
      </c>
      <c r="M239" s="808">
        <f>(C239+D239+E239+F239+G239)*L239</f>
        <v>619.75</v>
      </c>
      <c r="N239" s="809">
        <f>J239*L239</f>
        <v>0</v>
      </c>
      <c r="O239" s="809">
        <f>K239*L239</f>
        <v>0</v>
      </c>
      <c r="P239" s="810">
        <f t="shared" ref="P239" si="66">I239*L239</f>
        <v>78039.606750000006</v>
      </c>
      <c r="Q239" s="13">
        <f>(I239+J239+K239)*L239</f>
        <v>78039.606750000006</v>
      </c>
      <c r="R239" s="76" t="s">
        <v>199</v>
      </c>
      <c r="S239" s="62" t="str">
        <f>IF($R239="RP",L239,"")</f>
        <v/>
      </c>
      <c r="T239" s="62" t="str">
        <f>IF($R239="RP",M239,"")</f>
        <v/>
      </c>
      <c r="U239" s="63" t="str">
        <f>IF($R239="RP",SUM(N239:O239),"")</f>
        <v/>
      </c>
      <c r="V239" s="62">
        <f>IF($R239="RK",L239,"")</f>
        <v>33.5</v>
      </c>
      <c r="W239" s="62">
        <f>IF($R239="RK",M239,"")</f>
        <v>619.75</v>
      </c>
      <c r="X239" s="80">
        <f>IF($R239="Rk",SUM(N239:O239),"")</f>
        <v>0</v>
      </c>
      <c r="Y239" s="1"/>
      <c r="Z239" s="1"/>
      <c r="AA239" s="1"/>
      <c r="AB239" s="1"/>
      <c r="AC239" s="1"/>
      <c r="AD239" s="1"/>
      <c r="IP239" s="1"/>
      <c r="IQ239" s="1"/>
      <c r="IR239" s="1"/>
      <c r="IS239" s="1"/>
    </row>
    <row r="240" spans="1:253" s="2" customFormat="1" ht="12.65" customHeight="1" x14ac:dyDescent="0.25">
      <c r="A240" s="1024" t="s">
        <v>770</v>
      </c>
      <c r="B240" s="1025"/>
      <c r="C240" s="1026"/>
      <c r="D240" s="822"/>
      <c r="E240" s="823"/>
      <c r="F240" s="823"/>
      <c r="G240" s="823"/>
      <c r="H240" s="823"/>
      <c r="I240" s="824"/>
      <c r="J240" s="825"/>
      <c r="K240" s="826"/>
      <c r="L240" s="827"/>
      <c r="M240" s="828"/>
      <c r="N240" s="829"/>
      <c r="O240" s="829"/>
      <c r="P240" s="830"/>
      <c r="Q240" s="19"/>
      <c r="R240" s="126"/>
      <c r="S240" s="64"/>
      <c r="T240" s="64"/>
      <c r="U240" s="18"/>
      <c r="V240" s="71"/>
      <c r="W240" s="64"/>
      <c r="X240" s="81"/>
      <c r="Y240" s="1"/>
      <c r="Z240" s="1"/>
      <c r="AA240" s="1"/>
      <c r="AB240" s="1"/>
      <c r="AC240" s="1"/>
      <c r="AD240" s="1"/>
      <c r="IP240" s="1"/>
      <c r="IQ240" s="1"/>
      <c r="IR240" s="1"/>
      <c r="IS240" s="1"/>
    </row>
    <row r="241" spans="1:253" s="2" customFormat="1" ht="12.65" customHeight="1" x14ac:dyDescent="0.25">
      <c r="A241" s="1032"/>
      <c r="B241" s="1240" t="s">
        <v>95</v>
      </c>
      <c r="C241" s="802"/>
      <c r="D241" s="803"/>
      <c r="E241" s="803"/>
      <c r="F241" s="803"/>
      <c r="G241" s="803"/>
      <c r="H241" s="803"/>
      <c r="I241" s="804"/>
      <c r="J241" s="805"/>
      <c r="K241" s="923"/>
      <c r="L241" s="943"/>
      <c r="M241" s="808"/>
      <c r="N241" s="809"/>
      <c r="O241" s="809"/>
      <c r="P241" s="810"/>
      <c r="Q241" s="15"/>
      <c r="R241" s="124"/>
      <c r="S241" s="46"/>
      <c r="T241" s="46"/>
      <c r="V241" s="67"/>
      <c r="W241" s="46"/>
      <c r="X241" s="78"/>
      <c r="Y241" s="1"/>
      <c r="Z241" s="1"/>
      <c r="AA241" s="1"/>
      <c r="AB241" s="1"/>
      <c r="AC241" s="1"/>
      <c r="AD241" s="1"/>
      <c r="IP241" s="1"/>
      <c r="IQ241" s="1"/>
      <c r="IR241" s="1"/>
      <c r="IS241" s="1"/>
    </row>
    <row r="242" spans="1:253" s="2" customFormat="1" ht="12.65" customHeight="1" x14ac:dyDescent="0.25">
      <c r="A242" s="880"/>
      <c r="B242" s="944" t="s">
        <v>94</v>
      </c>
      <c r="C242" s="922">
        <v>0</v>
      </c>
      <c r="D242" s="803">
        <v>0</v>
      </c>
      <c r="E242" s="803">
        <v>0.25</v>
      </c>
      <c r="F242" s="803">
        <v>0</v>
      </c>
      <c r="G242" s="803">
        <v>0</v>
      </c>
      <c r="H242" s="803">
        <f>SUM(C242:G242)</f>
        <v>0.25</v>
      </c>
      <c r="I242" s="804">
        <f>((C242*$C$5)+(D242*$D$5)+(E242*$E$5)+(F242*$F$5)+(G242*$G$5))</f>
        <v>30.985500000000002</v>
      </c>
      <c r="J242" s="805">
        <v>0</v>
      </c>
      <c r="K242" s="923">
        <v>0</v>
      </c>
      <c r="L242" s="807">
        <f>M10*0.5</f>
        <v>28.5</v>
      </c>
      <c r="M242" s="808">
        <f>(C242+D242+E242+F242+G242)*L242</f>
        <v>7.125</v>
      </c>
      <c r="N242" s="809">
        <f>J242*L242</f>
        <v>0</v>
      </c>
      <c r="O242" s="809">
        <f>K242*L242</f>
        <v>0</v>
      </c>
      <c r="P242" s="810">
        <f t="shared" ref="P242" si="67">I242*L242</f>
        <v>883.08675000000005</v>
      </c>
      <c r="Q242" s="13">
        <f>(I242+J242+K242)*L242</f>
        <v>883.08675000000005</v>
      </c>
      <c r="R242" s="76" t="s">
        <v>199</v>
      </c>
      <c r="S242" s="62" t="str">
        <f>IF($R242="RP",L242,"")</f>
        <v/>
      </c>
      <c r="T242" s="62" t="str">
        <f>IF($R242="RP",M242,"")</f>
        <v/>
      </c>
      <c r="U242" s="63" t="str">
        <f>IF($R242="RP",SUM(N242:O242),"")</f>
        <v/>
      </c>
      <c r="V242" s="62">
        <f>IF($R242="RK",L242,"")</f>
        <v>28.5</v>
      </c>
      <c r="W242" s="62">
        <f>IF($R242="RK",M242,"")</f>
        <v>7.125</v>
      </c>
      <c r="X242" s="80">
        <f>IF($R242="Rk",SUM(N242:O242),"")</f>
        <v>0</v>
      </c>
      <c r="Y242" s="1"/>
      <c r="Z242" s="1"/>
      <c r="AA242" s="1"/>
      <c r="AB242" s="1"/>
      <c r="AC242" s="1"/>
      <c r="AD242" s="1"/>
      <c r="IP242" s="1"/>
      <c r="IQ242" s="1"/>
      <c r="IR242" s="1"/>
      <c r="IS242" s="1"/>
    </row>
    <row r="243" spans="1:253" s="2" customFormat="1" ht="12.65" customHeight="1" x14ac:dyDescent="0.25">
      <c r="A243" s="1024" t="s">
        <v>805</v>
      </c>
      <c r="B243" s="1025"/>
      <c r="C243" s="1026"/>
      <c r="D243" s="822"/>
      <c r="E243" s="823"/>
      <c r="F243" s="823"/>
      <c r="G243" s="823"/>
      <c r="H243" s="823"/>
      <c r="I243" s="824"/>
      <c r="J243" s="825"/>
      <c r="K243" s="826"/>
      <c r="L243" s="827"/>
      <c r="M243" s="828"/>
      <c r="N243" s="829"/>
      <c r="O243" s="829"/>
      <c r="P243" s="830"/>
      <c r="Q243" s="72"/>
      <c r="R243" s="124"/>
      <c r="S243" s="46"/>
      <c r="T243" s="46"/>
      <c r="U243" s="23"/>
      <c r="V243" s="70"/>
      <c r="W243" s="46"/>
      <c r="X243" s="78"/>
      <c r="Y243" s="1"/>
      <c r="Z243" s="1"/>
      <c r="AA243" s="1"/>
      <c r="AB243" s="1"/>
      <c r="AC243" s="1"/>
      <c r="AD243" s="1"/>
      <c r="IP243" s="1"/>
      <c r="IQ243" s="1"/>
      <c r="IR243" s="1"/>
      <c r="IS243" s="1"/>
    </row>
    <row r="244" spans="1:253" s="2" customFormat="1" ht="12.65" customHeight="1" x14ac:dyDescent="0.25">
      <c r="A244" s="1032"/>
      <c r="B244" s="976" t="s">
        <v>99</v>
      </c>
      <c r="C244" s="802"/>
      <c r="D244" s="803"/>
      <c r="E244" s="803"/>
      <c r="F244" s="803"/>
      <c r="G244" s="803"/>
      <c r="H244" s="803"/>
      <c r="I244" s="804"/>
      <c r="J244" s="805"/>
      <c r="K244" s="923"/>
      <c r="L244" s="943"/>
      <c r="M244" s="808"/>
      <c r="N244" s="809"/>
      <c r="O244" s="809"/>
      <c r="P244" s="810"/>
      <c r="Q244" s="14"/>
      <c r="R244" s="133"/>
      <c r="S244" s="60"/>
      <c r="T244" s="60"/>
      <c r="U244" s="22"/>
      <c r="V244" s="66"/>
      <c r="W244" s="60"/>
      <c r="X244" s="79"/>
      <c r="Y244" s="1"/>
      <c r="Z244" s="1"/>
      <c r="AA244" s="1"/>
      <c r="AB244" s="1"/>
      <c r="AC244" s="1"/>
      <c r="AD244" s="1"/>
      <c r="IP244" s="1"/>
      <c r="IQ244" s="1"/>
      <c r="IR244" s="1"/>
      <c r="IS244" s="1"/>
    </row>
    <row r="245" spans="1:253" s="2" customFormat="1" ht="12.65" customHeight="1" x14ac:dyDescent="0.25">
      <c r="A245" s="862"/>
      <c r="B245" s="976" t="s">
        <v>156</v>
      </c>
      <c r="C245" s="802">
        <v>0</v>
      </c>
      <c r="D245" s="803">
        <v>5</v>
      </c>
      <c r="E245" s="803">
        <v>295</v>
      </c>
      <c r="F245" s="803">
        <v>10</v>
      </c>
      <c r="G245" s="1005">
        <v>0</v>
      </c>
      <c r="H245" s="929">
        <f>SUM(C245:G245)</f>
        <v>310</v>
      </c>
      <c r="I245" s="804">
        <f>((C245*$C$5)+(D245*$D$5)+(E245*$E$5)+(F245*$F$5)+(G245*$G$5))</f>
        <v>37976.084999999999</v>
      </c>
      <c r="J245" s="805">
        <v>0</v>
      </c>
      <c r="K245" s="923">
        <v>0</v>
      </c>
      <c r="L245" s="807">
        <f>$M$10*0.1+1</f>
        <v>6.7</v>
      </c>
      <c r="M245" s="934">
        <f>(C245+D245+E245+F245+G245)*L245</f>
        <v>2077</v>
      </c>
      <c r="N245" s="991">
        <f>J245*L245</f>
        <v>0</v>
      </c>
      <c r="O245" s="991">
        <f>K245*L245</f>
        <v>0</v>
      </c>
      <c r="P245" s="839">
        <f t="shared" ref="P245:P246" si="68">I245*L245</f>
        <v>254439.76949999999</v>
      </c>
      <c r="Q245" s="13">
        <f>(I245+J245+K245)*L245</f>
        <v>254439.76949999999</v>
      </c>
      <c r="R245" s="76" t="s">
        <v>199</v>
      </c>
      <c r="S245" s="62" t="str">
        <f>IF($R245="RP",L245,"")</f>
        <v/>
      </c>
      <c r="T245" s="62" t="str">
        <f>IF($R245="RP",M245,"")</f>
        <v/>
      </c>
      <c r="U245" s="63" t="str">
        <f>IF($R245="RP",SUM(N245:O245),"")</f>
        <v/>
      </c>
      <c r="V245" s="62">
        <f>IF($R245="RK",L245,"")</f>
        <v>6.7</v>
      </c>
      <c r="W245" s="62">
        <f>IF($R245="RK",M245,"")</f>
        <v>2077</v>
      </c>
      <c r="X245" s="80">
        <f>IF($R245="Rk",SUM(N245:O245),"")</f>
        <v>0</v>
      </c>
      <c r="Y245" s="1"/>
      <c r="Z245" s="1"/>
      <c r="AA245" s="1"/>
      <c r="AB245" s="1"/>
      <c r="AC245" s="1"/>
      <c r="AD245" s="1"/>
      <c r="AE245" s="1"/>
      <c r="IP245" s="1"/>
      <c r="IQ245" s="1"/>
      <c r="IR245" s="1"/>
      <c r="IS245" s="1"/>
    </row>
    <row r="246" spans="1:253" ht="12.65" customHeight="1" x14ac:dyDescent="0.25">
      <c r="A246" s="840"/>
      <c r="B246" s="1033" t="s">
        <v>663</v>
      </c>
      <c r="C246" s="842">
        <v>0</v>
      </c>
      <c r="D246" s="843">
        <f>10/2</f>
        <v>5</v>
      </c>
      <c r="E246" s="843">
        <f>80/2</f>
        <v>40</v>
      </c>
      <c r="F246" s="843">
        <v>0</v>
      </c>
      <c r="G246" s="1248">
        <v>0</v>
      </c>
      <c r="H246" s="803">
        <f>SUM(C246:G246)</f>
        <v>45</v>
      </c>
      <c r="I246" s="1241">
        <f>((C246*$C$5)+(D246*$D$5)+(E246*$E$5)+(F246*$F$5)+(G246*$G$5))</f>
        <v>5745.7049999999999</v>
      </c>
      <c r="J246" s="845">
        <v>0</v>
      </c>
      <c r="K246" s="846">
        <v>0</v>
      </c>
      <c r="L246" s="1249">
        <f>0.6*M10/3</f>
        <v>11.399999999999999</v>
      </c>
      <c r="M246" s="915">
        <f>(C246+D246+E246+F246+G246)*L246</f>
        <v>512.99999999999989</v>
      </c>
      <c r="N246" s="1035">
        <f>J246*L246</f>
        <v>0</v>
      </c>
      <c r="O246" s="1035">
        <f>K246*L246</f>
        <v>0</v>
      </c>
      <c r="P246" s="810">
        <f t="shared" si="68"/>
        <v>65501.036999999989</v>
      </c>
      <c r="Q246" s="84">
        <f>(I246+J246+K246)*L246</f>
        <v>65501.036999999989</v>
      </c>
      <c r="R246" s="104" t="s">
        <v>199</v>
      </c>
      <c r="S246" s="62" t="str">
        <f>IF($R246="RP",L246,"")</f>
        <v/>
      </c>
      <c r="T246" s="62" t="str">
        <f>IF($R246="RP",M246,"")</f>
        <v/>
      </c>
      <c r="U246" s="62" t="str">
        <f>IF($R246="RP",SUM(N246:O246),"")</f>
        <v/>
      </c>
      <c r="V246" s="62">
        <f>IF($R246="RK",L246,"")</f>
        <v>11.399999999999999</v>
      </c>
      <c r="W246" s="62">
        <f>IF($R246="RK",M246,"")</f>
        <v>512.99999999999989</v>
      </c>
      <c r="X246" s="80">
        <f>IF($R246="Rk",SUM(N246:O246),"")</f>
        <v>0</v>
      </c>
      <c r="AE246" s="2"/>
    </row>
    <row r="247" spans="1:253" s="2" customFormat="1" ht="12.65" customHeight="1" x14ac:dyDescent="0.25">
      <c r="A247" s="819" t="s">
        <v>755</v>
      </c>
      <c r="B247" s="820"/>
      <c r="C247" s="852"/>
      <c r="D247" s="853"/>
      <c r="E247" s="854"/>
      <c r="F247" s="854"/>
      <c r="G247" s="854"/>
      <c r="H247" s="854"/>
      <c r="I247" s="855"/>
      <c r="J247" s="856"/>
      <c r="K247" s="857"/>
      <c r="L247" s="858"/>
      <c r="M247" s="859"/>
      <c r="N247" s="860"/>
      <c r="O247" s="860"/>
      <c r="P247" s="1078"/>
      <c r="Q247" s="31"/>
      <c r="R247" s="124"/>
      <c r="S247" s="46"/>
      <c r="T247" s="46"/>
      <c r="V247" s="67"/>
      <c r="W247" s="46"/>
      <c r="X247" s="78"/>
      <c r="Y247" s="1"/>
      <c r="Z247" s="1"/>
      <c r="AA247" s="1"/>
      <c r="AB247" s="1"/>
      <c r="AC247" s="1"/>
      <c r="AD247" s="1"/>
      <c r="IP247" s="1"/>
      <c r="IQ247" s="1"/>
      <c r="IR247" s="1"/>
      <c r="IS247" s="1"/>
    </row>
    <row r="248" spans="1:253" s="2" customFormat="1" ht="12.65" customHeight="1" x14ac:dyDescent="0.25">
      <c r="A248" s="862"/>
      <c r="B248" s="1240" t="s">
        <v>64</v>
      </c>
      <c r="C248" s="890"/>
      <c r="D248" s="803"/>
      <c r="E248" s="803"/>
      <c r="F248" s="803"/>
      <c r="G248" s="803"/>
      <c r="H248" s="803"/>
      <c r="I248" s="804"/>
      <c r="J248" s="805"/>
      <c r="K248" s="923"/>
      <c r="L248" s="943"/>
      <c r="M248" s="1111"/>
      <c r="N248" s="1105"/>
      <c r="O248" s="1105"/>
      <c r="P248" s="1106"/>
      <c r="Q248" s="15"/>
      <c r="R248" s="124"/>
      <c r="S248" s="46"/>
      <c r="T248" s="46"/>
      <c r="V248" s="67"/>
      <c r="W248" s="46"/>
      <c r="X248" s="78"/>
      <c r="Y248" s="1"/>
      <c r="Z248" s="1"/>
      <c r="AA248" s="1"/>
      <c r="AB248" s="1"/>
      <c r="AC248" s="1"/>
      <c r="AD248" s="1"/>
      <c r="IP248" s="1"/>
      <c r="IQ248" s="1"/>
      <c r="IR248" s="1"/>
      <c r="IS248" s="1"/>
    </row>
    <row r="249" spans="1:253" s="2" customFormat="1" ht="12.65" customHeight="1" x14ac:dyDescent="0.25">
      <c r="A249" s="935"/>
      <c r="B249" s="936" t="s">
        <v>157</v>
      </c>
      <c r="C249" s="984">
        <v>0</v>
      </c>
      <c r="D249" s="929">
        <v>1</v>
      </c>
      <c r="E249" s="929">
        <v>5</v>
      </c>
      <c r="F249" s="929">
        <v>1</v>
      </c>
      <c r="G249" s="929">
        <v>0</v>
      </c>
      <c r="H249" s="929">
        <f>SUM(C249:G249)</f>
        <v>7</v>
      </c>
      <c r="I249" s="930">
        <f>((C249*$C$5)+(D249*$D$5)+(E249*$E$5)+(F249*$F$5)+(G249*$G$5))</f>
        <v>839.83200000000011</v>
      </c>
      <c r="J249" s="931">
        <v>0</v>
      </c>
      <c r="K249" s="932">
        <v>0</v>
      </c>
      <c r="L249" s="933">
        <v>1</v>
      </c>
      <c r="M249" s="934">
        <f>(C249+D249+E249+F249+G249)*L249</f>
        <v>7</v>
      </c>
      <c r="N249" s="991">
        <f>J249*L249</f>
        <v>0</v>
      </c>
      <c r="O249" s="992">
        <f>K249*L249</f>
        <v>0</v>
      </c>
      <c r="P249" s="839">
        <f t="shared" ref="P249" si="69">I249*L249</f>
        <v>839.83200000000011</v>
      </c>
      <c r="Q249" s="13">
        <f>(I249+J249+K249)*L249</f>
        <v>839.83200000000011</v>
      </c>
      <c r="R249" s="76" t="s">
        <v>199</v>
      </c>
      <c r="S249" s="62" t="str">
        <f>IF($R249="RP",L249,"")</f>
        <v/>
      </c>
      <c r="T249" s="62" t="str">
        <f>IF($R249="RP",M249,"")</f>
        <v/>
      </c>
      <c r="U249" s="62" t="str">
        <f>IF($R249="RP",SUM(N249:O249),"")</f>
        <v/>
      </c>
      <c r="V249" s="62">
        <f>IF($R249="RK",L249,"")</f>
        <v>1</v>
      </c>
      <c r="W249" s="62">
        <f>IF($R249="RK",M249,"")</f>
        <v>7</v>
      </c>
      <c r="X249" s="80">
        <f>IF($R249="Rk",SUM(N249:O249),"")</f>
        <v>0</v>
      </c>
      <c r="Y249" s="1"/>
      <c r="Z249" s="1"/>
      <c r="AA249" s="1"/>
      <c r="AB249" s="1"/>
      <c r="AC249" s="1"/>
      <c r="AD249" s="1"/>
      <c r="IP249" s="1"/>
      <c r="IQ249" s="1"/>
      <c r="IR249" s="1"/>
      <c r="IS249" s="1"/>
    </row>
    <row r="250" spans="1:253" s="2" customFormat="1" ht="12.65" customHeight="1" x14ac:dyDescent="0.25">
      <c r="A250" s="1250" t="s">
        <v>806</v>
      </c>
      <c r="B250" s="1251"/>
      <c r="C250" s="942"/>
      <c r="D250" s="823"/>
      <c r="E250" s="823"/>
      <c r="F250" s="823"/>
      <c r="G250" s="823"/>
      <c r="H250" s="823"/>
      <c r="I250" s="824"/>
      <c r="J250" s="825"/>
      <c r="K250" s="826"/>
      <c r="L250" s="1027"/>
      <c r="M250" s="925"/>
      <c r="N250" s="829"/>
      <c r="O250" s="829"/>
      <c r="P250" s="964"/>
      <c r="Q250" s="32"/>
      <c r="R250" s="124"/>
      <c r="S250" s="46"/>
      <c r="T250" s="46"/>
      <c r="V250" s="67"/>
      <c r="W250" s="46"/>
      <c r="X250" s="78"/>
      <c r="Y250" s="1"/>
      <c r="Z250" s="1"/>
      <c r="AA250" s="1"/>
      <c r="AB250" s="1"/>
      <c r="AC250" s="1"/>
      <c r="AD250" s="1"/>
      <c r="IP250" s="1"/>
      <c r="IQ250" s="1"/>
      <c r="IR250" s="1"/>
      <c r="IS250" s="1"/>
    </row>
    <row r="251" spans="1:253" s="2" customFormat="1" ht="12.65" customHeight="1" x14ac:dyDescent="0.25">
      <c r="A251" s="862"/>
      <c r="B251" s="1007" t="s">
        <v>107</v>
      </c>
      <c r="C251" s="1121"/>
      <c r="D251" s="1115"/>
      <c r="E251" s="1115"/>
      <c r="F251" s="1115"/>
      <c r="G251" s="1115"/>
      <c r="H251" s="1115"/>
      <c r="I251" s="1122"/>
      <c r="J251" s="1116"/>
      <c r="K251" s="1116"/>
      <c r="L251" s="807"/>
      <c r="M251" s="916"/>
      <c r="N251" s="809"/>
      <c r="O251" s="809"/>
      <c r="P251" s="950"/>
      <c r="Q251" s="15"/>
      <c r="R251" s="75"/>
      <c r="S251" s="46"/>
      <c r="T251" s="46"/>
      <c r="V251" s="67"/>
      <c r="W251" s="46"/>
      <c r="X251" s="78"/>
      <c r="Y251" s="1"/>
      <c r="Z251" s="1"/>
      <c r="AA251" s="1"/>
      <c r="AB251" s="1"/>
      <c r="AC251" s="1"/>
      <c r="AD251" s="1"/>
      <c r="IP251" s="1"/>
      <c r="IQ251" s="1"/>
      <c r="IR251" s="1"/>
      <c r="IS251" s="1"/>
    </row>
    <row r="252" spans="1:253" s="2" customFormat="1" ht="12.65" customHeight="1" x14ac:dyDescent="0.25">
      <c r="A252" s="862"/>
      <c r="B252" s="1007" t="s">
        <v>108</v>
      </c>
      <c r="C252" s="1252"/>
      <c r="D252" s="894"/>
      <c r="E252" s="894"/>
      <c r="F252" s="894"/>
      <c r="G252" s="894"/>
      <c r="H252" s="894"/>
      <c r="I252" s="914"/>
      <c r="J252" s="899"/>
      <c r="K252" s="899"/>
      <c r="L252" s="807"/>
      <c r="M252" s="916"/>
      <c r="N252" s="809"/>
      <c r="O252" s="809"/>
      <c r="P252" s="950"/>
      <c r="Q252" s="15"/>
      <c r="R252" s="74"/>
      <c r="S252" s="46"/>
      <c r="T252" s="46"/>
      <c r="V252" s="67"/>
      <c r="W252" s="46"/>
      <c r="X252" s="78"/>
      <c r="Y252" s="1"/>
      <c r="Z252" s="1"/>
      <c r="AA252" s="1"/>
      <c r="AB252" s="1"/>
      <c r="AC252" s="1"/>
      <c r="AD252" s="1"/>
      <c r="IP252" s="1"/>
      <c r="IQ252" s="1"/>
      <c r="IR252" s="1"/>
      <c r="IS252" s="1"/>
    </row>
    <row r="253" spans="1:253" s="2" customFormat="1" ht="12.65" customHeight="1" x14ac:dyDescent="0.25">
      <c r="A253" s="880"/>
      <c r="B253" s="921" t="s">
        <v>109</v>
      </c>
      <c r="C253" s="1018">
        <v>0</v>
      </c>
      <c r="D253" s="1123">
        <v>0</v>
      </c>
      <c r="E253" s="1123">
        <v>0.25</v>
      </c>
      <c r="F253" s="1123">
        <v>0</v>
      </c>
      <c r="G253" s="1123">
        <v>0</v>
      </c>
      <c r="H253" s="929">
        <f>SUM(C253:G253)</f>
        <v>0.25</v>
      </c>
      <c r="I253" s="930">
        <f>((C253*$C$5)+(D253*$D$5)+(E253*$E$5)+(F253*$F$5)+(G253*$G$5))</f>
        <v>30.985500000000002</v>
      </c>
      <c r="J253" s="1124">
        <v>0</v>
      </c>
      <c r="K253" s="1124">
        <v>8</v>
      </c>
      <c r="L253" s="836">
        <v>0</v>
      </c>
      <c r="M253" s="934">
        <f>(C253+D253+E253+F253+G253)*L253</f>
        <v>0</v>
      </c>
      <c r="N253" s="991">
        <f>J253*L253</f>
        <v>0</v>
      </c>
      <c r="O253" s="992">
        <f>K253*L253</f>
        <v>0</v>
      </c>
      <c r="P253" s="1087">
        <f t="shared" ref="P253" si="70">I253*L253</f>
        <v>0</v>
      </c>
      <c r="Q253" s="13">
        <f>(I253+J253+K253)*L253</f>
        <v>0</v>
      </c>
      <c r="R253" s="76" t="s">
        <v>199</v>
      </c>
      <c r="S253" s="62" t="str">
        <f>IF($R253="RP",L253,"")</f>
        <v/>
      </c>
      <c r="T253" s="62" t="str">
        <f>IF($R253="RP",M253,"")</f>
        <v/>
      </c>
      <c r="U253" s="62" t="str">
        <f>IF($R253="RP",SUM(N253:O253),"")</f>
        <v/>
      </c>
      <c r="V253" s="62">
        <f>IF($R253="RK",L253,"")</f>
        <v>0</v>
      </c>
      <c r="W253" s="62">
        <f>IF($R253="RK",M253,"")</f>
        <v>0</v>
      </c>
      <c r="X253" s="80">
        <f>IF($R253="Rk",SUM(N253:O253),"")</f>
        <v>0</v>
      </c>
      <c r="Y253" s="1"/>
      <c r="Z253" s="1"/>
      <c r="AA253" s="1"/>
      <c r="AB253" s="1"/>
      <c r="AC253" s="1"/>
      <c r="AD253" s="1"/>
      <c r="IP253" s="1"/>
      <c r="IQ253" s="1"/>
      <c r="IR253" s="1"/>
      <c r="IS253" s="1"/>
    </row>
    <row r="254" spans="1:253" s="2" customFormat="1" ht="12.65" customHeight="1" x14ac:dyDescent="0.25">
      <c r="A254" s="862"/>
      <c r="B254" s="1007" t="s">
        <v>70</v>
      </c>
      <c r="C254" s="1121"/>
      <c r="D254" s="1115"/>
      <c r="E254" s="1115"/>
      <c r="F254" s="1115"/>
      <c r="G254" s="1115"/>
      <c r="H254" s="1115"/>
      <c r="I254" s="1122"/>
      <c r="J254" s="1116"/>
      <c r="K254" s="1116"/>
      <c r="L254" s="807"/>
      <c r="M254" s="916"/>
      <c r="N254" s="809"/>
      <c r="O254" s="809"/>
      <c r="P254" s="950"/>
      <c r="Q254" s="15"/>
      <c r="R254" s="75"/>
      <c r="S254" s="46"/>
      <c r="T254" s="46"/>
      <c r="V254" s="67"/>
      <c r="W254" s="46"/>
      <c r="X254" s="78"/>
      <c r="Y254" s="1"/>
      <c r="Z254" s="1"/>
      <c r="AA254" s="1"/>
      <c r="AB254" s="1"/>
      <c r="AC254" s="1"/>
      <c r="AD254" s="1"/>
      <c r="IP254" s="1"/>
      <c r="IQ254" s="1"/>
      <c r="IR254" s="1"/>
      <c r="IS254" s="1"/>
    </row>
    <row r="255" spans="1:253" s="2" customFormat="1" ht="12.65" customHeight="1" x14ac:dyDescent="0.25">
      <c r="A255" s="862"/>
      <c r="B255" s="1007" t="s">
        <v>87</v>
      </c>
      <c r="C255" s="1252"/>
      <c r="D255" s="894"/>
      <c r="E255" s="894"/>
      <c r="F255" s="894"/>
      <c r="G255" s="894"/>
      <c r="H255" s="894"/>
      <c r="I255" s="914"/>
      <c r="J255" s="899"/>
      <c r="K255" s="899"/>
      <c r="L255" s="807"/>
      <c r="M255" s="916"/>
      <c r="N255" s="809"/>
      <c r="O255" s="809"/>
      <c r="P255" s="950"/>
      <c r="Q255" s="15"/>
      <c r="R255" s="74"/>
      <c r="S255" s="46"/>
      <c r="T255" s="46"/>
      <c r="V255" s="67"/>
      <c r="W255" s="46"/>
      <c r="X255" s="78"/>
      <c r="Y255" s="1"/>
      <c r="Z255" s="1"/>
      <c r="AA255" s="1"/>
      <c r="AB255" s="1"/>
      <c r="AC255" s="1"/>
      <c r="AD255" s="1"/>
      <c r="IP255" s="1"/>
      <c r="IQ255" s="1"/>
      <c r="IR255" s="1"/>
      <c r="IS255" s="1"/>
    </row>
    <row r="256" spans="1:253" s="2" customFormat="1" ht="12.65" customHeight="1" x14ac:dyDescent="0.25">
      <c r="A256" s="880"/>
      <c r="B256" s="921" t="s">
        <v>72</v>
      </c>
      <c r="C256" s="1018">
        <v>0</v>
      </c>
      <c r="D256" s="1123">
        <v>0</v>
      </c>
      <c r="E256" s="1123">
        <v>0.25</v>
      </c>
      <c r="F256" s="1123">
        <v>0</v>
      </c>
      <c r="G256" s="1123">
        <v>0</v>
      </c>
      <c r="H256" s="929">
        <f>SUM(C256:G256)</f>
        <v>0.25</v>
      </c>
      <c r="I256" s="930">
        <f>((C256*$C$5)+(D256*$D$5)+(E256*$E$5)+(F256*$F$5)+(G256*$G$5))</f>
        <v>30.985500000000002</v>
      </c>
      <c r="J256" s="1124">
        <v>0</v>
      </c>
      <c r="K256" s="1124">
        <v>8</v>
      </c>
      <c r="L256" s="836">
        <v>0</v>
      </c>
      <c r="M256" s="934">
        <f>(C256+D256+E256+F256+G256)*L256</f>
        <v>0</v>
      </c>
      <c r="N256" s="991">
        <f>J256*L256</f>
        <v>0</v>
      </c>
      <c r="O256" s="992">
        <f>K256*L256</f>
        <v>0</v>
      </c>
      <c r="P256" s="1087">
        <f t="shared" ref="P256" si="71">I256*L256</f>
        <v>0</v>
      </c>
      <c r="Q256" s="13">
        <f>(I256+J256+K256)*L256</f>
        <v>0</v>
      </c>
      <c r="R256" s="76" t="s">
        <v>199</v>
      </c>
      <c r="S256" s="62" t="str">
        <f>IF($R256="RP",L256,"")</f>
        <v/>
      </c>
      <c r="T256" s="62" t="str">
        <f>IF($R256="RP",M256,"")</f>
        <v/>
      </c>
      <c r="U256" s="62" t="str">
        <f>IF($R256="RP",SUM(N256:O256),"")</f>
        <v/>
      </c>
      <c r="V256" s="62">
        <f>IF($R256="RK",L256,"")</f>
        <v>0</v>
      </c>
      <c r="W256" s="62">
        <f>IF($R256="RK",M256,"")</f>
        <v>0</v>
      </c>
      <c r="X256" s="80">
        <f>IF($R256="Rk",SUM(N256:O256),"")</f>
        <v>0</v>
      </c>
      <c r="Y256" s="1"/>
      <c r="Z256" s="1"/>
      <c r="AA256" s="1"/>
      <c r="AB256" s="1"/>
      <c r="AC256" s="1"/>
      <c r="AD256" s="1"/>
      <c r="IP256" s="1"/>
      <c r="IQ256" s="1"/>
      <c r="IR256" s="1"/>
      <c r="IS256" s="1"/>
    </row>
    <row r="257" spans="1:253" s="2" customFormat="1" ht="12.65" customHeight="1" x14ac:dyDescent="0.25">
      <c r="A257" s="862"/>
      <c r="B257" s="1007" t="s">
        <v>88</v>
      </c>
      <c r="C257" s="1252"/>
      <c r="D257" s="894"/>
      <c r="E257" s="894"/>
      <c r="F257" s="894"/>
      <c r="G257" s="894"/>
      <c r="H257" s="894"/>
      <c r="I257" s="914"/>
      <c r="J257" s="899"/>
      <c r="K257" s="899"/>
      <c r="L257" s="807"/>
      <c r="M257" s="916"/>
      <c r="N257" s="809"/>
      <c r="O257" s="809"/>
      <c r="P257" s="1183"/>
      <c r="Q257" s="15"/>
      <c r="R257" s="124"/>
      <c r="S257" s="46"/>
      <c r="T257" s="46"/>
      <c r="V257" s="67"/>
      <c r="W257" s="46"/>
      <c r="X257" s="78"/>
      <c r="Y257" s="1"/>
      <c r="Z257" s="1"/>
      <c r="AA257" s="1"/>
      <c r="AB257" s="1"/>
      <c r="AC257" s="1"/>
      <c r="AD257" s="1"/>
      <c r="IP257" s="1"/>
      <c r="IQ257" s="1"/>
      <c r="IR257" s="1"/>
      <c r="IS257" s="1"/>
    </row>
    <row r="258" spans="1:253" s="2" customFormat="1" ht="12.65" customHeight="1" x14ac:dyDescent="0.25">
      <c r="A258" s="862"/>
      <c r="B258" s="1007" t="s">
        <v>71</v>
      </c>
      <c r="C258" s="1252"/>
      <c r="D258" s="894"/>
      <c r="E258" s="894"/>
      <c r="F258" s="894"/>
      <c r="G258" s="894"/>
      <c r="H258" s="894"/>
      <c r="I258" s="914"/>
      <c r="J258" s="899"/>
      <c r="K258" s="899"/>
      <c r="L258" s="807"/>
      <c r="M258" s="916"/>
      <c r="N258" s="809"/>
      <c r="O258" s="809"/>
      <c r="P258" s="950"/>
      <c r="Q258" s="15"/>
      <c r="R258" s="124"/>
      <c r="S258" s="46"/>
      <c r="T258" s="46"/>
      <c r="V258" s="67"/>
      <c r="W258" s="46"/>
      <c r="X258" s="78"/>
      <c r="Y258" s="1"/>
      <c r="Z258" s="1"/>
      <c r="AA258" s="1"/>
      <c r="AB258" s="1"/>
      <c r="AC258" s="1"/>
      <c r="AD258" s="1"/>
      <c r="IP258" s="1"/>
      <c r="IQ258" s="1"/>
      <c r="IR258" s="1"/>
      <c r="IS258" s="1"/>
    </row>
    <row r="259" spans="1:253" s="2" customFormat="1" ht="12.65" customHeight="1" x14ac:dyDescent="0.25">
      <c r="A259" s="862"/>
      <c r="B259" s="921" t="s">
        <v>72</v>
      </c>
      <c r="C259" s="1018">
        <v>0</v>
      </c>
      <c r="D259" s="1123">
        <v>0</v>
      </c>
      <c r="E259" s="1123">
        <v>0.25</v>
      </c>
      <c r="F259" s="1123">
        <v>0</v>
      </c>
      <c r="G259" s="1123">
        <v>0</v>
      </c>
      <c r="H259" s="833">
        <f>SUM(C259:G259)</f>
        <v>0.25</v>
      </c>
      <c r="I259" s="834">
        <f>((C259*$C$5)+(D259*$D$5)+(E259*$E$5)+(F259*$F$5)+(G259*$G$5))</f>
        <v>30.985500000000002</v>
      </c>
      <c r="J259" s="1124">
        <v>0</v>
      </c>
      <c r="K259" s="1124">
        <v>8</v>
      </c>
      <c r="L259" s="836">
        <v>0</v>
      </c>
      <c r="M259" s="1012">
        <f>(C259+D259+E259+F259+G259)*L259</f>
        <v>0</v>
      </c>
      <c r="N259" s="1022">
        <f>J259*L259</f>
        <v>0</v>
      </c>
      <c r="O259" s="1022">
        <f>K259*L259</f>
        <v>0</v>
      </c>
      <c r="P259" s="1087">
        <f t="shared" ref="P259" si="72">I259*L259</f>
        <v>0</v>
      </c>
      <c r="Q259" s="13">
        <f>(I259+J259+K259)*L259</f>
        <v>0</v>
      </c>
      <c r="R259" s="132" t="s">
        <v>199</v>
      </c>
      <c r="S259" s="62" t="str">
        <f>IF($R259="RP",L259,"")</f>
        <v/>
      </c>
      <c r="T259" s="62" t="str">
        <f>IF($R259="RP",M259,"")</f>
        <v/>
      </c>
      <c r="U259" s="62" t="str">
        <f>IF($R259="RP",SUM(N259:O259),"")</f>
        <v/>
      </c>
      <c r="V259" s="62">
        <f>IF($R259="RK",L259,"")</f>
        <v>0</v>
      </c>
      <c r="W259" s="62">
        <f>IF($R259="RK",M259,"")</f>
        <v>0</v>
      </c>
      <c r="X259" s="80">
        <f>IF($R259="Rk",SUM(N259:O259),"")</f>
        <v>0</v>
      </c>
      <c r="Y259" s="1"/>
      <c r="Z259" s="1"/>
      <c r="AA259" s="1"/>
      <c r="AB259" s="1"/>
      <c r="AC259" s="1"/>
      <c r="AD259" s="1"/>
      <c r="IP259" s="1"/>
      <c r="IQ259" s="1"/>
      <c r="IR259" s="1"/>
      <c r="IS259" s="1"/>
    </row>
    <row r="260" spans="1:253" s="2" customFormat="1" ht="12.65" customHeight="1" x14ac:dyDescent="0.25">
      <c r="A260" s="1250" t="s">
        <v>807</v>
      </c>
      <c r="B260" s="1253"/>
      <c r="C260" s="903"/>
      <c r="D260" s="1180"/>
      <c r="E260" s="1180"/>
      <c r="F260" s="1180"/>
      <c r="G260" s="1180"/>
      <c r="H260" s="1180"/>
      <c r="I260" s="904"/>
      <c r="J260" s="905"/>
      <c r="K260" s="906"/>
      <c r="L260" s="1254"/>
      <c r="M260" s="908"/>
      <c r="N260" s="909"/>
      <c r="O260" s="909"/>
      <c r="P260" s="910"/>
      <c r="Q260" s="30"/>
      <c r="R260" s="124"/>
      <c r="S260" s="46"/>
      <c r="T260" s="46"/>
      <c r="V260" s="67"/>
      <c r="W260" s="46"/>
      <c r="X260" s="78"/>
      <c r="Y260" s="1"/>
      <c r="Z260" s="1"/>
      <c r="AA260" s="1"/>
      <c r="AB260" s="1"/>
      <c r="AC260" s="1"/>
      <c r="AD260" s="1"/>
      <c r="IP260" s="1"/>
      <c r="IQ260" s="1"/>
      <c r="IR260" s="1"/>
      <c r="IS260" s="1"/>
    </row>
    <row r="261" spans="1:253" s="2" customFormat="1" ht="12.65" customHeight="1" x14ac:dyDescent="0.25">
      <c r="A261" s="870"/>
      <c r="B261" s="1055" t="s">
        <v>75</v>
      </c>
      <c r="C261" s="1121"/>
      <c r="D261" s="1115"/>
      <c r="E261" s="1115"/>
      <c r="F261" s="1115"/>
      <c r="G261" s="1115"/>
      <c r="H261" s="1115"/>
      <c r="I261" s="1122"/>
      <c r="J261" s="1116"/>
      <c r="K261" s="1116"/>
      <c r="L261" s="807"/>
      <c r="M261" s="916"/>
      <c r="N261" s="809"/>
      <c r="O261" s="809"/>
      <c r="P261" s="1183"/>
      <c r="Q261" s="15"/>
      <c r="R261" s="124"/>
      <c r="S261" s="46"/>
      <c r="T261" s="46"/>
      <c r="V261" s="67"/>
      <c r="W261" s="46"/>
      <c r="X261" s="78"/>
      <c r="Y261" s="1"/>
      <c r="Z261" s="1"/>
      <c r="AA261" s="1"/>
      <c r="AB261" s="1"/>
      <c r="AC261" s="1"/>
      <c r="AD261" s="1"/>
      <c r="IP261" s="1"/>
      <c r="IQ261" s="1"/>
      <c r="IR261" s="1"/>
      <c r="IS261" s="1"/>
    </row>
    <row r="262" spans="1:253" s="2" customFormat="1" ht="12.65" customHeight="1" x14ac:dyDescent="0.25">
      <c r="A262" s="862"/>
      <c r="B262" s="1007" t="s">
        <v>76</v>
      </c>
      <c r="C262" s="1252"/>
      <c r="D262" s="894"/>
      <c r="E262" s="894"/>
      <c r="F262" s="894"/>
      <c r="G262" s="894"/>
      <c r="H262" s="894"/>
      <c r="I262" s="914"/>
      <c r="J262" s="899"/>
      <c r="K262" s="899"/>
      <c r="L262" s="807"/>
      <c r="M262" s="916"/>
      <c r="N262" s="809"/>
      <c r="O262" s="809"/>
      <c r="P262" s="950"/>
      <c r="Q262" s="15"/>
      <c r="R262" s="124"/>
      <c r="S262" s="46"/>
      <c r="T262" s="46"/>
      <c r="V262" s="67"/>
      <c r="W262" s="46"/>
      <c r="X262" s="78"/>
      <c r="Y262" s="1"/>
      <c r="Z262" s="1"/>
      <c r="AA262" s="1"/>
      <c r="AB262" s="1"/>
      <c r="AC262" s="1"/>
      <c r="AD262" s="1"/>
      <c r="IP262" s="1"/>
      <c r="IQ262" s="1"/>
      <c r="IR262" s="1"/>
      <c r="IS262" s="1"/>
    </row>
    <row r="263" spans="1:253" s="2" customFormat="1" ht="12.65" customHeight="1" x14ac:dyDescent="0.25">
      <c r="A263" s="880"/>
      <c r="B263" s="921" t="s">
        <v>72</v>
      </c>
      <c r="C263" s="1018">
        <v>0</v>
      </c>
      <c r="D263" s="894">
        <v>0</v>
      </c>
      <c r="E263" s="894">
        <v>0.25</v>
      </c>
      <c r="F263" s="894">
        <v>0</v>
      </c>
      <c r="G263" s="894">
        <v>0</v>
      </c>
      <c r="H263" s="803">
        <f>SUM(C263:G263)</f>
        <v>0.25</v>
      </c>
      <c r="I263" s="804">
        <f>((C263*$C$5)+(D263*$D$5)+(E263*$E$5)+(F263*$F$5)+(G263*$G$5))</f>
        <v>30.985500000000002</v>
      </c>
      <c r="J263" s="899">
        <v>0</v>
      </c>
      <c r="K263" s="899">
        <v>0</v>
      </c>
      <c r="L263" s="982">
        <v>0</v>
      </c>
      <c r="M263" s="916">
        <f>(C263+D263+E263+F263+G263)*L263</f>
        <v>0</v>
      </c>
      <c r="N263" s="809">
        <f>J263*L263</f>
        <v>0</v>
      </c>
      <c r="O263" s="1028">
        <f>K263*L263</f>
        <v>0</v>
      </c>
      <c r="P263" s="950">
        <f t="shared" ref="P263" si="73">I263*L263</f>
        <v>0</v>
      </c>
      <c r="Q263" s="13">
        <f>(I263+J263+K263)*L263</f>
        <v>0</v>
      </c>
      <c r="R263" s="76" t="s">
        <v>199</v>
      </c>
      <c r="S263" s="62" t="str">
        <f>IF($R263="RP",L263,"")</f>
        <v/>
      </c>
      <c r="T263" s="62" t="str">
        <f>IF($R263="RP",M263,"")</f>
        <v/>
      </c>
      <c r="U263" s="62" t="str">
        <f>IF($R263="RP",SUM(N263:O263),"")</f>
        <v/>
      </c>
      <c r="V263" s="62">
        <f>IF($R263="RK",L263,"")</f>
        <v>0</v>
      </c>
      <c r="W263" s="62">
        <f>IF($R263="RK",M263,"")</f>
        <v>0</v>
      </c>
      <c r="X263" s="80">
        <f>IF($R263="Rk",SUM(N263:O263),"")</f>
        <v>0</v>
      </c>
      <c r="Y263" s="1"/>
      <c r="Z263" s="1"/>
      <c r="AA263" s="1"/>
      <c r="AB263" s="1"/>
      <c r="AC263" s="1"/>
      <c r="AD263" s="1"/>
      <c r="IP263" s="1"/>
      <c r="IQ263" s="1"/>
      <c r="IR263" s="1"/>
      <c r="IS263" s="1"/>
    </row>
    <row r="264" spans="1:253" s="2" customFormat="1" ht="12.65" customHeight="1" x14ac:dyDescent="0.25">
      <c r="A264" s="880" t="s">
        <v>808</v>
      </c>
      <c r="B264" s="944"/>
      <c r="C264" s="783"/>
      <c r="D264" s="1036"/>
      <c r="E264" s="1037"/>
      <c r="F264" s="1037"/>
      <c r="G264" s="1037"/>
      <c r="H264" s="1037"/>
      <c r="I264" s="1038"/>
      <c r="J264" s="1039"/>
      <c r="K264" s="1040"/>
      <c r="L264" s="1041"/>
      <c r="M264" s="1042"/>
      <c r="N264" s="1043"/>
      <c r="O264" s="1043"/>
      <c r="P264" s="1132"/>
      <c r="Q264" s="25"/>
      <c r="R264" s="76"/>
      <c r="S264" s="62"/>
      <c r="T264" s="62"/>
      <c r="U264" s="21"/>
      <c r="V264" s="68"/>
      <c r="W264" s="62"/>
      <c r="X264" s="80"/>
      <c r="Y264" s="1"/>
      <c r="Z264" s="1"/>
      <c r="AA264" s="1"/>
      <c r="AB264" s="1"/>
      <c r="AC264" s="1"/>
      <c r="AD264" s="1"/>
      <c r="AE264" s="1"/>
      <c r="AF264" s="1"/>
      <c r="IP264" s="1"/>
      <c r="IQ264" s="1"/>
      <c r="IR264" s="1"/>
      <c r="IS264" s="1"/>
    </row>
    <row r="265" spans="1:253" s="2" customFormat="1" ht="12.65" customHeight="1" x14ac:dyDescent="0.25">
      <c r="A265" s="862"/>
      <c r="B265" s="1007" t="s">
        <v>59</v>
      </c>
      <c r="C265" s="1058"/>
      <c r="D265" s="1059"/>
      <c r="E265" s="1059"/>
      <c r="F265" s="1059"/>
      <c r="G265" s="1059"/>
      <c r="H265" s="1059"/>
      <c r="I265" s="1060"/>
      <c r="J265" s="1061"/>
      <c r="K265" s="1061"/>
      <c r="L265" s="1067"/>
      <c r="M265" s="1063"/>
      <c r="N265" s="1064"/>
      <c r="O265" s="1064"/>
      <c r="P265" s="1064"/>
      <c r="Q265" s="27"/>
      <c r="R265" s="124"/>
      <c r="S265" s="46"/>
      <c r="T265" s="46"/>
      <c r="V265" s="67"/>
      <c r="W265" s="46"/>
      <c r="X265" s="101"/>
      <c r="Y265" s="1"/>
      <c r="Z265" s="1"/>
      <c r="AA265" s="1"/>
      <c r="AB265" s="1"/>
      <c r="AC265" s="1"/>
      <c r="AD265" s="1"/>
      <c r="AE265" s="1"/>
      <c r="AF265" s="1"/>
      <c r="IP265" s="1"/>
      <c r="IQ265" s="1"/>
      <c r="IR265" s="1"/>
      <c r="IS265" s="1"/>
    </row>
    <row r="266" spans="1:253" s="2" customFormat="1" ht="12.65" customHeight="1" x14ac:dyDescent="0.25">
      <c r="A266" s="880"/>
      <c r="B266" s="921" t="s">
        <v>60</v>
      </c>
      <c r="C266" s="1197">
        <v>0</v>
      </c>
      <c r="D266" s="1198">
        <v>0</v>
      </c>
      <c r="E266" s="1198">
        <v>0.25</v>
      </c>
      <c r="F266" s="1198">
        <v>0</v>
      </c>
      <c r="G266" s="1198">
        <v>0</v>
      </c>
      <c r="H266" s="833">
        <f>SUM(C266:G266)</f>
        <v>0.25</v>
      </c>
      <c r="I266" s="1199">
        <f>((C266*$C$5)+(D266*$D$5)+(E266*$E$5)+(F266*$F$5)+(G266*$G$5))</f>
        <v>30.985500000000002</v>
      </c>
      <c r="J266" s="1200">
        <v>0</v>
      </c>
      <c r="K266" s="1200">
        <v>0</v>
      </c>
      <c r="L266" s="1255">
        <f>0.5*M10</f>
        <v>28.5</v>
      </c>
      <c r="M266" s="1256">
        <f>(C266+D266+E266+F266+G266)*L266</f>
        <v>7.125</v>
      </c>
      <c r="N266" s="1257">
        <f>J266*L266</f>
        <v>0</v>
      </c>
      <c r="O266" s="1257">
        <f>K266*L266</f>
        <v>0</v>
      </c>
      <c r="P266" s="839">
        <f t="shared" ref="P266" si="74">I266*L266</f>
        <v>883.08675000000005</v>
      </c>
      <c r="Q266" s="36">
        <f>(I266+J266+K266)*L266</f>
        <v>883.08675000000005</v>
      </c>
      <c r="R266" s="76" t="s">
        <v>199</v>
      </c>
      <c r="S266" s="62" t="str">
        <f>IF($R266="RP",L266,"")</f>
        <v/>
      </c>
      <c r="T266" s="62" t="str">
        <f>IF($R266="RP",M266,"")</f>
        <v/>
      </c>
      <c r="U266" s="62" t="str">
        <f>IF($R266="RP",SUM(N266:O266),"")</f>
        <v/>
      </c>
      <c r="V266" s="62">
        <f>IF($R266="RK",L266,"")</f>
        <v>28.5</v>
      </c>
      <c r="W266" s="62">
        <f>IF($R266="RK",M266,"")</f>
        <v>7.125</v>
      </c>
      <c r="X266" s="100">
        <f>IF($R266="Rk",SUM(N266:O266),"")</f>
        <v>0</v>
      </c>
      <c r="Y266" s="1"/>
      <c r="Z266" s="1"/>
      <c r="AA266" s="1"/>
      <c r="AB266" s="1"/>
      <c r="AC266" s="1"/>
      <c r="AD266" s="1"/>
      <c r="AE266" s="1"/>
      <c r="AF266" s="1"/>
      <c r="IP266" s="1"/>
      <c r="IQ266" s="1"/>
      <c r="IR266" s="1"/>
      <c r="IS266" s="1"/>
    </row>
    <row r="267" spans="1:253" s="2" customFormat="1" ht="12.65" customHeight="1" x14ac:dyDescent="0.25">
      <c r="A267" s="862"/>
      <c r="B267" s="863" t="s">
        <v>77</v>
      </c>
      <c r="C267" s="1103"/>
      <c r="D267" s="894"/>
      <c r="E267" s="894"/>
      <c r="F267" s="894"/>
      <c r="G267" s="894"/>
      <c r="H267" s="894"/>
      <c r="I267" s="914"/>
      <c r="J267" s="899"/>
      <c r="K267" s="899"/>
      <c r="L267" s="1129"/>
      <c r="M267" s="1169"/>
      <c r="N267" s="974"/>
      <c r="O267" s="974"/>
      <c r="P267" s="1004"/>
      <c r="Q267" s="15"/>
      <c r="R267" s="124"/>
      <c r="S267" s="46"/>
      <c r="T267" s="46"/>
      <c r="V267" s="67"/>
      <c r="W267" s="46"/>
      <c r="X267" s="115"/>
      <c r="Y267" s="1"/>
      <c r="Z267" s="1"/>
      <c r="AA267" s="1"/>
      <c r="AB267" s="1"/>
      <c r="AC267" s="1"/>
      <c r="AD267" s="1"/>
      <c r="AE267" s="1"/>
      <c r="AF267" s="1"/>
      <c r="IP267" s="1"/>
      <c r="IQ267" s="1"/>
      <c r="IR267" s="1"/>
      <c r="IS267" s="1"/>
    </row>
    <row r="268" spans="1:253" s="2" customFormat="1" ht="12.65" customHeight="1" x14ac:dyDescent="0.25">
      <c r="A268" s="946"/>
      <c r="B268" s="863" t="s">
        <v>78</v>
      </c>
      <c r="C268" s="1258"/>
      <c r="D268" s="1259"/>
      <c r="E268" s="1259"/>
      <c r="F268" s="1259"/>
      <c r="G268" s="1259"/>
      <c r="H268" s="1259"/>
      <c r="I268" s="1260"/>
      <c r="J268" s="1261"/>
      <c r="K268" s="1261"/>
      <c r="L268" s="1262"/>
      <c r="M268" s="1263"/>
      <c r="N268" s="1264"/>
      <c r="O268" s="1264"/>
      <c r="P268" s="1265"/>
      <c r="Q268" s="39"/>
      <c r="R268" s="124"/>
      <c r="S268" s="46"/>
      <c r="T268" s="46"/>
      <c r="V268" s="67"/>
      <c r="W268" s="46"/>
      <c r="X268" s="115"/>
      <c r="Y268" s="1"/>
      <c r="Z268" s="1"/>
      <c r="AA268" s="1"/>
      <c r="AB268" s="1"/>
      <c r="AC268" s="1"/>
      <c r="AD268" s="1"/>
      <c r="AE268" s="1"/>
      <c r="AF268" s="1"/>
      <c r="IP268" s="1"/>
      <c r="IQ268" s="1"/>
      <c r="IR268" s="1"/>
      <c r="IS268" s="1"/>
    </row>
    <row r="269" spans="1:253" s="2" customFormat="1" ht="12.65" customHeight="1" x14ac:dyDescent="0.25">
      <c r="A269" s="1266"/>
      <c r="B269" s="881" t="s">
        <v>79</v>
      </c>
      <c r="C269" s="1030">
        <v>0</v>
      </c>
      <c r="D269" s="894">
        <v>0</v>
      </c>
      <c r="E269" s="894">
        <v>0</v>
      </c>
      <c r="F269" s="894">
        <v>0.5</v>
      </c>
      <c r="G269" s="894">
        <v>0</v>
      </c>
      <c r="H269" s="803">
        <f>SUM(C269:G269)</f>
        <v>0.5</v>
      </c>
      <c r="I269" s="914">
        <f>((C269*$C$5)+(D269*$D$5)+(E269*$E$5)+(F269*$F$5)+(G269*$G$5))</f>
        <v>31.258499999999998</v>
      </c>
      <c r="J269" s="899">
        <v>0</v>
      </c>
      <c r="K269" s="899">
        <v>0</v>
      </c>
      <c r="L269" s="1130">
        <f>M10*0.5</f>
        <v>28.5</v>
      </c>
      <c r="M269" s="972">
        <f>(C269+D269+E269+F269+G269)*L269</f>
        <v>14.25</v>
      </c>
      <c r="N269" s="974">
        <f>J269*L269</f>
        <v>0</v>
      </c>
      <c r="O269" s="974">
        <f>K269*L269</f>
        <v>0</v>
      </c>
      <c r="P269" s="810">
        <f t="shared" ref="P269" si="75">I269*L269</f>
        <v>890.8672499999999</v>
      </c>
      <c r="Q269" s="13">
        <f>(I269+J269+K269)*L269</f>
        <v>890.8672499999999</v>
      </c>
      <c r="R269" s="76" t="s">
        <v>199</v>
      </c>
      <c r="S269" s="62" t="str">
        <f>IF($R269="RP",L269,"")</f>
        <v/>
      </c>
      <c r="T269" s="62" t="str">
        <f>IF($R269="RP",M269,"")</f>
        <v/>
      </c>
      <c r="U269" s="62" t="str">
        <f>IF($R269="RP",SUM(N269:O269),"")</f>
        <v/>
      </c>
      <c r="V269" s="62">
        <f>IF($R269="RK",L269,"")</f>
        <v>28.5</v>
      </c>
      <c r="W269" s="62">
        <f>IF($R269="RK",M269,"")</f>
        <v>14.25</v>
      </c>
      <c r="X269" s="100">
        <f>IF($R269="Rk",SUM(N269:O269),"")</f>
        <v>0</v>
      </c>
      <c r="Y269" s="1"/>
      <c r="Z269" s="1"/>
      <c r="AA269" s="1"/>
      <c r="AB269" s="1"/>
      <c r="AC269" s="1"/>
      <c r="AD269" s="1"/>
      <c r="AE269" s="1"/>
      <c r="AF269" s="1"/>
      <c r="IP269" s="1"/>
      <c r="IQ269" s="1"/>
      <c r="IR269" s="1"/>
      <c r="IS269" s="1"/>
    </row>
    <row r="270" spans="1:253" s="2" customFormat="1" ht="12.65" customHeight="1" x14ac:dyDescent="0.25">
      <c r="A270" s="880" t="s">
        <v>809</v>
      </c>
      <c r="B270" s="944"/>
      <c r="C270" s="900"/>
      <c r="D270" s="822"/>
      <c r="E270" s="823"/>
      <c r="F270" s="823"/>
      <c r="G270" s="823"/>
      <c r="H270" s="823"/>
      <c r="I270" s="824"/>
      <c r="J270" s="825"/>
      <c r="K270" s="826"/>
      <c r="L270" s="1127"/>
      <c r="M270" s="985"/>
      <c r="N270" s="919"/>
      <c r="O270" s="919"/>
      <c r="P270" s="920"/>
      <c r="Q270" s="13"/>
      <c r="R270" s="130"/>
      <c r="S270" s="64"/>
      <c r="T270" s="64"/>
      <c r="U270" s="18"/>
      <c r="V270" s="71"/>
      <c r="W270" s="64"/>
      <c r="X270" s="86"/>
      <c r="Y270" s="1"/>
      <c r="Z270" s="1"/>
      <c r="AA270" s="1"/>
      <c r="AB270" s="1"/>
      <c r="AC270" s="1"/>
      <c r="AD270" s="1"/>
      <c r="AE270" s="1"/>
      <c r="AF270" s="1"/>
      <c r="IP270" s="1"/>
      <c r="IQ270" s="1"/>
      <c r="IR270" s="1"/>
      <c r="IS270" s="1"/>
    </row>
    <row r="271" spans="1:253" s="2" customFormat="1" ht="12.65" customHeight="1" x14ac:dyDescent="0.25">
      <c r="A271" s="862"/>
      <c r="B271" s="863" t="s">
        <v>129</v>
      </c>
      <c r="C271" s="802"/>
      <c r="D271" s="803"/>
      <c r="E271" s="803"/>
      <c r="F271" s="803"/>
      <c r="G271" s="803"/>
      <c r="H271" s="803"/>
      <c r="I271" s="804"/>
      <c r="J271" s="805"/>
      <c r="K271" s="923"/>
      <c r="L271" s="943"/>
      <c r="M271" s="808"/>
      <c r="N271" s="809"/>
      <c r="O271" s="809"/>
      <c r="P271" s="849"/>
      <c r="Q271" s="15"/>
      <c r="R271" s="127"/>
      <c r="S271" s="46"/>
      <c r="T271" s="46"/>
      <c r="V271" s="67"/>
      <c r="W271" s="46"/>
      <c r="X271" s="115"/>
      <c r="Y271" s="1"/>
      <c r="Z271" s="1"/>
      <c r="AA271" s="1"/>
      <c r="AB271" s="1"/>
      <c r="AC271" s="1"/>
      <c r="AD271" s="1"/>
      <c r="AE271" s="1"/>
      <c r="AF271" s="1"/>
      <c r="IP271" s="1"/>
      <c r="IQ271" s="1"/>
      <c r="IR271" s="1"/>
      <c r="IS271" s="1"/>
    </row>
    <row r="272" spans="1:253" s="2" customFormat="1" ht="12.65" customHeight="1" x14ac:dyDescent="0.25">
      <c r="A272" s="935"/>
      <c r="B272" s="936" t="s">
        <v>130</v>
      </c>
      <c r="C272" s="937">
        <v>0</v>
      </c>
      <c r="D272" s="803">
        <v>0</v>
      </c>
      <c r="E272" s="803">
        <v>0</v>
      </c>
      <c r="F272" s="803">
        <v>40</v>
      </c>
      <c r="G272" s="803">
        <v>0</v>
      </c>
      <c r="H272" s="803">
        <f>SUM(C272:G272)</f>
        <v>40</v>
      </c>
      <c r="I272" s="804">
        <f>((C272*$C$5)+(D272*$D$5)+(E272*$E$5)+(F272*$F$5)+(G272*$G$5))</f>
        <v>2500.6799999999998</v>
      </c>
      <c r="J272" s="805">
        <v>66.67</v>
      </c>
      <c r="K272" s="923">
        <v>0</v>
      </c>
      <c r="L272" s="807">
        <f>M10</f>
        <v>57</v>
      </c>
      <c r="M272" s="916">
        <f>(C272+D272+E272+F272+G272)*L272</f>
        <v>2280</v>
      </c>
      <c r="N272" s="809">
        <f>J272*L272</f>
        <v>3800.19</v>
      </c>
      <c r="O272" s="809">
        <f>K272*L272</f>
        <v>0</v>
      </c>
      <c r="P272" s="950">
        <f t="shared" ref="P272" si="76">I272*L272</f>
        <v>142538.75999999998</v>
      </c>
      <c r="Q272" s="13">
        <f>(I272+J272+K272)*L272</f>
        <v>146338.94999999998</v>
      </c>
      <c r="R272" s="104" t="s">
        <v>199</v>
      </c>
      <c r="S272" s="62" t="str">
        <f>IF($R272="RP",L272,"")</f>
        <v/>
      </c>
      <c r="T272" s="62" t="str">
        <f>IF($R272="RP",M272,"")</f>
        <v/>
      </c>
      <c r="U272" s="62" t="str">
        <f>IF($R272="RP",SUM(N272:O272),"")</f>
        <v/>
      </c>
      <c r="V272" s="62">
        <f>IF($R272="RK",L272,"")</f>
        <v>57</v>
      </c>
      <c r="W272" s="62">
        <f>IF($R272="RK",M272,"")</f>
        <v>2280</v>
      </c>
      <c r="X272" s="100">
        <f>IF($R272="Rk",SUM(N272:O272),"")</f>
        <v>3800.19</v>
      </c>
      <c r="Y272" s="1"/>
      <c r="Z272" s="1"/>
      <c r="AA272" s="1"/>
      <c r="AB272" s="1"/>
      <c r="AC272" s="1"/>
      <c r="AD272" s="1"/>
      <c r="AE272" s="1"/>
      <c r="AF272" s="1"/>
      <c r="IP272" s="1"/>
      <c r="IQ272" s="1"/>
      <c r="IR272" s="1"/>
      <c r="IS272" s="1"/>
    </row>
    <row r="273" spans="1:253" s="2" customFormat="1" ht="12.65" customHeight="1" x14ac:dyDescent="0.25">
      <c r="A273" s="1250" t="s">
        <v>810</v>
      </c>
      <c r="B273" s="1267"/>
      <c r="C273" s="942"/>
      <c r="D273" s="822"/>
      <c r="E273" s="823"/>
      <c r="F273" s="823"/>
      <c r="G273" s="823"/>
      <c r="H273" s="823"/>
      <c r="I273" s="824"/>
      <c r="J273" s="825"/>
      <c r="K273" s="826"/>
      <c r="L273" s="827"/>
      <c r="M273" s="925"/>
      <c r="N273" s="829"/>
      <c r="O273" s="829"/>
      <c r="P273" s="830"/>
      <c r="Q273" s="32"/>
      <c r="R273" s="128"/>
      <c r="S273" s="64"/>
      <c r="T273" s="64"/>
      <c r="U273" s="18"/>
      <c r="V273" s="71"/>
      <c r="W273" s="64"/>
      <c r="X273" s="86"/>
      <c r="Y273" s="1"/>
      <c r="Z273" s="1"/>
      <c r="AA273" s="1"/>
      <c r="AB273" s="1"/>
      <c r="AC273" s="1"/>
      <c r="AD273" s="1"/>
      <c r="AE273" s="1"/>
      <c r="AF273" s="1"/>
      <c r="IP273" s="1"/>
      <c r="IQ273" s="1"/>
      <c r="IR273" s="1"/>
      <c r="IS273" s="1"/>
    </row>
    <row r="274" spans="1:253" s="2" customFormat="1" ht="12.65" customHeight="1" x14ac:dyDescent="0.25">
      <c r="A274" s="862"/>
      <c r="B274" s="863" t="s">
        <v>153</v>
      </c>
      <c r="C274" s="802"/>
      <c r="D274" s="803"/>
      <c r="E274" s="803"/>
      <c r="F274" s="803"/>
      <c r="G274" s="803"/>
      <c r="H274" s="803"/>
      <c r="I274" s="804"/>
      <c r="J274" s="805"/>
      <c r="K274" s="923"/>
      <c r="L274" s="943"/>
      <c r="M274" s="916"/>
      <c r="N274" s="809"/>
      <c r="O274" s="809"/>
      <c r="P274" s="849"/>
      <c r="Q274" s="15"/>
      <c r="R274" s="127"/>
      <c r="S274" s="46"/>
      <c r="T274" s="46"/>
      <c r="V274" s="67"/>
      <c r="W274" s="46"/>
      <c r="X274" s="115"/>
      <c r="Y274" s="1"/>
      <c r="Z274" s="1"/>
      <c r="AA274" s="1"/>
      <c r="AB274" s="1"/>
      <c r="AC274" s="1"/>
      <c r="AD274" s="1"/>
      <c r="AE274" s="1"/>
      <c r="AF274" s="1"/>
      <c r="IP274" s="1"/>
      <c r="IQ274" s="1"/>
      <c r="IR274" s="1"/>
      <c r="IS274" s="1"/>
    </row>
    <row r="275" spans="1:253" s="2" customFormat="1" ht="12.65" customHeight="1" x14ac:dyDescent="0.25">
      <c r="A275" s="880"/>
      <c r="B275" s="881" t="s">
        <v>132</v>
      </c>
      <c r="C275" s="922">
        <v>0</v>
      </c>
      <c r="D275" s="803">
        <v>0</v>
      </c>
      <c r="E275" s="803">
        <v>0</v>
      </c>
      <c r="F275" s="803">
        <v>20</v>
      </c>
      <c r="G275" s="803">
        <v>0</v>
      </c>
      <c r="H275" s="803">
        <f>SUM(C275:G275)</f>
        <v>20</v>
      </c>
      <c r="I275" s="804">
        <f>((C275*$C$5)+(D275*$D$5)+(E275*$E$5)+(F275*$F$5)+(G275*$G$5))</f>
        <v>1250.3399999999999</v>
      </c>
      <c r="J275" s="805">
        <v>66.67</v>
      </c>
      <c r="K275" s="923">
        <v>0</v>
      </c>
      <c r="L275" s="807">
        <f>M10</f>
        <v>57</v>
      </c>
      <c r="M275" s="916">
        <f>(C275+D275+E275+F275+G275)*L275</f>
        <v>1140</v>
      </c>
      <c r="N275" s="809">
        <f>J275*L275</f>
        <v>3800.19</v>
      </c>
      <c r="O275" s="809">
        <f>K275*L275</f>
        <v>0</v>
      </c>
      <c r="P275" s="950">
        <f t="shared" ref="P275" si="77">I275*L275</f>
        <v>71269.37999999999</v>
      </c>
      <c r="Q275" s="13">
        <f>(I275+J275+K275)*L275</f>
        <v>75069.569999999992</v>
      </c>
      <c r="R275" s="104" t="s">
        <v>199</v>
      </c>
      <c r="S275" s="62" t="str">
        <f>IF($R275="RP",L275,"")</f>
        <v/>
      </c>
      <c r="T275" s="62" t="str">
        <f>IF($R275="RP",M275,"")</f>
        <v/>
      </c>
      <c r="U275" s="62" t="str">
        <f>IF($R275="RP",SUM(N275:O275),"")</f>
        <v/>
      </c>
      <c r="V275" s="62">
        <f>IF($R275="RK",L275,"")</f>
        <v>57</v>
      </c>
      <c r="W275" s="62">
        <f>IF($R275="RK",M275,"")</f>
        <v>1140</v>
      </c>
      <c r="X275" s="100">
        <f>IF($R275="Rk",SUM(N275:O275),"")</f>
        <v>3800.19</v>
      </c>
      <c r="Y275" s="1"/>
      <c r="Z275" s="1"/>
      <c r="AA275" s="1"/>
      <c r="AB275" s="1"/>
      <c r="AC275" s="1"/>
      <c r="AD275" s="1"/>
      <c r="AE275" s="1"/>
      <c r="AF275" s="1"/>
      <c r="IP275" s="1"/>
      <c r="IQ275" s="1"/>
      <c r="IR275" s="1"/>
      <c r="IS275" s="1"/>
    </row>
    <row r="276" spans="1:253" s="2" customFormat="1" ht="12.65" customHeight="1" x14ac:dyDescent="0.25">
      <c r="A276" s="880" t="s">
        <v>811</v>
      </c>
      <c r="B276" s="944"/>
      <c r="C276" s="900"/>
      <c r="D276" s="822"/>
      <c r="E276" s="823"/>
      <c r="F276" s="823"/>
      <c r="G276" s="823"/>
      <c r="H276" s="823"/>
      <c r="I276" s="824"/>
      <c r="J276" s="825"/>
      <c r="K276" s="826"/>
      <c r="L276" s="1127"/>
      <c r="M276" s="985"/>
      <c r="N276" s="919"/>
      <c r="O276" s="919"/>
      <c r="P276" s="920"/>
      <c r="Q276" s="13"/>
      <c r="R276" s="128"/>
      <c r="S276" s="64"/>
      <c r="T276" s="64"/>
      <c r="U276" s="18"/>
      <c r="V276" s="71"/>
      <c r="W276" s="64"/>
      <c r="X276" s="86"/>
      <c r="Y276" s="1"/>
      <c r="Z276" s="1"/>
      <c r="AA276" s="1"/>
      <c r="AB276" s="1"/>
      <c r="AC276" s="1"/>
      <c r="AD276" s="1"/>
      <c r="AE276" s="1"/>
      <c r="AF276" s="1"/>
      <c r="IP276" s="1"/>
      <c r="IQ276" s="1"/>
      <c r="IR276" s="1"/>
      <c r="IS276" s="1"/>
    </row>
    <row r="277" spans="1:253" s="2" customFormat="1" ht="12.65" customHeight="1" x14ac:dyDescent="0.25">
      <c r="A277" s="862"/>
      <c r="B277" s="863" t="s">
        <v>133</v>
      </c>
      <c r="C277" s="802"/>
      <c r="D277" s="803"/>
      <c r="E277" s="803"/>
      <c r="F277" s="803"/>
      <c r="G277" s="803"/>
      <c r="H277" s="803"/>
      <c r="I277" s="804"/>
      <c r="J277" s="805"/>
      <c r="K277" s="923"/>
      <c r="L277" s="1125"/>
      <c r="M277" s="808"/>
      <c r="N277" s="809"/>
      <c r="O277" s="809"/>
      <c r="P277" s="810"/>
      <c r="Q277" s="15"/>
      <c r="R277" s="127"/>
      <c r="S277" s="46"/>
      <c r="T277" s="46"/>
      <c r="V277" s="67"/>
      <c r="W277" s="46"/>
      <c r="X277" s="115"/>
      <c r="Y277" s="1"/>
      <c r="Z277" s="1"/>
      <c r="AA277" s="1"/>
      <c r="AB277" s="1"/>
      <c r="AC277" s="1"/>
      <c r="AD277" s="1"/>
      <c r="AE277" s="1"/>
      <c r="AF277" s="1"/>
      <c r="IP277" s="1"/>
      <c r="IQ277" s="1"/>
      <c r="IR277" s="1"/>
      <c r="IS277" s="1"/>
    </row>
    <row r="278" spans="1:253" s="2" customFormat="1" ht="12.65" customHeight="1" x14ac:dyDescent="0.25">
      <c r="A278" s="880"/>
      <c r="B278" s="881" t="s">
        <v>41</v>
      </c>
      <c r="C278" s="922">
        <v>0</v>
      </c>
      <c r="D278" s="803">
        <v>1</v>
      </c>
      <c r="E278" s="803">
        <v>10</v>
      </c>
      <c r="F278" s="803">
        <v>2</v>
      </c>
      <c r="G278" s="803">
        <v>0</v>
      </c>
      <c r="H278" s="803">
        <f>SUM(C278:G278)</f>
        <v>13</v>
      </c>
      <c r="I278" s="804">
        <f>((C278*$C$5)+(D278*$D$5)+(E278*$E$5)+(F278*$F$5)+(G278*$G$5))</f>
        <v>1522.0590000000002</v>
      </c>
      <c r="J278" s="805">
        <v>66.67</v>
      </c>
      <c r="K278" s="923">
        <v>0</v>
      </c>
      <c r="L278" s="915">
        <f>M10</f>
        <v>57</v>
      </c>
      <c r="M278" s="916">
        <f>(C278+D278+E278+F278+G278)*L278</f>
        <v>741</v>
      </c>
      <c r="N278" s="809">
        <f>J278*L278</f>
        <v>3800.19</v>
      </c>
      <c r="O278" s="809">
        <f>K278*L278</f>
        <v>0</v>
      </c>
      <c r="P278" s="810">
        <f t="shared" ref="P278" si="78">I278*L278</f>
        <v>86757.363000000012</v>
      </c>
      <c r="Q278" s="13">
        <f>(I278+J278+K278)*L278</f>
        <v>90557.553000000014</v>
      </c>
      <c r="R278" s="104" t="s">
        <v>199</v>
      </c>
      <c r="S278" s="62" t="str">
        <f>IF($R278="RP",L278,"")</f>
        <v/>
      </c>
      <c r="T278" s="62" t="str">
        <f>IF($R278="RP",M278,"")</f>
        <v/>
      </c>
      <c r="U278" s="62" t="str">
        <f>IF($R278="RP",SUM(N278:O278),"")</f>
        <v/>
      </c>
      <c r="V278" s="62">
        <f>IF($R278="RK",L278,"")</f>
        <v>57</v>
      </c>
      <c r="W278" s="62">
        <f>IF($R278="RK",M278,"")</f>
        <v>741</v>
      </c>
      <c r="X278" s="100">
        <f>IF($R278="Rk",SUM(N278:O278),"")</f>
        <v>3800.19</v>
      </c>
      <c r="Y278" s="1"/>
      <c r="Z278" s="1"/>
      <c r="AA278" s="1"/>
      <c r="AB278" s="1"/>
      <c r="AC278" s="1"/>
      <c r="AD278" s="1"/>
      <c r="AE278" s="1"/>
      <c r="AF278" s="1"/>
      <c r="IP278" s="1"/>
      <c r="IQ278" s="1"/>
      <c r="IR278" s="1"/>
      <c r="IS278" s="1"/>
    </row>
    <row r="279" spans="1:253" s="2" customFormat="1" ht="12.65" customHeight="1" x14ac:dyDescent="0.25">
      <c r="A279" s="924" t="s">
        <v>812</v>
      </c>
      <c r="B279" s="902"/>
      <c r="C279" s="903"/>
      <c r="D279" s="822"/>
      <c r="E279" s="823"/>
      <c r="F279" s="823"/>
      <c r="G279" s="823"/>
      <c r="H279" s="823"/>
      <c r="I279" s="824"/>
      <c r="J279" s="825"/>
      <c r="K279" s="826"/>
      <c r="L279" s="827"/>
      <c r="M279" s="925"/>
      <c r="N279" s="829"/>
      <c r="O279" s="829"/>
      <c r="P279" s="830"/>
      <c r="Q279" s="30"/>
      <c r="R279" s="128"/>
      <c r="S279" s="64"/>
      <c r="T279" s="64"/>
      <c r="U279" s="18"/>
      <c r="V279" s="71"/>
      <c r="W279" s="64"/>
      <c r="X279" s="86"/>
      <c r="Y279" s="1"/>
      <c r="Z279" s="1"/>
      <c r="AA279" s="1"/>
      <c r="AB279" s="1"/>
      <c r="AC279" s="1"/>
      <c r="AD279" s="1"/>
      <c r="AE279" s="1"/>
      <c r="AF279" s="1"/>
      <c r="IP279" s="1"/>
      <c r="IQ279" s="1"/>
      <c r="IR279" s="1"/>
      <c r="IS279" s="1"/>
    </row>
    <row r="280" spans="1:253" s="2" customFormat="1" ht="12.65" customHeight="1" x14ac:dyDescent="0.25">
      <c r="A280" s="1268"/>
      <c r="B280" s="863" t="s">
        <v>137</v>
      </c>
      <c r="C280" s="802">
        <v>0</v>
      </c>
      <c r="D280" s="803">
        <v>0</v>
      </c>
      <c r="E280" s="803">
        <v>20</v>
      </c>
      <c r="F280" s="803">
        <v>0</v>
      </c>
      <c r="G280" s="803">
        <v>0</v>
      </c>
      <c r="H280" s="803">
        <f>SUM(C280:G280)</f>
        <v>20</v>
      </c>
      <c r="I280" s="804">
        <f>((C280*$C$5)+(D280*$D$5)+(E280*$E$5)+(F280*$F$5)+(G280*$G$5))</f>
        <v>2478.84</v>
      </c>
      <c r="J280" s="805">
        <v>0</v>
      </c>
      <c r="K280" s="923">
        <v>0</v>
      </c>
      <c r="L280" s="807">
        <f>M10</f>
        <v>57</v>
      </c>
      <c r="M280" s="916">
        <f>(C280+D280+E280+F280+G280)*L280</f>
        <v>1140</v>
      </c>
      <c r="N280" s="809">
        <f>J280*L280</f>
        <v>0</v>
      </c>
      <c r="O280" s="809">
        <f>K280*L280</f>
        <v>0</v>
      </c>
      <c r="P280" s="950">
        <f t="shared" ref="P280" si="79">I280*L280</f>
        <v>141293.88</v>
      </c>
      <c r="Q280" s="13">
        <f>(I280+J280+K280)*L280</f>
        <v>141293.88</v>
      </c>
      <c r="R280" s="104" t="s">
        <v>199</v>
      </c>
      <c r="S280" s="62" t="str">
        <f>IF($R280="RP",L280,"")</f>
        <v/>
      </c>
      <c r="T280" s="62" t="str">
        <f>IF($R280="RP",M280,"")</f>
        <v/>
      </c>
      <c r="U280" s="62" t="str">
        <f>IF($R280="RP",SUM(N280:O280),"")</f>
        <v/>
      </c>
      <c r="V280" s="62">
        <f>IF($R280="RK",L280,"")</f>
        <v>57</v>
      </c>
      <c r="W280" s="62">
        <f>IF($R280="RK",M280,"")</f>
        <v>1140</v>
      </c>
      <c r="X280" s="100">
        <f>IF($R280="Rk",SUM(N280:O280),"")</f>
        <v>0</v>
      </c>
      <c r="Y280" s="1"/>
      <c r="Z280" s="1"/>
      <c r="AA280" s="1"/>
      <c r="AB280" s="1"/>
      <c r="AC280" s="1"/>
      <c r="AD280" s="1"/>
      <c r="AE280" s="1"/>
      <c r="AF280" s="1"/>
      <c r="IP280" s="1"/>
      <c r="IQ280" s="1"/>
      <c r="IR280" s="1"/>
      <c r="IS280" s="1"/>
    </row>
    <row r="281" spans="1:253" s="2" customFormat="1" ht="12.65" customHeight="1" x14ac:dyDescent="0.25">
      <c r="A281" s="924" t="s">
        <v>759</v>
      </c>
      <c r="B281" s="941"/>
      <c r="C281" s="942"/>
      <c r="D281" s="822"/>
      <c r="E281" s="823"/>
      <c r="F281" s="823"/>
      <c r="G281" s="823"/>
      <c r="H281" s="823"/>
      <c r="I281" s="824"/>
      <c r="J281" s="825"/>
      <c r="K281" s="826"/>
      <c r="L281" s="827"/>
      <c r="M281" s="925"/>
      <c r="N281" s="829"/>
      <c r="O281" s="829"/>
      <c r="P281" s="964"/>
      <c r="Q281" s="32"/>
      <c r="R281" s="124"/>
      <c r="S281" s="46"/>
      <c r="T281" s="46"/>
      <c r="V281" s="67"/>
      <c r="W281" s="46"/>
      <c r="X281" s="115"/>
      <c r="Y281" s="1"/>
      <c r="Z281" s="1"/>
      <c r="AA281" s="1"/>
      <c r="AB281" s="1"/>
      <c r="AC281" s="1"/>
      <c r="AD281" s="1"/>
      <c r="AE281" s="1"/>
      <c r="AF281" s="1"/>
      <c r="IP281" s="1"/>
      <c r="IQ281" s="1"/>
      <c r="IR281" s="1"/>
      <c r="IS281" s="1"/>
    </row>
    <row r="282" spans="1:253" s="2" customFormat="1" ht="12.65" customHeight="1" x14ac:dyDescent="0.25">
      <c r="A282" s="946"/>
      <c r="B282" s="863" t="s">
        <v>140</v>
      </c>
      <c r="C282" s="802">
        <v>0</v>
      </c>
      <c r="D282" s="803">
        <v>0</v>
      </c>
      <c r="E282" s="803">
        <v>10</v>
      </c>
      <c r="F282" s="803">
        <v>0</v>
      </c>
      <c r="G282" s="803">
        <v>0</v>
      </c>
      <c r="H282" s="803">
        <f>SUM(C282:G282)</f>
        <v>10</v>
      </c>
      <c r="I282" s="804">
        <f>((C282*$C$5)+(D282*$D$5)+(E282*$E$5)+(F282*$F$5)+(G282*$G$5))</f>
        <v>1239.42</v>
      </c>
      <c r="J282" s="805">
        <v>0</v>
      </c>
      <c r="K282" s="923">
        <v>0</v>
      </c>
      <c r="L282" s="807">
        <f>M10</f>
        <v>57</v>
      </c>
      <c r="M282" s="916">
        <f>(C282+D282+E282+F282+G282)*L282</f>
        <v>570</v>
      </c>
      <c r="N282" s="809">
        <f>J282*L282</f>
        <v>0</v>
      </c>
      <c r="O282" s="809">
        <f>K282*L282</f>
        <v>0</v>
      </c>
      <c r="P282" s="950">
        <f t="shared" ref="P282" si="80">I282*L282</f>
        <v>70646.94</v>
      </c>
      <c r="Q282" s="13">
        <f>(I282+J282+K282)*L282</f>
        <v>70646.94</v>
      </c>
      <c r="R282" s="104" t="s">
        <v>199</v>
      </c>
      <c r="S282" s="62" t="str">
        <f>IF($R282="RP",L282,"")</f>
        <v/>
      </c>
      <c r="T282" s="62" t="str">
        <f>IF($R282="RP",M282,"")</f>
        <v/>
      </c>
      <c r="U282" s="62" t="str">
        <f>IF($R282="RP",SUM(N282:O282),"")</f>
        <v/>
      </c>
      <c r="V282" s="62">
        <f>IF($R282="RK",L282,"")</f>
        <v>57</v>
      </c>
      <c r="W282" s="62">
        <f>IF($R282="RK",M282,"")</f>
        <v>570</v>
      </c>
      <c r="X282" s="100">
        <f>IF($R282="Rk",SUM(N282:O282),"")</f>
        <v>0</v>
      </c>
      <c r="Y282" s="1"/>
      <c r="Z282" s="1"/>
      <c r="AA282" s="1"/>
      <c r="AB282" s="1"/>
      <c r="AC282" s="1"/>
      <c r="AD282" s="1"/>
      <c r="AE282" s="1"/>
      <c r="AF282" s="1"/>
      <c r="IP282" s="1"/>
      <c r="IQ282" s="1"/>
      <c r="IR282" s="1"/>
      <c r="IS282" s="1"/>
    </row>
    <row r="283" spans="1:253" s="2" customFormat="1" ht="22.5" customHeight="1" x14ac:dyDescent="0.25">
      <c r="A283" s="1345" t="s">
        <v>813</v>
      </c>
      <c r="B283" s="1346"/>
      <c r="C283" s="942"/>
      <c r="D283" s="822"/>
      <c r="E283" s="823"/>
      <c r="F283" s="823"/>
      <c r="G283" s="823"/>
      <c r="H283" s="823"/>
      <c r="I283" s="824"/>
      <c r="J283" s="825"/>
      <c r="K283" s="826"/>
      <c r="L283" s="827"/>
      <c r="M283" s="925"/>
      <c r="N283" s="829"/>
      <c r="O283" s="829"/>
      <c r="P283" s="964"/>
      <c r="Q283" s="32"/>
      <c r="R283" s="77"/>
      <c r="S283" s="64"/>
      <c r="T283" s="64"/>
      <c r="U283" s="18"/>
      <c r="V283" s="71"/>
      <c r="W283" s="64"/>
      <c r="X283" s="86"/>
      <c r="Y283" s="1"/>
      <c r="Z283" s="1"/>
      <c r="AA283" s="1"/>
      <c r="AB283" s="1"/>
      <c r="AC283" s="1"/>
      <c r="AD283" s="1"/>
      <c r="AE283" s="1"/>
      <c r="AF283" s="1"/>
      <c r="IP283" s="1"/>
      <c r="IQ283" s="1"/>
      <c r="IR283" s="1"/>
      <c r="IS283" s="1"/>
    </row>
    <row r="284" spans="1:253" s="2" customFormat="1" ht="12.65" customHeight="1" x14ac:dyDescent="0.25">
      <c r="A284" s="761"/>
      <c r="B284" s="863" t="s">
        <v>141</v>
      </c>
      <c r="C284" s="802"/>
      <c r="D284" s="803"/>
      <c r="E284" s="803"/>
      <c r="F284" s="803"/>
      <c r="G284" s="803"/>
      <c r="H284" s="803"/>
      <c r="I284" s="1269"/>
      <c r="J284" s="805"/>
      <c r="K284" s="923"/>
      <c r="L284" s="943"/>
      <c r="M284" s="916"/>
      <c r="N284" s="809"/>
      <c r="O284" s="809"/>
      <c r="P284" s="950"/>
      <c r="Q284" s="15"/>
      <c r="R284" s="124"/>
      <c r="S284" s="46"/>
      <c r="T284" s="46"/>
      <c r="V284" s="67"/>
      <c r="W284" s="46"/>
      <c r="X284" s="115"/>
      <c r="Y284" s="1"/>
      <c r="Z284" s="1"/>
      <c r="AA284" s="1"/>
      <c r="AB284" s="1"/>
      <c r="AC284" s="1"/>
      <c r="AD284" s="1"/>
      <c r="AE284" s="1"/>
      <c r="AF284" s="1"/>
      <c r="IP284" s="1"/>
      <c r="IQ284" s="1"/>
      <c r="IR284" s="1"/>
      <c r="IS284" s="1"/>
    </row>
    <row r="285" spans="1:253" s="2" customFormat="1" ht="12.65" customHeight="1" x14ac:dyDescent="0.25">
      <c r="A285" s="978"/>
      <c r="B285" s="881" t="s">
        <v>142</v>
      </c>
      <c r="C285" s="922">
        <v>0</v>
      </c>
      <c r="D285" s="833">
        <v>0</v>
      </c>
      <c r="E285" s="833">
        <v>0</v>
      </c>
      <c r="F285" s="833">
        <v>0</v>
      </c>
      <c r="G285" s="833">
        <v>0</v>
      </c>
      <c r="H285" s="833">
        <f>SUM(C285:G285)</f>
        <v>0</v>
      </c>
      <c r="I285" s="834">
        <f>((C285*$C$5)+(D285*$D$5)+(E285*$E$5)+(F285*$F$5)+(G285*$G$5))</f>
        <v>0</v>
      </c>
      <c r="J285" s="835">
        <v>0</v>
      </c>
      <c r="K285" s="806">
        <v>0</v>
      </c>
      <c r="L285" s="836">
        <f>M10</f>
        <v>57</v>
      </c>
      <c r="M285" s="1012">
        <f>(C285+D285+E285+F285+G285)*L285</f>
        <v>0</v>
      </c>
      <c r="N285" s="1022">
        <f>J285*L285</f>
        <v>0</v>
      </c>
      <c r="O285" s="1022">
        <f>K285*L285</f>
        <v>0</v>
      </c>
      <c r="P285" s="1087">
        <f t="shared" ref="P285" si="81">I285*L285</f>
        <v>0</v>
      </c>
      <c r="Q285" s="13">
        <f>(I285+J285+K285)*L285</f>
        <v>0</v>
      </c>
      <c r="R285" s="76" t="s">
        <v>199</v>
      </c>
      <c r="S285" s="62" t="str">
        <f>IF($R285="RP",L285,"")</f>
        <v/>
      </c>
      <c r="T285" s="62" t="str">
        <f>IF($R285="RP",M285,"")</f>
        <v/>
      </c>
      <c r="U285" s="62" t="str">
        <f>IF($R285="RP",SUM(N285:O285),"")</f>
        <v/>
      </c>
      <c r="V285" s="62">
        <f>IF($R285="RK",L285,"")</f>
        <v>57</v>
      </c>
      <c r="W285" s="62">
        <f>IF($R285="RK",M285,"")</f>
        <v>0</v>
      </c>
      <c r="X285" s="100">
        <f>IF($R285="Rk",SUM(N285:O285),"")</f>
        <v>0</v>
      </c>
      <c r="Y285" s="1"/>
      <c r="Z285" s="1"/>
      <c r="AA285" s="1"/>
      <c r="AB285" s="1"/>
      <c r="AC285" s="1"/>
      <c r="AD285" s="1"/>
      <c r="AE285" s="1"/>
      <c r="AF285" s="1"/>
      <c r="IP285" s="1"/>
      <c r="IQ285" s="1"/>
      <c r="IR285" s="1"/>
      <c r="IS285" s="1"/>
    </row>
    <row r="286" spans="1:253" s="2" customFormat="1" ht="12.65" customHeight="1" x14ac:dyDescent="0.25">
      <c r="A286" s="761"/>
      <c r="B286" s="863" t="s">
        <v>143</v>
      </c>
      <c r="C286" s="802"/>
      <c r="D286" s="803"/>
      <c r="E286" s="803"/>
      <c r="F286" s="803"/>
      <c r="G286" s="803"/>
      <c r="H286" s="803"/>
      <c r="I286" s="1270"/>
      <c r="J286" s="1271"/>
      <c r="K286" s="923"/>
      <c r="L286" s="943"/>
      <c r="M286" s="916"/>
      <c r="N286" s="809"/>
      <c r="O286" s="809"/>
      <c r="P286" s="849"/>
      <c r="Q286" s="15"/>
      <c r="R286" s="124"/>
      <c r="S286" s="46"/>
      <c r="T286" s="46"/>
      <c r="V286" s="67"/>
      <c r="W286" s="46"/>
      <c r="X286" s="115"/>
      <c r="Y286" s="1"/>
      <c r="Z286" s="1"/>
      <c r="AA286" s="1"/>
      <c r="AB286" s="1"/>
      <c r="AC286" s="1"/>
      <c r="AD286" s="1"/>
      <c r="AE286" s="1"/>
      <c r="AF286" s="1"/>
      <c r="IP286" s="1"/>
      <c r="IQ286" s="1"/>
      <c r="IR286" s="1"/>
      <c r="IS286" s="1"/>
    </row>
    <row r="287" spans="1:253" s="2" customFormat="1" ht="12.65" customHeight="1" x14ac:dyDescent="0.25">
      <c r="A287" s="761"/>
      <c r="B287" s="863" t="s">
        <v>144</v>
      </c>
      <c r="C287" s="802">
        <v>0</v>
      </c>
      <c r="D287" s="803">
        <v>0</v>
      </c>
      <c r="E287" s="803">
        <v>1</v>
      </c>
      <c r="F287" s="803">
        <v>0</v>
      </c>
      <c r="G287" s="803">
        <v>0</v>
      </c>
      <c r="H287" s="803">
        <f>SUM(C287:G287)</f>
        <v>1</v>
      </c>
      <c r="I287" s="1272">
        <f>((C287*$C$5)+(D287*$D$5)+(E287*$E$5)+(F287*$F$5)+(G287*$G$5))</f>
        <v>123.94200000000001</v>
      </c>
      <c r="J287" s="1271">
        <v>0</v>
      </c>
      <c r="K287" s="806">
        <v>0</v>
      </c>
      <c r="L287" s="807">
        <f>M10</f>
        <v>57</v>
      </c>
      <c r="M287" s="916">
        <f>(C287+D287+E287+F287+G287)*L287</f>
        <v>57</v>
      </c>
      <c r="N287" s="809">
        <f>J287*L287</f>
        <v>0</v>
      </c>
      <c r="O287" s="809">
        <f>K287*L287</f>
        <v>0</v>
      </c>
      <c r="P287" s="839">
        <f t="shared" ref="P287" si="82">I287*L287</f>
        <v>7064.6940000000004</v>
      </c>
      <c r="Q287" s="15">
        <f>(I287+J287+K287)*L287</f>
        <v>7064.6940000000004</v>
      </c>
      <c r="R287" s="74" t="s">
        <v>199</v>
      </c>
      <c r="S287" s="46" t="str">
        <f>IF($R287="RP",L287,"")</f>
        <v/>
      </c>
      <c r="T287" s="46" t="str">
        <f>IF($R287="RP",M287,"")</f>
        <v/>
      </c>
      <c r="U287" s="46" t="str">
        <f>IF($R287="RP",SUM(N287:O287),"")</f>
        <v/>
      </c>
      <c r="V287" s="46">
        <f>IF($R287="RK",L287,"")</f>
        <v>57</v>
      </c>
      <c r="W287" s="46">
        <f>IF($R287="RK",M287,"")</f>
        <v>57</v>
      </c>
      <c r="X287" s="100">
        <f>IF($R287="Rk",SUM(N287:O287),"")</f>
        <v>0</v>
      </c>
      <c r="Y287" s="1"/>
      <c r="Z287" s="1"/>
      <c r="AA287" s="1"/>
      <c r="AB287" s="1"/>
      <c r="AC287" s="1"/>
      <c r="AD287" s="1"/>
      <c r="AE287" s="1"/>
      <c r="AF287" s="1"/>
      <c r="IP287" s="1"/>
      <c r="IQ287" s="1"/>
      <c r="IR287" s="1"/>
      <c r="IS287" s="1"/>
    </row>
    <row r="288" spans="1:253" s="2" customFormat="1" ht="12.65" customHeight="1" x14ac:dyDescent="0.25">
      <c r="A288" s="1273" t="s">
        <v>216</v>
      </c>
      <c r="B288" s="1274"/>
      <c r="C288" s="811"/>
      <c r="D288" s="952"/>
      <c r="E288" s="952"/>
      <c r="F288" s="952"/>
      <c r="G288" s="952"/>
      <c r="H288" s="952"/>
      <c r="I288" s="867"/>
      <c r="J288" s="953"/>
      <c r="K288" s="953"/>
      <c r="L288" s="1230"/>
      <c r="M288" s="1275"/>
      <c r="N288" s="956"/>
      <c r="O288" s="956"/>
      <c r="P288" s="1276"/>
      <c r="Q288" s="16"/>
      <c r="R288" s="77"/>
      <c r="S288" s="122"/>
      <c r="T288" s="88"/>
      <c r="U288" s="88"/>
      <c r="V288" s="88"/>
      <c r="W288" s="88"/>
      <c r="X288" s="89"/>
      <c r="Y288" s="1"/>
      <c r="Z288" s="1"/>
      <c r="AA288" s="1"/>
      <c r="AB288" s="1"/>
      <c r="AC288" s="1"/>
      <c r="AD288" s="1"/>
      <c r="AE288" s="1"/>
      <c r="AF288" s="1"/>
      <c r="IP288" s="1"/>
      <c r="IQ288" s="1"/>
      <c r="IR288" s="1"/>
      <c r="IS288" s="1"/>
    </row>
    <row r="289" spans="1:253" s="2" customFormat="1" ht="12.65" customHeight="1" x14ac:dyDescent="0.25">
      <c r="A289" s="819" t="s">
        <v>814</v>
      </c>
      <c r="B289" s="820"/>
      <c r="C289" s="821"/>
      <c r="D289" s="822"/>
      <c r="E289" s="823"/>
      <c r="F289" s="823"/>
      <c r="G289" s="823"/>
      <c r="H289" s="823"/>
      <c r="I289" s="824"/>
      <c r="J289" s="825"/>
      <c r="K289" s="826"/>
      <c r="L289" s="827"/>
      <c r="M289" s="828"/>
      <c r="N289" s="829"/>
      <c r="O289" s="829"/>
      <c r="P289" s="830"/>
      <c r="Q289" s="102"/>
      <c r="R289" s="77"/>
      <c r="S289" s="64"/>
      <c r="T289" s="64"/>
      <c r="U289" s="18"/>
      <c r="V289" s="71"/>
      <c r="W289" s="64"/>
      <c r="X289" s="86"/>
      <c r="Y289" s="1"/>
      <c r="Z289" s="1"/>
      <c r="AA289" s="1"/>
      <c r="AB289" s="1"/>
      <c r="AC289" s="1"/>
      <c r="AD289" s="1"/>
      <c r="AE289" s="1"/>
      <c r="AF289" s="1"/>
      <c r="IP289" s="1"/>
      <c r="IQ289" s="1"/>
      <c r="IR289" s="1"/>
      <c r="IS289" s="1"/>
    </row>
    <row r="290" spans="1:253" s="2" customFormat="1" ht="12.65" customHeight="1" x14ac:dyDescent="0.25">
      <c r="A290" s="880"/>
      <c r="B290" s="1277" t="s">
        <v>662</v>
      </c>
      <c r="C290" s="922">
        <v>0</v>
      </c>
      <c r="D290" s="833">
        <f>E290*0.05</f>
        <v>6.8000000000000007</v>
      </c>
      <c r="E290" s="1278">
        <f>64+72</f>
        <v>136</v>
      </c>
      <c r="F290" s="1123">
        <f>E290*0.1</f>
        <v>13.600000000000001</v>
      </c>
      <c r="G290" s="1123">
        <v>0</v>
      </c>
      <c r="H290" s="1123">
        <f>SUM(C290:G290)</f>
        <v>156.4</v>
      </c>
      <c r="I290" s="1272">
        <f>((C290*$C$5)+(D290*$D$5)+(E290*$E$5)+(F290*$F$5)+(G290*$G$5))</f>
        <v>18778.057199999999</v>
      </c>
      <c r="J290" s="1124">
        <v>0</v>
      </c>
      <c r="K290" s="1124">
        <v>50</v>
      </c>
      <c r="L290" s="1279">
        <f>$M$10*0.1</f>
        <v>5.7</v>
      </c>
      <c r="M290" s="1280">
        <f>(C290+D290+E290+F290+G290)*L290</f>
        <v>891.48</v>
      </c>
      <c r="N290" s="1281">
        <f>J290*L290</f>
        <v>0</v>
      </c>
      <c r="O290" s="1014">
        <f>K290*L290</f>
        <v>285</v>
      </c>
      <c r="P290" s="839">
        <f>I290*L290</f>
        <v>107034.92604000001</v>
      </c>
      <c r="Q290" s="13">
        <f>(I290+J290+K290)*L290</f>
        <v>107319.92604000001</v>
      </c>
      <c r="R290" s="76" t="s">
        <v>199</v>
      </c>
      <c r="S290" s="62" t="str">
        <f>IF($R290="RP",L290,"")</f>
        <v/>
      </c>
      <c r="T290" s="62" t="str">
        <f>IF($R290="RP",M290,"")</f>
        <v/>
      </c>
      <c r="U290" s="63" t="str">
        <f>IF($R290="RP",SUM(N290:O290),"")</f>
        <v/>
      </c>
      <c r="V290" s="62">
        <f t="shared" ref="V290:W292" si="83">IF($R290="RK",L290,"")</f>
        <v>5.7</v>
      </c>
      <c r="W290" s="62">
        <f t="shared" si="83"/>
        <v>891.48</v>
      </c>
      <c r="X290" s="100">
        <f>IF($R290="Rk",SUM(N290:O290),"")</f>
        <v>285</v>
      </c>
      <c r="Y290" s="1"/>
      <c r="Z290" s="1"/>
      <c r="AA290" s="1"/>
      <c r="AB290" s="1"/>
      <c r="AC290" s="1"/>
      <c r="AD290" s="1"/>
      <c r="AE290" s="1"/>
      <c r="AF290" s="1"/>
      <c r="IP290" s="1"/>
      <c r="IQ290" s="1"/>
      <c r="IR290" s="1"/>
      <c r="IS290" s="1"/>
    </row>
    <row r="291" spans="1:253" s="2" customFormat="1" ht="12.65" customHeight="1" x14ac:dyDescent="0.25">
      <c r="A291" s="911"/>
      <c r="B291" s="1019" t="s">
        <v>229</v>
      </c>
      <c r="C291" s="1020">
        <v>0</v>
      </c>
      <c r="D291" s="833">
        <f>E291*0.05</f>
        <v>0.60000000000000009</v>
      </c>
      <c r="E291" s="1048">
        <v>12</v>
      </c>
      <c r="F291" s="1123">
        <f>E291*0.1</f>
        <v>1.2000000000000002</v>
      </c>
      <c r="G291" s="952">
        <v>0</v>
      </c>
      <c r="H291" s="1123">
        <f>SUM(C291:G291)</f>
        <v>13.8</v>
      </c>
      <c r="I291" s="1272">
        <f>((C291*$C$5)+(D291*$D$5)+(E291*$E$5)+(F291*$F$5)+(G291*$G$5))</f>
        <v>1656.8874000000003</v>
      </c>
      <c r="J291" s="1124">
        <v>0</v>
      </c>
      <c r="K291" s="953">
        <v>0</v>
      </c>
      <c r="L291" s="1249">
        <f>$M$10</f>
        <v>57</v>
      </c>
      <c r="M291" s="1134">
        <f>(C291+D291+E291+F291+G291)*L291</f>
        <v>786.6</v>
      </c>
      <c r="N291" s="1281">
        <f>J291*L291</f>
        <v>0</v>
      </c>
      <c r="O291" s="1014">
        <f>K291*L291</f>
        <v>0</v>
      </c>
      <c r="P291" s="839">
        <f>I291*L291</f>
        <v>94442.581800000014</v>
      </c>
      <c r="Q291" s="13">
        <f>(I291+J291+K291)*L291</f>
        <v>94442.581800000014</v>
      </c>
      <c r="R291" s="76" t="s">
        <v>199</v>
      </c>
      <c r="S291" s="64"/>
      <c r="T291" s="64"/>
      <c r="U291" s="17"/>
      <c r="V291" s="62">
        <f t="shared" si="83"/>
        <v>57</v>
      </c>
      <c r="W291" s="62">
        <f t="shared" si="83"/>
        <v>786.6</v>
      </c>
      <c r="X291" s="100">
        <f>IF($R291="Rk",SUM(N291:O291),"")</f>
        <v>0</v>
      </c>
      <c r="Y291" s="1"/>
      <c r="Z291" s="1"/>
      <c r="AA291" s="1"/>
      <c r="AB291" s="1"/>
      <c r="AC291" s="1"/>
      <c r="AD291" s="1"/>
      <c r="AE291" s="1"/>
      <c r="AF291" s="1"/>
      <c r="IP291" s="1"/>
      <c r="IQ291" s="1"/>
      <c r="IR291" s="1"/>
      <c r="IS291" s="1"/>
    </row>
    <row r="292" spans="1:253" s="2" customFormat="1" ht="12.65" customHeight="1" x14ac:dyDescent="0.25">
      <c r="A292" s="862"/>
      <c r="B292" s="921" t="s">
        <v>230</v>
      </c>
      <c r="C292" s="994"/>
      <c r="D292" s="833">
        <f>E292*0.05</f>
        <v>0.4</v>
      </c>
      <c r="E292" s="989">
        <v>8</v>
      </c>
      <c r="F292" s="1123">
        <f>E292*0.1</f>
        <v>0.8</v>
      </c>
      <c r="G292" s="952">
        <v>0</v>
      </c>
      <c r="H292" s="1123">
        <f>SUM(C292:G292)</f>
        <v>9.2000000000000011</v>
      </c>
      <c r="I292" s="1272">
        <f>((C292*$C$5)+(D292*$D$5)+(E292*$E$5)+(F292*$F$5)+(G292*$G$5))</f>
        <v>1104.5916</v>
      </c>
      <c r="J292" s="1124">
        <v>0</v>
      </c>
      <c r="K292" s="953">
        <v>0</v>
      </c>
      <c r="L292" s="1249">
        <f>$M$10</f>
        <v>57</v>
      </c>
      <c r="M292" s="1134">
        <f>(C292+D292+E292+F292+G292)*L292</f>
        <v>524.40000000000009</v>
      </c>
      <c r="N292" s="1281">
        <f>J292*L292</f>
        <v>0</v>
      </c>
      <c r="O292" s="1014">
        <f>K292*L292</f>
        <v>0</v>
      </c>
      <c r="P292" s="839">
        <f>I292*L292</f>
        <v>62961.7212</v>
      </c>
      <c r="Q292" s="13">
        <f>(I292+J292+K292)*L292</f>
        <v>62961.7212</v>
      </c>
      <c r="R292" s="76" t="s">
        <v>199</v>
      </c>
      <c r="S292" s="62"/>
      <c r="T292" s="62"/>
      <c r="U292" s="63"/>
      <c r="V292" s="62">
        <f t="shared" si="83"/>
        <v>57</v>
      </c>
      <c r="W292" s="62">
        <f t="shared" si="83"/>
        <v>524.40000000000009</v>
      </c>
      <c r="X292" s="100">
        <f>IF($R292="Rk",SUM(N292:O292),"")</f>
        <v>0</v>
      </c>
      <c r="Y292" s="1"/>
      <c r="Z292" s="1"/>
      <c r="AA292" s="1"/>
      <c r="AB292" s="1"/>
      <c r="AC292" s="1"/>
      <c r="AD292" s="1"/>
      <c r="AE292" s="1"/>
      <c r="AF292" s="1"/>
      <c r="IP292" s="1"/>
      <c r="IQ292" s="1"/>
      <c r="IR292" s="1"/>
      <c r="IS292" s="1"/>
    </row>
    <row r="293" spans="1:253" s="2" customFormat="1" ht="12.65" customHeight="1" x14ac:dyDescent="0.25">
      <c r="A293" s="1273" t="s">
        <v>217</v>
      </c>
      <c r="B293" s="1274"/>
      <c r="C293" s="811"/>
      <c r="D293" s="952"/>
      <c r="E293" s="952"/>
      <c r="F293" s="952"/>
      <c r="G293" s="952"/>
      <c r="H293" s="952"/>
      <c r="I293" s="953"/>
      <c r="J293" s="953"/>
      <c r="K293" s="826"/>
      <c r="L293" s="1230"/>
      <c r="M293" s="1275"/>
      <c r="N293" s="956"/>
      <c r="O293" s="956"/>
      <c r="P293" s="956"/>
      <c r="Q293" s="16"/>
      <c r="R293" s="77"/>
      <c r="S293" s="122"/>
      <c r="T293" s="88"/>
      <c r="U293" s="88"/>
      <c r="V293" s="88"/>
      <c r="W293" s="88"/>
      <c r="X293" s="89"/>
      <c r="Y293" s="1"/>
      <c r="Z293" s="1"/>
      <c r="AA293" s="1"/>
      <c r="AB293" s="1"/>
      <c r="AC293" s="1"/>
      <c r="AD293" s="1"/>
      <c r="AE293" s="1"/>
      <c r="AF293" s="1"/>
      <c r="IP293" s="1"/>
      <c r="IQ293" s="1"/>
      <c r="IR293" s="1"/>
      <c r="IS293" s="1"/>
    </row>
    <row r="294" spans="1:253" s="2" customFormat="1" ht="12.65" customHeight="1" x14ac:dyDescent="0.25">
      <c r="A294" s="1282" t="s">
        <v>218</v>
      </c>
      <c r="B294" s="1019"/>
      <c r="C294" s="1283">
        <f>SUM(C284:C287,C282,C280,C278,C275,C272,C266:C269,C263,C251:C259,C249,C245:C246,C290,C242,C239,C235,C232,C230,C228,C226,C223,C218,C216,C214,C211,C207,C291:C292)</f>
        <v>0</v>
      </c>
      <c r="D294" s="1284">
        <f>SUM(D284:D287,D282,D280,D278,D275,D272,D266:D269,D263,D251:D259,D249,D245:D246,D290:D292,D242,D239,D235,D232,D230,D228,D226,D223,D218,D216,D214,D211,D207)</f>
        <v>32.299999999999997</v>
      </c>
      <c r="E294" s="1284">
        <f>SUM(E284:E287,E282,E280,E278,E275,E272,E266:E269,E263,E251:E259,E249,E245:E246,E290:E292,E242,E239,E235,E232,E230,E228,E226,E223,E218,E216,E214,E211,E207)</f>
        <v>691.5</v>
      </c>
      <c r="F294" s="1284">
        <f>SUM(F284:F287,F282,F280,F278,F275,F272,F266:F269,F263,F251:F259,F249,F245:F246,F290:F292,F242,F239,F235,F232,F230,F228,F226,F223,F218,F216,F214,F211,F207)</f>
        <v>101.1</v>
      </c>
      <c r="G294" s="1284">
        <f>SUM(G284:G287,G282,G280,G278,G275,G272,G266:G269,G263,G251:G259,G249,G245:G246,G290:G292,G242,G239,G235,G232,G230,G228,G226,G223,G218,G216,G214,G211,G207)</f>
        <v>0</v>
      </c>
      <c r="H294" s="1284">
        <f>SUM(C294:G294)</f>
        <v>824.9</v>
      </c>
      <c r="I294" s="1285">
        <f>SUM(I284:I287,I282,I280,I278,I275,I272,I266:I269,I263,I251:I259,I249,I245:I246,I290:I292,I242,I239,I235,I232,I230,I228,I226,I223,I218,I216,I214,I211,I207)</f>
        <v>97117.003200000006</v>
      </c>
      <c r="J294" s="953"/>
      <c r="K294" s="953"/>
      <c r="L294" s="1230"/>
      <c r="M294" s="1286">
        <f>SUM(M284:M287,M282,M280,M278,M275,M272,M266:M269,M263,M251:M259,M249,M245:M246,M290:M292,M242,M239,M235,M232,M230,M228,M226,M223,M218,M216,M214,M211,M207)</f>
        <v>15384.913333333334</v>
      </c>
      <c r="N294" s="1287">
        <f>SUM(N284:N287,N282,N280,N278,N275,N272,N266:N269,N263,N251:N259,N249,N245:N246,N290:N292,N242,N239,N235,N232,N230,N228,N226,N223,N218,N216,N214,N211,N207)</f>
        <v>11400.57</v>
      </c>
      <c r="O294" s="1287">
        <f>SUM(O284:O287,O282,O280,O278,O275,O272,O266:O269,O263,O251:O259,O249,O245:O246,O290:O292,O242,O239,O235,O232,O230,O228,O226,O223,O218,O216,O214,O211,O207)</f>
        <v>285</v>
      </c>
      <c r="P294" s="1287">
        <f>SUM(P206:P292)</f>
        <v>1679549.3548399999</v>
      </c>
      <c r="Q294" s="16"/>
      <c r="R294" s="77"/>
      <c r="S294" s="122"/>
      <c r="T294" s="122"/>
      <c r="U294" s="122"/>
      <c r="V294" s="122">
        <f>SUM(V223:V288,V207:V218,V290:V292)</f>
        <v>1021.5166666666668</v>
      </c>
      <c r="W294" s="122">
        <f>SUM(W287,W285,W282,W280,W278,W275,W272,W269,W266,W263,W259,W256,W253,W249,W246,W245,W290:W292,W242,W239,W235,W232,W230,W228,W226,W223,W218,W216,W214,W211,W207)</f>
        <v>15384.913333333334</v>
      </c>
      <c r="X294" s="122">
        <f>SUM(X223:X288,X207:X218,X290:X292)</f>
        <v>11685.57</v>
      </c>
      <c r="Y294" s="1"/>
      <c r="Z294" s="1"/>
      <c r="IP294" s="1"/>
      <c r="IQ294" s="1"/>
      <c r="IR294" s="1"/>
      <c r="IS294" s="1"/>
    </row>
    <row r="295" spans="1:253" s="2" customFormat="1" ht="21" customHeight="1" x14ac:dyDescent="0.25">
      <c r="A295" s="1288" t="s">
        <v>815</v>
      </c>
      <c r="B295" s="1274"/>
      <c r="C295" s="1283">
        <f>SUM(C294,C198)</f>
        <v>0</v>
      </c>
      <c r="D295" s="1284">
        <f>SUM(D294,D198)</f>
        <v>203.3</v>
      </c>
      <c r="E295" s="1284">
        <f>SUM(E294,E198)</f>
        <v>2498.1</v>
      </c>
      <c r="F295" s="1284">
        <f>SUM(F294,F198)</f>
        <v>305.10000000000002</v>
      </c>
      <c r="G295" s="1284">
        <f>SUM(G294,G198)</f>
        <v>0</v>
      </c>
      <c r="H295" s="1284">
        <f>ROUND(SUM(H294,H198),-1)</f>
        <v>3030</v>
      </c>
      <c r="I295" s="1285">
        <f>ROUND(SUM(I294,I198),-3)</f>
        <v>361000</v>
      </c>
      <c r="J295" s="953"/>
      <c r="K295" s="953"/>
      <c r="L295" s="1230"/>
      <c r="M295" s="1286">
        <f>ROUND(SUM(M294,M198),-2)</f>
        <v>59100</v>
      </c>
      <c r="N295" s="956">
        <f>N198+N294</f>
        <v>29650.57</v>
      </c>
      <c r="O295" s="956">
        <f>O294+O198</f>
        <v>2240284.306666668</v>
      </c>
      <c r="P295" s="1287">
        <f>ROUND(SUM(P294,P198),-4)</f>
        <v>6920000</v>
      </c>
      <c r="Q295" s="16"/>
      <c r="R295" s="77"/>
      <c r="S295" s="122"/>
      <c r="T295" s="88"/>
      <c r="U295" s="88"/>
      <c r="V295" s="88"/>
      <c r="W295" s="88"/>
      <c r="X295" s="89"/>
      <c r="Y295" s="1"/>
      <c r="Z295" s="1"/>
      <c r="IP295" s="1"/>
      <c r="IQ295" s="1"/>
      <c r="IR295" s="1"/>
      <c r="IS295" s="1"/>
    </row>
    <row r="296" spans="1:253" s="2" customFormat="1" ht="18" customHeight="1" x14ac:dyDescent="0.25">
      <c r="A296" s="1288" t="s">
        <v>816</v>
      </c>
      <c r="B296" s="1274"/>
      <c r="C296" s="811"/>
      <c r="D296" s="952"/>
      <c r="E296" s="952"/>
      <c r="F296" s="952"/>
      <c r="G296" s="952"/>
      <c r="H296" s="952"/>
      <c r="I296" s="953"/>
      <c r="J296" s="953"/>
      <c r="K296" s="953"/>
      <c r="L296" s="1230"/>
      <c r="M296" s="1275"/>
      <c r="N296" s="956"/>
      <c r="O296" s="956"/>
      <c r="P296" s="1289">
        <f>ROUND('Capital O&amp;M'!E79+'Capital O&amp;M'!H79,-4)</f>
        <v>2770000</v>
      </c>
      <c r="Q296" s="16"/>
      <c r="R296" s="77"/>
      <c r="S296" s="122"/>
      <c r="T296" s="88"/>
      <c r="U296" s="88"/>
      <c r="V296" s="88"/>
      <c r="W296" s="88"/>
      <c r="X296" s="89"/>
      <c r="Y296" s="1"/>
      <c r="Z296" s="1"/>
      <c r="AA296" s="1"/>
      <c r="AB296" s="1"/>
      <c r="AC296" s="1"/>
      <c r="AD296" s="1"/>
      <c r="IP296" s="1"/>
      <c r="IQ296" s="1"/>
      <c r="IR296" s="1"/>
      <c r="IS296" s="1"/>
    </row>
    <row r="297" spans="1:253" s="2" customFormat="1" ht="15.75" customHeight="1" x14ac:dyDescent="0.25">
      <c r="A297" s="1288" t="s">
        <v>817</v>
      </c>
      <c r="B297" s="1290"/>
      <c r="C297" s="1291"/>
      <c r="D297" s="1292"/>
      <c r="E297" s="1292"/>
      <c r="F297" s="1292"/>
      <c r="G297" s="1292"/>
      <c r="H297" s="1292"/>
      <c r="I297" s="953"/>
      <c r="J297" s="953"/>
      <c r="K297" s="953"/>
      <c r="L297" s="868"/>
      <c r="M297" s="1293"/>
      <c r="N297" s="1294"/>
      <c r="O297" s="1294"/>
      <c r="P297" s="1287">
        <f>ROUND(P295+P296,-4)</f>
        <v>9690000</v>
      </c>
      <c r="Q297" s="493"/>
      <c r="R297" s="112"/>
      <c r="S297" s="123"/>
      <c r="T297" s="114"/>
      <c r="U297" s="113"/>
      <c r="V297" s="114"/>
      <c r="W297" s="114"/>
      <c r="X297" s="113"/>
      <c r="Y297" s="1"/>
      <c r="Z297" s="1"/>
      <c r="AA297" s="1"/>
      <c r="AB297" s="1"/>
      <c r="AC297" s="1"/>
      <c r="AD297" s="1"/>
      <c r="IP297" s="1"/>
      <c r="IQ297" s="1"/>
      <c r="IR297" s="1"/>
      <c r="IS297" s="1"/>
    </row>
    <row r="298" spans="1:253" ht="36.75" customHeight="1" x14ac:dyDescent="0.2">
      <c r="A298" s="1295" t="s">
        <v>467</v>
      </c>
      <c r="B298" s="1338" t="s">
        <v>743</v>
      </c>
      <c r="C298" s="1338"/>
      <c r="D298" s="1338"/>
      <c r="E298" s="1338"/>
      <c r="F298" s="1338"/>
      <c r="G298" s="1338"/>
      <c r="H298" s="1338"/>
      <c r="I298" s="1338"/>
      <c r="J298" s="1338"/>
      <c r="K298" s="1338"/>
      <c r="L298" s="1338"/>
      <c r="M298" s="1338"/>
      <c r="N298" s="1338"/>
      <c r="O298" s="1338"/>
      <c r="P298" s="1338"/>
      <c r="S298" s="46"/>
      <c r="T298" s="46"/>
      <c r="V298" s="46"/>
      <c r="W298" s="46"/>
    </row>
    <row r="299" spans="1:253" ht="49.5" customHeight="1" x14ac:dyDescent="0.2">
      <c r="A299" s="1295" t="s">
        <v>468</v>
      </c>
      <c r="B299" s="1338" t="s">
        <v>704</v>
      </c>
      <c r="C299" s="1338"/>
      <c r="D299" s="1338"/>
      <c r="E299" s="1338"/>
      <c r="F299" s="1338"/>
      <c r="G299" s="1338"/>
      <c r="H299" s="1338"/>
      <c r="I299" s="1338"/>
      <c r="J299" s="1338"/>
      <c r="K299" s="1338"/>
      <c r="L299" s="1338"/>
      <c r="M299" s="1338"/>
      <c r="N299" s="1338"/>
      <c r="O299" s="1338"/>
      <c r="P299" s="1338"/>
      <c r="S299" s="46"/>
      <c r="T299" s="46"/>
      <c r="V299" s="46"/>
      <c r="W299" s="46"/>
    </row>
    <row r="300" spans="1:253" ht="12.65" customHeight="1" x14ac:dyDescent="0.2">
      <c r="A300" s="1295" t="s">
        <v>469</v>
      </c>
      <c r="B300" s="1296" t="s">
        <v>470</v>
      </c>
      <c r="C300" s="1296"/>
      <c r="D300" s="1296"/>
      <c r="E300" s="1296"/>
      <c r="F300" s="1296"/>
      <c r="G300" s="1297"/>
      <c r="H300" s="1296"/>
      <c r="I300" s="1296"/>
      <c r="J300" s="1296"/>
      <c r="K300" s="1296"/>
      <c r="L300" s="1296"/>
      <c r="M300" s="1296"/>
      <c r="N300" s="1296"/>
      <c r="O300" s="1296"/>
      <c r="P300" s="1296"/>
      <c r="S300" s="46"/>
      <c r="T300" s="46"/>
      <c r="V300" s="46"/>
      <c r="W300" s="46"/>
    </row>
    <row r="301" spans="1:253" ht="12.65" customHeight="1" x14ac:dyDescent="0.2">
      <c r="A301" s="1295" t="s">
        <v>471</v>
      </c>
      <c r="B301" s="1296" t="s">
        <v>472</v>
      </c>
      <c r="C301" s="1296"/>
      <c r="D301" s="1296"/>
      <c r="E301" s="1296"/>
      <c r="F301" s="1296"/>
      <c r="G301" s="1297"/>
      <c r="H301" s="1296"/>
      <c r="I301" s="1296"/>
      <c r="J301" s="1296"/>
      <c r="K301" s="1296"/>
      <c r="L301" s="1296"/>
      <c r="M301" s="1296"/>
      <c r="N301" s="1296"/>
      <c r="O301" s="1296"/>
      <c r="P301" s="1296"/>
      <c r="S301" s="46"/>
      <c r="T301" s="46"/>
      <c r="V301" s="46"/>
      <c r="W301" s="46"/>
    </row>
    <row r="302" spans="1:253" ht="12.65" customHeight="1" x14ac:dyDescent="0.2">
      <c r="A302" s="1295" t="s">
        <v>473</v>
      </c>
      <c r="B302" s="1296" t="s">
        <v>721</v>
      </c>
      <c r="C302" s="1296"/>
      <c r="D302" s="1296"/>
      <c r="E302" s="1296"/>
      <c r="F302" s="1296"/>
      <c r="G302" s="1296"/>
      <c r="H302" s="1296"/>
      <c r="I302" s="1296"/>
      <c r="J302" s="1296"/>
      <c r="K302" s="1296"/>
      <c r="L302" s="1296"/>
      <c r="M302" s="1296"/>
      <c r="N302" s="1296"/>
      <c r="O302" s="1296"/>
      <c r="P302" s="1296"/>
      <c r="S302" s="46"/>
      <c r="T302" s="46"/>
      <c r="V302" s="46"/>
      <c r="W302" s="46"/>
    </row>
    <row r="303" spans="1:253" ht="10.5" customHeight="1" x14ac:dyDescent="0.2">
      <c r="A303" s="1295" t="s">
        <v>474</v>
      </c>
      <c r="B303" s="1338" t="s">
        <v>671</v>
      </c>
      <c r="C303" s="1338"/>
      <c r="D303" s="1338"/>
      <c r="E303" s="1338"/>
      <c r="F303" s="1338"/>
      <c r="G303" s="1338"/>
      <c r="H303" s="1338"/>
      <c r="I303" s="1338"/>
      <c r="J303" s="1338"/>
      <c r="K303" s="1338"/>
      <c r="L303" s="1338"/>
      <c r="M303" s="1338"/>
      <c r="N303" s="1338"/>
      <c r="O303" s="1338"/>
      <c r="P303" s="1338"/>
      <c r="Q303" s="52"/>
      <c r="S303" s="46"/>
      <c r="T303" s="46"/>
      <c r="V303" s="46"/>
      <c r="W303" s="46"/>
    </row>
    <row r="304" spans="1:253" ht="24" customHeight="1" x14ac:dyDescent="0.2">
      <c r="A304" s="1295" t="s">
        <v>508</v>
      </c>
      <c r="B304" s="1338" t="s">
        <v>589</v>
      </c>
      <c r="C304" s="1338"/>
      <c r="D304" s="1338"/>
      <c r="E304" s="1338"/>
      <c r="F304" s="1338"/>
      <c r="G304" s="1338"/>
      <c r="H304" s="1338"/>
      <c r="I304" s="1338"/>
      <c r="J304" s="1338"/>
      <c r="K304" s="1338"/>
      <c r="L304" s="1338"/>
      <c r="M304" s="1338"/>
      <c r="N304" s="1338"/>
      <c r="O304" s="1338"/>
      <c r="P304" s="1338"/>
      <c r="S304" s="46"/>
      <c r="T304" s="46"/>
      <c r="V304" s="46"/>
      <c r="W304" s="46"/>
    </row>
    <row r="305" spans="1:23" ht="19" customHeight="1" x14ac:dyDescent="0.2">
      <c r="A305" s="1295" t="s">
        <v>475</v>
      </c>
      <c r="B305" s="1338" t="s">
        <v>614</v>
      </c>
      <c r="C305" s="1338"/>
      <c r="D305" s="1338"/>
      <c r="E305" s="1338"/>
      <c r="F305" s="1338"/>
      <c r="G305" s="1338"/>
      <c r="H305" s="1338"/>
      <c r="I305" s="1338"/>
      <c r="J305" s="1338"/>
      <c r="K305" s="1338"/>
      <c r="L305" s="1338"/>
      <c r="M305" s="1338"/>
      <c r="N305" s="1338"/>
      <c r="O305" s="1338"/>
      <c r="P305" s="1338"/>
      <c r="S305" s="46"/>
      <c r="T305" s="46"/>
      <c r="V305" s="46"/>
      <c r="W305" s="46"/>
    </row>
    <row r="306" spans="1:23" ht="12.65" customHeight="1" x14ac:dyDescent="0.2">
      <c r="A306" s="1295" t="s">
        <v>477</v>
      </c>
      <c r="B306" s="1296" t="s">
        <v>478</v>
      </c>
      <c r="C306" s="1296"/>
      <c r="D306" s="1296"/>
      <c r="E306" s="1296"/>
      <c r="F306" s="1296"/>
      <c r="G306" s="1296"/>
      <c r="H306" s="1296"/>
      <c r="I306" s="1296"/>
      <c r="J306" s="1296"/>
      <c r="K306" s="1296"/>
      <c r="L306" s="1296"/>
      <c r="M306" s="1296"/>
      <c r="N306" s="1296"/>
      <c r="O306" s="1296"/>
      <c r="P306" s="1296"/>
      <c r="S306" s="46"/>
      <c r="T306" s="46"/>
      <c r="V306" s="46"/>
      <c r="W306" s="46"/>
    </row>
    <row r="307" spans="1:23" ht="12.65" customHeight="1" x14ac:dyDescent="0.2">
      <c r="A307" s="1295" t="s">
        <v>479</v>
      </c>
      <c r="B307" s="1296" t="s">
        <v>480</v>
      </c>
      <c r="C307" s="1296"/>
      <c r="D307" s="1296"/>
      <c r="E307" s="1296"/>
      <c r="F307" s="1297"/>
      <c r="G307" s="1296"/>
      <c r="H307" s="1296"/>
      <c r="I307" s="1296"/>
      <c r="J307" s="1296"/>
      <c r="K307" s="1296"/>
      <c r="L307" s="1296"/>
      <c r="M307" s="1296"/>
      <c r="N307" s="1296"/>
      <c r="O307" s="1296"/>
      <c r="P307" s="1296"/>
      <c r="S307" s="46"/>
      <c r="T307" s="46"/>
      <c r="V307" s="46"/>
      <c r="W307" s="46"/>
    </row>
    <row r="308" spans="1:23" ht="12.65" customHeight="1" x14ac:dyDescent="0.2">
      <c r="A308" s="1295" t="s">
        <v>481</v>
      </c>
      <c r="B308" s="1296" t="s">
        <v>482</v>
      </c>
      <c r="C308" s="1296"/>
      <c r="D308" s="1296"/>
      <c r="E308" s="1296"/>
      <c r="F308" s="1297"/>
      <c r="G308" s="1296"/>
      <c r="H308" s="1296"/>
      <c r="I308" s="1296"/>
      <c r="J308" s="1296"/>
      <c r="K308" s="1296"/>
      <c r="L308" s="1296"/>
      <c r="M308" s="1296"/>
      <c r="N308" s="1296"/>
      <c r="O308" s="1296"/>
      <c r="P308" s="1296"/>
      <c r="S308" s="46"/>
      <c r="T308" s="46"/>
      <c r="V308" s="46"/>
      <c r="W308" s="46"/>
    </row>
    <row r="309" spans="1:23" ht="22.5" customHeight="1" x14ac:dyDescent="0.2">
      <c r="A309" s="1295" t="s">
        <v>483</v>
      </c>
      <c r="B309" s="1338" t="s">
        <v>484</v>
      </c>
      <c r="C309" s="1338"/>
      <c r="D309" s="1338"/>
      <c r="E309" s="1338"/>
      <c r="F309" s="1338"/>
      <c r="G309" s="1338"/>
      <c r="H309" s="1338"/>
      <c r="I309" s="1338"/>
      <c r="J309" s="1338"/>
      <c r="K309" s="1338"/>
      <c r="L309" s="1338"/>
      <c r="M309" s="1338"/>
      <c r="N309" s="1338"/>
      <c r="O309" s="1338"/>
      <c r="P309" s="1338"/>
      <c r="S309" s="46"/>
      <c r="T309" s="46"/>
      <c r="V309" s="46"/>
      <c r="W309" s="46"/>
    </row>
    <row r="310" spans="1:23" ht="12.65" customHeight="1" x14ac:dyDescent="0.2">
      <c r="A310" s="1295" t="s">
        <v>485</v>
      </c>
      <c r="B310" s="1296" t="s">
        <v>486</v>
      </c>
      <c r="C310" s="1296"/>
      <c r="D310" s="1296"/>
      <c r="E310" s="1296"/>
      <c r="F310" s="1296"/>
      <c r="G310" s="1296"/>
      <c r="H310" s="1296"/>
      <c r="I310" s="1296"/>
      <c r="J310" s="1296"/>
      <c r="K310" s="1296"/>
      <c r="L310" s="1296"/>
      <c r="M310" s="1296"/>
      <c r="N310" s="1296"/>
      <c r="O310" s="1296"/>
      <c r="P310" s="1296"/>
      <c r="S310" s="46"/>
      <c r="T310" s="46"/>
      <c r="V310" s="46"/>
      <c r="W310" s="46"/>
    </row>
    <row r="311" spans="1:23" ht="25.5" customHeight="1" x14ac:dyDescent="0.2">
      <c r="A311" s="1295" t="s">
        <v>487</v>
      </c>
      <c r="B311" s="1338" t="s">
        <v>615</v>
      </c>
      <c r="C311" s="1338"/>
      <c r="D311" s="1338"/>
      <c r="E311" s="1338"/>
      <c r="F311" s="1338"/>
      <c r="G311" s="1338"/>
      <c r="H311" s="1338"/>
      <c r="I311" s="1338"/>
      <c r="J311" s="1338"/>
      <c r="K311" s="1338"/>
      <c r="L311" s="1338"/>
      <c r="M311" s="1338"/>
      <c r="N311" s="1338"/>
      <c r="O311" s="1338"/>
      <c r="P311" s="1338"/>
      <c r="S311" s="46"/>
      <c r="T311" s="46"/>
      <c r="V311" s="46"/>
      <c r="W311" s="46"/>
    </row>
    <row r="312" spans="1:23" ht="20.149999999999999" customHeight="1" x14ac:dyDescent="0.2">
      <c r="A312" s="1295" t="s">
        <v>488</v>
      </c>
      <c r="B312" s="1338" t="s">
        <v>723</v>
      </c>
      <c r="C312" s="1338"/>
      <c r="D312" s="1338"/>
      <c r="E312" s="1338"/>
      <c r="F312" s="1338"/>
      <c r="G312" s="1338"/>
      <c r="H312" s="1338"/>
      <c r="I312" s="1338"/>
      <c r="J312" s="1338"/>
      <c r="K312" s="1338"/>
      <c r="L312" s="1338"/>
      <c r="M312" s="1338"/>
      <c r="N312" s="1338"/>
      <c r="O312" s="1338"/>
      <c r="P312" s="1338"/>
      <c r="S312" s="46"/>
      <c r="T312" s="46"/>
      <c r="V312" s="46"/>
      <c r="W312" s="46"/>
    </row>
    <row r="313" spans="1:23" ht="12.65" customHeight="1" x14ac:dyDescent="0.2">
      <c r="A313" s="1295" t="s">
        <v>489</v>
      </c>
      <c r="B313" s="1296" t="s">
        <v>490</v>
      </c>
      <c r="C313" s="1296"/>
      <c r="D313" s="1296"/>
      <c r="E313" s="1296"/>
      <c r="F313" s="1296"/>
      <c r="G313" s="1296"/>
      <c r="H313" s="1296"/>
      <c r="I313" s="1296"/>
      <c r="J313" s="1296"/>
      <c r="K313" s="1296"/>
      <c r="L313" s="1296"/>
      <c r="M313" s="1296"/>
      <c r="N313" s="1296"/>
      <c r="O313" s="1296"/>
      <c r="P313" s="1296"/>
      <c r="S313" s="46"/>
      <c r="T313" s="46"/>
      <c r="V313" s="46"/>
      <c r="W313" s="46"/>
    </row>
    <row r="314" spans="1:23" ht="21" customHeight="1" x14ac:dyDescent="0.2">
      <c r="A314" s="1295" t="s">
        <v>491</v>
      </c>
      <c r="B314" s="1338" t="s">
        <v>618</v>
      </c>
      <c r="C314" s="1338"/>
      <c r="D314" s="1338"/>
      <c r="E314" s="1338"/>
      <c r="F314" s="1338"/>
      <c r="G314" s="1338"/>
      <c r="H314" s="1338"/>
      <c r="I314" s="1338"/>
      <c r="J314" s="1338"/>
      <c r="K314" s="1338"/>
      <c r="L314" s="1338"/>
      <c r="M314" s="1338"/>
      <c r="N314" s="1338"/>
      <c r="O314" s="1338"/>
      <c r="P314" s="1338"/>
      <c r="S314" s="46"/>
      <c r="T314" s="46"/>
      <c r="V314" s="46"/>
      <c r="W314" s="46"/>
    </row>
    <row r="315" spans="1:23" ht="24.75" customHeight="1" x14ac:dyDescent="0.2">
      <c r="A315" s="1295" t="s">
        <v>492</v>
      </c>
      <c r="B315" s="1338" t="s">
        <v>620</v>
      </c>
      <c r="C315" s="1338"/>
      <c r="D315" s="1338"/>
      <c r="E315" s="1338"/>
      <c r="F315" s="1338"/>
      <c r="G315" s="1338"/>
      <c r="H315" s="1338"/>
      <c r="I315" s="1338"/>
      <c r="J315" s="1338"/>
      <c r="K315" s="1338"/>
      <c r="L315" s="1338"/>
      <c r="M315" s="1338"/>
      <c r="N315" s="1338"/>
      <c r="O315" s="1338"/>
      <c r="P315" s="1338"/>
      <c r="S315" s="46"/>
      <c r="T315" s="46"/>
      <c r="V315" s="46"/>
      <c r="W315" s="46"/>
    </row>
    <row r="316" spans="1:23" ht="26.25" customHeight="1" x14ac:dyDescent="0.2">
      <c r="A316" s="1295" t="s">
        <v>493</v>
      </c>
      <c r="B316" s="1338" t="s">
        <v>494</v>
      </c>
      <c r="C316" s="1338"/>
      <c r="D316" s="1338"/>
      <c r="E316" s="1338"/>
      <c r="F316" s="1338"/>
      <c r="G316" s="1338"/>
      <c r="H316" s="1338"/>
      <c r="I316" s="1338"/>
      <c r="J316" s="1338"/>
      <c r="K316" s="1338"/>
      <c r="L316" s="1338"/>
      <c r="M316" s="1338"/>
      <c r="N316" s="1338"/>
      <c r="O316" s="1338"/>
      <c r="P316" s="1338"/>
      <c r="S316" s="46"/>
      <c r="T316" s="46"/>
      <c r="V316" s="46"/>
      <c r="W316" s="46"/>
    </row>
    <row r="317" spans="1:23" ht="12.65" customHeight="1" x14ac:dyDescent="0.2">
      <c r="A317" s="1295" t="s">
        <v>495</v>
      </c>
      <c r="B317" s="1296" t="s">
        <v>722</v>
      </c>
      <c r="C317" s="1296"/>
      <c r="D317" s="1296"/>
      <c r="E317" s="1296"/>
      <c r="F317" s="1296"/>
      <c r="G317" s="1296"/>
      <c r="H317" s="1296"/>
      <c r="I317" s="1296"/>
      <c r="J317" s="1296"/>
      <c r="K317" s="1296"/>
      <c r="L317" s="1296"/>
      <c r="M317" s="1296"/>
      <c r="N317" s="1296"/>
      <c r="O317" s="1296"/>
      <c r="P317" s="1296"/>
      <c r="S317" s="46"/>
      <c r="T317" s="46"/>
      <c r="V317" s="46"/>
      <c r="W317" s="46"/>
    </row>
    <row r="318" spans="1:23" ht="12.65" customHeight="1" x14ac:dyDescent="0.2">
      <c r="A318" s="1295" t="s">
        <v>496</v>
      </c>
      <c r="B318" s="1296" t="s">
        <v>617</v>
      </c>
      <c r="C318" s="1296"/>
      <c r="D318" s="1296"/>
      <c r="E318" s="1296"/>
      <c r="F318" s="1296"/>
      <c r="G318" s="1296"/>
      <c r="H318" s="1296"/>
      <c r="I318" s="1296"/>
      <c r="J318" s="1296"/>
      <c r="K318" s="1296"/>
      <c r="L318" s="1296"/>
      <c r="M318" s="1296"/>
      <c r="N318" s="1296"/>
      <c r="O318" s="1296"/>
      <c r="P318" s="1296"/>
      <c r="S318" s="46"/>
      <c r="T318" s="46"/>
      <c r="V318" s="46"/>
      <c r="W318" s="46"/>
    </row>
    <row r="319" spans="1:23" ht="12.65" customHeight="1" x14ac:dyDescent="0.2">
      <c r="A319" s="1295" t="s">
        <v>497</v>
      </c>
      <c r="B319" s="1296" t="s">
        <v>498</v>
      </c>
      <c r="C319" s="1296"/>
      <c r="D319" s="1296"/>
      <c r="E319" s="1296"/>
      <c r="F319" s="1296"/>
      <c r="G319" s="1296"/>
      <c r="H319" s="1296"/>
      <c r="I319" s="1296"/>
      <c r="J319" s="1296"/>
      <c r="K319" s="1296"/>
      <c r="L319" s="1296"/>
      <c r="M319" s="1296"/>
      <c r="N319" s="1296"/>
      <c r="O319" s="1296"/>
      <c r="P319" s="1296"/>
      <c r="S319" s="46"/>
      <c r="T319" s="46"/>
      <c r="V319" s="46"/>
      <c r="W319" s="46"/>
    </row>
    <row r="320" spans="1:23" ht="12.65" customHeight="1" x14ac:dyDescent="0.2">
      <c r="A320" s="1295" t="s">
        <v>499</v>
      </c>
      <c r="B320" s="1296" t="s">
        <v>500</v>
      </c>
      <c r="C320" s="1296"/>
      <c r="D320" s="1296"/>
      <c r="E320" s="1296"/>
      <c r="F320" s="1296"/>
      <c r="G320" s="1296"/>
      <c r="H320" s="1296"/>
      <c r="I320" s="1296"/>
      <c r="J320" s="1296"/>
      <c r="K320" s="1296"/>
      <c r="L320" s="1296"/>
      <c r="M320" s="1296"/>
      <c r="N320" s="1296"/>
      <c r="O320" s="1296"/>
      <c r="P320" s="1296"/>
      <c r="S320" s="46"/>
      <c r="T320" s="46"/>
      <c r="V320" s="46"/>
      <c r="W320" s="46"/>
    </row>
    <row r="321" spans="1:23" ht="21" customHeight="1" x14ac:dyDescent="0.2">
      <c r="A321" s="1295" t="s">
        <v>501</v>
      </c>
      <c r="B321" s="1296" t="s">
        <v>621</v>
      </c>
      <c r="C321" s="1296"/>
      <c r="D321" s="1296"/>
      <c r="E321" s="1296"/>
      <c r="F321" s="1296"/>
      <c r="G321" s="1296"/>
      <c r="H321" s="1296"/>
      <c r="I321" s="1296"/>
      <c r="J321" s="1296"/>
      <c r="K321" s="1296"/>
      <c r="L321" s="1296"/>
      <c r="M321" s="1296"/>
      <c r="N321" s="1296"/>
      <c r="O321" s="1296"/>
      <c r="P321" s="1296"/>
      <c r="S321" s="46"/>
      <c r="T321" s="46"/>
      <c r="V321" s="46"/>
      <c r="W321" s="46"/>
    </row>
    <row r="322" spans="1:23" ht="22.5" customHeight="1" x14ac:dyDescent="0.2">
      <c r="A322" s="1295" t="s">
        <v>502</v>
      </c>
      <c r="B322" s="1338" t="s">
        <v>654</v>
      </c>
      <c r="C322" s="1338"/>
      <c r="D322" s="1338"/>
      <c r="E322" s="1338"/>
      <c r="F322" s="1338"/>
      <c r="G322" s="1338"/>
      <c r="H322" s="1338"/>
      <c r="I322" s="1338"/>
      <c r="J322" s="1338"/>
      <c r="K322" s="1338"/>
      <c r="L322" s="1338"/>
      <c r="M322" s="1338"/>
      <c r="N322" s="1338"/>
      <c r="O322" s="1338"/>
      <c r="P322" s="1338"/>
      <c r="S322" s="46"/>
      <c r="T322" s="46"/>
      <c r="V322" s="46"/>
      <c r="W322" s="46"/>
    </row>
    <row r="323" spans="1:23" ht="12.65" customHeight="1" x14ac:dyDescent="0.2">
      <c r="A323" s="1295" t="s">
        <v>504</v>
      </c>
      <c r="B323" s="1296" t="s">
        <v>622</v>
      </c>
      <c r="C323" s="1296"/>
      <c r="D323" s="1296"/>
      <c r="E323" s="1296"/>
      <c r="F323" s="1296"/>
      <c r="G323" s="1296"/>
      <c r="H323" s="1296"/>
      <c r="I323" s="1296"/>
      <c r="J323" s="1296"/>
      <c r="K323" s="1296"/>
      <c r="L323" s="1296"/>
      <c r="M323" s="1296"/>
      <c r="N323" s="1296"/>
      <c r="O323" s="1296"/>
      <c r="P323" s="1296"/>
      <c r="S323" s="46"/>
      <c r="T323" s="46"/>
      <c r="V323" s="46"/>
      <c r="W323" s="46"/>
    </row>
    <row r="324" spans="1:23" ht="36" customHeight="1" x14ac:dyDescent="0.2">
      <c r="A324" s="1295" t="s">
        <v>506</v>
      </c>
      <c r="B324" s="1338" t="s">
        <v>577</v>
      </c>
      <c r="C324" s="1338"/>
      <c r="D324" s="1338"/>
      <c r="E324" s="1338"/>
      <c r="F324" s="1338"/>
      <c r="G324" s="1338"/>
      <c r="H324" s="1338"/>
      <c r="I324" s="1338"/>
      <c r="J324" s="1338"/>
      <c r="K324" s="1338"/>
      <c r="L324" s="1338"/>
      <c r="M324" s="1338"/>
      <c r="N324" s="1338"/>
      <c r="O324" s="1338"/>
      <c r="P324" s="1338"/>
      <c r="S324" s="46"/>
      <c r="T324" s="46"/>
      <c r="V324" s="46"/>
      <c r="W324" s="46"/>
    </row>
    <row r="325" spans="1:23" ht="12.65" customHeight="1" x14ac:dyDescent="0.2">
      <c r="A325" s="1295" t="s">
        <v>507</v>
      </c>
      <c r="B325" s="1296" t="s">
        <v>623</v>
      </c>
      <c r="C325" s="1296"/>
      <c r="D325" s="1296"/>
      <c r="E325" s="1296"/>
      <c r="F325" s="1296"/>
      <c r="G325" s="1296"/>
      <c r="H325" s="1296"/>
      <c r="I325" s="1296"/>
      <c r="J325" s="1296"/>
      <c r="K325" s="1296"/>
      <c r="L325" s="1296"/>
      <c r="M325" s="1296"/>
      <c r="N325" s="1296"/>
      <c r="O325" s="1296"/>
      <c r="P325" s="1296"/>
      <c r="S325" s="46"/>
      <c r="T325" s="46"/>
      <c r="V325" s="46"/>
      <c r="W325" s="46"/>
    </row>
    <row r="326" spans="1:23" ht="12.65" customHeight="1" x14ac:dyDescent="0.2">
      <c r="A326" s="1295" t="s">
        <v>509</v>
      </c>
      <c r="B326" s="1296" t="s">
        <v>510</v>
      </c>
      <c r="C326" s="1296"/>
      <c r="D326" s="1296"/>
      <c r="E326" s="1296"/>
      <c r="F326" s="1296"/>
      <c r="G326" s="1296"/>
      <c r="H326" s="1296"/>
      <c r="I326" s="1296"/>
      <c r="J326" s="1296"/>
      <c r="K326" s="1296"/>
      <c r="L326" s="1296"/>
      <c r="M326" s="1296"/>
      <c r="N326" s="1296"/>
      <c r="O326" s="1296"/>
      <c r="P326" s="1296"/>
      <c r="S326" s="46"/>
      <c r="T326" s="46"/>
      <c r="V326" s="46"/>
      <c r="W326" s="46"/>
    </row>
    <row r="327" spans="1:23" ht="12.65" customHeight="1" x14ac:dyDescent="0.2">
      <c r="A327" s="1295" t="s">
        <v>511</v>
      </c>
      <c r="B327" s="1296" t="s">
        <v>512</v>
      </c>
      <c r="C327" s="1296"/>
      <c r="D327" s="1296"/>
      <c r="E327" s="1296"/>
      <c r="F327" s="1296"/>
      <c r="G327" s="1296"/>
      <c r="H327" s="1296"/>
      <c r="I327" s="1296"/>
      <c r="J327" s="1296"/>
      <c r="K327" s="1296"/>
      <c r="L327" s="1296"/>
      <c r="M327" s="1296"/>
      <c r="N327" s="1296"/>
      <c r="O327" s="1296"/>
      <c r="P327" s="1296"/>
      <c r="S327" s="46"/>
      <c r="T327" s="46"/>
      <c r="V327" s="46"/>
      <c r="W327" s="46"/>
    </row>
    <row r="328" spans="1:23" ht="22" customHeight="1" x14ac:dyDescent="0.2">
      <c r="A328" s="1295" t="s">
        <v>513</v>
      </c>
      <c r="B328" s="1338" t="s">
        <v>514</v>
      </c>
      <c r="C328" s="1338"/>
      <c r="D328" s="1338"/>
      <c r="E328" s="1338"/>
      <c r="F328" s="1338"/>
      <c r="G328" s="1338"/>
      <c r="H328" s="1338"/>
      <c r="I328" s="1338"/>
      <c r="J328" s="1338"/>
      <c r="K328" s="1338"/>
      <c r="L328" s="1338"/>
      <c r="M328" s="1338"/>
      <c r="N328" s="1338"/>
      <c r="O328" s="1338"/>
      <c r="P328" s="1338"/>
      <c r="S328" s="46"/>
      <c r="T328" s="46"/>
      <c r="V328" s="46"/>
      <c r="W328" s="46"/>
    </row>
    <row r="329" spans="1:23" ht="12.65" customHeight="1" x14ac:dyDescent="0.2">
      <c r="A329" s="1295" t="s">
        <v>515</v>
      </c>
      <c r="B329" s="1296" t="s">
        <v>516</v>
      </c>
      <c r="C329" s="1296"/>
      <c r="D329" s="1296"/>
      <c r="E329" s="1296"/>
      <c r="F329" s="1296"/>
      <c r="G329" s="1296"/>
      <c r="H329" s="1296"/>
      <c r="I329" s="1296"/>
      <c r="J329" s="1296"/>
      <c r="K329" s="1296"/>
      <c r="L329" s="1296"/>
      <c r="M329" s="1296"/>
      <c r="N329" s="1296"/>
      <c r="O329" s="1296"/>
      <c r="P329" s="1296"/>
      <c r="S329" s="46"/>
      <c r="T329" s="46"/>
      <c r="V329" s="46"/>
      <c r="W329" s="46"/>
    </row>
    <row r="330" spans="1:23" ht="12.65" customHeight="1" x14ac:dyDescent="0.2">
      <c r="A330" s="1295" t="s">
        <v>517</v>
      </c>
      <c r="B330" s="1296" t="s">
        <v>518</v>
      </c>
      <c r="C330" s="1296"/>
      <c r="D330" s="1296"/>
      <c r="E330" s="1296"/>
      <c r="F330" s="1296"/>
      <c r="G330" s="1296"/>
      <c r="H330" s="1296"/>
      <c r="I330" s="1296"/>
      <c r="J330" s="1296"/>
      <c r="K330" s="1296"/>
      <c r="L330" s="1296"/>
      <c r="M330" s="1296"/>
      <c r="N330" s="1296"/>
      <c r="O330" s="1296"/>
      <c r="P330" s="1296"/>
      <c r="S330" s="46"/>
      <c r="T330" s="46"/>
      <c r="V330" s="46"/>
      <c r="W330" s="46"/>
    </row>
    <row r="331" spans="1:23" ht="24.75" customHeight="1" x14ac:dyDescent="0.2">
      <c r="A331" s="1295" t="s">
        <v>519</v>
      </c>
      <c r="B331" s="1338" t="s">
        <v>520</v>
      </c>
      <c r="C331" s="1338"/>
      <c r="D331" s="1338"/>
      <c r="E331" s="1338"/>
      <c r="F331" s="1338"/>
      <c r="G331" s="1338"/>
      <c r="H331" s="1338"/>
      <c r="I331" s="1338"/>
      <c r="J331" s="1338"/>
      <c r="K331" s="1338"/>
      <c r="L331" s="1338"/>
      <c r="M331" s="1338"/>
      <c r="N331" s="1338"/>
      <c r="O331" s="1338"/>
      <c r="P331" s="1338"/>
      <c r="S331" s="46"/>
      <c r="T331" s="46"/>
      <c r="V331" s="46"/>
      <c r="W331" s="46"/>
    </row>
    <row r="332" spans="1:23" ht="12.65" customHeight="1" x14ac:dyDescent="0.2">
      <c r="A332" s="1295" t="s">
        <v>521</v>
      </c>
      <c r="B332" s="1296" t="s">
        <v>624</v>
      </c>
      <c r="C332" s="1296"/>
      <c r="D332" s="1296"/>
      <c r="E332" s="1296"/>
      <c r="F332" s="1296"/>
      <c r="G332" s="1296"/>
      <c r="H332" s="1296"/>
      <c r="I332" s="1296"/>
      <c r="J332" s="1296"/>
      <c r="K332" s="1296"/>
      <c r="L332" s="1296"/>
      <c r="M332" s="1296"/>
      <c r="N332" s="1296"/>
      <c r="O332" s="1296"/>
      <c r="P332" s="1296"/>
      <c r="S332" s="46"/>
      <c r="T332" s="46"/>
      <c r="V332" s="46"/>
      <c r="W332" s="46"/>
    </row>
    <row r="333" spans="1:23" ht="42.75" customHeight="1" x14ac:dyDescent="0.2">
      <c r="A333" s="1295" t="s">
        <v>522</v>
      </c>
      <c r="B333" s="1338" t="s">
        <v>523</v>
      </c>
      <c r="C333" s="1338"/>
      <c r="D333" s="1338"/>
      <c r="E333" s="1338"/>
      <c r="F333" s="1338"/>
      <c r="G333" s="1338"/>
      <c r="H333" s="1338"/>
      <c r="I333" s="1338"/>
      <c r="J333" s="1338"/>
      <c r="K333" s="1338"/>
      <c r="L333" s="1338"/>
      <c r="M333" s="1338"/>
      <c r="N333" s="1338"/>
      <c r="O333" s="1338"/>
      <c r="P333" s="1338"/>
      <c r="S333" s="46"/>
      <c r="T333" s="46"/>
      <c r="V333" s="46"/>
      <c r="W333" s="46"/>
    </row>
    <row r="334" spans="1:23" ht="12.65" customHeight="1" x14ac:dyDescent="0.25">
      <c r="A334" s="1298" t="s">
        <v>524</v>
      </c>
      <c r="B334" s="1296" t="s">
        <v>525</v>
      </c>
      <c r="C334" s="1296"/>
      <c r="D334" s="1296"/>
      <c r="E334" s="1296"/>
      <c r="F334" s="1296"/>
      <c r="G334" s="1296"/>
      <c r="H334" s="1296"/>
      <c r="I334" s="1296"/>
      <c r="J334" s="1296"/>
      <c r="K334" s="1296"/>
      <c r="L334" s="1296"/>
      <c r="M334" s="1296"/>
      <c r="N334" s="1296"/>
      <c r="O334" s="1296"/>
      <c r="P334" s="1296"/>
      <c r="S334" s="46"/>
      <c r="T334" s="46"/>
      <c r="V334" s="46"/>
      <c r="W334" s="46"/>
    </row>
    <row r="335" spans="1:23" ht="13" customHeight="1" x14ac:dyDescent="0.25">
      <c r="A335" s="1298" t="s">
        <v>526</v>
      </c>
      <c r="B335" s="1296" t="s">
        <v>527</v>
      </c>
      <c r="C335" s="1296"/>
      <c r="D335" s="1296"/>
      <c r="E335" s="1296"/>
      <c r="F335" s="1296"/>
      <c r="G335" s="1296"/>
      <c r="H335" s="1296"/>
      <c r="I335" s="1296"/>
      <c r="J335" s="1296"/>
      <c r="K335" s="1296"/>
      <c r="L335" s="1296"/>
      <c r="M335" s="1296"/>
      <c r="N335" s="1296"/>
      <c r="O335" s="1296"/>
      <c r="P335" s="1296"/>
      <c r="S335" s="46"/>
      <c r="T335" s="46"/>
      <c r="V335" s="46"/>
      <c r="W335" s="46"/>
    </row>
    <row r="336" spans="1:23" ht="26.25" customHeight="1" x14ac:dyDescent="0.2">
      <c r="A336" s="1295" t="s">
        <v>528</v>
      </c>
      <c r="B336" s="1338" t="s">
        <v>529</v>
      </c>
      <c r="C336" s="1338"/>
      <c r="D336" s="1338"/>
      <c r="E336" s="1338"/>
      <c r="F336" s="1338"/>
      <c r="G336" s="1338"/>
      <c r="H336" s="1338"/>
      <c r="I336" s="1338"/>
      <c r="J336" s="1338"/>
      <c r="K336" s="1338"/>
      <c r="L336" s="1338"/>
      <c r="M336" s="1338"/>
      <c r="N336" s="1338"/>
      <c r="O336" s="1338"/>
      <c r="P336" s="1338"/>
      <c r="S336" s="46"/>
      <c r="T336" s="46"/>
      <c r="V336" s="46"/>
      <c r="W336" s="46"/>
    </row>
    <row r="337" spans="1:23" ht="12.65" customHeight="1" x14ac:dyDescent="0.25">
      <c r="A337" s="1298" t="s">
        <v>530</v>
      </c>
      <c r="B337" s="1296" t="s">
        <v>531</v>
      </c>
      <c r="C337" s="1296"/>
      <c r="D337" s="1296"/>
      <c r="E337" s="1296"/>
      <c r="F337" s="1296"/>
      <c r="G337" s="1296"/>
      <c r="H337" s="1296"/>
      <c r="I337" s="1296"/>
      <c r="J337" s="1296"/>
      <c r="K337" s="1296"/>
      <c r="L337" s="1296"/>
      <c r="M337" s="1296"/>
      <c r="N337" s="1296"/>
      <c r="O337" s="1296"/>
      <c r="P337" s="1296"/>
      <c r="S337" s="46"/>
      <c r="T337" s="46"/>
      <c r="V337" s="46"/>
      <c r="W337" s="46"/>
    </row>
    <row r="338" spans="1:23" ht="12.65" customHeight="1" x14ac:dyDescent="0.25">
      <c r="A338" s="1298" t="s">
        <v>532</v>
      </c>
      <c r="B338" s="1296" t="s">
        <v>533</v>
      </c>
      <c r="C338" s="1296"/>
      <c r="D338" s="1296"/>
      <c r="E338" s="1296"/>
      <c r="F338" s="1296"/>
      <c r="G338" s="1296"/>
      <c r="H338" s="1296"/>
      <c r="I338" s="1296"/>
      <c r="J338" s="1296"/>
      <c r="K338" s="1296"/>
      <c r="L338" s="1296"/>
      <c r="M338" s="1296"/>
      <c r="N338" s="1296"/>
      <c r="O338" s="1296"/>
      <c r="P338" s="1296"/>
      <c r="S338" s="46"/>
      <c r="T338" s="46"/>
      <c r="V338" s="46"/>
      <c r="W338" s="46"/>
    </row>
    <row r="339" spans="1:23" ht="12.65" customHeight="1" x14ac:dyDescent="0.25">
      <c r="A339" s="1298" t="s">
        <v>534</v>
      </c>
      <c r="B339" s="1296" t="s">
        <v>535</v>
      </c>
      <c r="C339" s="1296"/>
      <c r="D339" s="1296"/>
      <c r="E339" s="1296"/>
      <c r="F339" s="1296"/>
      <c r="G339" s="1296"/>
      <c r="H339" s="1296"/>
      <c r="I339" s="1296"/>
      <c r="J339" s="1296"/>
      <c r="K339" s="1296"/>
      <c r="L339" s="1296"/>
      <c r="M339" s="1296"/>
      <c r="N339" s="1296"/>
      <c r="O339" s="1296"/>
      <c r="P339" s="1296"/>
      <c r="S339" s="46"/>
      <c r="T339" s="46"/>
      <c r="V339" s="46"/>
      <c r="W339" s="46"/>
    </row>
    <row r="340" spans="1:23" ht="12.65" customHeight="1" x14ac:dyDescent="0.25">
      <c r="A340" s="1298" t="s">
        <v>537</v>
      </c>
      <c r="B340" s="1296" t="s">
        <v>538</v>
      </c>
      <c r="C340" s="1296"/>
      <c r="D340" s="1296"/>
      <c r="E340" s="1296"/>
      <c r="F340" s="1296"/>
      <c r="G340" s="1296"/>
      <c r="H340" s="1296"/>
      <c r="I340" s="1296"/>
      <c r="J340" s="1296"/>
      <c r="K340" s="1296"/>
      <c r="L340" s="1296"/>
      <c r="M340" s="1296"/>
      <c r="N340" s="1296"/>
      <c r="O340" s="1296"/>
      <c r="P340" s="1296"/>
      <c r="S340" s="46"/>
      <c r="T340" s="46"/>
      <c r="V340" s="46"/>
      <c r="W340" s="46"/>
    </row>
    <row r="341" spans="1:23" ht="21" customHeight="1" x14ac:dyDescent="0.25">
      <c r="A341" s="1298" t="s">
        <v>539</v>
      </c>
      <c r="B341" s="1338" t="s">
        <v>540</v>
      </c>
      <c r="C341" s="1338"/>
      <c r="D341" s="1338"/>
      <c r="E341" s="1338"/>
      <c r="F341" s="1338"/>
      <c r="G341" s="1338"/>
      <c r="H341" s="1338"/>
      <c r="I341" s="1338"/>
      <c r="J341" s="1338"/>
      <c r="K341" s="1338"/>
      <c r="L341" s="1338"/>
      <c r="M341" s="1338"/>
      <c r="N341" s="1338"/>
      <c r="O341" s="1338"/>
      <c r="P341" s="1338"/>
      <c r="S341" s="46"/>
      <c r="T341" s="46"/>
      <c r="V341" s="46"/>
      <c r="W341" s="46"/>
    </row>
    <row r="342" spans="1:23" ht="24" customHeight="1" x14ac:dyDescent="0.25">
      <c r="A342" s="1298" t="s">
        <v>541</v>
      </c>
      <c r="B342" s="1338" t="s">
        <v>724</v>
      </c>
      <c r="C342" s="1338"/>
      <c r="D342" s="1338"/>
      <c r="E342" s="1338"/>
      <c r="F342" s="1338"/>
      <c r="G342" s="1338"/>
      <c r="H342" s="1338"/>
      <c r="I342" s="1338"/>
      <c r="J342" s="1338"/>
      <c r="K342" s="1338"/>
      <c r="L342" s="1338"/>
      <c r="M342" s="1338"/>
      <c r="N342" s="1338"/>
      <c r="O342" s="1338"/>
      <c r="P342" s="1338"/>
      <c r="S342" s="46"/>
      <c r="T342" s="46"/>
      <c r="V342" s="46"/>
      <c r="W342" s="46"/>
    </row>
    <row r="343" spans="1:23" ht="12.65" customHeight="1" x14ac:dyDescent="0.25">
      <c r="A343" s="1298" t="s">
        <v>542</v>
      </c>
      <c r="B343" s="1296" t="s">
        <v>578</v>
      </c>
      <c r="C343" s="1296"/>
      <c r="D343" s="1296"/>
      <c r="E343" s="1296"/>
      <c r="F343" s="1296"/>
      <c r="G343" s="1296"/>
      <c r="H343" s="1296"/>
      <c r="I343" s="1296"/>
      <c r="J343" s="1296"/>
      <c r="K343" s="1296"/>
      <c r="L343" s="1296"/>
      <c r="M343" s="1296"/>
      <c r="N343" s="1296"/>
      <c r="O343" s="1296"/>
      <c r="P343" s="1296"/>
      <c r="S343" s="46"/>
      <c r="T343" s="46"/>
      <c r="V343" s="46"/>
      <c r="W343" s="46"/>
    </row>
    <row r="344" spans="1:23" ht="24" customHeight="1" x14ac:dyDescent="0.2">
      <c r="A344" s="1295" t="s">
        <v>543</v>
      </c>
      <c r="B344" s="1338" t="s">
        <v>544</v>
      </c>
      <c r="C344" s="1338"/>
      <c r="D344" s="1338"/>
      <c r="E344" s="1338"/>
      <c r="F344" s="1338"/>
      <c r="G344" s="1338"/>
      <c r="H344" s="1338"/>
      <c r="I344" s="1338"/>
      <c r="J344" s="1338"/>
      <c r="K344" s="1338"/>
      <c r="L344" s="1338"/>
      <c r="M344" s="1338"/>
      <c r="N344" s="1338"/>
      <c r="O344" s="1338"/>
      <c r="P344" s="1338"/>
      <c r="S344" s="46"/>
      <c r="T344" s="46"/>
      <c r="V344" s="46"/>
      <c r="W344" s="46"/>
    </row>
    <row r="345" spans="1:23" ht="22" customHeight="1" x14ac:dyDescent="0.2">
      <c r="A345" s="1295" t="s">
        <v>545</v>
      </c>
      <c r="B345" s="1338" t="s">
        <v>546</v>
      </c>
      <c r="C345" s="1338"/>
      <c r="D345" s="1338"/>
      <c r="E345" s="1338"/>
      <c r="F345" s="1338"/>
      <c r="G345" s="1338"/>
      <c r="H345" s="1338"/>
      <c r="I345" s="1338"/>
      <c r="J345" s="1338"/>
      <c r="K345" s="1338"/>
      <c r="L345" s="1338"/>
      <c r="M345" s="1338"/>
      <c r="N345" s="1338"/>
      <c r="O345" s="1338"/>
      <c r="P345" s="1338"/>
      <c r="S345" s="46"/>
      <c r="T345" s="46"/>
      <c r="V345" s="46"/>
      <c r="W345" s="46"/>
    </row>
    <row r="346" spans="1:23" ht="12.65" customHeight="1" x14ac:dyDescent="0.25">
      <c r="A346" s="1298" t="s">
        <v>547</v>
      </c>
      <c r="B346" s="1296" t="s">
        <v>548</v>
      </c>
      <c r="C346" s="1296"/>
      <c r="D346" s="1296"/>
      <c r="E346" s="1296"/>
      <c r="F346" s="1296"/>
      <c r="G346" s="1296"/>
      <c r="H346" s="1296"/>
      <c r="I346" s="1296"/>
      <c r="J346" s="1296"/>
      <c r="K346" s="1296"/>
      <c r="L346" s="1296"/>
      <c r="M346" s="1296"/>
      <c r="N346" s="1296"/>
      <c r="O346" s="1296"/>
      <c r="P346" s="1296"/>
      <c r="S346" s="46"/>
      <c r="T346" s="46"/>
      <c r="V346" s="46"/>
      <c r="W346" s="46"/>
    </row>
    <row r="347" spans="1:23" ht="12.65" customHeight="1" x14ac:dyDescent="0.25">
      <c r="A347" s="1298" t="s">
        <v>549</v>
      </c>
      <c r="B347" s="1296" t="s">
        <v>550</v>
      </c>
      <c r="C347" s="1296"/>
      <c r="D347" s="1296"/>
      <c r="E347" s="1296"/>
      <c r="F347" s="1296"/>
      <c r="G347" s="1296"/>
      <c r="H347" s="1296"/>
      <c r="I347" s="1296"/>
      <c r="J347" s="1296"/>
      <c r="K347" s="1296"/>
      <c r="L347" s="1296"/>
      <c r="M347" s="1296"/>
      <c r="N347" s="1296"/>
      <c r="O347" s="1296"/>
      <c r="P347" s="1296"/>
      <c r="S347" s="46"/>
      <c r="T347" s="46"/>
      <c r="V347" s="46"/>
      <c r="W347" s="46"/>
    </row>
    <row r="348" spans="1:23" ht="12.65" customHeight="1" x14ac:dyDescent="0.25">
      <c r="A348" s="1298" t="s">
        <v>655</v>
      </c>
      <c r="B348" s="1296" t="s">
        <v>656</v>
      </c>
      <c r="C348" s="1296"/>
      <c r="D348" s="1296"/>
      <c r="E348" s="1296"/>
      <c r="F348" s="1296"/>
      <c r="G348" s="1296"/>
      <c r="H348" s="1296"/>
      <c r="I348" s="1296"/>
      <c r="J348" s="1296"/>
      <c r="K348" s="1296"/>
      <c r="L348" s="1296"/>
      <c r="M348" s="1296"/>
      <c r="N348" s="1296"/>
      <c r="O348" s="1296"/>
      <c r="P348" s="1296"/>
      <c r="S348" s="46"/>
      <c r="T348" s="46"/>
      <c r="V348" s="46"/>
      <c r="W348" s="46"/>
    </row>
    <row r="349" spans="1:23" ht="12.65" customHeight="1" x14ac:dyDescent="0.2">
      <c r="S349" s="46"/>
      <c r="T349" s="46"/>
      <c r="V349" s="46"/>
      <c r="W349" s="46"/>
    </row>
    <row r="350" spans="1:23" ht="12.65" customHeight="1" x14ac:dyDescent="0.2">
      <c r="S350" s="46"/>
      <c r="T350" s="46"/>
      <c r="V350" s="46"/>
      <c r="W350" s="46"/>
    </row>
    <row r="351" spans="1:23" ht="12.65" customHeight="1" x14ac:dyDescent="0.2">
      <c r="S351" s="46"/>
      <c r="T351" s="46"/>
      <c r="V351" s="46"/>
      <c r="W351" s="46"/>
    </row>
    <row r="352" spans="1:23" ht="12.65" customHeight="1" x14ac:dyDescent="0.2">
      <c r="S352" s="46"/>
      <c r="T352" s="46"/>
      <c r="V352" s="46"/>
      <c r="W352" s="46"/>
    </row>
    <row r="353" spans="19:23" ht="12.65" customHeight="1" x14ac:dyDescent="0.2">
      <c r="S353" s="46"/>
      <c r="T353" s="46"/>
      <c r="V353" s="46"/>
      <c r="W353" s="46"/>
    </row>
    <row r="354" spans="19:23" ht="12.65" customHeight="1" x14ac:dyDescent="0.2">
      <c r="S354" s="46"/>
      <c r="T354" s="46"/>
      <c r="V354" s="46"/>
      <c r="W354" s="46"/>
    </row>
    <row r="355" spans="19:23" ht="12.65" customHeight="1" x14ac:dyDescent="0.2">
      <c r="S355" s="46"/>
      <c r="T355" s="46"/>
      <c r="V355" s="46"/>
      <c r="W355" s="46"/>
    </row>
    <row r="356" spans="19:23" ht="12.65" customHeight="1" x14ac:dyDescent="0.2">
      <c r="S356" s="46"/>
      <c r="T356" s="46"/>
      <c r="V356" s="46"/>
      <c r="W356" s="46"/>
    </row>
    <row r="357" spans="19:23" ht="12.65" customHeight="1" x14ac:dyDescent="0.2">
      <c r="S357" s="46"/>
      <c r="T357" s="46"/>
      <c r="V357" s="46"/>
      <c r="W357" s="46"/>
    </row>
    <row r="358" spans="19:23" ht="12.65" customHeight="1" x14ac:dyDescent="0.2">
      <c r="S358" s="46"/>
      <c r="T358" s="46"/>
      <c r="V358" s="46"/>
      <c r="W358" s="46"/>
    </row>
    <row r="359" spans="19:23" ht="12.65" customHeight="1" x14ac:dyDescent="0.2">
      <c r="S359" s="46"/>
      <c r="T359" s="46"/>
      <c r="V359" s="46"/>
      <c r="W359" s="46"/>
    </row>
    <row r="360" spans="19:23" ht="12.65" customHeight="1" x14ac:dyDescent="0.2">
      <c r="S360" s="46"/>
      <c r="T360" s="46"/>
      <c r="V360" s="46"/>
      <c r="W360" s="46"/>
    </row>
    <row r="361" spans="19:23" ht="12.65" customHeight="1" x14ac:dyDescent="0.2">
      <c r="S361" s="46"/>
      <c r="T361" s="46"/>
      <c r="V361" s="46"/>
      <c r="W361" s="46"/>
    </row>
    <row r="362" spans="19:23" ht="12.65" customHeight="1" x14ac:dyDescent="0.2">
      <c r="S362" s="46"/>
      <c r="T362" s="46"/>
      <c r="V362" s="46"/>
      <c r="W362" s="46"/>
    </row>
    <row r="363" spans="19:23" ht="12.65" customHeight="1" x14ac:dyDescent="0.2">
      <c r="S363" s="46"/>
      <c r="T363" s="46"/>
      <c r="V363" s="46"/>
      <c r="W363" s="46"/>
    </row>
    <row r="364" spans="19:23" ht="12.65" customHeight="1" x14ac:dyDescent="0.2">
      <c r="S364" s="46"/>
      <c r="T364" s="46"/>
      <c r="V364" s="46"/>
      <c r="W364" s="46"/>
    </row>
    <row r="365" spans="19:23" ht="12.65" customHeight="1" x14ac:dyDescent="0.2">
      <c r="S365" s="46"/>
      <c r="T365" s="46"/>
      <c r="V365" s="46"/>
      <c r="W365" s="46"/>
    </row>
    <row r="366" spans="19:23" ht="12.65" customHeight="1" x14ac:dyDescent="0.2">
      <c r="S366" s="46"/>
      <c r="T366" s="46"/>
      <c r="V366" s="46"/>
      <c r="W366" s="46"/>
    </row>
    <row r="367" spans="19:23" ht="12.65" customHeight="1" x14ac:dyDescent="0.2">
      <c r="S367" s="46"/>
      <c r="T367" s="46"/>
      <c r="V367" s="46"/>
      <c r="W367" s="46"/>
    </row>
    <row r="368" spans="19:23" ht="12.65" customHeight="1" x14ac:dyDescent="0.2">
      <c r="S368" s="46"/>
      <c r="T368" s="46"/>
      <c r="V368" s="46"/>
      <c r="W368" s="46"/>
    </row>
    <row r="369" spans="19:23" ht="12.65" customHeight="1" x14ac:dyDescent="0.2">
      <c r="S369" s="46"/>
      <c r="T369" s="46"/>
      <c r="V369" s="46"/>
      <c r="W369" s="46"/>
    </row>
    <row r="370" spans="19:23" ht="12.65" customHeight="1" x14ac:dyDescent="0.2">
      <c r="S370" s="46"/>
      <c r="T370" s="46"/>
      <c r="V370" s="46"/>
      <c r="W370" s="46"/>
    </row>
    <row r="371" spans="19:23" ht="12.65" customHeight="1" x14ac:dyDescent="0.2">
      <c r="S371" s="46"/>
      <c r="T371" s="46"/>
      <c r="V371" s="46"/>
      <c r="W371" s="46"/>
    </row>
    <row r="372" spans="19:23" ht="12.65" customHeight="1" x14ac:dyDescent="0.2">
      <c r="S372" s="46"/>
      <c r="T372" s="46"/>
      <c r="V372" s="46"/>
      <c r="W372" s="46"/>
    </row>
    <row r="373" spans="19:23" ht="12.65" customHeight="1" x14ac:dyDescent="0.2">
      <c r="S373" s="46"/>
      <c r="T373" s="46"/>
      <c r="V373" s="46"/>
      <c r="W373" s="46"/>
    </row>
    <row r="374" spans="19:23" ht="12.65" customHeight="1" x14ac:dyDescent="0.2">
      <c r="S374" s="46"/>
      <c r="T374" s="46"/>
      <c r="V374" s="46"/>
      <c r="W374" s="46"/>
    </row>
    <row r="375" spans="19:23" ht="12.65" customHeight="1" x14ac:dyDescent="0.2">
      <c r="S375" s="46"/>
      <c r="T375" s="46"/>
      <c r="V375" s="46"/>
      <c r="W375" s="46"/>
    </row>
    <row r="376" spans="19:23" ht="12.65" customHeight="1" x14ac:dyDescent="0.2">
      <c r="S376" s="46"/>
      <c r="T376" s="46"/>
      <c r="V376" s="46"/>
      <c r="W376" s="46"/>
    </row>
    <row r="377" spans="19:23" ht="12.65" customHeight="1" x14ac:dyDescent="0.2">
      <c r="S377" s="46"/>
      <c r="T377" s="46"/>
      <c r="V377" s="46"/>
      <c r="W377" s="46"/>
    </row>
    <row r="378" spans="19:23" ht="12.65" customHeight="1" x14ac:dyDescent="0.2">
      <c r="S378" s="46"/>
      <c r="T378" s="46"/>
      <c r="V378" s="46"/>
      <c r="W378" s="46"/>
    </row>
    <row r="379" spans="19:23" ht="12.65" customHeight="1" x14ac:dyDescent="0.2">
      <c r="S379" s="46"/>
      <c r="T379" s="46"/>
      <c r="V379" s="46"/>
      <c r="W379" s="46"/>
    </row>
    <row r="380" spans="19:23" ht="12.65" customHeight="1" x14ac:dyDescent="0.2">
      <c r="S380" s="46"/>
      <c r="T380" s="46"/>
      <c r="V380" s="46"/>
      <c r="W380" s="46"/>
    </row>
    <row r="381" spans="19:23" ht="12.65" customHeight="1" x14ac:dyDescent="0.2">
      <c r="S381" s="46"/>
      <c r="T381" s="46"/>
      <c r="V381" s="46"/>
      <c r="W381" s="46"/>
    </row>
    <row r="382" spans="19:23" ht="12.65" customHeight="1" x14ac:dyDescent="0.2">
      <c r="S382" s="46"/>
      <c r="T382" s="46"/>
      <c r="V382" s="46"/>
      <c r="W382" s="46"/>
    </row>
    <row r="383" spans="19:23" ht="12.65" customHeight="1" x14ac:dyDescent="0.2">
      <c r="S383" s="46"/>
      <c r="T383" s="46"/>
      <c r="V383" s="46"/>
      <c r="W383" s="46"/>
    </row>
    <row r="384" spans="19:23" ht="12.65" customHeight="1" x14ac:dyDescent="0.2">
      <c r="S384" s="46"/>
      <c r="T384" s="46"/>
      <c r="V384" s="46"/>
      <c r="W384" s="46"/>
    </row>
    <row r="385" spans="19:23" ht="12.65" customHeight="1" x14ac:dyDescent="0.2">
      <c r="S385" s="46"/>
      <c r="T385" s="46"/>
      <c r="V385" s="46"/>
      <c r="W385" s="46"/>
    </row>
    <row r="386" spans="19:23" ht="12.65" customHeight="1" x14ac:dyDescent="0.2">
      <c r="S386" s="46"/>
      <c r="T386" s="46"/>
      <c r="V386" s="46"/>
      <c r="W386" s="46"/>
    </row>
    <row r="387" spans="19:23" ht="12.65" customHeight="1" x14ac:dyDescent="0.2">
      <c r="S387" s="46"/>
      <c r="T387" s="46"/>
      <c r="V387" s="46"/>
      <c r="W387" s="46"/>
    </row>
    <row r="388" spans="19:23" ht="12.65" customHeight="1" x14ac:dyDescent="0.2">
      <c r="S388" s="46"/>
      <c r="T388" s="46"/>
      <c r="V388" s="46"/>
      <c r="W388" s="46"/>
    </row>
    <row r="389" spans="19:23" ht="12.65" customHeight="1" x14ac:dyDescent="0.2">
      <c r="S389" s="46"/>
      <c r="T389" s="46"/>
      <c r="V389" s="46"/>
      <c r="W389" s="46"/>
    </row>
    <row r="390" spans="19:23" ht="12.65" customHeight="1" x14ac:dyDescent="0.2">
      <c r="S390" s="46"/>
      <c r="T390" s="46"/>
      <c r="V390" s="46"/>
      <c r="W390" s="46"/>
    </row>
    <row r="391" spans="19:23" ht="12.65" customHeight="1" x14ac:dyDescent="0.2">
      <c r="S391" s="46"/>
      <c r="T391" s="46"/>
      <c r="V391" s="46"/>
      <c r="W391" s="46"/>
    </row>
    <row r="392" spans="19:23" ht="12.65" customHeight="1" x14ac:dyDescent="0.2">
      <c r="S392" s="46"/>
      <c r="T392" s="46"/>
      <c r="V392" s="46"/>
      <c r="W392" s="46"/>
    </row>
    <row r="393" spans="19:23" ht="12.65" customHeight="1" x14ac:dyDescent="0.2">
      <c r="S393" s="46"/>
      <c r="T393" s="46"/>
      <c r="V393" s="46"/>
      <c r="W393" s="46"/>
    </row>
    <row r="394" spans="19:23" ht="12.65" customHeight="1" x14ac:dyDescent="0.2">
      <c r="S394" s="46"/>
      <c r="T394" s="46"/>
      <c r="V394" s="46"/>
      <c r="W394" s="46"/>
    </row>
    <row r="395" spans="19:23" ht="12.65" customHeight="1" x14ac:dyDescent="0.2">
      <c r="S395" s="46"/>
      <c r="T395" s="46"/>
      <c r="V395" s="46"/>
      <c r="W395" s="46"/>
    </row>
    <row r="396" spans="19:23" ht="12.65" customHeight="1" x14ac:dyDescent="0.2">
      <c r="S396" s="46"/>
      <c r="T396" s="46"/>
      <c r="V396" s="46"/>
      <c r="W396" s="46"/>
    </row>
    <row r="397" spans="19:23" ht="12.65" customHeight="1" x14ac:dyDescent="0.2">
      <c r="S397" s="46"/>
      <c r="T397" s="46"/>
      <c r="V397" s="46"/>
      <c r="W397" s="46"/>
    </row>
    <row r="398" spans="19:23" ht="12.65" customHeight="1" x14ac:dyDescent="0.2">
      <c r="S398" s="46"/>
      <c r="T398" s="46"/>
      <c r="V398" s="46"/>
      <c r="W398" s="46"/>
    </row>
    <row r="399" spans="19:23" ht="12.65" customHeight="1" x14ac:dyDescent="0.2">
      <c r="S399" s="46"/>
      <c r="T399" s="46"/>
      <c r="V399" s="46"/>
      <c r="W399" s="46"/>
    </row>
    <row r="400" spans="19:23" ht="12.65" customHeight="1" x14ac:dyDescent="0.2">
      <c r="S400" s="46"/>
      <c r="T400" s="46"/>
      <c r="V400" s="46"/>
      <c r="W400" s="46"/>
    </row>
    <row r="401" spans="19:23" ht="12.65" customHeight="1" x14ac:dyDescent="0.2">
      <c r="S401" s="46"/>
      <c r="T401" s="46"/>
      <c r="V401" s="46"/>
      <c r="W401" s="46"/>
    </row>
    <row r="402" spans="19:23" ht="12.65" customHeight="1" x14ac:dyDescent="0.2">
      <c r="S402" s="46"/>
      <c r="T402" s="46"/>
      <c r="V402" s="46"/>
      <c r="W402" s="46"/>
    </row>
    <row r="403" spans="19:23" ht="12.65" customHeight="1" x14ac:dyDescent="0.2">
      <c r="S403" s="46"/>
      <c r="T403" s="46"/>
      <c r="V403" s="46"/>
      <c r="W403" s="46"/>
    </row>
    <row r="404" spans="19:23" ht="12.65" customHeight="1" x14ac:dyDescent="0.2">
      <c r="S404" s="46"/>
      <c r="T404" s="46"/>
      <c r="V404" s="46"/>
      <c r="W404" s="46"/>
    </row>
    <row r="405" spans="19:23" ht="12.65" customHeight="1" x14ac:dyDescent="0.2">
      <c r="S405" s="46"/>
      <c r="T405" s="46"/>
      <c r="V405" s="46"/>
      <c r="W405" s="46"/>
    </row>
    <row r="406" spans="19:23" ht="12.65" customHeight="1" x14ac:dyDescent="0.2">
      <c r="S406" s="46"/>
      <c r="T406" s="46"/>
      <c r="V406" s="46"/>
      <c r="W406" s="46"/>
    </row>
    <row r="407" spans="19:23" ht="12.65" customHeight="1" x14ac:dyDescent="0.2">
      <c r="S407" s="46"/>
      <c r="T407" s="46"/>
      <c r="V407" s="46"/>
      <c r="W407" s="46"/>
    </row>
    <row r="408" spans="19:23" ht="12.65" customHeight="1" x14ac:dyDescent="0.2">
      <c r="S408" s="46"/>
      <c r="T408" s="46"/>
      <c r="V408" s="46"/>
      <c r="W408" s="46"/>
    </row>
    <row r="409" spans="19:23" ht="12.65" customHeight="1" x14ac:dyDescent="0.2">
      <c r="S409" s="46"/>
      <c r="T409" s="46"/>
      <c r="V409" s="46"/>
      <c r="W409" s="46"/>
    </row>
    <row r="410" spans="19:23" ht="12.65" customHeight="1" x14ac:dyDescent="0.2">
      <c r="S410" s="46"/>
      <c r="T410" s="46"/>
      <c r="V410" s="46"/>
      <c r="W410" s="46"/>
    </row>
    <row r="411" spans="19:23" ht="12.65" customHeight="1" x14ac:dyDescent="0.2">
      <c r="S411" s="46"/>
      <c r="T411" s="46"/>
      <c r="V411" s="46"/>
      <c r="W411" s="46"/>
    </row>
    <row r="412" spans="19:23" ht="12.65" customHeight="1" x14ac:dyDescent="0.2">
      <c r="S412" s="46"/>
      <c r="T412" s="46"/>
      <c r="V412" s="46"/>
      <c r="W412" s="46"/>
    </row>
    <row r="413" spans="19:23" ht="12.65" customHeight="1" x14ac:dyDescent="0.2">
      <c r="S413" s="46"/>
      <c r="T413" s="46"/>
      <c r="V413" s="46"/>
      <c r="W413" s="46"/>
    </row>
    <row r="414" spans="19:23" ht="12.65" customHeight="1" x14ac:dyDescent="0.2">
      <c r="S414" s="46"/>
      <c r="T414" s="46"/>
      <c r="V414" s="46"/>
      <c r="W414" s="46"/>
    </row>
    <row r="415" spans="19:23" ht="12.65" customHeight="1" x14ac:dyDescent="0.2">
      <c r="S415" s="46"/>
      <c r="T415" s="46"/>
      <c r="V415" s="46"/>
      <c r="W415" s="46"/>
    </row>
    <row r="416" spans="19:23" ht="12.65" customHeight="1" x14ac:dyDescent="0.2">
      <c r="S416" s="46"/>
      <c r="T416" s="46"/>
      <c r="V416" s="46"/>
      <c r="W416" s="46"/>
    </row>
    <row r="417" spans="19:23" ht="12.65" customHeight="1" x14ac:dyDescent="0.2">
      <c r="S417" s="46"/>
      <c r="T417" s="46"/>
      <c r="V417" s="46"/>
      <c r="W417" s="46"/>
    </row>
    <row r="418" spans="19:23" ht="12.65" customHeight="1" x14ac:dyDescent="0.2">
      <c r="S418" s="46"/>
      <c r="T418" s="46"/>
      <c r="V418" s="46"/>
      <c r="W418" s="46"/>
    </row>
    <row r="419" spans="19:23" ht="12.65" customHeight="1" x14ac:dyDescent="0.2">
      <c r="S419" s="46"/>
      <c r="T419" s="46"/>
      <c r="V419" s="46"/>
      <c r="W419" s="46"/>
    </row>
    <row r="420" spans="19:23" ht="12.65" customHeight="1" x14ac:dyDescent="0.2">
      <c r="S420" s="46"/>
      <c r="T420" s="46"/>
      <c r="V420" s="46"/>
      <c r="W420" s="46"/>
    </row>
    <row r="421" spans="19:23" ht="12.65" customHeight="1" x14ac:dyDescent="0.2">
      <c r="S421" s="46"/>
      <c r="T421" s="46"/>
      <c r="V421" s="46"/>
      <c r="W421" s="46"/>
    </row>
    <row r="422" spans="19:23" ht="12.65" customHeight="1" x14ac:dyDescent="0.2">
      <c r="S422" s="46"/>
      <c r="T422" s="46"/>
      <c r="V422" s="46"/>
      <c r="W422" s="46"/>
    </row>
    <row r="423" spans="19:23" ht="12.65" customHeight="1" x14ac:dyDescent="0.2">
      <c r="S423" s="46"/>
      <c r="T423" s="46"/>
      <c r="V423" s="46"/>
      <c r="W423" s="46"/>
    </row>
    <row r="424" spans="19:23" ht="12.65" customHeight="1" x14ac:dyDescent="0.2">
      <c r="S424" s="46"/>
      <c r="T424" s="46"/>
      <c r="V424" s="46"/>
      <c r="W424" s="46"/>
    </row>
    <row r="425" spans="19:23" ht="12.65" customHeight="1" x14ac:dyDescent="0.2">
      <c r="S425" s="46"/>
      <c r="T425" s="46"/>
      <c r="V425" s="46"/>
      <c r="W425" s="46"/>
    </row>
    <row r="426" spans="19:23" ht="12.65" customHeight="1" x14ac:dyDescent="0.2">
      <c r="S426" s="46"/>
      <c r="T426" s="46"/>
      <c r="V426" s="46"/>
      <c r="W426" s="46"/>
    </row>
    <row r="427" spans="19:23" ht="12.65" customHeight="1" x14ac:dyDescent="0.2">
      <c r="S427" s="46"/>
      <c r="T427" s="46"/>
      <c r="V427" s="46"/>
      <c r="W427" s="46"/>
    </row>
    <row r="428" spans="19:23" ht="12.65" customHeight="1" x14ac:dyDescent="0.2">
      <c r="S428" s="46"/>
      <c r="T428" s="46"/>
      <c r="V428" s="46"/>
      <c r="W428" s="46"/>
    </row>
    <row r="429" spans="19:23" ht="12.65" customHeight="1" x14ac:dyDescent="0.2">
      <c r="S429" s="46"/>
      <c r="T429" s="46"/>
      <c r="V429" s="46"/>
      <c r="W429" s="46"/>
    </row>
    <row r="430" spans="19:23" ht="12.65" customHeight="1" x14ac:dyDescent="0.2">
      <c r="S430" s="46"/>
      <c r="T430" s="46"/>
      <c r="V430" s="46"/>
      <c r="W430" s="46"/>
    </row>
    <row r="431" spans="19:23" ht="12.65" customHeight="1" x14ac:dyDescent="0.2">
      <c r="S431" s="46"/>
      <c r="T431" s="46"/>
      <c r="V431" s="46"/>
      <c r="W431" s="46"/>
    </row>
    <row r="432" spans="19:23" ht="12.65" customHeight="1" x14ac:dyDescent="0.2">
      <c r="S432" s="46"/>
      <c r="T432" s="46"/>
      <c r="V432" s="46"/>
      <c r="W432" s="46"/>
    </row>
    <row r="433" spans="19:23" ht="12.65" customHeight="1" x14ac:dyDescent="0.2">
      <c r="S433" s="46"/>
      <c r="T433" s="46"/>
      <c r="V433" s="46"/>
      <c r="W433" s="46"/>
    </row>
    <row r="434" spans="19:23" ht="12.65" customHeight="1" x14ac:dyDescent="0.2">
      <c r="S434" s="46"/>
      <c r="T434" s="46"/>
      <c r="V434" s="46"/>
      <c r="W434" s="46"/>
    </row>
    <row r="435" spans="19:23" ht="12.65" customHeight="1" x14ac:dyDescent="0.2">
      <c r="S435" s="46"/>
      <c r="T435" s="46"/>
      <c r="V435" s="46"/>
      <c r="W435" s="46"/>
    </row>
    <row r="436" spans="19:23" ht="12.65" customHeight="1" x14ac:dyDescent="0.2">
      <c r="S436" s="46"/>
      <c r="T436" s="46"/>
      <c r="V436" s="46"/>
      <c r="W436" s="46"/>
    </row>
    <row r="437" spans="19:23" ht="12.65" customHeight="1" x14ac:dyDescent="0.2">
      <c r="S437" s="46"/>
      <c r="T437" s="46"/>
      <c r="V437" s="46"/>
      <c r="W437" s="46"/>
    </row>
    <row r="438" spans="19:23" ht="12.65" customHeight="1" x14ac:dyDescent="0.2">
      <c r="S438" s="46"/>
      <c r="T438" s="46"/>
      <c r="V438" s="46"/>
      <c r="W438" s="46"/>
    </row>
    <row r="439" spans="19:23" ht="12.65" customHeight="1" x14ac:dyDescent="0.2">
      <c r="S439" s="46"/>
      <c r="T439" s="46"/>
      <c r="V439" s="46"/>
      <c r="W439" s="46"/>
    </row>
    <row r="440" spans="19:23" ht="12.65" customHeight="1" x14ac:dyDescent="0.2">
      <c r="S440" s="46"/>
      <c r="T440" s="46"/>
      <c r="V440" s="46"/>
      <c r="W440" s="46"/>
    </row>
    <row r="441" spans="19:23" ht="12.65" customHeight="1" x14ac:dyDescent="0.2">
      <c r="S441" s="46"/>
      <c r="T441" s="46"/>
      <c r="V441" s="46"/>
      <c r="W441" s="46"/>
    </row>
    <row r="442" spans="19:23" ht="12.65" customHeight="1" x14ac:dyDescent="0.2">
      <c r="S442" s="46"/>
      <c r="T442" s="46"/>
      <c r="V442" s="46"/>
      <c r="W442" s="46"/>
    </row>
    <row r="443" spans="19:23" ht="12.65" customHeight="1" x14ac:dyDescent="0.2">
      <c r="S443" s="46"/>
      <c r="T443" s="46"/>
      <c r="V443" s="46"/>
      <c r="W443" s="46"/>
    </row>
    <row r="444" spans="19:23" ht="12.65" customHeight="1" x14ac:dyDescent="0.2">
      <c r="S444" s="46"/>
      <c r="T444" s="46"/>
      <c r="V444" s="46"/>
      <c r="W444" s="46"/>
    </row>
    <row r="445" spans="19:23" ht="12.65" customHeight="1" x14ac:dyDescent="0.2">
      <c r="S445" s="46"/>
      <c r="T445" s="46"/>
      <c r="V445" s="46"/>
      <c r="W445" s="46"/>
    </row>
    <row r="446" spans="19:23" ht="12.65" customHeight="1" x14ac:dyDescent="0.2">
      <c r="S446" s="46"/>
      <c r="T446" s="46"/>
      <c r="V446" s="46"/>
      <c r="W446" s="46"/>
    </row>
    <row r="447" spans="19:23" ht="12.65" customHeight="1" x14ac:dyDescent="0.2">
      <c r="S447" s="46"/>
      <c r="T447" s="46"/>
      <c r="V447" s="46"/>
      <c r="W447" s="46"/>
    </row>
    <row r="448" spans="19:23" ht="12.65" customHeight="1" x14ac:dyDescent="0.2">
      <c r="S448" s="46"/>
      <c r="T448" s="46"/>
      <c r="V448" s="46"/>
      <c r="W448" s="46"/>
    </row>
    <row r="449" spans="19:23" ht="12.65" customHeight="1" x14ac:dyDescent="0.2">
      <c r="S449" s="46"/>
      <c r="T449" s="46"/>
      <c r="V449" s="46"/>
      <c r="W449" s="46"/>
    </row>
    <row r="450" spans="19:23" ht="12.65" customHeight="1" x14ac:dyDescent="0.2">
      <c r="S450" s="46"/>
      <c r="T450" s="46"/>
      <c r="V450" s="46"/>
      <c r="W450" s="46"/>
    </row>
    <row r="451" spans="19:23" ht="12.65" customHeight="1" x14ac:dyDescent="0.2">
      <c r="S451" s="46"/>
      <c r="T451" s="46"/>
      <c r="V451" s="46"/>
      <c r="W451" s="46"/>
    </row>
    <row r="452" spans="19:23" ht="12.65" customHeight="1" x14ac:dyDescent="0.2">
      <c r="S452" s="46"/>
      <c r="T452" s="46"/>
      <c r="V452" s="46"/>
      <c r="W452" s="46"/>
    </row>
    <row r="453" spans="19:23" ht="12.65" customHeight="1" x14ac:dyDescent="0.2">
      <c r="S453" s="46"/>
      <c r="T453" s="46"/>
      <c r="V453" s="46"/>
      <c r="W453" s="46"/>
    </row>
    <row r="454" spans="19:23" ht="12.65" customHeight="1" x14ac:dyDescent="0.2">
      <c r="S454" s="46"/>
      <c r="T454" s="46"/>
      <c r="V454" s="46"/>
      <c r="W454" s="46"/>
    </row>
    <row r="455" spans="19:23" ht="12.65" customHeight="1" x14ac:dyDescent="0.2">
      <c r="S455" s="46"/>
      <c r="T455" s="46"/>
      <c r="V455" s="46"/>
      <c r="W455" s="46"/>
    </row>
    <row r="456" spans="19:23" ht="12.65" customHeight="1" x14ac:dyDescent="0.2">
      <c r="S456" s="46"/>
      <c r="T456" s="46"/>
      <c r="V456" s="46"/>
      <c r="W456" s="46"/>
    </row>
    <row r="457" spans="19:23" ht="12.65" customHeight="1" x14ac:dyDescent="0.2">
      <c r="S457" s="46"/>
      <c r="T457" s="46"/>
      <c r="V457" s="46"/>
      <c r="W457" s="46"/>
    </row>
    <row r="458" spans="19:23" ht="12.65" customHeight="1" x14ac:dyDescent="0.2">
      <c r="V458" s="46"/>
      <c r="W458" s="46"/>
    </row>
    <row r="459" spans="19:23" ht="12.65" customHeight="1" x14ac:dyDescent="0.2">
      <c r="V459" s="46"/>
      <c r="W459" s="46"/>
    </row>
    <row r="460" spans="19:23" ht="12.65" customHeight="1" x14ac:dyDescent="0.2">
      <c r="V460" s="46"/>
      <c r="W460" s="46"/>
    </row>
    <row r="461" spans="19:23" ht="12.65" customHeight="1" x14ac:dyDescent="0.2">
      <c r="V461" s="46"/>
      <c r="W461" s="46"/>
    </row>
    <row r="462" spans="19:23" ht="12.65" customHeight="1" x14ac:dyDescent="0.2">
      <c r="V462" s="46"/>
      <c r="W462" s="46"/>
    </row>
    <row r="463" spans="19:23" ht="12.65" customHeight="1" x14ac:dyDescent="0.2">
      <c r="V463" s="46"/>
      <c r="W463" s="46"/>
    </row>
    <row r="464" spans="19:23" ht="12.65" customHeight="1" x14ac:dyDescent="0.2">
      <c r="V464" s="46"/>
      <c r="W464" s="46"/>
    </row>
    <row r="465" spans="22:23" ht="12.65" customHeight="1" x14ac:dyDescent="0.2">
      <c r="V465" s="46"/>
      <c r="W465" s="46"/>
    </row>
    <row r="466" spans="22:23" ht="12.65" customHeight="1" x14ac:dyDescent="0.2">
      <c r="V466" s="46"/>
      <c r="W466" s="46"/>
    </row>
    <row r="467" spans="22:23" ht="12.65" customHeight="1" x14ac:dyDescent="0.2">
      <c r="V467" s="46"/>
      <c r="W467" s="46"/>
    </row>
    <row r="468" spans="22:23" ht="12.65" customHeight="1" x14ac:dyDescent="0.2">
      <c r="V468" s="46"/>
      <c r="W468" s="46"/>
    </row>
    <row r="469" spans="22:23" ht="12.65" customHeight="1" x14ac:dyDescent="0.2">
      <c r="V469" s="46"/>
      <c r="W469" s="46"/>
    </row>
    <row r="470" spans="22:23" ht="12.65" customHeight="1" x14ac:dyDescent="0.2">
      <c r="V470" s="46"/>
      <c r="W470" s="46"/>
    </row>
    <row r="471" spans="22:23" ht="12.65" customHeight="1" x14ac:dyDescent="0.2">
      <c r="V471" s="46"/>
      <c r="W471" s="46"/>
    </row>
    <row r="472" spans="22:23" ht="12.65" customHeight="1" x14ac:dyDescent="0.2">
      <c r="V472" s="46"/>
      <c r="W472" s="46"/>
    </row>
    <row r="473" spans="22:23" ht="12.65" customHeight="1" x14ac:dyDescent="0.2">
      <c r="V473" s="46"/>
      <c r="W473" s="46"/>
    </row>
    <row r="474" spans="22:23" ht="12.65" customHeight="1" x14ac:dyDescent="0.2">
      <c r="V474" s="46"/>
      <c r="W474" s="46"/>
    </row>
    <row r="475" spans="22:23" ht="12.65" customHeight="1" x14ac:dyDescent="0.2">
      <c r="V475" s="46"/>
      <c r="W475" s="46"/>
    </row>
    <row r="476" spans="22:23" ht="12.65" customHeight="1" x14ac:dyDescent="0.2">
      <c r="V476" s="46"/>
      <c r="W476" s="46"/>
    </row>
    <row r="477" spans="22:23" ht="12.65" customHeight="1" x14ac:dyDescent="0.2">
      <c r="V477" s="46"/>
      <c r="W477" s="46"/>
    </row>
    <row r="478" spans="22:23" ht="12.65" customHeight="1" x14ac:dyDescent="0.2">
      <c r="V478" s="46"/>
      <c r="W478" s="46"/>
    </row>
    <row r="479" spans="22:23" ht="12.65" customHeight="1" x14ac:dyDescent="0.2">
      <c r="V479" s="46"/>
      <c r="W479" s="46"/>
    </row>
    <row r="480" spans="22:23" ht="12.65" customHeight="1" x14ac:dyDescent="0.2">
      <c r="V480" s="46"/>
      <c r="W480" s="46"/>
    </row>
    <row r="481" spans="22:23" ht="12.65" customHeight="1" x14ac:dyDescent="0.2">
      <c r="V481" s="46"/>
      <c r="W481" s="46"/>
    </row>
    <row r="482" spans="22:23" ht="12.65" customHeight="1" x14ac:dyDescent="0.2">
      <c r="V482" s="46"/>
      <c r="W482" s="46"/>
    </row>
    <row r="483" spans="22:23" ht="12.65" customHeight="1" x14ac:dyDescent="0.2">
      <c r="V483" s="46"/>
      <c r="W483" s="46"/>
    </row>
    <row r="484" spans="22:23" ht="12.65" customHeight="1" x14ac:dyDescent="0.2">
      <c r="V484" s="46"/>
      <c r="W484" s="46"/>
    </row>
    <row r="485" spans="22:23" ht="12.65" customHeight="1" x14ac:dyDescent="0.2">
      <c r="V485" s="46"/>
      <c r="W485" s="46"/>
    </row>
    <row r="486" spans="22:23" ht="12.65" customHeight="1" x14ac:dyDescent="0.2">
      <c r="V486" s="46"/>
      <c r="W486" s="46"/>
    </row>
    <row r="487" spans="22:23" ht="12.65" customHeight="1" x14ac:dyDescent="0.2">
      <c r="V487" s="46"/>
      <c r="W487" s="46"/>
    </row>
    <row r="488" spans="22:23" ht="12.65" customHeight="1" x14ac:dyDescent="0.2">
      <c r="V488" s="46"/>
      <c r="W488" s="46"/>
    </row>
    <row r="489" spans="22:23" ht="12.65" customHeight="1" x14ac:dyDescent="0.2">
      <c r="V489" s="46"/>
      <c r="W489" s="46"/>
    </row>
    <row r="490" spans="22:23" ht="12.65" customHeight="1" x14ac:dyDescent="0.2">
      <c r="V490" s="46"/>
      <c r="W490" s="46"/>
    </row>
    <row r="491" spans="22:23" ht="12.65" customHeight="1" x14ac:dyDescent="0.2">
      <c r="V491" s="46"/>
      <c r="W491" s="46"/>
    </row>
    <row r="492" spans="22:23" ht="12.65" customHeight="1" x14ac:dyDescent="0.2">
      <c r="V492" s="46"/>
      <c r="W492" s="46"/>
    </row>
    <row r="493" spans="22:23" ht="12.65" customHeight="1" x14ac:dyDescent="0.2">
      <c r="V493" s="46"/>
      <c r="W493" s="46"/>
    </row>
    <row r="494" spans="22:23" ht="12.65" customHeight="1" x14ac:dyDescent="0.2">
      <c r="V494" s="46"/>
      <c r="W494" s="46"/>
    </row>
    <row r="495" spans="22:23" ht="12.65" customHeight="1" x14ac:dyDescent="0.2">
      <c r="V495" s="46"/>
      <c r="W495" s="46"/>
    </row>
    <row r="496" spans="22:23" ht="12.65" customHeight="1" x14ac:dyDescent="0.2">
      <c r="V496" s="46"/>
      <c r="W496" s="46"/>
    </row>
    <row r="497" spans="22:23" ht="12.65" customHeight="1" x14ac:dyDescent="0.2">
      <c r="V497" s="46"/>
      <c r="W497" s="46"/>
    </row>
    <row r="498" spans="22:23" ht="12.65" customHeight="1" x14ac:dyDescent="0.2">
      <c r="V498" s="46"/>
      <c r="W498" s="46"/>
    </row>
    <row r="499" spans="22:23" ht="12.65" customHeight="1" x14ac:dyDescent="0.2">
      <c r="V499" s="46"/>
      <c r="W499" s="46"/>
    </row>
    <row r="500" spans="22:23" ht="12.65" customHeight="1" x14ac:dyDescent="0.2">
      <c r="V500" s="46"/>
      <c r="W500" s="46"/>
    </row>
    <row r="501" spans="22:23" ht="12.65" customHeight="1" x14ac:dyDescent="0.2">
      <c r="V501" s="46"/>
      <c r="W501" s="46"/>
    </row>
    <row r="502" spans="22:23" ht="12.65" customHeight="1" x14ac:dyDescent="0.2">
      <c r="V502" s="46"/>
      <c r="W502" s="46"/>
    </row>
    <row r="503" spans="22:23" ht="12.65" customHeight="1" x14ac:dyDescent="0.2">
      <c r="V503" s="46"/>
      <c r="W503" s="46"/>
    </row>
    <row r="504" spans="22:23" ht="12.65" customHeight="1" x14ac:dyDescent="0.2">
      <c r="V504" s="46"/>
      <c r="W504" s="46"/>
    </row>
    <row r="505" spans="22:23" ht="12.65" customHeight="1" x14ac:dyDescent="0.2">
      <c r="V505" s="46"/>
      <c r="W505" s="46"/>
    </row>
    <row r="506" spans="22:23" ht="12.65" customHeight="1" x14ac:dyDescent="0.2">
      <c r="V506" s="46"/>
      <c r="W506" s="46"/>
    </row>
    <row r="507" spans="22:23" ht="12.65" customHeight="1" x14ac:dyDescent="0.2">
      <c r="V507" s="46"/>
      <c r="W507" s="46"/>
    </row>
    <row r="508" spans="22:23" ht="12.65" customHeight="1" x14ac:dyDescent="0.2">
      <c r="V508" s="46"/>
      <c r="W508" s="46"/>
    </row>
    <row r="509" spans="22:23" ht="12.65" customHeight="1" x14ac:dyDescent="0.2">
      <c r="V509" s="46"/>
      <c r="W509" s="46"/>
    </row>
    <row r="510" spans="22:23" ht="12.65" customHeight="1" x14ac:dyDescent="0.2">
      <c r="V510" s="46"/>
      <c r="W510" s="46"/>
    </row>
    <row r="511" spans="22:23" ht="12.65" customHeight="1" x14ac:dyDescent="0.2">
      <c r="V511" s="46"/>
      <c r="W511" s="46"/>
    </row>
    <row r="512" spans="22:23" ht="12.65" customHeight="1" x14ac:dyDescent="0.2">
      <c r="V512" s="46"/>
      <c r="W512" s="46"/>
    </row>
    <row r="513" spans="22:23" ht="12.65" customHeight="1" x14ac:dyDescent="0.2">
      <c r="V513" s="46"/>
      <c r="W513" s="46"/>
    </row>
    <row r="514" spans="22:23" ht="12.65" customHeight="1" x14ac:dyDescent="0.2">
      <c r="V514" s="46"/>
      <c r="W514" s="46"/>
    </row>
    <row r="515" spans="22:23" ht="12.65" customHeight="1" x14ac:dyDescent="0.2">
      <c r="V515" s="46"/>
      <c r="W515" s="46"/>
    </row>
    <row r="516" spans="22:23" ht="12.65" customHeight="1" x14ac:dyDescent="0.2">
      <c r="V516" s="46"/>
      <c r="W516" s="46"/>
    </row>
    <row r="517" spans="22:23" ht="12.65" customHeight="1" x14ac:dyDescent="0.2">
      <c r="V517" s="46"/>
      <c r="W517" s="46"/>
    </row>
    <row r="518" spans="22:23" ht="12.65" customHeight="1" x14ac:dyDescent="0.2">
      <c r="V518" s="46"/>
      <c r="W518" s="46"/>
    </row>
    <row r="519" spans="22:23" ht="12.65" customHeight="1" x14ac:dyDescent="0.2">
      <c r="V519" s="46"/>
      <c r="W519" s="46"/>
    </row>
    <row r="520" spans="22:23" ht="12.65" customHeight="1" x14ac:dyDescent="0.2">
      <c r="V520" s="46"/>
      <c r="W520" s="46"/>
    </row>
    <row r="521" spans="22:23" ht="12.65" customHeight="1" x14ac:dyDescent="0.2">
      <c r="V521" s="46"/>
      <c r="W521" s="46"/>
    </row>
    <row r="522" spans="22:23" ht="12.65" customHeight="1" x14ac:dyDescent="0.2">
      <c r="V522" s="46"/>
      <c r="W522" s="46"/>
    </row>
    <row r="523" spans="22:23" ht="12.65" customHeight="1" x14ac:dyDescent="0.2">
      <c r="V523" s="46"/>
      <c r="W523" s="46"/>
    </row>
    <row r="524" spans="22:23" ht="12.65" customHeight="1" x14ac:dyDescent="0.2">
      <c r="V524" s="46"/>
      <c r="W524" s="46"/>
    </row>
    <row r="525" spans="22:23" ht="12.65" customHeight="1" x14ac:dyDescent="0.2">
      <c r="V525" s="46"/>
      <c r="W525" s="46"/>
    </row>
    <row r="526" spans="22:23" ht="12.65" customHeight="1" x14ac:dyDescent="0.2">
      <c r="V526" s="46"/>
      <c r="W526" s="46"/>
    </row>
    <row r="527" spans="22:23" ht="12.65" customHeight="1" x14ac:dyDescent="0.2">
      <c r="V527" s="46"/>
      <c r="W527" s="46"/>
    </row>
    <row r="528" spans="22:23" ht="12.65" customHeight="1" x14ac:dyDescent="0.2">
      <c r="V528" s="46"/>
      <c r="W528" s="46"/>
    </row>
    <row r="529" spans="22:23" ht="12.65" customHeight="1" x14ac:dyDescent="0.2">
      <c r="V529" s="46"/>
      <c r="W529" s="46"/>
    </row>
    <row r="530" spans="22:23" ht="12.65" customHeight="1" x14ac:dyDescent="0.2">
      <c r="V530" s="46"/>
      <c r="W530" s="46"/>
    </row>
    <row r="531" spans="22:23" ht="12.65" customHeight="1" x14ac:dyDescent="0.2">
      <c r="V531" s="46"/>
      <c r="W531" s="46"/>
    </row>
    <row r="532" spans="22:23" ht="12.65" customHeight="1" x14ac:dyDescent="0.2">
      <c r="V532" s="46"/>
      <c r="W532" s="46"/>
    </row>
    <row r="533" spans="22:23" ht="12.65" customHeight="1" x14ac:dyDescent="0.2">
      <c r="V533" s="46"/>
      <c r="W533" s="46"/>
    </row>
    <row r="534" spans="22:23" ht="12.65" customHeight="1" x14ac:dyDescent="0.2">
      <c r="V534" s="46"/>
      <c r="W534" s="46"/>
    </row>
    <row r="535" spans="22:23" ht="12.65" customHeight="1" x14ac:dyDescent="0.2">
      <c r="V535" s="46"/>
      <c r="W535" s="46"/>
    </row>
    <row r="536" spans="22:23" ht="12.65" customHeight="1" x14ac:dyDescent="0.2">
      <c r="V536" s="46"/>
      <c r="W536" s="46"/>
    </row>
    <row r="537" spans="22:23" ht="12.65" customHeight="1" x14ac:dyDescent="0.2">
      <c r="V537" s="46"/>
      <c r="W537" s="46"/>
    </row>
    <row r="538" spans="22:23" ht="12.65" customHeight="1" x14ac:dyDescent="0.2">
      <c r="V538" s="46"/>
      <c r="W538" s="46"/>
    </row>
    <row r="539" spans="22:23" ht="12.65" customHeight="1" x14ac:dyDescent="0.2">
      <c r="V539" s="46"/>
      <c r="W539" s="46"/>
    </row>
    <row r="540" spans="22:23" ht="12.65" customHeight="1" x14ac:dyDescent="0.2">
      <c r="V540" s="46"/>
      <c r="W540" s="46"/>
    </row>
    <row r="541" spans="22:23" ht="12.65" customHeight="1" x14ac:dyDescent="0.2">
      <c r="V541" s="46"/>
      <c r="W541" s="46"/>
    </row>
    <row r="542" spans="22:23" ht="12.65" customHeight="1" x14ac:dyDescent="0.2">
      <c r="V542" s="46"/>
      <c r="W542" s="46"/>
    </row>
    <row r="543" spans="22:23" ht="12.65" customHeight="1" x14ac:dyDescent="0.2">
      <c r="V543" s="46"/>
      <c r="W543" s="46"/>
    </row>
    <row r="544" spans="22:23" ht="12.65" customHeight="1" x14ac:dyDescent="0.2">
      <c r="V544" s="46"/>
      <c r="W544" s="46"/>
    </row>
    <row r="545" spans="22:23" ht="12.65" customHeight="1" x14ac:dyDescent="0.2">
      <c r="V545" s="46"/>
      <c r="W545" s="46"/>
    </row>
    <row r="546" spans="22:23" ht="12.65" customHeight="1" x14ac:dyDescent="0.2">
      <c r="V546" s="46"/>
      <c r="W546" s="46"/>
    </row>
    <row r="547" spans="22:23" ht="12.65" customHeight="1" x14ac:dyDescent="0.2">
      <c r="V547" s="46"/>
      <c r="W547" s="46"/>
    </row>
    <row r="548" spans="22:23" ht="12.65" customHeight="1" x14ac:dyDescent="0.2">
      <c r="V548" s="46"/>
      <c r="W548" s="46"/>
    </row>
    <row r="549" spans="22:23" ht="12.65" customHeight="1" x14ac:dyDescent="0.2">
      <c r="V549" s="46"/>
      <c r="W549" s="46"/>
    </row>
    <row r="550" spans="22:23" ht="12.65" customHeight="1" x14ac:dyDescent="0.2">
      <c r="V550" s="46"/>
      <c r="W550" s="46"/>
    </row>
    <row r="551" spans="22:23" ht="12.65" customHeight="1" x14ac:dyDescent="0.2">
      <c r="V551" s="46"/>
      <c r="W551" s="46"/>
    </row>
    <row r="552" spans="22:23" ht="12.65" customHeight="1" x14ac:dyDescent="0.2">
      <c r="V552" s="46"/>
      <c r="W552" s="46"/>
    </row>
    <row r="553" spans="22:23" ht="12.65" customHeight="1" x14ac:dyDescent="0.2">
      <c r="V553" s="46"/>
      <c r="W553" s="46"/>
    </row>
    <row r="554" spans="22:23" ht="12.65" customHeight="1" x14ac:dyDescent="0.2">
      <c r="V554" s="46"/>
      <c r="W554" s="46"/>
    </row>
    <row r="555" spans="22:23" ht="12.65" customHeight="1" x14ac:dyDescent="0.2">
      <c r="V555" s="46"/>
      <c r="W555" s="46"/>
    </row>
    <row r="556" spans="22:23" ht="12.65" customHeight="1" x14ac:dyDescent="0.2">
      <c r="V556" s="46"/>
      <c r="W556" s="46"/>
    </row>
    <row r="557" spans="22:23" ht="12.65" customHeight="1" x14ac:dyDescent="0.2">
      <c r="V557" s="46"/>
      <c r="W557" s="46"/>
    </row>
    <row r="558" spans="22:23" ht="12.65" customHeight="1" x14ac:dyDescent="0.2">
      <c r="V558" s="46"/>
      <c r="W558" s="46"/>
    </row>
    <row r="559" spans="22:23" ht="12.65" customHeight="1" x14ac:dyDescent="0.2">
      <c r="V559" s="46"/>
      <c r="W559" s="46"/>
    </row>
    <row r="560" spans="22:23" ht="12.65" customHeight="1" x14ac:dyDescent="0.2">
      <c r="V560" s="46"/>
      <c r="W560" s="46"/>
    </row>
    <row r="561" spans="22:23" ht="12.65" customHeight="1" x14ac:dyDescent="0.2">
      <c r="V561" s="46"/>
      <c r="W561" s="46"/>
    </row>
    <row r="562" spans="22:23" ht="12.65" customHeight="1" x14ac:dyDescent="0.2">
      <c r="V562" s="46"/>
      <c r="W562" s="46"/>
    </row>
    <row r="563" spans="22:23" ht="12.65" customHeight="1" x14ac:dyDescent="0.2">
      <c r="V563" s="46"/>
      <c r="W563" s="46"/>
    </row>
    <row r="564" spans="22:23" ht="12.65" customHeight="1" x14ac:dyDescent="0.2">
      <c r="V564" s="46"/>
      <c r="W564" s="46"/>
    </row>
    <row r="565" spans="22:23" ht="12.65" customHeight="1" x14ac:dyDescent="0.2">
      <c r="V565" s="46"/>
      <c r="W565" s="46"/>
    </row>
    <row r="566" spans="22:23" ht="12.65" customHeight="1" x14ac:dyDescent="0.2">
      <c r="V566" s="46"/>
      <c r="W566" s="46"/>
    </row>
    <row r="567" spans="22:23" ht="12.65" customHeight="1" x14ac:dyDescent="0.2">
      <c r="V567" s="46"/>
      <c r="W567" s="46"/>
    </row>
    <row r="568" spans="22:23" ht="12.65" customHeight="1" x14ac:dyDescent="0.2">
      <c r="V568" s="46"/>
      <c r="W568" s="46"/>
    </row>
    <row r="569" spans="22:23" ht="12.65" customHeight="1" x14ac:dyDescent="0.2">
      <c r="V569" s="46"/>
      <c r="W569" s="46"/>
    </row>
    <row r="570" spans="22:23" ht="12.65" customHeight="1" x14ac:dyDescent="0.2">
      <c r="V570" s="46"/>
      <c r="W570" s="46"/>
    </row>
    <row r="571" spans="22:23" ht="12.65" customHeight="1" x14ac:dyDescent="0.2">
      <c r="V571" s="46"/>
      <c r="W571" s="46"/>
    </row>
    <row r="572" spans="22:23" ht="12.65" customHeight="1" x14ac:dyDescent="0.2">
      <c r="V572" s="46"/>
      <c r="W572" s="46"/>
    </row>
    <row r="573" spans="22:23" ht="12.65" customHeight="1" x14ac:dyDescent="0.2">
      <c r="V573" s="46"/>
      <c r="W573" s="46"/>
    </row>
    <row r="574" spans="22:23" ht="12.65" customHeight="1" x14ac:dyDescent="0.2">
      <c r="V574" s="46"/>
      <c r="W574" s="46"/>
    </row>
    <row r="575" spans="22:23" ht="12.65" customHeight="1" x14ac:dyDescent="0.2">
      <c r="V575" s="46"/>
      <c r="W575" s="46"/>
    </row>
    <row r="576" spans="22:23" ht="12.65" customHeight="1" x14ac:dyDescent="0.2">
      <c r="V576" s="46"/>
      <c r="W576" s="46"/>
    </row>
    <row r="577" spans="22:23" ht="12.65" customHeight="1" x14ac:dyDescent="0.2">
      <c r="V577" s="46"/>
      <c r="W577" s="46"/>
    </row>
    <row r="578" spans="22:23" ht="12.65" customHeight="1" x14ac:dyDescent="0.2">
      <c r="V578" s="46"/>
      <c r="W578" s="46"/>
    </row>
    <row r="579" spans="22:23" ht="12.65" customHeight="1" x14ac:dyDescent="0.2">
      <c r="V579" s="46"/>
      <c r="W579" s="46"/>
    </row>
    <row r="580" spans="22:23" ht="12.65" customHeight="1" x14ac:dyDescent="0.2">
      <c r="V580" s="46"/>
      <c r="W580" s="46"/>
    </row>
    <row r="581" spans="22:23" ht="12.65" customHeight="1" x14ac:dyDescent="0.2">
      <c r="V581" s="46"/>
      <c r="W581" s="46"/>
    </row>
    <row r="582" spans="22:23" ht="12.65" customHeight="1" x14ac:dyDescent="0.2">
      <c r="V582" s="46"/>
      <c r="W582" s="46"/>
    </row>
    <row r="583" spans="22:23" ht="12.65" customHeight="1" x14ac:dyDescent="0.2">
      <c r="V583" s="46"/>
      <c r="W583" s="46"/>
    </row>
    <row r="584" spans="22:23" ht="12.65" customHeight="1" x14ac:dyDescent="0.2">
      <c r="V584" s="46"/>
      <c r="W584" s="46"/>
    </row>
    <row r="585" spans="22:23" ht="12.65" customHeight="1" x14ac:dyDescent="0.2">
      <c r="V585" s="46"/>
      <c r="W585" s="46"/>
    </row>
    <row r="586" spans="22:23" ht="12.65" customHeight="1" x14ac:dyDescent="0.2">
      <c r="V586" s="46"/>
      <c r="W586" s="46"/>
    </row>
    <row r="587" spans="22:23" ht="12.65" customHeight="1" x14ac:dyDescent="0.2">
      <c r="V587" s="46"/>
      <c r="W587" s="46"/>
    </row>
    <row r="588" spans="22:23" ht="12.65" customHeight="1" x14ac:dyDescent="0.2">
      <c r="V588" s="46"/>
      <c r="W588" s="46"/>
    </row>
    <row r="589" spans="22:23" ht="12.65" customHeight="1" x14ac:dyDescent="0.2">
      <c r="V589" s="46"/>
      <c r="W589" s="46"/>
    </row>
    <row r="590" spans="22:23" ht="12.65" customHeight="1" x14ac:dyDescent="0.2">
      <c r="V590" s="46"/>
      <c r="W590" s="46"/>
    </row>
    <row r="591" spans="22:23" ht="12.65" customHeight="1" x14ac:dyDescent="0.2">
      <c r="V591" s="46"/>
      <c r="W591" s="46"/>
    </row>
    <row r="592" spans="22:23" ht="12.65" customHeight="1" x14ac:dyDescent="0.2">
      <c r="V592" s="46"/>
      <c r="W592" s="46"/>
    </row>
    <row r="593" spans="22:23" ht="12.65" customHeight="1" x14ac:dyDescent="0.2">
      <c r="V593" s="46"/>
      <c r="W593" s="46"/>
    </row>
    <row r="594" spans="22:23" ht="12.65" customHeight="1" x14ac:dyDescent="0.2">
      <c r="V594" s="46"/>
      <c r="W594" s="46"/>
    </row>
    <row r="595" spans="22:23" ht="12.65" customHeight="1" x14ac:dyDescent="0.2">
      <c r="V595" s="46"/>
      <c r="W595" s="46"/>
    </row>
    <row r="596" spans="22:23" ht="12.65" customHeight="1" x14ac:dyDescent="0.2">
      <c r="V596" s="46"/>
      <c r="W596" s="46"/>
    </row>
    <row r="597" spans="22:23" ht="12.65" customHeight="1" x14ac:dyDescent="0.2">
      <c r="V597" s="46"/>
      <c r="W597" s="46"/>
    </row>
    <row r="598" spans="22:23" ht="12.65" customHeight="1" x14ac:dyDescent="0.2">
      <c r="V598" s="46"/>
      <c r="W598" s="46"/>
    </row>
    <row r="599" spans="22:23" ht="12.65" customHeight="1" x14ac:dyDescent="0.2">
      <c r="V599" s="46"/>
      <c r="W599" s="46"/>
    </row>
  </sheetData>
  <mergeCells count="43">
    <mergeCell ref="B311:P311"/>
    <mergeCell ref="B309:P309"/>
    <mergeCell ref="B304:P304"/>
    <mergeCell ref="B305:P305"/>
    <mergeCell ref="A105:B105"/>
    <mergeCell ref="B298:P298"/>
    <mergeCell ref="B299:P299"/>
    <mergeCell ref="B303:P303"/>
    <mergeCell ref="A283:B283"/>
    <mergeCell ref="A208:B208"/>
    <mergeCell ref="A185:B185"/>
    <mergeCell ref="A178:B178"/>
    <mergeCell ref="A168:B168"/>
    <mergeCell ref="A165:B165"/>
    <mergeCell ref="A145:B145"/>
    <mergeCell ref="A71:B71"/>
    <mergeCell ref="A129:B129"/>
    <mergeCell ref="A125:B125"/>
    <mergeCell ref="A118:B118"/>
    <mergeCell ref="A114:B114"/>
    <mergeCell ref="B344:P344"/>
    <mergeCell ref="B345:P345"/>
    <mergeCell ref="B324:P324"/>
    <mergeCell ref="B312:P312"/>
    <mergeCell ref="B328:P328"/>
    <mergeCell ref="B333:P333"/>
    <mergeCell ref="B336:P336"/>
    <mergeCell ref="B314:P314"/>
    <mergeCell ref="B322:P322"/>
    <mergeCell ref="B342:P342"/>
    <mergeCell ref="B341:P341"/>
    <mergeCell ref="B331:P331"/>
    <mergeCell ref="B316:P316"/>
    <mergeCell ref="B315:P315"/>
    <mergeCell ref="T1:U8"/>
    <mergeCell ref="B12:B13"/>
    <mergeCell ref="C17:G17"/>
    <mergeCell ref="R17:R20"/>
    <mergeCell ref="A67:B67"/>
    <mergeCell ref="A61:B61"/>
    <mergeCell ref="A55:B55"/>
    <mergeCell ref="A37:B37"/>
    <mergeCell ref="L17:P17"/>
  </mergeCells>
  <phoneticPr fontId="0" type="noConversion"/>
  <printOptions horizontalCentered="1"/>
  <pageMargins left="0.25" right="0.19" top="0.5" bottom="0.75" header="0.5" footer="0.5"/>
  <pageSetup paperSize="5" scale="65" fitToHeight="100" orientation="landscape" r:id="rId1"/>
  <headerFooter alignWithMargins="0">
    <oddFooter>Page &amp;P of &amp;N</oddFooter>
  </headerFooter>
  <ignoredErrors>
    <ignoredError sqref="H29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94" transitionEvaluation="1"/>
  <dimension ref="A1:EI227"/>
  <sheetViews>
    <sheetView topLeftCell="A194" workbookViewId="0">
      <selection activeCell="AJ34" sqref="AJ34"/>
    </sheetView>
  </sheetViews>
  <sheetFormatPr defaultColWidth="9.6640625" defaultRowHeight="12.75" customHeight="1" x14ac:dyDescent="0.2"/>
  <cols>
    <col min="1" max="1" width="3.109375" style="178" customWidth="1"/>
    <col min="2" max="2" width="55.6640625" style="178" customWidth="1"/>
    <col min="3" max="3" width="5.6640625" style="178" hidden="1" customWidth="1"/>
    <col min="4" max="4" width="9.77734375" style="178" customWidth="1"/>
    <col min="5" max="5" width="10.33203125" style="178" customWidth="1"/>
    <col min="6" max="6" width="11.109375" style="178" customWidth="1"/>
    <col min="7" max="7" width="11.109375" style="178" hidden="1" customWidth="1"/>
    <col min="8" max="8" width="20.44140625" style="178" bestFit="1" customWidth="1"/>
    <col min="9" max="9" width="8.77734375" style="178" hidden="1" customWidth="1"/>
    <col min="10" max="10" width="9.44140625" style="178" hidden="1" customWidth="1"/>
    <col min="11" max="11" width="0.109375" style="178" customWidth="1"/>
    <col min="12" max="12" width="17" style="178" customWidth="1"/>
    <col min="13" max="13" width="7.77734375" style="178" hidden="1" customWidth="1"/>
    <col min="14" max="14" width="12.109375" style="178" hidden="1" customWidth="1"/>
    <col min="15" max="15" width="14.77734375" style="178" bestFit="1" customWidth="1"/>
    <col min="16" max="16" width="22" style="178" bestFit="1" customWidth="1"/>
    <col min="17" max="17" width="12.6640625" style="178" hidden="1" customWidth="1"/>
    <col min="18" max="18" width="10.109375" style="178" bestFit="1" customWidth="1"/>
    <col min="19" max="19" width="36.33203125" style="178" hidden="1" customWidth="1"/>
    <col min="20" max="20" width="13.6640625" style="178" hidden="1" customWidth="1"/>
    <col min="21" max="21" width="10.33203125" style="178" hidden="1" customWidth="1"/>
    <col min="22" max="22" width="16.6640625" style="178" hidden="1" customWidth="1"/>
    <col min="23" max="23" width="13.6640625" style="178" hidden="1" customWidth="1"/>
    <col min="24" max="24" width="10.33203125" style="178" hidden="1" customWidth="1"/>
    <col min="25" max="25" width="16.6640625" style="178" hidden="1" customWidth="1"/>
    <col min="26" max="26" width="38.6640625" style="178" hidden="1" customWidth="1"/>
    <col min="27" max="27" width="29.44140625" style="178" hidden="1" customWidth="1"/>
    <col min="28" max="28" width="18.109375" style="178" hidden="1" customWidth="1"/>
    <col min="29" max="29" width="22.33203125" style="178" hidden="1" customWidth="1"/>
    <col min="30" max="30" width="48.77734375" style="178" hidden="1" customWidth="1"/>
    <col min="31" max="31" width="54" style="178" hidden="1" customWidth="1"/>
    <col min="32" max="32" width="2.109375" style="178" hidden="1" customWidth="1"/>
    <col min="33" max="139" width="9.6640625" style="1320"/>
    <col min="140" max="254" width="9.6640625" style="178"/>
    <col min="255" max="256" width="0" style="178" hidden="1" customWidth="1"/>
    <col min="257" max="257" width="2.109375" style="178" customWidth="1"/>
    <col min="258" max="258" width="55" style="178" customWidth="1"/>
    <col min="259" max="259" width="0" style="178" hidden="1" customWidth="1"/>
    <col min="260" max="260" width="9.77734375" style="178" customWidth="1"/>
    <col min="261" max="261" width="10.33203125" style="178" customWidth="1"/>
    <col min="262" max="262" width="11.109375" style="178" customWidth="1"/>
    <col min="263" max="263" width="0" style="178" hidden="1" customWidth="1"/>
    <col min="264" max="264" width="18.44140625" style="178" customWidth="1"/>
    <col min="265" max="267" width="0" style="178" hidden="1" customWidth="1"/>
    <col min="268" max="268" width="18" style="178" customWidth="1"/>
    <col min="269" max="269" width="0" style="178" hidden="1" customWidth="1"/>
    <col min="270" max="270" width="13.77734375" style="178" customWidth="1"/>
    <col min="271" max="271" width="10.6640625" style="178" customWidth="1"/>
    <col min="272" max="272" width="11.109375" style="178" customWidth="1"/>
    <col min="273" max="273" width="11" style="178" customWidth="1"/>
    <col min="274" max="274" width="9.77734375" style="178" customWidth="1"/>
    <col min="275" max="281" width="0" style="178" hidden="1" customWidth="1"/>
    <col min="282" max="282" width="29" style="178" customWidth="1"/>
    <col min="283" max="283" width="27.44140625" style="178" customWidth="1"/>
    <col min="284" max="284" width="15.6640625" style="178" customWidth="1"/>
    <col min="285" max="285" width="13.33203125" style="178" customWidth="1"/>
    <col min="286" max="286" width="18.77734375" style="178" customWidth="1"/>
    <col min="287" max="287" width="27.6640625" style="178" customWidth="1"/>
    <col min="288" max="510" width="9.6640625" style="178"/>
    <col min="511" max="512" width="0" style="178" hidden="1" customWidth="1"/>
    <col min="513" max="513" width="2.109375" style="178" customWidth="1"/>
    <col min="514" max="514" width="55" style="178" customWidth="1"/>
    <col min="515" max="515" width="0" style="178" hidden="1" customWidth="1"/>
    <col min="516" max="516" width="9.77734375" style="178" customWidth="1"/>
    <col min="517" max="517" width="10.33203125" style="178" customWidth="1"/>
    <col min="518" max="518" width="11.109375" style="178" customWidth="1"/>
    <col min="519" max="519" width="0" style="178" hidden="1" customWidth="1"/>
    <col min="520" max="520" width="18.44140625" style="178" customWidth="1"/>
    <col min="521" max="523" width="0" style="178" hidden="1" customWidth="1"/>
    <col min="524" max="524" width="18" style="178" customWidth="1"/>
    <col min="525" max="525" width="0" style="178" hidden="1" customWidth="1"/>
    <col min="526" max="526" width="13.77734375" style="178" customWidth="1"/>
    <col min="527" max="527" width="10.6640625" style="178" customWidth="1"/>
    <col min="528" max="528" width="11.109375" style="178" customWidth="1"/>
    <col min="529" max="529" width="11" style="178" customWidth="1"/>
    <col min="530" max="530" width="9.77734375" style="178" customWidth="1"/>
    <col min="531" max="537" width="0" style="178" hidden="1" customWidth="1"/>
    <col min="538" max="538" width="29" style="178" customWidth="1"/>
    <col min="539" max="539" width="27.44140625" style="178" customWidth="1"/>
    <col min="540" max="540" width="15.6640625" style="178" customWidth="1"/>
    <col min="541" max="541" width="13.33203125" style="178" customWidth="1"/>
    <col min="542" max="542" width="18.77734375" style="178" customWidth="1"/>
    <col min="543" max="543" width="27.6640625" style="178" customWidth="1"/>
    <col min="544" max="766" width="9.6640625" style="178"/>
    <col min="767" max="768" width="0" style="178" hidden="1" customWidth="1"/>
    <col min="769" max="769" width="2.109375" style="178" customWidth="1"/>
    <col min="770" max="770" width="55" style="178" customWidth="1"/>
    <col min="771" max="771" width="0" style="178" hidden="1" customWidth="1"/>
    <col min="772" max="772" width="9.77734375" style="178" customWidth="1"/>
    <col min="773" max="773" width="10.33203125" style="178" customWidth="1"/>
    <col min="774" max="774" width="11.109375" style="178" customWidth="1"/>
    <col min="775" max="775" width="0" style="178" hidden="1" customWidth="1"/>
    <col min="776" max="776" width="18.44140625" style="178" customWidth="1"/>
    <col min="777" max="779" width="0" style="178" hidden="1" customWidth="1"/>
    <col min="780" max="780" width="18" style="178" customWidth="1"/>
    <col min="781" max="781" width="0" style="178" hidden="1" customWidth="1"/>
    <col min="782" max="782" width="13.77734375" style="178" customWidth="1"/>
    <col min="783" max="783" width="10.6640625" style="178" customWidth="1"/>
    <col min="784" max="784" width="11.109375" style="178" customWidth="1"/>
    <col min="785" max="785" width="11" style="178" customWidth="1"/>
    <col min="786" max="786" width="9.77734375" style="178" customWidth="1"/>
    <col min="787" max="793" width="0" style="178" hidden="1" customWidth="1"/>
    <col min="794" max="794" width="29" style="178" customWidth="1"/>
    <col min="795" max="795" width="27.44140625" style="178" customWidth="1"/>
    <col min="796" max="796" width="15.6640625" style="178" customWidth="1"/>
    <col min="797" max="797" width="13.33203125" style="178" customWidth="1"/>
    <col min="798" max="798" width="18.77734375" style="178" customWidth="1"/>
    <col min="799" max="799" width="27.6640625" style="178" customWidth="1"/>
    <col min="800" max="1022" width="9.6640625" style="178"/>
    <col min="1023" max="1024" width="0" style="178" hidden="1" customWidth="1"/>
    <col min="1025" max="1025" width="2.109375" style="178" customWidth="1"/>
    <col min="1026" max="1026" width="55" style="178" customWidth="1"/>
    <col min="1027" max="1027" width="0" style="178" hidden="1" customWidth="1"/>
    <col min="1028" max="1028" width="9.77734375" style="178" customWidth="1"/>
    <col min="1029" max="1029" width="10.33203125" style="178" customWidth="1"/>
    <col min="1030" max="1030" width="11.109375" style="178" customWidth="1"/>
    <col min="1031" max="1031" width="0" style="178" hidden="1" customWidth="1"/>
    <col min="1032" max="1032" width="18.44140625" style="178" customWidth="1"/>
    <col min="1033" max="1035" width="0" style="178" hidden="1" customWidth="1"/>
    <col min="1036" max="1036" width="18" style="178" customWidth="1"/>
    <col min="1037" max="1037" width="0" style="178" hidden="1" customWidth="1"/>
    <col min="1038" max="1038" width="13.77734375" style="178" customWidth="1"/>
    <col min="1039" max="1039" width="10.6640625" style="178" customWidth="1"/>
    <col min="1040" max="1040" width="11.109375" style="178" customWidth="1"/>
    <col min="1041" max="1041" width="11" style="178" customWidth="1"/>
    <col min="1042" max="1042" width="9.77734375" style="178" customWidth="1"/>
    <col min="1043" max="1049" width="0" style="178" hidden="1" customWidth="1"/>
    <col min="1050" max="1050" width="29" style="178" customWidth="1"/>
    <col min="1051" max="1051" width="27.44140625" style="178" customWidth="1"/>
    <col min="1052" max="1052" width="15.6640625" style="178" customWidth="1"/>
    <col min="1053" max="1053" width="13.33203125" style="178" customWidth="1"/>
    <col min="1054" max="1054" width="18.77734375" style="178" customWidth="1"/>
    <col min="1055" max="1055" width="27.6640625" style="178" customWidth="1"/>
    <col min="1056" max="1278" width="9.6640625" style="178"/>
    <col min="1279" max="1280" width="0" style="178" hidden="1" customWidth="1"/>
    <col min="1281" max="1281" width="2.109375" style="178" customWidth="1"/>
    <col min="1282" max="1282" width="55" style="178" customWidth="1"/>
    <col min="1283" max="1283" width="0" style="178" hidden="1" customWidth="1"/>
    <col min="1284" max="1284" width="9.77734375" style="178" customWidth="1"/>
    <col min="1285" max="1285" width="10.33203125" style="178" customWidth="1"/>
    <col min="1286" max="1286" width="11.109375" style="178" customWidth="1"/>
    <col min="1287" max="1287" width="0" style="178" hidden="1" customWidth="1"/>
    <col min="1288" max="1288" width="18.44140625" style="178" customWidth="1"/>
    <col min="1289" max="1291" width="0" style="178" hidden="1" customWidth="1"/>
    <col min="1292" max="1292" width="18" style="178" customWidth="1"/>
    <col min="1293" max="1293" width="0" style="178" hidden="1" customWidth="1"/>
    <col min="1294" max="1294" width="13.77734375" style="178" customWidth="1"/>
    <col min="1295" max="1295" width="10.6640625" style="178" customWidth="1"/>
    <col min="1296" max="1296" width="11.109375" style="178" customWidth="1"/>
    <col min="1297" max="1297" width="11" style="178" customWidth="1"/>
    <col min="1298" max="1298" width="9.77734375" style="178" customWidth="1"/>
    <col min="1299" max="1305" width="0" style="178" hidden="1" customWidth="1"/>
    <col min="1306" max="1306" width="29" style="178" customWidth="1"/>
    <col min="1307" max="1307" width="27.44140625" style="178" customWidth="1"/>
    <col min="1308" max="1308" width="15.6640625" style="178" customWidth="1"/>
    <col min="1309" max="1309" width="13.33203125" style="178" customWidth="1"/>
    <col min="1310" max="1310" width="18.77734375" style="178" customWidth="1"/>
    <col min="1311" max="1311" width="27.6640625" style="178" customWidth="1"/>
    <col min="1312" max="1534" width="9.6640625" style="178"/>
    <col min="1535" max="1536" width="0" style="178" hidden="1" customWidth="1"/>
    <col min="1537" max="1537" width="2.109375" style="178" customWidth="1"/>
    <col min="1538" max="1538" width="55" style="178" customWidth="1"/>
    <col min="1539" max="1539" width="0" style="178" hidden="1" customWidth="1"/>
    <col min="1540" max="1540" width="9.77734375" style="178" customWidth="1"/>
    <col min="1541" max="1541" width="10.33203125" style="178" customWidth="1"/>
    <col min="1542" max="1542" width="11.109375" style="178" customWidth="1"/>
    <col min="1543" max="1543" width="0" style="178" hidden="1" customWidth="1"/>
    <col min="1544" max="1544" width="18.44140625" style="178" customWidth="1"/>
    <col min="1545" max="1547" width="0" style="178" hidden="1" customWidth="1"/>
    <col min="1548" max="1548" width="18" style="178" customWidth="1"/>
    <col min="1549" max="1549" width="0" style="178" hidden="1" customWidth="1"/>
    <col min="1550" max="1550" width="13.77734375" style="178" customWidth="1"/>
    <col min="1551" max="1551" width="10.6640625" style="178" customWidth="1"/>
    <col min="1552" max="1552" width="11.109375" style="178" customWidth="1"/>
    <col min="1553" max="1553" width="11" style="178" customWidth="1"/>
    <col min="1554" max="1554" width="9.77734375" style="178" customWidth="1"/>
    <col min="1555" max="1561" width="0" style="178" hidden="1" customWidth="1"/>
    <col min="1562" max="1562" width="29" style="178" customWidth="1"/>
    <col min="1563" max="1563" width="27.44140625" style="178" customWidth="1"/>
    <col min="1564" max="1564" width="15.6640625" style="178" customWidth="1"/>
    <col min="1565" max="1565" width="13.33203125" style="178" customWidth="1"/>
    <col min="1566" max="1566" width="18.77734375" style="178" customWidth="1"/>
    <col min="1567" max="1567" width="27.6640625" style="178" customWidth="1"/>
    <col min="1568" max="1790" width="9.6640625" style="178"/>
    <col min="1791" max="1792" width="0" style="178" hidden="1" customWidth="1"/>
    <col min="1793" max="1793" width="2.109375" style="178" customWidth="1"/>
    <col min="1794" max="1794" width="55" style="178" customWidth="1"/>
    <col min="1795" max="1795" width="0" style="178" hidden="1" customWidth="1"/>
    <col min="1796" max="1796" width="9.77734375" style="178" customWidth="1"/>
    <col min="1797" max="1797" width="10.33203125" style="178" customWidth="1"/>
    <col min="1798" max="1798" width="11.109375" style="178" customWidth="1"/>
    <col min="1799" max="1799" width="0" style="178" hidden="1" customWidth="1"/>
    <col min="1800" max="1800" width="18.44140625" style="178" customWidth="1"/>
    <col min="1801" max="1803" width="0" style="178" hidden="1" customWidth="1"/>
    <col min="1804" max="1804" width="18" style="178" customWidth="1"/>
    <col min="1805" max="1805" width="0" style="178" hidden="1" customWidth="1"/>
    <col min="1806" max="1806" width="13.77734375" style="178" customWidth="1"/>
    <col min="1807" max="1807" width="10.6640625" style="178" customWidth="1"/>
    <col min="1808" max="1808" width="11.109375" style="178" customWidth="1"/>
    <col min="1809" max="1809" width="11" style="178" customWidth="1"/>
    <col min="1810" max="1810" width="9.77734375" style="178" customWidth="1"/>
    <col min="1811" max="1817" width="0" style="178" hidden="1" customWidth="1"/>
    <col min="1818" max="1818" width="29" style="178" customWidth="1"/>
    <col min="1819" max="1819" width="27.44140625" style="178" customWidth="1"/>
    <col min="1820" max="1820" width="15.6640625" style="178" customWidth="1"/>
    <col min="1821" max="1821" width="13.33203125" style="178" customWidth="1"/>
    <col min="1822" max="1822" width="18.77734375" style="178" customWidth="1"/>
    <col min="1823" max="1823" width="27.6640625" style="178" customWidth="1"/>
    <col min="1824" max="2046" width="9.6640625" style="178"/>
    <col min="2047" max="2048" width="0" style="178" hidden="1" customWidth="1"/>
    <col min="2049" max="2049" width="2.109375" style="178" customWidth="1"/>
    <col min="2050" max="2050" width="55" style="178" customWidth="1"/>
    <col min="2051" max="2051" width="0" style="178" hidden="1" customWidth="1"/>
    <col min="2052" max="2052" width="9.77734375" style="178" customWidth="1"/>
    <col min="2053" max="2053" width="10.33203125" style="178" customWidth="1"/>
    <col min="2054" max="2054" width="11.109375" style="178" customWidth="1"/>
    <col min="2055" max="2055" width="0" style="178" hidden="1" customWidth="1"/>
    <col min="2056" max="2056" width="18.44140625" style="178" customWidth="1"/>
    <col min="2057" max="2059" width="0" style="178" hidden="1" customWidth="1"/>
    <col min="2060" max="2060" width="18" style="178" customWidth="1"/>
    <col min="2061" max="2061" width="0" style="178" hidden="1" customWidth="1"/>
    <col min="2062" max="2062" width="13.77734375" style="178" customWidth="1"/>
    <col min="2063" max="2063" width="10.6640625" style="178" customWidth="1"/>
    <col min="2064" max="2064" width="11.109375" style="178" customWidth="1"/>
    <col min="2065" max="2065" width="11" style="178" customWidth="1"/>
    <col min="2066" max="2066" width="9.77734375" style="178" customWidth="1"/>
    <col min="2067" max="2073" width="0" style="178" hidden="1" customWidth="1"/>
    <col min="2074" max="2074" width="29" style="178" customWidth="1"/>
    <col min="2075" max="2075" width="27.44140625" style="178" customWidth="1"/>
    <col min="2076" max="2076" width="15.6640625" style="178" customWidth="1"/>
    <col min="2077" max="2077" width="13.33203125" style="178" customWidth="1"/>
    <col min="2078" max="2078" width="18.77734375" style="178" customWidth="1"/>
    <col min="2079" max="2079" width="27.6640625" style="178" customWidth="1"/>
    <col min="2080" max="2302" width="9.6640625" style="178"/>
    <col min="2303" max="2304" width="0" style="178" hidden="1" customWidth="1"/>
    <col min="2305" max="2305" width="2.109375" style="178" customWidth="1"/>
    <col min="2306" max="2306" width="55" style="178" customWidth="1"/>
    <col min="2307" max="2307" width="0" style="178" hidden="1" customWidth="1"/>
    <col min="2308" max="2308" width="9.77734375" style="178" customWidth="1"/>
    <col min="2309" max="2309" width="10.33203125" style="178" customWidth="1"/>
    <col min="2310" max="2310" width="11.109375" style="178" customWidth="1"/>
    <col min="2311" max="2311" width="0" style="178" hidden="1" customWidth="1"/>
    <col min="2312" max="2312" width="18.44140625" style="178" customWidth="1"/>
    <col min="2313" max="2315" width="0" style="178" hidden="1" customWidth="1"/>
    <col min="2316" max="2316" width="18" style="178" customWidth="1"/>
    <col min="2317" max="2317" width="0" style="178" hidden="1" customWidth="1"/>
    <col min="2318" max="2318" width="13.77734375" style="178" customWidth="1"/>
    <col min="2319" max="2319" width="10.6640625" style="178" customWidth="1"/>
    <col min="2320" max="2320" width="11.109375" style="178" customWidth="1"/>
    <col min="2321" max="2321" width="11" style="178" customWidth="1"/>
    <col min="2322" max="2322" width="9.77734375" style="178" customWidth="1"/>
    <col min="2323" max="2329" width="0" style="178" hidden="1" customWidth="1"/>
    <col min="2330" max="2330" width="29" style="178" customWidth="1"/>
    <col min="2331" max="2331" width="27.44140625" style="178" customWidth="1"/>
    <col min="2332" max="2332" width="15.6640625" style="178" customWidth="1"/>
    <col min="2333" max="2333" width="13.33203125" style="178" customWidth="1"/>
    <col min="2334" max="2334" width="18.77734375" style="178" customWidth="1"/>
    <col min="2335" max="2335" width="27.6640625" style="178" customWidth="1"/>
    <col min="2336" max="2558" width="9.6640625" style="178"/>
    <col min="2559" max="2560" width="0" style="178" hidden="1" customWidth="1"/>
    <col min="2561" max="2561" width="2.109375" style="178" customWidth="1"/>
    <col min="2562" max="2562" width="55" style="178" customWidth="1"/>
    <col min="2563" max="2563" width="0" style="178" hidden="1" customWidth="1"/>
    <col min="2564" max="2564" width="9.77734375" style="178" customWidth="1"/>
    <col min="2565" max="2565" width="10.33203125" style="178" customWidth="1"/>
    <col min="2566" max="2566" width="11.109375" style="178" customWidth="1"/>
    <col min="2567" max="2567" width="0" style="178" hidden="1" customWidth="1"/>
    <col min="2568" max="2568" width="18.44140625" style="178" customWidth="1"/>
    <col min="2569" max="2571" width="0" style="178" hidden="1" customWidth="1"/>
    <col min="2572" max="2572" width="18" style="178" customWidth="1"/>
    <col min="2573" max="2573" width="0" style="178" hidden="1" customWidth="1"/>
    <col min="2574" max="2574" width="13.77734375" style="178" customWidth="1"/>
    <col min="2575" max="2575" width="10.6640625" style="178" customWidth="1"/>
    <col min="2576" max="2576" width="11.109375" style="178" customWidth="1"/>
    <col min="2577" max="2577" width="11" style="178" customWidth="1"/>
    <col min="2578" max="2578" width="9.77734375" style="178" customWidth="1"/>
    <col min="2579" max="2585" width="0" style="178" hidden="1" customWidth="1"/>
    <col min="2586" max="2586" width="29" style="178" customWidth="1"/>
    <col min="2587" max="2587" width="27.44140625" style="178" customWidth="1"/>
    <col min="2588" max="2588" width="15.6640625" style="178" customWidth="1"/>
    <col min="2589" max="2589" width="13.33203125" style="178" customWidth="1"/>
    <col min="2590" max="2590" width="18.77734375" style="178" customWidth="1"/>
    <col min="2591" max="2591" width="27.6640625" style="178" customWidth="1"/>
    <col min="2592" max="2814" width="9.6640625" style="178"/>
    <col min="2815" max="2816" width="0" style="178" hidden="1" customWidth="1"/>
    <col min="2817" max="2817" width="2.109375" style="178" customWidth="1"/>
    <col min="2818" max="2818" width="55" style="178" customWidth="1"/>
    <col min="2819" max="2819" width="0" style="178" hidden="1" customWidth="1"/>
    <col min="2820" max="2820" width="9.77734375" style="178" customWidth="1"/>
    <col min="2821" max="2821" width="10.33203125" style="178" customWidth="1"/>
    <col min="2822" max="2822" width="11.109375" style="178" customWidth="1"/>
    <col min="2823" max="2823" width="0" style="178" hidden="1" customWidth="1"/>
    <col min="2824" max="2824" width="18.44140625" style="178" customWidth="1"/>
    <col min="2825" max="2827" width="0" style="178" hidden="1" customWidth="1"/>
    <col min="2828" max="2828" width="18" style="178" customWidth="1"/>
    <col min="2829" max="2829" width="0" style="178" hidden="1" customWidth="1"/>
    <col min="2830" max="2830" width="13.77734375" style="178" customWidth="1"/>
    <col min="2831" max="2831" width="10.6640625" style="178" customWidth="1"/>
    <col min="2832" max="2832" width="11.109375" style="178" customWidth="1"/>
    <col min="2833" max="2833" width="11" style="178" customWidth="1"/>
    <col min="2834" max="2834" width="9.77734375" style="178" customWidth="1"/>
    <col min="2835" max="2841" width="0" style="178" hidden="1" customWidth="1"/>
    <col min="2842" max="2842" width="29" style="178" customWidth="1"/>
    <col min="2843" max="2843" width="27.44140625" style="178" customWidth="1"/>
    <col min="2844" max="2844" width="15.6640625" style="178" customWidth="1"/>
    <col min="2845" max="2845" width="13.33203125" style="178" customWidth="1"/>
    <col min="2846" max="2846" width="18.77734375" style="178" customWidth="1"/>
    <col min="2847" max="2847" width="27.6640625" style="178" customWidth="1"/>
    <col min="2848" max="3070" width="9.6640625" style="178"/>
    <col min="3071" max="3072" width="0" style="178" hidden="1" customWidth="1"/>
    <col min="3073" max="3073" width="2.109375" style="178" customWidth="1"/>
    <col min="3074" max="3074" width="55" style="178" customWidth="1"/>
    <col min="3075" max="3075" width="0" style="178" hidden="1" customWidth="1"/>
    <col min="3076" max="3076" width="9.77734375" style="178" customWidth="1"/>
    <col min="3077" max="3077" width="10.33203125" style="178" customWidth="1"/>
    <col min="3078" max="3078" width="11.109375" style="178" customWidth="1"/>
    <col min="3079" max="3079" width="0" style="178" hidden="1" customWidth="1"/>
    <col min="3080" max="3080" width="18.44140625" style="178" customWidth="1"/>
    <col min="3081" max="3083" width="0" style="178" hidden="1" customWidth="1"/>
    <col min="3084" max="3084" width="18" style="178" customWidth="1"/>
    <col min="3085" max="3085" width="0" style="178" hidden="1" customWidth="1"/>
    <col min="3086" max="3086" width="13.77734375" style="178" customWidth="1"/>
    <col min="3087" max="3087" width="10.6640625" style="178" customWidth="1"/>
    <col min="3088" max="3088" width="11.109375" style="178" customWidth="1"/>
    <col min="3089" max="3089" width="11" style="178" customWidth="1"/>
    <col min="3090" max="3090" width="9.77734375" style="178" customWidth="1"/>
    <col min="3091" max="3097" width="0" style="178" hidden="1" customWidth="1"/>
    <col min="3098" max="3098" width="29" style="178" customWidth="1"/>
    <col min="3099" max="3099" width="27.44140625" style="178" customWidth="1"/>
    <col min="3100" max="3100" width="15.6640625" style="178" customWidth="1"/>
    <col min="3101" max="3101" width="13.33203125" style="178" customWidth="1"/>
    <col min="3102" max="3102" width="18.77734375" style="178" customWidth="1"/>
    <col min="3103" max="3103" width="27.6640625" style="178" customWidth="1"/>
    <col min="3104" max="3326" width="9.6640625" style="178"/>
    <col min="3327" max="3328" width="0" style="178" hidden="1" customWidth="1"/>
    <col min="3329" max="3329" width="2.109375" style="178" customWidth="1"/>
    <col min="3330" max="3330" width="55" style="178" customWidth="1"/>
    <col min="3331" max="3331" width="0" style="178" hidden="1" customWidth="1"/>
    <col min="3332" max="3332" width="9.77734375" style="178" customWidth="1"/>
    <col min="3333" max="3333" width="10.33203125" style="178" customWidth="1"/>
    <col min="3334" max="3334" width="11.109375" style="178" customWidth="1"/>
    <col min="3335" max="3335" width="0" style="178" hidden="1" customWidth="1"/>
    <col min="3336" max="3336" width="18.44140625" style="178" customWidth="1"/>
    <col min="3337" max="3339" width="0" style="178" hidden="1" customWidth="1"/>
    <col min="3340" max="3340" width="18" style="178" customWidth="1"/>
    <col min="3341" max="3341" width="0" style="178" hidden="1" customWidth="1"/>
    <col min="3342" max="3342" width="13.77734375" style="178" customWidth="1"/>
    <col min="3343" max="3343" width="10.6640625" style="178" customWidth="1"/>
    <col min="3344" max="3344" width="11.109375" style="178" customWidth="1"/>
    <col min="3345" max="3345" width="11" style="178" customWidth="1"/>
    <col min="3346" max="3346" width="9.77734375" style="178" customWidth="1"/>
    <col min="3347" max="3353" width="0" style="178" hidden="1" customWidth="1"/>
    <col min="3354" max="3354" width="29" style="178" customWidth="1"/>
    <col min="3355" max="3355" width="27.44140625" style="178" customWidth="1"/>
    <col min="3356" max="3356" width="15.6640625" style="178" customWidth="1"/>
    <col min="3357" max="3357" width="13.33203125" style="178" customWidth="1"/>
    <col min="3358" max="3358" width="18.77734375" style="178" customWidth="1"/>
    <col min="3359" max="3359" width="27.6640625" style="178" customWidth="1"/>
    <col min="3360" max="3582" width="9.6640625" style="178"/>
    <col min="3583" max="3584" width="0" style="178" hidden="1" customWidth="1"/>
    <col min="3585" max="3585" width="2.109375" style="178" customWidth="1"/>
    <col min="3586" max="3586" width="55" style="178" customWidth="1"/>
    <col min="3587" max="3587" width="0" style="178" hidden="1" customWidth="1"/>
    <col min="3588" max="3588" width="9.77734375" style="178" customWidth="1"/>
    <col min="3589" max="3589" width="10.33203125" style="178" customWidth="1"/>
    <col min="3590" max="3590" width="11.109375" style="178" customWidth="1"/>
    <col min="3591" max="3591" width="0" style="178" hidden="1" customWidth="1"/>
    <col min="3592" max="3592" width="18.44140625" style="178" customWidth="1"/>
    <col min="3593" max="3595" width="0" style="178" hidden="1" customWidth="1"/>
    <col min="3596" max="3596" width="18" style="178" customWidth="1"/>
    <col min="3597" max="3597" width="0" style="178" hidden="1" customWidth="1"/>
    <col min="3598" max="3598" width="13.77734375" style="178" customWidth="1"/>
    <col min="3599" max="3599" width="10.6640625" style="178" customWidth="1"/>
    <col min="3600" max="3600" width="11.109375" style="178" customWidth="1"/>
    <col min="3601" max="3601" width="11" style="178" customWidth="1"/>
    <col min="3602" max="3602" width="9.77734375" style="178" customWidth="1"/>
    <col min="3603" max="3609" width="0" style="178" hidden="1" customWidth="1"/>
    <col min="3610" max="3610" width="29" style="178" customWidth="1"/>
    <col min="3611" max="3611" width="27.44140625" style="178" customWidth="1"/>
    <col min="3612" max="3612" width="15.6640625" style="178" customWidth="1"/>
    <col min="3613" max="3613" width="13.33203125" style="178" customWidth="1"/>
    <col min="3614" max="3614" width="18.77734375" style="178" customWidth="1"/>
    <col min="3615" max="3615" width="27.6640625" style="178" customWidth="1"/>
    <col min="3616" max="3838" width="9.6640625" style="178"/>
    <col min="3839" max="3840" width="0" style="178" hidden="1" customWidth="1"/>
    <col min="3841" max="3841" width="2.109375" style="178" customWidth="1"/>
    <col min="3842" max="3842" width="55" style="178" customWidth="1"/>
    <col min="3843" max="3843" width="0" style="178" hidden="1" customWidth="1"/>
    <col min="3844" max="3844" width="9.77734375" style="178" customWidth="1"/>
    <col min="3845" max="3845" width="10.33203125" style="178" customWidth="1"/>
    <col min="3846" max="3846" width="11.109375" style="178" customWidth="1"/>
    <col min="3847" max="3847" width="0" style="178" hidden="1" customWidth="1"/>
    <col min="3848" max="3848" width="18.44140625" style="178" customWidth="1"/>
    <col min="3849" max="3851" width="0" style="178" hidden="1" customWidth="1"/>
    <col min="3852" max="3852" width="18" style="178" customWidth="1"/>
    <col min="3853" max="3853" width="0" style="178" hidden="1" customWidth="1"/>
    <col min="3854" max="3854" width="13.77734375" style="178" customWidth="1"/>
    <col min="3855" max="3855" width="10.6640625" style="178" customWidth="1"/>
    <col min="3856" max="3856" width="11.109375" style="178" customWidth="1"/>
    <col min="3857" max="3857" width="11" style="178" customWidth="1"/>
    <col min="3858" max="3858" width="9.77734375" style="178" customWidth="1"/>
    <col min="3859" max="3865" width="0" style="178" hidden="1" customWidth="1"/>
    <col min="3866" max="3866" width="29" style="178" customWidth="1"/>
    <col min="3867" max="3867" width="27.44140625" style="178" customWidth="1"/>
    <col min="3868" max="3868" width="15.6640625" style="178" customWidth="1"/>
    <col min="3869" max="3869" width="13.33203125" style="178" customWidth="1"/>
    <col min="3870" max="3870" width="18.77734375" style="178" customWidth="1"/>
    <col min="3871" max="3871" width="27.6640625" style="178" customWidth="1"/>
    <col min="3872" max="4094" width="9.6640625" style="178"/>
    <col min="4095" max="4096" width="0" style="178" hidden="1" customWidth="1"/>
    <col min="4097" max="4097" width="2.109375" style="178" customWidth="1"/>
    <col min="4098" max="4098" width="55" style="178" customWidth="1"/>
    <col min="4099" max="4099" width="0" style="178" hidden="1" customWidth="1"/>
    <col min="4100" max="4100" width="9.77734375" style="178" customWidth="1"/>
    <col min="4101" max="4101" width="10.33203125" style="178" customWidth="1"/>
    <col min="4102" max="4102" width="11.109375" style="178" customWidth="1"/>
    <col min="4103" max="4103" width="0" style="178" hidden="1" customWidth="1"/>
    <col min="4104" max="4104" width="18.44140625" style="178" customWidth="1"/>
    <col min="4105" max="4107" width="0" style="178" hidden="1" customWidth="1"/>
    <col min="4108" max="4108" width="18" style="178" customWidth="1"/>
    <col min="4109" max="4109" width="0" style="178" hidden="1" customWidth="1"/>
    <col min="4110" max="4110" width="13.77734375" style="178" customWidth="1"/>
    <col min="4111" max="4111" width="10.6640625" style="178" customWidth="1"/>
    <col min="4112" max="4112" width="11.109375" style="178" customWidth="1"/>
    <col min="4113" max="4113" width="11" style="178" customWidth="1"/>
    <col min="4114" max="4114" width="9.77734375" style="178" customWidth="1"/>
    <col min="4115" max="4121" width="0" style="178" hidden="1" customWidth="1"/>
    <col min="4122" max="4122" width="29" style="178" customWidth="1"/>
    <col min="4123" max="4123" width="27.44140625" style="178" customWidth="1"/>
    <col min="4124" max="4124" width="15.6640625" style="178" customWidth="1"/>
    <col min="4125" max="4125" width="13.33203125" style="178" customWidth="1"/>
    <col min="4126" max="4126" width="18.77734375" style="178" customWidth="1"/>
    <col min="4127" max="4127" width="27.6640625" style="178" customWidth="1"/>
    <col min="4128" max="4350" width="9.6640625" style="178"/>
    <col min="4351" max="4352" width="0" style="178" hidden="1" customWidth="1"/>
    <col min="4353" max="4353" width="2.109375" style="178" customWidth="1"/>
    <col min="4354" max="4354" width="55" style="178" customWidth="1"/>
    <col min="4355" max="4355" width="0" style="178" hidden="1" customWidth="1"/>
    <col min="4356" max="4356" width="9.77734375" style="178" customWidth="1"/>
    <col min="4357" max="4357" width="10.33203125" style="178" customWidth="1"/>
    <col min="4358" max="4358" width="11.109375" style="178" customWidth="1"/>
    <col min="4359" max="4359" width="0" style="178" hidden="1" customWidth="1"/>
    <col min="4360" max="4360" width="18.44140625" style="178" customWidth="1"/>
    <col min="4361" max="4363" width="0" style="178" hidden="1" customWidth="1"/>
    <col min="4364" max="4364" width="18" style="178" customWidth="1"/>
    <col min="4365" max="4365" width="0" style="178" hidden="1" customWidth="1"/>
    <col min="4366" max="4366" width="13.77734375" style="178" customWidth="1"/>
    <col min="4367" max="4367" width="10.6640625" style="178" customWidth="1"/>
    <col min="4368" max="4368" width="11.109375" style="178" customWidth="1"/>
    <col min="4369" max="4369" width="11" style="178" customWidth="1"/>
    <col min="4370" max="4370" width="9.77734375" style="178" customWidth="1"/>
    <col min="4371" max="4377" width="0" style="178" hidden="1" customWidth="1"/>
    <col min="4378" max="4378" width="29" style="178" customWidth="1"/>
    <col min="4379" max="4379" width="27.44140625" style="178" customWidth="1"/>
    <col min="4380" max="4380" width="15.6640625" style="178" customWidth="1"/>
    <col min="4381" max="4381" width="13.33203125" style="178" customWidth="1"/>
    <col min="4382" max="4382" width="18.77734375" style="178" customWidth="1"/>
    <col min="4383" max="4383" width="27.6640625" style="178" customWidth="1"/>
    <col min="4384" max="4606" width="9.6640625" style="178"/>
    <col min="4607" max="4608" width="0" style="178" hidden="1" customWidth="1"/>
    <col min="4609" max="4609" width="2.109375" style="178" customWidth="1"/>
    <col min="4610" max="4610" width="55" style="178" customWidth="1"/>
    <col min="4611" max="4611" width="0" style="178" hidden="1" customWidth="1"/>
    <col min="4612" max="4612" width="9.77734375" style="178" customWidth="1"/>
    <col min="4613" max="4613" width="10.33203125" style="178" customWidth="1"/>
    <col min="4614" max="4614" width="11.109375" style="178" customWidth="1"/>
    <col min="4615" max="4615" width="0" style="178" hidden="1" customWidth="1"/>
    <col min="4616" max="4616" width="18.44140625" style="178" customWidth="1"/>
    <col min="4617" max="4619" width="0" style="178" hidden="1" customWidth="1"/>
    <col min="4620" max="4620" width="18" style="178" customWidth="1"/>
    <col min="4621" max="4621" width="0" style="178" hidden="1" customWidth="1"/>
    <col min="4622" max="4622" width="13.77734375" style="178" customWidth="1"/>
    <col min="4623" max="4623" width="10.6640625" style="178" customWidth="1"/>
    <col min="4624" max="4624" width="11.109375" style="178" customWidth="1"/>
    <col min="4625" max="4625" width="11" style="178" customWidth="1"/>
    <col min="4626" max="4626" width="9.77734375" style="178" customWidth="1"/>
    <col min="4627" max="4633" width="0" style="178" hidden="1" customWidth="1"/>
    <col min="4634" max="4634" width="29" style="178" customWidth="1"/>
    <col min="4635" max="4635" width="27.44140625" style="178" customWidth="1"/>
    <col min="4636" max="4636" width="15.6640625" style="178" customWidth="1"/>
    <col min="4637" max="4637" width="13.33203125" style="178" customWidth="1"/>
    <col min="4638" max="4638" width="18.77734375" style="178" customWidth="1"/>
    <col min="4639" max="4639" width="27.6640625" style="178" customWidth="1"/>
    <col min="4640" max="4862" width="9.6640625" style="178"/>
    <col min="4863" max="4864" width="0" style="178" hidden="1" customWidth="1"/>
    <col min="4865" max="4865" width="2.109375" style="178" customWidth="1"/>
    <col min="4866" max="4866" width="55" style="178" customWidth="1"/>
    <col min="4867" max="4867" width="0" style="178" hidden="1" customWidth="1"/>
    <col min="4868" max="4868" width="9.77734375" style="178" customWidth="1"/>
    <col min="4869" max="4869" width="10.33203125" style="178" customWidth="1"/>
    <col min="4870" max="4870" width="11.109375" style="178" customWidth="1"/>
    <col min="4871" max="4871" width="0" style="178" hidden="1" customWidth="1"/>
    <col min="4872" max="4872" width="18.44140625" style="178" customWidth="1"/>
    <col min="4873" max="4875" width="0" style="178" hidden="1" customWidth="1"/>
    <col min="4876" max="4876" width="18" style="178" customWidth="1"/>
    <col min="4877" max="4877" width="0" style="178" hidden="1" customWidth="1"/>
    <col min="4878" max="4878" width="13.77734375" style="178" customWidth="1"/>
    <col min="4879" max="4879" width="10.6640625" style="178" customWidth="1"/>
    <col min="4880" max="4880" width="11.109375" style="178" customWidth="1"/>
    <col min="4881" max="4881" width="11" style="178" customWidth="1"/>
    <col min="4882" max="4882" width="9.77734375" style="178" customWidth="1"/>
    <col min="4883" max="4889" width="0" style="178" hidden="1" customWidth="1"/>
    <col min="4890" max="4890" width="29" style="178" customWidth="1"/>
    <col min="4891" max="4891" width="27.44140625" style="178" customWidth="1"/>
    <col min="4892" max="4892" width="15.6640625" style="178" customWidth="1"/>
    <col min="4893" max="4893" width="13.33203125" style="178" customWidth="1"/>
    <col min="4894" max="4894" width="18.77734375" style="178" customWidth="1"/>
    <col min="4895" max="4895" width="27.6640625" style="178" customWidth="1"/>
    <col min="4896" max="5118" width="9.6640625" style="178"/>
    <col min="5119" max="5120" width="0" style="178" hidden="1" customWidth="1"/>
    <col min="5121" max="5121" width="2.109375" style="178" customWidth="1"/>
    <col min="5122" max="5122" width="55" style="178" customWidth="1"/>
    <col min="5123" max="5123" width="0" style="178" hidden="1" customWidth="1"/>
    <col min="5124" max="5124" width="9.77734375" style="178" customWidth="1"/>
    <col min="5125" max="5125" width="10.33203125" style="178" customWidth="1"/>
    <col min="5126" max="5126" width="11.109375" style="178" customWidth="1"/>
    <col min="5127" max="5127" width="0" style="178" hidden="1" customWidth="1"/>
    <col min="5128" max="5128" width="18.44140625" style="178" customWidth="1"/>
    <col min="5129" max="5131" width="0" style="178" hidden="1" customWidth="1"/>
    <col min="5132" max="5132" width="18" style="178" customWidth="1"/>
    <col min="5133" max="5133" width="0" style="178" hidden="1" customWidth="1"/>
    <col min="5134" max="5134" width="13.77734375" style="178" customWidth="1"/>
    <col min="5135" max="5135" width="10.6640625" style="178" customWidth="1"/>
    <col min="5136" max="5136" width="11.109375" style="178" customWidth="1"/>
    <col min="5137" max="5137" width="11" style="178" customWidth="1"/>
    <col min="5138" max="5138" width="9.77734375" style="178" customWidth="1"/>
    <col min="5139" max="5145" width="0" style="178" hidden="1" customWidth="1"/>
    <col min="5146" max="5146" width="29" style="178" customWidth="1"/>
    <col min="5147" max="5147" width="27.44140625" style="178" customWidth="1"/>
    <col min="5148" max="5148" width="15.6640625" style="178" customWidth="1"/>
    <col min="5149" max="5149" width="13.33203125" style="178" customWidth="1"/>
    <col min="5150" max="5150" width="18.77734375" style="178" customWidth="1"/>
    <col min="5151" max="5151" width="27.6640625" style="178" customWidth="1"/>
    <col min="5152" max="5374" width="9.6640625" style="178"/>
    <col min="5375" max="5376" width="0" style="178" hidden="1" customWidth="1"/>
    <col min="5377" max="5377" width="2.109375" style="178" customWidth="1"/>
    <col min="5378" max="5378" width="55" style="178" customWidth="1"/>
    <col min="5379" max="5379" width="0" style="178" hidden="1" customWidth="1"/>
    <col min="5380" max="5380" width="9.77734375" style="178" customWidth="1"/>
    <col min="5381" max="5381" width="10.33203125" style="178" customWidth="1"/>
    <col min="5382" max="5382" width="11.109375" style="178" customWidth="1"/>
    <col min="5383" max="5383" width="0" style="178" hidden="1" customWidth="1"/>
    <col min="5384" max="5384" width="18.44140625" style="178" customWidth="1"/>
    <col min="5385" max="5387" width="0" style="178" hidden="1" customWidth="1"/>
    <col min="5388" max="5388" width="18" style="178" customWidth="1"/>
    <col min="5389" max="5389" width="0" style="178" hidden="1" customWidth="1"/>
    <col min="5390" max="5390" width="13.77734375" style="178" customWidth="1"/>
    <col min="5391" max="5391" width="10.6640625" style="178" customWidth="1"/>
    <col min="5392" max="5392" width="11.109375" style="178" customWidth="1"/>
    <col min="5393" max="5393" width="11" style="178" customWidth="1"/>
    <col min="5394" max="5394" width="9.77734375" style="178" customWidth="1"/>
    <col min="5395" max="5401" width="0" style="178" hidden="1" customWidth="1"/>
    <col min="5402" max="5402" width="29" style="178" customWidth="1"/>
    <col min="5403" max="5403" width="27.44140625" style="178" customWidth="1"/>
    <col min="5404" max="5404" width="15.6640625" style="178" customWidth="1"/>
    <col min="5405" max="5405" width="13.33203125" style="178" customWidth="1"/>
    <col min="5406" max="5406" width="18.77734375" style="178" customWidth="1"/>
    <col min="5407" max="5407" width="27.6640625" style="178" customWidth="1"/>
    <col min="5408" max="5630" width="9.6640625" style="178"/>
    <col min="5631" max="5632" width="0" style="178" hidden="1" customWidth="1"/>
    <col min="5633" max="5633" width="2.109375" style="178" customWidth="1"/>
    <col min="5634" max="5634" width="55" style="178" customWidth="1"/>
    <col min="5635" max="5635" width="0" style="178" hidden="1" customWidth="1"/>
    <col min="5636" max="5636" width="9.77734375" style="178" customWidth="1"/>
    <col min="5637" max="5637" width="10.33203125" style="178" customWidth="1"/>
    <col min="5638" max="5638" width="11.109375" style="178" customWidth="1"/>
    <col min="5639" max="5639" width="0" style="178" hidden="1" customWidth="1"/>
    <col min="5640" max="5640" width="18.44140625" style="178" customWidth="1"/>
    <col min="5641" max="5643" width="0" style="178" hidden="1" customWidth="1"/>
    <col min="5644" max="5644" width="18" style="178" customWidth="1"/>
    <col min="5645" max="5645" width="0" style="178" hidden="1" customWidth="1"/>
    <col min="5646" max="5646" width="13.77734375" style="178" customWidth="1"/>
    <col min="5647" max="5647" width="10.6640625" style="178" customWidth="1"/>
    <col min="5648" max="5648" width="11.109375" style="178" customWidth="1"/>
    <col min="5649" max="5649" width="11" style="178" customWidth="1"/>
    <col min="5650" max="5650" width="9.77734375" style="178" customWidth="1"/>
    <col min="5651" max="5657" width="0" style="178" hidden="1" customWidth="1"/>
    <col min="5658" max="5658" width="29" style="178" customWidth="1"/>
    <col min="5659" max="5659" width="27.44140625" style="178" customWidth="1"/>
    <col min="5660" max="5660" width="15.6640625" style="178" customWidth="1"/>
    <col min="5661" max="5661" width="13.33203125" style="178" customWidth="1"/>
    <col min="5662" max="5662" width="18.77734375" style="178" customWidth="1"/>
    <col min="5663" max="5663" width="27.6640625" style="178" customWidth="1"/>
    <col min="5664" max="5886" width="9.6640625" style="178"/>
    <col min="5887" max="5888" width="0" style="178" hidden="1" customWidth="1"/>
    <col min="5889" max="5889" width="2.109375" style="178" customWidth="1"/>
    <col min="5890" max="5890" width="55" style="178" customWidth="1"/>
    <col min="5891" max="5891" width="0" style="178" hidden="1" customWidth="1"/>
    <col min="5892" max="5892" width="9.77734375" style="178" customWidth="1"/>
    <col min="5893" max="5893" width="10.33203125" style="178" customWidth="1"/>
    <col min="5894" max="5894" width="11.109375" style="178" customWidth="1"/>
    <col min="5895" max="5895" width="0" style="178" hidden="1" customWidth="1"/>
    <col min="5896" max="5896" width="18.44140625" style="178" customWidth="1"/>
    <col min="5897" max="5899" width="0" style="178" hidden="1" customWidth="1"/>
    <col min="5900" max="5900" width="18" style="178" customWidth="1"/>
    <col min="5901" max="5901" width="0" style="178" hidden="1" customWidth="1"/>
    <col min="5902" max="5902" width="13.77734375" style="178" customWidth="1"/>
    <col min="5903" max="5903" width="10.6640625" style="178" customWidth="1"/>
    <col min="5904" max="5904" width="11.109375" style="178" customWidth="1"/>
    <col min="5905" max="5905" width="11" style="178" customWidth="1"/>
    <col min="5906" max="5906" width="9.77734375" style="178" customWidth="1"/>
    <col min="5907" max="5913" width="0" style="178" hidden="1" customWidth="1"/>
    <col min="5914" max="5914" width="29" style="178" customWidth="1"/>
    <col min="5915" max="5915" width="27.44140625" style="178" customWidth="1"/>
    <col min="5916" max="5916" width="15.6640625" style="178" customWidth="1"/>
    <col min="5917" max="5917" width="13.33203125" style="178" customWidth="1"/>
    <col min="5918" max="5918" width="18.77734375" style="178" customWidth="1"/>
    <col min="5919" max="5919" width="27.6640625" style="178" customWidth="1"/>
    <col min="5920" max="6142" width="9.6640625" style="178"/>
    <col min="6143" max="6144" width="0" style="178" hidden="1" customWidth="1"/>
    <col min="6145" max="6145" width="2.109375" style="178" customWidth="1"/>
    <col min="6146" max="6146" width="55" style="178" customWidth="1"/>
    <col min="6147" max="6147" width="0" style="178" hidden="1" customWidth="1"/>
    <col min="6148" max="6148" width="9.77734375" style="178" customWidth="1"/>
    <col min="6149" max="6149" width="10.33203125" style="178" customWidth="1"/>
    <col min="6150" max="6150" width="11.109375" style="178" customWidth="1"/>
    <col min="6151" max="6151" width="0" style="178" hidden="1" customWidth="1"/>
    <col min="6152" max="6152" width="18.44140625" style="178" customWidth="1"/>
    <col min="6153" max="6155" width="0" style="178" hidden="1" customWidth="1"/>
    <col min="6156" max="6156" width="18" style="178" customWidth="1"/>
    <col min="6157" max="6157" width="0" style="178" hidden="1" customWidth="1"/>
    <col min="6158" max="6158" width="13.77734375" style="178" customWidth="1"/>
    <col min="6159" max="6159" width="10.6640625" style="178" customWidth="1"/>
    <col min="6160" max="6160" width="11.109375" style="178" customWidth="1"/>
    <col min="6161" max="6161" width="11" style="178" customWidth="1"/>
    <col min="6162" max="6162" width="9.77734375" style="178" customWidth="1"/>
    <col min="6163" max="6169" width="0" style="178" hidden="1" customWidth="1"/>
    <col min="6170" max="6170" width="29" style="178" customWidth="1"/>
    <col min="6171" max="6171" width="27.44140625" style="178" customWidth="1"/>
    <col min="6172" max="6172" width="15.6640625" style="178" customWidth="1"/>
    <col min="6173" max="6173" width="13.33203125" style="178" customWidth="1"/>
    <col min="6174" max="6174" width="18.77734375" style="178" customWidth="1"/>
    <col min="6175" max="6175" width="27.6640625" style="178" customWidth="1"/>
    <col min="6176" max="6398" width="9.6640625" style="178"/>
    <col min="6399" max="6400" width="0" style="178" hidden="1" customWidth="1"/>
    <col min="6401" max="6401" width="2.109375" style="178" customWidth="1"/>
    <col min="6402" max="6402" width="55" style="178" customWidth="1"/>
    <col min="6403" max="6403" width="0" style="178" hidden="1" customWidth="1"/>
    <col min="6404" max="6404" width="9.77734375" style="178" customWidth="1"/>
    <col min="6405" max="6405" width="10.33203125" style="178" customWidth="1"/>
    <col min="6406" max="6406" width="11.109375" style="178" customWidth="1"/>
    <col min="6407" max="6407" width="0" style="178" hidden="1" customWidth="1"/>
    <col min="6408" max="6408" width="18.44140625" style="178" customWidth="1"/>
    <col min="6409" max="6411" width="0" style="178" hidden="1" customWidth="1"/>
    <col min="6412" max="6412" width="18" style="178" customWidth="1"/>
    <col min="6413" max="6413" width="0" style="178" hidden="1" customWidth="1"/>
    <col min="6414" max="6414" width="13.77734375" style="178" customWidth="1"/>
    <col min="6415" max="6415" width="10.6640625" style="178" customWidth="1"/>
    <col min="6416" max="6416" width="11.109375" style="178" customWidth="1"/>
    <col min="6417" max="6417" width="11" style="178" customWidth="1"/>
    <col min="6418" max="6418" width="9.77734375" style="178" customWidth="1"/>
    <col min="6419" max="6425" width="0" style="178" hidden="1" customWidth="1"/>
    <col min="6426" max="6426" width="29" style="178" customWidth="1"/>
    <col min="6427" max="6427" width="27.44140625" style="178" customWidth="1"/>
    <col min="6428" max="6428" width="15.6640625" style="178" customWidth="1"/>
    <col min="6429" max="6429" width="13.33203125" style="178" customWidth="1"/>
    <col min="6430" max="6430" width="18.77734375" style="178" customWidth="1"/>
    <col min="6431" max="6431" width="27.6640625" style="178" customWidth="1"/>
    <col min="6432" max="6654" width="9.6640625" style="178"/>
    <col min="6655" max="6656" width="0" style="178" hidden="1" customWidth="1"/>
    <col min="6657" max="6657" width="2.109375" style="178" customWidth="1"/>
    <col min="6658" max="6658" width="55" style="178" customWidth="1"/>
    <col min="6659" max="6659" width="0" style="178" hidden="1" customWidth="1"/>
    <col min="6660" max="6660" width="9.77734375" style="178" customWidth="1"/>
    <col min="6661" max="6661" width="10.33203125" style="178" customWidth="1"/>
    <col min="6662" max="6662" width="11.109375" style="178" customWidth="1"/>
    <col min="6663" max="6663" width="0" style="178" hidden="1" customWidth="1"/>
    <col min="6664" max="6664" width="18.44140625" style="178" customWidth="1"/>
    <col min="6665" max="6667" width="0" style="178" hidden="1" customWidth="1"/>
    <col min="6668" max="6668" width="18" style="178" customWidth="1"/>
    <col min="6669" max="6669" width="0" style="178" hidden="1" customWidth="1"/>
    <col min="6670" max="6670" width="13.77734375" style="178" customWidth="1"/>
    <col min="6671" max="6671" width="10.6640625" style="178" customWidth="1"/>
    <col min="6672" max="6672" width="11.109375" style="178" customWidth="1"/>
    <col min="6673" max="6673" width="11" style="178" customWidth="1"/>
    <col min="6674" max="6674" width="9.77734375" style="178" customWidth="1"/>
    <col min="6675" max="6681" width="0" style="178" hidden="1" customWidth="1"/>
    <col min="6682" max="6682" width="29" style="178" customWidth="1"/>
    <col min="6683" max="6683" width="27.44140625" style="178" customWidth="1"/>
    <col min="6684" max="6684" width="15.6640625" style="178" customWidth="1"/>
    <col min="6685" max="6685" width="13.33203125" style="178" customWidth="1"/>
    <col min="6686" max="6686" width="18.77734375" style="178" customWidth="1"/>
    <col min="6687" max="6687" width="27.6640625" style="178" customWidth="1"/>
    <col min="6688" max="6910" width="9.6640625" style="178"/>
    <col min="6911" max="6912" width="0" style="178" hidden="1" customWidth="1"/>
    <col min="6913" max="6913" width="2.109375" style="178" customWidth="1"/>
    <col min="6914" max="6914" width="55" style="178" customWidth="1"/>
    <col min="6915" max="6915" width="0" style="178" hidden="1" customWidth="1"/>
    <col min="6916" max="6916" width="9.77734375" style="178" customWidth="1"/>
    <col min="6917" max="6917" width="10.33203125" style="178" customWidth="1"/>
    <col min="6918" max="6918" width="11.109375" style="178" customWidth="1"/>
    <col min="6919" max="6919" width="0" style="178" hidden="1" customWidth="1"/>
    <col min="6920" max="6920" width="18.44140625" style="178" customWidth="1"/>
    <col min="6921" max="6923" width="0" style="178" hidden="1" customWidth="1"/>
    <col min="6924" max="6924" width="18" style="178" customWidth="1"/>
    <col min="6925" max="6925" width="0" style="178" hidden="1" customWidth="1"/>
    <col min="6926" max="6926" width="13.77734375" style="178" customWidth="1"/>
    <col min="6927" max="6927" width="10.6640625" style="178" customWidth="1"/>
    <col min="6928" max="6928" width="11.109375" style="178" customWidth="1"/>
    <col min="6929" max="6929" width="11" style="178" customWidth="1"/>
    <col min="6930" max="6930" width="9.77734375" style="178" customWidth="1"/>
    <col min="6931" max="6937" width="0" style="178" hidden="1" customWidth="1"/>
    <col min="6938" max="6938" width="29" style="178" customWidth="1"/>
    <col min="6939" max="6939" width="27.44140625" style="178" customWidth="1"/>
    <col min="6940" max="6940" width="15.6640625" style="178" customWidth="1"/>
    <col min="6941" max="6941" width="13.33203125" style="178" customWidth="1"/>
    <col min="6942" max="6942" width="18.77734375" style="178" customWidth="1"/>
    <col min="6943" max="6943" width="27.6640625" style="178" customWidth="1"/>
    <col min="6944" max="7166" width="9.6640625" style="178"/>
    <col min="7167" max="7168" width="0" style="178" hidden="1" customWidth="1"/>
    <col min="7169" max="7169" width="2.109375" style="178" customWidth="1"/>
    <col min="7170" max="7170" width="55" style="178" customWidth="1"/>
    <col min="7171" max="7171" width="0" style="178" hidden="1" customWidth="1"/>
    <col min="7172" max="7172" width="9.77734375" style="178" customWidth="1"/>
    <col min="7173" max="7173" width="10.33203125" style="178" customWidth="1"/>
    <col min="7174" max="7174" width="11.109375" style="178" customWidth="1"/>
    <col min="7175" max="7175" width="0" style="178" hidden="1" customWidth="1"/>
    <col min="7176" max="7176" width="18.44140625" style="178" customWidth="1"/>
    <col min="7177" max="7179" width="0" style="178" hidden="1" customWidth="1"/>
    <col min="7180" max="7180" width="18" style="178" customWidth="1"/>
    <col min="7181" max="7181" width="0" style="178" hidden="1" customWidth="1"/>
    <col min="7182" max="7182" width="13.77734375" style="178" customWidth="1"/>
    <col min="7183" max="7183" width="10.6640625" style="178" customWidth="1"/>
    <col min="7184" max="7184" width="11.109375" style="178" customWidth="1"/>
    <col min="7185" max="7185" width="11" style="178" customWidth="1"/>
    <col min="7186" max="7186" width="9.77734375" style="178" customWidth="1"/>
    <col min="7187" max="7193" width="0" style="178" hidden="1" customWidth="1"/>
    <col min="7194" max="7194" width="29" style="178" customWidth="1"/>
    <col min="7195" max="7195" width="27.44140625" style="178" customWidth="1"/>
    <col min="7196" max="7196" width="15.6640625" style="178" customWidth="1"/>
    <col min="7197" max="7197" width="13.33203125" style="178" customWidth="1"/>
    <col min="7198" max="7198" width="18.77734375" style="178" customWidth="1"/>
    <col min="7199" max="7199" width="27.6640625" style="178" customWidth="1"/>
    <col min="7200" max="7422" width="9.6640625" style="178"/>
    <col min="7423" max="7424" width="0" style="178" hidden="1" customWidth="1"/>
    <col min="7425" max="7425" width="2.109375" style="178" customWidth="1"/>
    <col min="7426" max="7426" width="55" style="178" customWidth="1"/>
    <col min="7427" max="7427" width="0" style="178" hidden="1" customWidth="1"/>
    <col min="7428" max="7428" width="9.77734375" style="178" customWidth="1"/>
    <col min="7429" max="7429" width="10.33203125" style="178" customWidth="1"/>
    <col min="7430" max="7430" width="11.109375" style="178" customWidth="1"/>
    <col min="7431" max="7431" width="0" style="178" hidden="1" customWidth="1"/>
    <col min="7432" max="7432" width="18.44140625" style="178" customWidth="1"/>
    <col min="7433" max="7435" width="0" style="178" hidden="1" customWidth="1"/>
    <col min="7436" max="7436" width="18" style="178" customWidth="1"/>
    <col min="7437" max="7437" width="0" style="178" hidden="1" customWidth="1"/>
    <col min="7438" max="7438" width="13.77734375" style="178" customWidth="1"/>
    <col min="7439" max="7439" width="10.6640625" style="178" customWidth="1"/>
    <col min="7440" max="7440" width="11.109375" style="178" customWidth="1"/>
    <col min="7441" max="7441" width="11" style="178" customWidth="1"/>
    <col min="7442" max="7442" width="9.77734375" style="178" customWidth="1"/>
    <col min="7443" max="7449" width="0" style="178" hidden="1" customWidth="1"/>
    <col min="7450" max="7450" width="29" style="178" customWidth="1"/>
    <col min="7451" max="7451" width="27.44140625" style="178" customWidth="1"/>
    <col min="7452" max="7452" width="15.6640625" style="178" customWidth="1"/>
    <col min="7453" max="7453" width="13.33203125" style="178" customWidth="1"/>
    <col min="7454" max="7454" width="18.77734375" style="178" customWidth="1"/>
    <col min="7455" max="7455" width="27.6640625" style="178" customWidth="1"/>
    <col min="7456" max="7678" width="9.6640625" style="178"/>
    <col min="7679" max="7680" width="0" style="178" hidden="1" customWidth="1"/>
    <col min="7681" max="7681" width="2.109375" style="178" customWidth="1"/>
    <col min="7682" max="7682" width="55" style="178" customWidth="1"/>
    <col min="7683" max="7683" width="0" style="178" hidden="1" customWidth="1"/>
    <col min="7684" max="7684" width="9.77734375" style="178" customWidth="1"/>
    <col min="7685" max="7685" width="10.33203125" style="178" customWidth="1"/>
    <col min="7686" max="7686" width="11.109375" style="178" customWidth="1"/>
    <col min="7687" max="7687" width="0" style="178" hidden="1" customWidth="1"/>
    <col min="7688" max="7688" width="18.44140625" style="178" customWidth="1"/>
    <col min="7689" max="7691" width="0" style="178" hidden="1" customWidth="1"/>
    <col min="7692" max="7692" width="18" style="178" customWidth="1"/>
    <col min="7693" max="7693" width="0" style="178" hidden="1" customWidth="1"/>
    <col min="7694" max="7694" width="13.77734375" style="178" customWidth="1"/>
    <col min="7695" max="7695" width="10.6640625" style="178" customWidth="1"/>
    <col min="7696" max="7696" width="11.109375" style="178" customWidth="1"/>
    <col min="7697" max="7697" width="11" style="178" customWidth="1"/>
    <col min="7698" max="7698" width="9.77734375" style="178" customWidth="1"/>
    <col min="7699" max="7705" width="0" style="178" hidden="1" customWidth="1"/>
    <col min="7706" max="7706" width="29" style="178" customWidth="1"/>
    <col min="7707" max="7707" width="27.44140625" style="178" customWidth="1"/>
    <col min="7708" max="7708" width="15.6640625" style="178" customWidth="1"/>
    <col min="7709" max="7709" width="13.33203125" style="178" customWidth="1"/>
    <col min="7710" max="7710" width="18.77734375" style="178" customWidth="1"/>
    <col min="7711" max="7711" width="27.6640625" style="178" customWidth="1"/>
    <col min="7712" max="7934" width="9.6640625" style="178"/>
    <col min="7935" max="7936" width="0" style="178" hidden="1" customWidth="1"/>
    <col min="7937" max="7937" width="2.109375" style="178" customWidth="1"/>
    <col min="7938" max="7938" width="55" style="178" customWidth="1"/>
    <col min="7939" max="7939" width="0" style="178" hidden="1" customWidth="1"/>
    <col min="7940" max="7940" width="9.77734375" style="178" customWidth="1"/>
    <col min="7941" max="7941" width="10.33203125" style="178" customWidth="1"/>
    <col min="7942" max="7942" width="11.109375" style="178" customWidth="1"/>
    <col min="7943" max="7943" width="0" style="178" hidden="1" customWidth="1"/>
    <col min="7944" max="7944" width="18.44140625" style="178" customWidth="1"/>
    <col min="7945" max="7947" width="0" style="178" hidden="1" customWidth="1"/>
    <col min="7948" max="7948" width="18" style="178" customWidth="1"/>
    <col min="7949" max="7949" width="0" style="178" hidden="1" customWidth="1"/>
    <col min="7950" max="7950" width="13.77734375" style="178" customWidth="1"/>
    <col min="7951" max="7951" width="10.6640625" style="178" customWidth="1"/>
    <col min="7952" max="7952" width="11.109375" style="178" customWidth="1"/>
    <col min="7953" max="7953" width="11" style="178" customWidth="1"/>
    <col min="7954" max="7954" width="9.77734375" style="178" customWidth="1"/>
    <col min="7955" max="7961" width="0" style="178" hidden="1" customWidth="1"/>
    <col min="7962" max="7962" width="29" style="178" customWidth="1"/>
    <col min="7963" max="7963" width="27.44140625" style="178" customWidth="1"/>
    <col min="7964" max="7964" width="15.6640625" style="178" customWidth="1"/>
    <col min="7965" max="7965" width="13.33203125" style="178" customWidth="1"/>
    <col min="7966" max="7966" width="18.77734375" style="178" customWidth="1"/>
    <col min="7967" max="7967" width="27.6640625" style="178" customWidth="1"/>
    <col min="7968" max="8190" width="9.6640625" style="178"/>
    <col min="8191" max="8192" width="0" style="178" hidden="1" customWidth="1"/>
    <col min="8193" max="8193" width="2.109375" style="178" customWidth="1"/>
    <col min="8194" max="8194" width="55" style="178" customWidth="1"/>
    <col min="8195" max="8195" width="0" style="178" hidden="1" customWidth="1"/>
    <col min="8196" max="8196" width="9.77734375" style="178" customWidth="1"/>
    <col min="8197" max="8197" width="10.33203125" style="178" customWidth="1"/>
    <col min="8198" max="8198" width="11.109375" style="178" customWidth="1"/>
    <col min="8199" max="8199" width="0" style="178" hidden="1" customWidth="1"/>
    <col min="8200" max="8200" width="18.44140625" style="178" customWidth="1"/>
    <col min="8201" max="8203" width="0" style="178" hidden="1" customWidth="1"/>
    <col min="8204" max="8204" width="18" style="178" customWidth="1"/>
    <col min="8205" max="8205" width="0" style="178" hidden="1" customWidth="1"/>
    <col min="8206" max="8206" width="13.77734375" style="178" customWidth="1"/>
    <col min="8207" max="8207" width="10.6640625" style="178" customWidth="1"/>
    <col min="8208" max="8208" width="11.109375" style="178" customWidth="1"/>
    <col min="8209" max="8209" width="11" style="178" customWidth="1"/>
    <col min="8210" max="8210" width="9.77734375" style="178" customWidth="1"/>
    <col min="8211" max="8217" width="0" style="178" hidden="1" customWidth="1"/>
    <col min="8218" max="8218" width="29" style="178" customWidth="1"/>
    <col min="8219" max="8219" width="27.44140625" style="178" customWidth="1"/>
    <col min="8220" max="8220" width="15.6640625" style="178" customWidth="1"/>
    <col min="8221" max="8221" width="13.33203125" style="178" customWidth="1"/>
    <col min="8222" max="8222" width="18.77734375" style="178" customWidth="1"/>
    <col min="8223" max="8223" width="27.6640625" style="178" customWidth="1"/>
    <col min="8224" max="8446" width="9.6640625" style="178"/>
    <col min="8447" max="8448" width="0" style="178" hidden="1" customWidth="1"/>
    <col min="8449" max="8449" width="2.109375" style="178" customWidth="1"/>
    <col min="8450" max="8450" width="55" style="178" customWidth="1"/>
    <col min="8451" max="8451" width="0" style="178" hidden="1" customWidth="1"/>
    <col min="8452" max="8452" width="9.77734375" style="178" customWidth="1"/>
    <col min="8453" max="8453" width="10.33203125" style="178" customWidth="1"/>
    <col min="8454" max="8454" width="11.109375" style="178" customWidth="1"/>
    <col min="8455" max="8455" width="0" style="178" hidden="1" customWidth="1"/>
    <col min="8456" max="8456" width="18.44140625" style="178" customWidth="1"/>
    <col min="8457" max="8459" width="0" style="178" hidden="1" customWidth="1"/>
    <col min="8460" max="8460" width="18" style="178" customWidth="1"/>
    <col min="8461" max="8461" width="0" style="178" hidden="1" customWidth="1"/>
    <col min="8462" max="8462" width="13.77734375" style="178" customWidth="1"/>
    <col min="8463" max="8463" width="10.6640625" style="178" customWidth="1"/>
    <col min="8464" max="8464" width="11.109375" style="178" customWidth="1"/>
    <col min="8465" max="8465" width="11" style="178" customWidth="1"/>
    <col min="8466" max="8466" width="9.77734375" style="178" customWidth="1"/>
    <col min="8467" max="8473" width="0" style="178" hidden="1" customWidth="1"/>
    <col min="8474" max="8474" width="29" style="178" customWidth="1"/>
    <col min="8475" max="8475" width="27.44140625" style="178" customWidth="1"/>
    <col min="8476" max="8476" width="15.6640625" style="178" customWidth="1"/>
    <col min="8477" max="8477" width="13.33203125" style="178" customWidth="1"/>
    <col min="8478" max="8478" width="18.77734375" style="178" customWidth="1"/>
    <col min="8479" max="8479" width="27.6640625" style="178" customWidth="1"/>
    <col min="8480" max="8702" width="9.6640625" style="178"/>
    <col min="8703" max="8704" width="0" style="178" hidden="1" customWidth="1"/>
    <col min="8705" max="8705" width="2.109375" style="178" customWidth="1"/>
    <col min="8706" max="8706" width="55" style="178" customWidth="1"/>
    <col min="8707" max="8707" width="0" style="178" hidden="1" customWidth="1"/>
    <col min="8708" max="8708" width="9.77734375" style="178" customWidth="1"/>
    <col min="8709" max="8709" width="10.33203125" style="178" customWidth="1"/>
    <col min="8710" max="8710" width="11.109375" style="178" customWidth="1"/>
    <col min="8711" max="8711" width="0" style="178" hidden="1" customWidth="1"/>
    <col min="8712" max="8712" width="18.44140625" style="178" customWidth="1"/>
    <col min="8713" max="8715" width="0" style="178" hidden="1" customWidth="1"/>
    <col min="8716" max="8716" width="18" style="178" customWidth="1"/>
    <col min="8717" max="8717" width="0" style="178" hidden="1" customWidth="1"/>
    <col min="8718" max="8718" width="13.77734375" style="178" customWidth="1"/>
    <col min="8719" max="8719" width="10.6640625" style="178" customWidth="1"/>
    <col min="8720" max="8720" width="11.109375" style="178" customWidth="1"/>
    <col min="8721" max="8721" width="11" style="178" customWidth="1"/>
    <col min="8722" max="8722" width="9.77734375" style="178" customWidth="1"/>
    <col min="8723" max="8729" width="0" style="178" hidden="1" customWidth="1"/>
    <col min="8730" max="8730" width="29" style="178" customWidth="1"/>
    <col min="8731" max="8731" width="27.44140625" style="178" customWidth="1"/>
    <col min="8732" max="8732" width="15.6640625" style="178" customWidth="1"/>
    <col min="8733" max="8733" width="13.33203125" style="178" customWidth="1"/>
    <col min="8734" max="8734" width="18.77734375" style="178" customWidth="1"/>
    <col min="8735" max="8735" width="27.6640625" style="178" customWidth="1"/>
    <col min="8736" max="8958" width="9.6640625" style="178"/>
    <col min="8959" max="8960" width="0" style="178" hidden="1" customWidth="1"/>
    <col min="8961" max="8961" width="2.109375" style="178" customWidth="1"/>
    <col min="8962" max="8962" width="55" style="178" customWidth="1"/>
    <col min="8963" max="8963" width="0" style="178" hidden="1" customWidth="1"/>
    <col min="8964" max="8964" width="9.77734375" style="178" customWidth="1"/>
    <col min="8965" max="8965" width="10.33203125" style="178" customWidth="1"/>
    <col min="8966" max="8966" width="11.109375" style="178" customWidth="1"/>
    <col min="8967" max="8967" width="0" style="178" hidden="1" customWidth="1"/>
    <col min="8968" max="8968" width="18.44140625" style="178" customWidth="1"/>
    <col min="8969" max="8971" width="0" style="178" hidden="1" customWidth="1"/>
    <col min="8972" max="8972" width="18" style="178" customWidth="1"/>
    <col min="8973" max="8973" width="0" style="178" hidden="1" customWidth="1"/>
    <col min="8974" max="8974" width="13.77734375" style="178" customWidth="1"/>
    <col min="8975" max="8975" width="10.6640625" style="178" customWidth="1"/>
    <col min="8976" max="8976" width="11.109375" style="178" customWidth="1"/>
    <col min="8977" max="8977" width="11" style="178" customWidth="1"/>
    <col min="8978" max="8978" width="9.77734375" style="178" customWidth="1"/>
    <col min="8979" max="8985" width="0" style="178" hidden="1" customWidth="1"/>
    <col min="8986" max="8986" width="29" style="178" customWidth="1"/>
    <col min="8987" max="8987" width="27.44140625" style="178" customWidth="1"/>
    <col min="8988" max="8988" width="15.6640625" style="178" customWidth="1"/>
    <col min="8989" max="8989" width="13.33203125" style="178" customWidth="1"/>
    <col min="8990" max="8990" width="18.77734375" style="178" customWidth="1"/>
    <col min="8991" max="8991" width="27.6640625" style="178" customWidth="1"/>
    <col min="8992" max="9214" width="9.6640625" style="178"/>
    <col min="9215" max="9216" width="0" style="178" hidden="1" customWidth="1"/>
    <col min="9217" max="9217" width="2.109375" style="178" customWidth="1"/>
    <col min="9218" max="9218" width="55" style="178" customWidth="1"/>
    <col min="9219" max="9219" width="0" style="178" hidden="1" customWidth="1"/>
    <col min="9220" max="9220" width="9.77734375" style="178" customWidth="1"/>
    <col min="9221" max="9221" width="10.33203125" style="178" customWidth="1"/>
    <col min="9222" max="9222" width="11.109375" style="178" customWidth="1"/>
    <col min="9223" max="9223" width="0" style="178" hidden="1" customWidth="1"/>
    <col min="9224" max="9224" width="18.44140625" style="178" customWidth="1"/>
    <col min="9225" max="9227" width="0" style="178" hidden="1" customWidth="1"/>
    <col min="9228" max="9228" width="18" style="178" customWidth="1"/>
    <col min="9229" max="9229" width="0" style="178" hidden="1" customWidth="1"/>
    <col min="9230" max="9230" width="13.77734375" style="178" customWidth="1"/>
    <col min="9231" max="9231" width="10.6640625" style="178" customWidth="1"/>
    <col min="9232" max="9232" width="11.109375" style="178" customWidth="1"/>
    <col min="9233" max="9233" width="11" style="178" customWidth="1"/>
    <col min="9234" max="9234" width="9.77734375" style="178" customWidth="1"/>
    <col min="9235" max="9241" width="0" style="178" hidden="1" customWidth="1"/>
    <col min="9242" max="9242" width="29" style="178" customWidth="1"/>
    <col min="9243" max="9243" width="27.44140625" style="178" customWidth="1"/>
    <col min="9244" max="9244" width="15.6640625" style="178" customWidth="1"/>
    <col min="9245" max="9245" width="13.33203125" style="178" customWidth="1"/>
    <col min="9246" max="9246" width="18.77734375" style="178" customWidth="1"/>
    <col min="9247" max="9247" width="27.6640625" style="178" customWidth="1"/>
    <col min="9248" max="9470" width="9.6640625" style="178"/>
    <col min="9471" max="9472" width="0" style="178" hidden="1" customWidth="1"/>
    <col min="9473" max="9473" width="2.109375" style="178" customWidth="1"/>
    <col min="9474" max="9474" width="55" style="178" customWidth="1"/>
    <col min="9475" max="9475" width="0" style="178" hidden="1" customWidth="1"/>
    <col min="9476" max="9476" width="9.77734375" style="178" customWidth="1"/>
    <col min="9477" max="9477" width="10.33203125" style="178" customWidth="1"/>
    <col min="9478" max="9478" width="11.109375" style="178" customWidth="1"/>
    <col min="9479" max="9479" width="0" style="178" hidden="1" customWidth="1"/>
    <col min="9480" max="9480" width="18.44140625" style="178" customWidth="1"/>
    <col min="9481" max="9483" width="0" style="178" hidden="1" customWidth="1"/>
    <col min="9484" max="9484" width="18" style="178" customWidth="1"/>
    <col min="9485" max="9485" width="0" style="178" hidden="1" customWidth="1"/>
    <col min="9486" max="9486" width="13.77734375" style="178" customWidth="1"/>
    <col min="9487" max="9487" width="10.6640625" style="178" customWidth="1"/>
    <col min="9488" max="9488" width="11.109375" style="178" customWidth="1"/>
    <col min="9489" max="9489" width="11" style="178" customWidth="1"/>
    <col min="9490" max="9490" width="9.77734375" style="178" customWidth="1"/>
    <col min="9491" max="9497" width="0" style="178" hidden="1" customWidth="1"/>
    <col min="9498" max="9498" width="29" style="178" customWidth="1"/>
    <col min="9499" max="9499" width="27.44140625" style="178" customWidth="1"/>
    <col min="9500" max="9500" width="15.6640625" style="178" customWidth="1"/>
    <col min="9501" max="9501" width="13.33203125" style="178" customWidth="1"/>
    <col min="9502" max="9502" width="18.77734375" style="178" customWidth="1"/>
    <col min="9503" max="9503" width="27.6640625" style="178" customWidth="1"/>
    <col min="9504" max="9726" width="9.6640625" style="178"/>
    <col min="9727" max="9728" width="0" style="178" hidden="1" customWidth="1"/>
    <col min="9729" max="9729" width="2.109375" style="178" customWidth="1"/>
    <col min="9730" max="9730" width="55" style="178" customWidth="1"/>
    <col min="9731" max="9731" width="0" style="178" hidden="1" customWidth="1"/>
    <col min="9732" max="9732" width="9.77734375" style="178" customWidth="1"/>
    <col min="9733" max="9733" width="10.33203125" style="178" customWidth="1"/>
    <col min="9734" max="9734" width="11.109375" style="178" customWidth="1"/>
    <col min="9735" max="9735" width="0" style="178" hidden="1" customWidth="1"/>
    <col min="9736" max="9736" width="18.44140625" style="178" customWidth="1"/>
    <col min="9737" max="9739" width="0" style="178" hidden="1" customWidth="1"/>
    <col min="9740" max="9740" width="18" style="178" customWidth="1"/>
    <col min="9741" max="9741" width="0" style="178" hidden="1" customWidth="1"/>
    <col min="9742" max="9742" width="13.77734375" style="178" customWidth="1"/>
    <col min="9743" max="9743" width="10.6640625" style="178" customWidth="1"/>
    <col min="9744" max="9744" width="11.109375" style="178" customWidth="1"/>
    <col min="9745" max="9745" width="11" style="178" customWidth="1"/>
    <col min="9746" max="9746" width="9.77734375" style="178" customWidth="1"/>
    <col min="9747" max="9753" width="0" style="178" hidden="1" customWidth="1"/>
    <col min="9754" max="9754" width="29" style="178" customWidth="1"/>
    <col min="9755" max="9755" width="27.44140625" style="178" customWidth="1"/>
    <col min="9756" max="9756" width="15.6640625" style="178" customWidth="1"/>
    <col min="9757" max="9757" width="13.33203125" style="178" customWidth="1"/>
    <col min="9758" max="9758" width="18.77734375" style="178" customWidth="1"/>
    <col min="9759" max="9759" width="27.6640625" style="178" customWidth="1"/>
    <col min="9760" max="9982" width="9.6640625" style="178"/>
    <col min="9983" max="9984" width="0" style="178" hidden="1" customWidth="1"/>
    <col min="9985" max="9985" width="2.109375" style="178" customWidth="1"/>
    <col min="9986" max="9986" width="55" style="178" customWidth="1"/>
    <col min="9987" max="9987" width="0" style="178" hidden="1" customWidth="1"/>
    <col min="9988" max="9988" width="9.77734375" style="178" customWidth="1"/>
    <col min="9989" max="9989" width="10.33203125" style="178" customWidth="1"/>
    <col min="9990" max="9990" width="11.109375" style="178" customWidth="1"/>
    <col min="9991" max="9991" width="0" style="178" hidden="1" customWidth="1"/>
    <col min="9992" max="9992" width="18.44140625" style="178" customWidth="1"/>
    <col min="9993" max="9995" width="0" style="178" hidden="1" customWidth="1"/>
    <col min="9996" max="9996" width="18" style="178" customWidth="1"/>
    <col min="9997" max="9997" width="0" style="178" hidden="1" customWidth="1"/>
    <col min="9998" max="9998" width="13.77734375" style="178" customWidth="1"/>
    <col min="9999" max="9999" width="10.6640625" style="178" customWidth="1"/>
    <col min="10000" max="10000" width="11.109375" style="178" customWidth="1"/>
    <col min="10001" max="10001" width="11" style="178" customWidth="1"/>
    <col min="10002" max="10002" width="9.77734375" style="178" customWidth="1"/>
    <col min="10003" max="10009" width="0" style="178" hidden="1" customWidth="1"/>
    <col min="10010" max="10010" width="29" style="178" customWidth="1"/>
    <col min="10011" max="10011" width="27.44140625" style="178" customWidth="1"/>
    <col min="10012" max="10012" width="15.6640625" style="178" customWidth="1"/>
    <col min="10013" max="10013" width="13.33203125" style="178" customWidth="1"/>
    <col min="10014" max="10014" width="18.77734375" style="178" customWidth="1"/>
    <col min="10015" max="10015" width="27.6640625" style="178" customWidth="1"/>
    <col min="10016" max="10238" width="9.6640625" style="178"/>
    <col min="10239" max="10240" width="0" style="178" hidden="1" customWidth="1"/>
    <col min="10241" max="10241" width="2.109375" style="178" customWidth="1"/>
    <col min="10242" max="10242" width="55" style="178" customWidth="1"/>
    <col min="10243" max="10243" width="0" style="178" hidden="1" customWidth="1"/>
    <col min="10244" max="10244" width="9.77734375" style="178" customWidth="1"/>
    <col min="10245" max="10245" width="10.33203125" style="178" customWidth="1"/>
    <col min="10246" max="10246" width="11.109375" style="178" customWidth="1"/>
    <col min="10247" max="10247" width="0" style="178" hidden="1" customWidth="1"/>
    <col min="10248" max="10248" width="18.44140625" style="178" customWidth="1"/>
    <col min="10249" max="10251" width="0" style="178" hidden="1" customWidth="1"/>
    <col min="10252" max="10252" width="18" style="178" customWidth="1"/>
    <col min="10253" max="10253" width="0" style="178" hidden="1" customWidth="1"/>
    <col min="10254" max="10254" width="13.77734375" style="178" customWidth="1"/>
    <col min="10255" max="10255" width="10.6640625" style="178" customWidth="1"/>
    <col min="10256" max="10256" width="11.109375" style="178" customWidth="1"/>
    <col min="10257" max="10257" width="11" style="178" customWidth="1"/>
    <col min="10258" max="10258" width="9.77734375" style="178" customWidth="1"/>
    <col min="10259" max="10265" width="0" style="178" hidden="1" customWidth="1"/>
    <col min="10266" max="10266" width="29" style="178" customWidth="1"/>
    <col min="10267" max="10267" width="27.44140625" style="178" customWidth="1"/>
    <col min="10268" max="10268" width="15.6640625" style="178" customWidth="1"/>
    <col min="10269" max="10269" width="13.33203125" style="178" customWidth="1"/>
    <col min="10270" max="10270" width="18.77734375" style="178" customWidth="1"/>
    <col min="10271" max="10271" width="27.6640625" style="178" customWidth="1"/>
    <col min="10272" max="10494" width="9.6640625" style="178"/>
    <col min="10495" max="10496" width="0" style="178" hidden="1" customWidth="1"/>
    <col min="10497" max="10497" width="2.109375" style="178" customWidth="1"/>
    <col min="10498" max="10498" width="55" style="178" customWidth="1"/>
    <col min="10499" max="10499" width="0" style="178" hidden="1" customWidth="1"/>
    <col min="10500" max="10500" width="9.77734375" style="178" customWidth="1"/>
    <col min="10501" max="10501" width="10.33203125" style="178" customWidth="1"/>
    <col min="10502" max="10502" width="11.109375" style="178" customWidth="1"/>
    <col min="10503" max="10503" width="0" style="178" hidden="1" customWidth="1"/>
    <col min="10504" max="10504" width="18.44140625" style="178" customWidth="1"/>
    <col min="10505" max="10507" width="0" style="178" hidden="1" customWidth="1"/>
    <col min="10508" max="10508" width="18" style="178" customWidth="1"/>
    <col min="10509" max="10509" width="0" style="178" hidden="1" customWidth="1"/>
    <col min="10510" max="10510" width="13.77734375" style="178" customWidth="1"/>
    <col min="10511" max="10511" width="10.6640625" style="178" customWidth="1"/>
    <col min="10512" max="10512" width="11.109375" style="178" customWidth="1"/>
    <col min="10513" max="10513" width="11" style="178" customWidth="1"/>
    <col min="10514" max="10514" width="9.77734375" style="178" customWidth="1"/>
    <col min="10515" max="10521" width="0" style="178" hidden="1" customWidth="1"/>
    <col min="10522" max="10522" width="29" style="178" customWidth="1"/>
    <col min="10523" max="10523" width="27.44140625" style="178" customWidth="1"/>
    <col min="10524" max="10524" width="15.6640625" style="178" customWidth="1"/>
    <col min="10525" max="10525" width="13.33203125" style="178" customWidth="1"/>
    <col min="10526" max="10526" width="18.77734375" style="178" customWidth="1"/>
    <col min="10527" max="10527" width="27.6640625" style="178" customWidth="1"/>
    <col min="10528" max="10750" width="9.6640625" style="178"/>
    <col min="10751" max="10752" width="0" style="178" hidden="1" customWidth="1"/>
    <col min="10753" max="10753" width="2.109375" style="178" customWidth="1"/>
    <col min="10754" max="10754" width="55" style="178" customWidth="1"/>
    <col min="10755" max="10755" width="0" style="178" hidden="1" customWidth="1"/>
    <col min="10756" max="10756" width="9.77734375" style="178" customWidth="1"/>
    <col min="10757" max="10757" width="10.33203125" style="178" customWidth="1"/>
    <col min="10758" max="10758" width="11.109375" style="178" customWidth="1"/>
    <col min="10759" max="10759" width="0" style="178" hidden="1" customWidth="1"/>
    <col min="10760" max="10760" width="18.44140625" style="178" customWidth="1"/>
    <col min="10761" max="10763" width="0" style="178" hidden="1" customWidth="1"/>
    <col min="10764" max="10764" width="18" style="178" customWidth="1"/>
    <col min="10765" max="10765" width="0" style="178" hidden="1" customWidth="1"/>
    <col min="10766" max="10766" width="13.77734375" style="178" customWidth="1"/>
    <col min="10767" max="10767" width="10.6640625" style="178" customWidth="1"/>
    <col min="10768" max="10768" width="11.109375" style="178" customWidth="1"/>
    <col min="10769" max="10769" width="11" style="178" customWidth="1"/>
    <col min="10770" max="10770" width="9.77734375" style="178" customWidth="1"/>
    <col min="10771" max="10777" width="0" style="178" hidden="1" customWidth="1"/>
    <col min="10778" max="10778" width="29" style="178" customWidth="1"/>
    <col min="10779" max="10779" width="27.44140625" style="178" customWidth="1"/>
    <col min="10780" max="10780" width="15.6640625" style="178" customWidth="1"/>
    <col min="10781" max="10781" width="13.33203125" style="178" customWidth="1"/>
    <col min="10782" max="10782" width="18.77734375" style="178" customWidth="1"/>
    <col min="10783" max="10783" width="27.6640625" style="178" customWidth="1"/>
    <col min="10784" max="11006" width="9.6640625" style="178"/>
    <col min="11007" max="11008" width="0" style="178" hidden="1" customWidth="1"/>
    <col min="11009" max="11009" width="2.109375" style="178" customWidth="1"/>
    <col min="11010" max="11010" width="55" style="178" customWidth="1"/>
    <col min="11011" max="11011" width="0" style="178" hidden="1" customWidth="1"/>
    <col min="11012" max="11012" width="9.77734375" style="178" customWidth="1"/>
    <col min="11013" max="11013" width="10.33203125" style="178" customWidth="1"/>
    <col min="11014" max="11014" width="11.109375" style="178" customWidth="1"/>
    <col min="11015" max="11015" width="0" style="178" hidden="1" customWidth="1"/>
    <col min="11016" max="11016" width="18.44140625" style="178" customWidth="1"/>
    <col min="11017" max="11019" width="0" style="178" hidden="1" customWidth="1"/>
    <col min="11020" max="11020" width="18" style="178" customWidth="1"/>
    <col min="11021" max="11021" width="0" style="178" hidden="1" customWidth="1"/>
    <col min="11022" max="11022" width="13.77734375" style="178" customWidth="1"/>
    <col min="11023" max="11023" width="10.6640625" style="178" customWidth="1"/>
    <col min="11024" max="11024" width="11.109375" style="178" customWidth="1"/>
    <col min="11025" max="11025" width="11" style="178" customWidth="1"/>
    <col min="11026" max="11026" width="9.77734375" style="178" customWidth="1"/>
    <col min="11027" max="11033" width="0" style="178" hidden="1" customWidth="1"/>
    <col min="11034" max="11034" width="29" style="178" customWidth="1"/>
    <col min="11035" max="11035" width="27.44140625" style="178" customWidth="1"/>
    <col min="11036" max="11036" width="15.6640625" style="178" customWidth="1"/>
    <col min="11037" max="11037" width="13.33203125" style="178" customWidth="1"/>
    <col min="11038" max="11038" width="18.77734375" style="178" customWidth="1"/>
    <col min="11039" max="11039" width="27.6640625" style="178" customWidth="1"/>
    <col min="11040" max="11262" width="9.6640625" style="178"/>
    <col min="11263" max="11264" width="0" style="178" hidden="1" customWidth="1"/>
    <col min="11265" max="11265" width="2.109375" style="178" customWidth="1"/>
    <col min="11266" max="11266" width="55" style="178" customWidth="1"/>
    <col min="11267" max="11267" width="0" style="178" hidden="1" customWidth="1"/>
    <col min="11268" max="11268" width="9.77734375" style="178" customWidth="1"/>
    <col min="11269" max="11269" width="10.33203125" style="178" customWidth="1"/>
    <col min="11270" max="11270" width="11.109375" style="178" customWidth="1"/>
    <col min="11271" max="11271" width="0" style="178" hidden="1" customWidth="1"/>
    <col min="11272" max="11272" width="18.44140625" style="178" customWidth="1"/>
    <col min="11273" max="11275" width="0" style="178" hidden="1" customWidth="1"/>
    <col min="11276" max="11276" width="18" style="178" customWidth="1"/>
    <col min="11277" max="11277" width="0" style="178" hidden="1" customWidth="1"/>
    <col min="11278" max="11278" width="13.77734375" style="178" customWidth="1"/>
    <col min="11279" max="11279" width="10.6640625" style="178" customWidth="1"/>
    <col min="11280" max="11280" width="11.109375" style="178" customWidth="1"/>
    <col min="11281" max="11281" width="11" style="178" customWidth="1"/>
    <col min="11282" max="11282" width="9.77734375" style="178" customWidth="1"/>
    <col min="11283" max="11289" width="0" style="178" hidden="1" customWidth="1"/>
    <col min="11290" max="11290" width="29" style="178" customWidth="1"/>
    <col min="11291" max="11291" width="27.44140625" style="178" customWidth="1"/>
    <col min="11292" max="11292" width="15.6640625" style="178" customWidth="1"/>
    <col min="11293" max="11293" width="13.33203125" style="178" customWidth="1"/>
    <col min="11294" max="11294" width="18.77734375" style="178" customWidth="1"/>
    <col min="11295" max="11295" width="27.6640625" style="178" customWidth="1"/>
    <col min="11296" max="11518" width="9.6640625" style="178"/>
    <col min="11519" max="11520" width="0" style="178" hidden="1" customWidth="1"/>
    <col min="11521" max="11521" width="2.109375" style="178" customWidth="1"/>
    <col min="11522" max="11522" width="55" style="178" customWidth="1"/>
    <col min="11523" max="11523" width="0" style="178" hidden="1" customWidth="1"/>
    <col min="11524" max="11524" width="9.77734375" style="178" customWidth="1"/>
    <col min="11525" max="11525" width="10.33203125" style="178" customWidth="1"/>
    <col min="11526" max="11526" width="11.109375" style="178" customWidth="1"/>
    <col min="11527" max="11527" width="0" style="178" hidden="1" customWidth="1"/>
    <col min="11528" max="11528" width="18.44140625" style="178" customWidth="1"/>
    <col min="11529" max="11531" width="0" style="178" hidden="1" customWidth="1"/>
    <col min="11532" max="11532" width="18" style="178" customWidth="1"/>
    <col min="11533" max="11533" width="0" style="178" hidden="1" customWidth="1"/>
    <col min="11534" max="11534" width="13.77734375" style="178" customWidth="1"/>
    <col min="11535" max="11535" width="10.6640625" style="178" customWidth="1"/>
    <col min="11536" max="11536" width="11.109375" style="178" customWidth="1"/>
    <col min="11537" max="11537" width="11" style="178" customWidth="1"/>
    <col min="11538" max="11538" width="9.77734375" style="178" customWidth="1"/>
    <col min="11539" max="11545" width="0" style="178" hidden="1" customWidth="1"/>
    <col min="11546" max="11546" width="29" style="178" customWidth="1"/>
    <col min="11547" max="11547" width="27.44140625" style="178" customWidth="1"/>
    <col min="11548" max="11548" width="15.6640625" style="178" customWidth="1"/>
    <col min="11549" max="11549" width="13.33203125" style="178" customWidth="1"/>
    <col min="11550" max="11550" width="18.77734375" style="178" customWidth="1"/>
    <col min="11551" max="11551" width="27.6640625" style="178" customWidth="1"/>
    <col min="11552" max="11774" width="9.6640625" style="178"/>
    <col min="11775" max="11776" width="0" style="178" hidden="1" customWidth="1"/>
    <col min="11777" max="11777" width="2.109375" style="178" customWidth="1"/>
    <col min="11778" max="11778" width="55" style="178" customWidth="1"/>
    <col min="11779" max="11779" width="0" style="178" hidden="1" customWidth="1"/>
    <col min="11780" max="11780" width="9.77734375" style="178" customWidth="1"/>
    <col min="11781" max="11781" width="10.33203125" style="178" customWidth="1"/>
    <col min="11782" max="11782" width="11.109375" style="178" customWidth="1"/>
    <col min="11783" max="11783" width="0" style="178" hidden="1" customWidth="1"/>
    <col min="11784" max="11784" width="18.44140625" style="178" customWidth="1"/>
    <col min="11785" max="11787" width="0" style="178" hidden="1" customWidth="1"/>
    <col min="11788" max="11788" width="18" style="178" customWidth="1"/>
    <col min="11789" max="11789" width="0" style="178" hidden="1" customWidth="1"/>
    <col min="11790" max="11790" width="13.77734375" style="178" customWidth="1"/>
    <col min="11791" max="11791" width="10.6640625" style="178" customWidth="1"/>
    <col min="11792" max="11792" width="11.109375" style="178" customWidth="1"/>
    <col min="11793" max="11793" width="11" style="178" customWidth="1"/>
    <col min="11794" max="11794" width="9.77734375" style="178" customWidth="1"/>
    <col min="11795" max="11801" width="0" style="178" hidden="1" customWidth="1"/>
    <col min="11802" max="11802" width="29" style="178" customWidth="1"/>
    <col min="11803" max="11803" width="27.44140625" style="178" customWidth="1"/>
    <col min="11804" max="11804" width="15.6640625" style="178" customWidth="1"/>
    <col min="11805" max="11805" width="13.33203125" style="178" customWidth="1"/>
    <col min="11806" max="11806" width="18.77734375" style="178" customWidth="1"/>
    <col min="11807" max="11807" width="27.6640625" style="178" customWidth="1"/>
    <col min="11808" max="12030" width="9.6640625" style="178"/>
    <col min="12031" max="12032" width="0" style="178" hidden="1" customWidth="1"/>
    <col min="12033" max="12033" width="2.109375" style="178" customWidth="1"/>
    <col min="12034" max="12034" width="55" style="178" customWidth="1"/>
    <col min="12035" max="12035" width="0" style="178" hidden="1" customWidth="1"/>
    <col min="12036" max="12036" width="9.77734375" style="178" customWidth="1"/>
    <col min="12037" max="12037" width="10.33203125" style="178" customWidth="1"/>
    <col min="12038" max="12038" width="11.109375" style="178" customWidth="1"/>
    <col min="12039" max="12039" width="0" style="178" hidden="1" customWidth="1"/>
    <col min="12040" max="12040" width="18.44140625" style="178" customWidth="1"/>
    <col min="12041" max="12043" width="0" style="178" hidden="1" customWidth="1"/>
    <col min="12044" max="12044" width="18" style="178" customWidth="1"/>
    <col min="12045" max="12045" width="0" style="178" hidden="1" customWidth="1"/>
    <col min="12046" max="12046" width="13.77734375" style="178" customWidth="1"/>
    <col min="12047" max="12047" width="10.6640625" style="178" customWidth="1"/>
    <col min="12048" max="12048" width="11.109375" style="178" customWidth="1"/>
    <col min="12049" max="12049" width="11" style="178" customWidth="1"/>
    <col min="12050" max="12050" width="9.77734375" style="178" customWidth="1"/>
    <col min="12051" max="12057" width="0" style="178" hidden="1" customWidth="1"/>
    <col min="12058" max="12058" width="29" style="178" customWidth="1"/>
    <col min="12059" max="12059" width="27.44140625" style="178" customWidth="1"/>
    <col min="12060" max="12060" width="15.6640625" style="178" customWidth="1"/>
    <col min="12061" max="12061" width="13.33203125" style="178" customWidth="1"/>
    <col min="12062" max="12062" width="18.77734375" style="178" customWidth="1"/>
    <col min="12063" max="12063" width="27.6640625" style="178" customWidth="1"/>
    <col min="12064" max="12286" width="9.6640625" style="178"/>
    <col min="12287" max="12288" width="0" style="178" hidden="1" customWidth="1"/>
    <col min="12289" max="12289" width="2.109375" style="178" customWidth="1"/>
    <col min="12290" max="12290" width="55" style="178" customWidth="1"/>
    <col min="12291" max="12291" width="0" style="178" hidden="1" customWidth="1"/>
    <col min="12292" max="12292" width="9.77734375" style="178" customWidth="1"/>
    <col min="12293" max="12293" width="10.33203125" style="178" customWidth="1"/>
    <col min="12294" max="12294" width="11.109375" style="178" customWidth="1"/>
    <col min="12295" max="12295" width="0" style="178" hidden="1" customWidth="1"/>
    <col min="12296" max="12296" width="18.44140625" style="178" customWidth="1"/>
    <col min="12297" max="12299" width="0" style="178" hidden="1" customWidth="1"/>
    <col min="12300" max="12300" width="18" style="178" customWidth="1"/>
    <col min="12301" max="12301" width="0" style="178" hidden="1" customWidth="1"/>
    <col min="12302" max="12302" width="13.77734375" style="178" customWidth="1"/>
    <col min="12303" max="12303" width="10.6640625" style="178" customWidth="1"/>
    <col min="12304" max="12304" width="11.109375" style="178" customWidth="1"/>
    <col min="12305" max="12305" width="11" style="178" customWidth="1"/>
    <col min="12306" max="12306" width="9.77734375" style="178" customWidth="1"/>
    <col min="12307" max="12313" width="0" style="178" hidden="1" customWidth="1"/>
    <col min="12314" max="12314" width="29" style="178" customWidth="1"/>
    <col min="12315" max="12315" width="27.44140625" style="178" customWidth="1"/>
    <col min="12316" max="12316" width="15.6640625" style="178" customWidth="1"/>
    <col min="12317" max="12317" width="13.33203125" style="178" customWidth="1"/>
    <col min="12318" max="12318" width="18.77734375" style="178" customWidth="1"/>
    <col min="12319" max="12319" width="27.6640625" style="178" customWidth="1"/>
    <col min="12320" max="12542" width="9.6640625" style="178"/>
    <col min="12543" max="12544" width="0" style="178" hidden="1" customWidth="1"/>
    <col min="12545" max="12545" width="2.109375" style="178" customWidth="1"/>
    <col min="12546" max="12546" width="55" style="178" customWidth="1"/>
    <col min="12547" max="12547" width="0" style="178" hidden="1" customWidth="1"/>
    <col min="12548" max="12548" width="9.77734375" style="178" customWidth="1"/>
    <col min="12549" max="12549" width="10.33203125" style="178" customWidth="1"/>
    <col min="12550" max="12550" width="11.109375" style="178" customWidth="1"/>
    <col min="12551" max="12551" width="0" style="178" hidden="1" customWidth="1"/>
    <col min="12552" max="12552" width="18.44140625" style="178" customWidth="1"/>
    <col min="12553" max="12555" width="0" style="178" hidden="1" customWidth="1"/>
    <col min="12556" max="12556" width="18" style="178" customWidth="1"/>
    <col min="12557" max="12557" width="0" style="178" hidden="1" customWidth="1"/>
    <col min="12558" max="12558" width="13.77734375" style="178" customWidth="1"/>
    <col min="12559" max="12559" width="10.6640625" style="178" customWidth="1"/>
    <col min="12560" max="12560" width="11.109375" style="178" customWidth="1"/>
    <col min="12561" max="12561" width="11" style="178" customWidth="1"/>
    <col min="12562" max="12562" width="9.77734375" style="178" customWidth="1"/>
    <col min="12563" max="12569" width="0" style="178" hidden="1" customWidth="1"/>
    <col min="12570" max="12570" width="29" style="178" customWidth="1"/>
    <col min="12571" max="12571" width="27.44140625" style="178" customWidth="1"/>
    <col min="12572" max="12572" width="15.6640625" style="178" customWidth="1"/>
    <col min="12573" max="12573" width="13.33203125" style="178" customWidth="1"/>
    <col min="12574" max="12574" width="18.77734375" style="178" customWidth="1"/>
    <col min="12575" max="12575" width="27.6640625" style="178" customWidth="1"/>
    <col min="12576" max="12798" width="9.6640625" style="178"/>
    <col min="12799" max="12800" width="0" style="178" hidden="1" customWidth="1"/>
    <col min="12801" max="12801" width="2.109375" style="178" customWidth="1"/>
    <col min="12802" max="12802" width="55" style="178" customWidth="1"/>
    <col min="12803" max="12803" width="0" style="178" hidden="1" customWidth="1"/>
    <col min="12804" max="12804" width="9.77734375" style="178" customWidth="1"/>
    <col min="12805" max="12805" width="10.33203125" style="178" customWidth="1"/>
    <col min="12806" max="12806" width="11.109375" style="178" customWidth="1"/>
    <col min="12807" max="12807" width="0" style="178" hidden="1" customWidth="1"/>
    <col min="12808" max="12808" width="18.44140625" style="178" customWidth="1"/>
    <col min="12809" max="12811" width="0" style="178" hidden="1" customWidth="1"/>
    <col min="12812" max="12812" width="18" style="178" customWidth="1"/>
    <col min="12813" max="12813" width="0" style="178" hidden="1" customWidth="1"/>
    <col min="12814" max="12814" width="13.77734375" style="178" customWidth="1"/>
    <col min="12815" max="12815" width="10.6640625" style="178" customWidth="1"/>
    <col min="12816" max="12816" width="11.109375" style="178" customWidth="1"/>
    <col min="12817" max="12817" width="11" style="178" customWidth="1"/>
    <col min="12818" max="12818" width="9.77734375" style="178" customWidth="1"/>
    <col min="12819" max="12825" width="0" style="178" hidden="1" customWidth="1"/>
    <col min="12826" max="12826" width="29" style="178" customWidth="1"/>
    <col min="12827" max="12827" width="27.44140625" style="178" customWidth="1"/>
    <col min="12828" max="12828" width="15.6640625" style="178" customWidth="1"/>
    <col min="12829" max="12829" width="13.33203125" style="178" customWidth="1"/>
    <col min="12830" max="12830" width="18.77734375" style="178" customWidth="1"/>
    <col min="12831" max="12831" width="27.6640625" style="178" customWidth="1"/>
    <col min="12832" max="13054" width="9.6640625" style="178"/>
    <col min="13055" max="13056" width="0" style="178" hidden="1" customWidth="1"/>
    <col min="13057" max="13057" width="2.109375" style="178" customWidth="1"/>
    <col min="13058" max="13058" width="55" style="178" customWidth="1"/>
    <col min="13059" max="13059" width="0" style="178" hidden="1" customWidth="1"/>
    <col min="13060" max="13060" width="9.77734375" style="178" customWidth="1"/>
    <col min="13061" max="13061" width="10.33203125" style="178" customWidth="1"/>
    <col min="13062" max="13062" width="11.109375" style="178" customWidth="1"/>
    <col min="13063" max="13063" width="0" style="178" hidden="1" customWidth="1"/>
    <col min="13064" max="13064" width="18.44140625" style="178" customWidth="1"/>
    <col min="13065" max="13067" width="0" style="178" hidden="1" customWidth="1"/>
    <col min="13068" max="13068" width="18" style="178" customWidth="1"/>
    <col min="13069" max="13069" width="0" style="178" hidden="1" customWidth="1"/>
    <col min="13070" max="13070" width="13.77734375" style="178" customWidth="1"/>
    <col min="13071" max="13071" width="10.6640625" style="178" customWidth="1"/>
    <col min="13072" max="13072" width="11.109375" style="178" customWidth="1"/>
    <col min="13073" max="13073" width="11" style="178" customWidth="1"/>
    <col min="13074" max="13074" width="9.77734375" style="178" customWidth="1"/>
    <col min="13075" max="13081" width="0" style="178" hidden="1" customWidth="1"/>
    <col min="13082" max="13082" width="29" style="178" customWidth="1"/>
    <col min="13083" max="13083" width="27.44140625" style="178" customWidth="1"/>
    <col min="13084" max="13084" width="15.6640625" style="178" customWidth="1"/>
    <col min="13085" max="13085" width="13.33203125" style="178" customWidth="1"/>
    <col min="13086" max="13086" width="18.77734375" style="178" customWidth="1"/>
    <col min="13087" max="13087" width="27.6640625" style="178" customWidth="1"/>
    <col min="13088" max="13310" width="9.6640625" style="178"/>
    <col min="13311" max="13312" width="0" style="178" hidden="1" customWidth="1"/>
    <col min="13313" max="13313" width="2.109375" style="178" customWidth="1"/>
    <col min="13314" max="13314" width="55" style="178" customWidth="1"/>
    <col min="13315" max="13315" width="0" style="178" hidden="1" customWidth="1"/>
    <col min="13316" max="13316" width="9.77734375" style="178" customWidth="1"/>
    <col min="13317" max="13317" width="10.33203125" style="178" customWidth="1"/>
    <col min="13318" max="13318" width="11.109375" style="178" customWidth="1"/>
    <col min="13319" max="13319" width="0" style="178" hidden="1" customWidth="1"/>
    <col min="13320" max="13320" width="18.44140625" style="178" customWidth="1"/>
    <col min="13321" max="13323" width="0" style="178" hidden="1" customWidth="1"/>
    <col min="13324" max="13324" width="18" style="178" customWidth="1"/>
    <col min="13325" max="13325" width="0" style="178" hidden="1" customWidth="1"/>
    <col min="13326" max="13326" width="13.77734375" style="178" customWidth="1"/>
    <col min="13327" max="13327" width="10.6640625" style="178" customWidth="1"/>
    <col min="13328" max="13328" width="11.109375" style="178" customWidth="1"/>
    <col min="13329" max="13329" width="11" style="178" customWidth="1"/>
    <col min="13330" max="13330" width="9.77734375" style="178" customWidth="1"/>
    <col min="13331" max="13337" width="0" style="178" hidden="1" customWidth="1"/>
    <col min="13338" max="13338" width="29" style="178" customWidth="1"/>
    <col min="13339" max="13339" width="27.44140625" style="178" customWidth="1"/>
    <col min="13340" max="13340" width="15.6640625" style="178" customWidth="1"/>
    <col min="13341" max="13341" width="13.33203125" style="178" customWidth="1"/>
    <col min="13342" max="13342" width="18.77734375" style="178" customWidth="1"/>
    <col min="13343" max="13343" width="27.6640625" style="178" customWidth="1"/>
    <col min="13344" max="13566" width="9.6640625" style="178"/>
    <col min="13567" max="13568" width="0" style="178" hidden="1" customWidth="1"/>
    <col min="13569" max="13569" width="2.109375" style="178" customWidth="1"/>
    <col min="13570" max="13570" width="55" style="178" customWidth="1"/>
    <col min="13571" max="13571" width="0" style="178" hidden="1" customWidth="1"/>
    <col min="13572" max="13572" width="9.77734375" style="178" customWidth="1"/>
    <col min="13573" max="13573" width="10.33203125" style="178" customWidth="1"/>
    <col min="13574" max="13574" width="11.109375" style="178" customWidth="1"/>
    <col min="13575" max="13575" width="0" style="178" hidden="1" customWidth="1"/>
    <col min="13576" max="13576" width="18.44140625" style="178" customWidth="1"/>
    <col min="13577" max="13579" width="0" style="178" hidden="1" customWidth="1"/>
    <col min="13580" max="13580" width="18" style="178" customWidth="1"/>
    <col min="13581" max="13581" width="0" style="178" hidden="1" customWidth="1"/>
    <col min="13582" max="13582" width="13.77734375" style="178" customWidth="1"/>
    <col min="13583" max="13583" width="10.6640625" style="178" customWidth="1"/>
    <col min="13584" max="13584" width="11.109375" style="178" customWidth="1"/>
    <col min="13585" max="13585" width="11" style="178" customWidth="1"/>
    <col min="13586" max="13586" width="9.77734375" style="178" customWidth="1"/>
    <col min="13587" max="13593" width="0" style="178" hidden="1" customWidth="1"/>
    <col min="13594" max="13594" width="29" style="178" customWidth="1"/>
    <col min="13595" max="13595" width="27.44140625" style="178" customWidth="1"/>
    <col min="13596" max="13596" width="15.6640625" style="178" customWidth="1"/>
    <col min="13597" max="13597" width="13.33203125" style="178" customWidth="1"/>
    <col min="13598" max="13598" width="18.77734375" style="178" customWidth="1"/>
    <col min="13599" max="13599" width="27.6640625" style="178" customWidth="1"/>
    <col min="13600" max="13822" width="9.6640625" style="178"/>
    <col min="13823" max="13824" width="0" style="178" hidden="1" customWidth="1"/>
    <col min="13825" max="13825" width="2.109375" style="178" customWidth="1"/>
    <col min="13826" max="13826" width="55" style="178" customWidth="1"/>
    <col min="13827" max="13827" width="0" style="178" hidden="1" customWidth="1"/>
    <col min="13828" max="13828" width="9.77734375" style="178" customWidth="1"/>
    <col min="13829" max="13829" width="10.33203125" style="178" customWidth="1"/>
    <col min="13830" max="13830" width="11.109375" style="178" customWidth="1"/>
    <col min="13831" max="13831" width="0" style="178" hidden="1" customWidth="1"/>
    <col min="13832" max="13832" width="18.44140625" style="178" customWidth="1"/>
    <col min="13833" max="13835" width="0" style="178" hidden="1" customWidth="1"/>
    <col min="13836" max="13836" width="18" style="178" customWidth="1"/>
    <col min="13837" max="13837" width="0" style="178" hidden="1" customWidth="1"/>
    <col min="13838" max="13838" width="13.77734375" style="178" customWidth="1"/>
    <col min="13839" max="13839" width="10.6640625" style="178" customWidth="1"/>
    <col min="13840" max="13840" width="11.109375" style="178" customWidth="1"/>
    <col min="13841" max="13841" width="11" style="178" customWidth="1"/>
    <col min="13842" max="13842" width="9.77734375" style="178" customWidth="1"/>
    <col min="13843" max="13849" width="0" style="178" hidden="1" customWidth="1"/>
    <col min="13850" max="13850" width="29" style="178" customWidth="1"/>
    <col min="13851" max="13851" width="27.44140625" style="178" customWidth="1"/>
    <col min="13852" max="13852" width="15.6640625" style="178" customWidth="1"/>
    <col min="13853" max="13853" width="13.33203125" style="178" customWidth="1"/>
    <col min="13854" max="13854" width="18.77734375" style="178" customWidth="1"/>
    <col min="13855" max="13855" width="27.6640625" style="178" customWidth="1"/>
    <col min="13856" max="14078" width="9.6640625" style="178"/>
    <col min="14079" max="14080" width="0" style="178" hidden="1" customWidth="1"/>
    <col min="14081" max="14081" width="2.109375" style="178" customWidth="1"/>
    <col min="14082" max="14082" width="55" style="178" customWidth="1"/>
    <col min="14083" max="14083" width="0" style="178" hidden="1" customWidth="1"/>
    <col min="14084" max="14084" width="9.77734375" style="178" customWidth="1"/>
    <col min="14085" max="14085" width="10.33203125" style="178" customWidth="1"/>
    <col min="14086" max="14086" width="11.109375" style="178" customWidth="1"/>
    <col min="14087" max="14087" width="0" style="178" hidden="1" customWidth="1"/>
    <col min="14088" max="14088" width="18.44140625" style="178" customWidth="1"/>
    <col min="14089" max="14091" width="0" style="178" hidden="1" customWidth="1"/>
    <col min="14092" max="14092" width="18" style="178" customWidth="1"/>
    <col min="14093" max="14093" width="0" style="178" hidden="1" customWidth="1"/>
    <col min="14094" max="14094" width="13.77734375" style="178" customWidth="1"/>
    <col min="14095" max="14095" width="10.6640625" style="178" customWidth="1"/>
    <col min="14096" max="14096" width="11.109375" style="178" customWidth="1"/>
    <col min="14097" max="14097" width="11" style="178" customWidth="1"/>
    <col min="14098" max="14098" width="9.77734375" style="178" customWidth="1"/>
    <col min="14099" max="14105" width="0" style="178" hidden="1" customWidth="1"/>
    <col min="14106" max="14106" width="29" style="178" customWidth="1"/>
    <col min="14107" max="14107" width="27.44140625" style="178" customWidth="1"/>
    <col min="14108" max="14108" width="15.6640625" style="178" customWidth="1"/>
    <col min="14109" max="14109" width="13.33203125" style="178" customWidth="1"/>
    <col min="14110" max="14110" width="18.77734375" style="178" customWidth="1"/>
    <col min="14111" max="14111" width="27.6640625" style="178" customWidth="1"/>
    <col min="14112" max="14334" width="9.6640625" style="178"/>
    <col min="14335" max="14336" width="0" style="178" hidden="1" customWidth="1"/>
    <col min="14337" max="14337" width="2.109375" style="178" customWidth="1"/>
    <col min="14338" max="14338" width="55" style="178" customWidth="1"/>
    <col min="14339" max="14339" width="0" style="178" hidden="1" customWidth="1"/>
    <col min="14340" max="14340" width="9.77734375" style="178" customWidth="1"/>
    <col min="14341" max="14341" width="10.33203125" style="178" customWidth="1"/>
    <col min="14342" max="14342" width="11.109375" style="178" customWidth="1"/>
    <col min="14343" max="14343" width="0" style="178" hidden="1" customWidth="1"/>
    <col min="14344" max="14344" width="18.44140625" style="178" customWidth="1"/>
    <col min="14345" max="14347" width="0" style="178" hidden="1" customWidth="1"/>
    <col min="14348" max="14348" width="18" style="178" customWidth="1"/>
    <col min="14349" max="14349" width="0" style="178" hidden="1" customWidth="1"/>
    <col min="14350" max="14350" width="13.77734375" style="178" customWidth="1"/>
    <col min="14351" max="14351" width="10.6640625" style="178" customWidth="1"/>
    <col min="14352" max="14352" width="11.109375" style="178" customWidth="1"/>
    <col min="14353" max="14353" width="11" style="178" customWidth="1"/>
    <col min="14354" max="14354" width="9.77734375" style="178" customWidth="1"/>
    <col min="14355" max="14361" width="0" style="178" hidden="1" customWidth="1"/>
    <col min="14362" max="14362" width="29" style="178" customWidth="1"/>
    <col min="14363" max="14363" width="27.44140625" style="178" customWidth="1"/>
    <col min="14364" max="14364" width="15.6640625" style="178" customWidth="1"/>
    <col min="14365" max="14365" width="13.33203125" style="178" customWidth="1"/>
    <col min="14366" max="14366" width="18.77734375" style="178" customWidth="1"/>
    <col min="14367" max="14367" width="27.6640625" style="178" customWidth="1"/>
    <col min="14368" max="14590" width="9.6640625" style="178"/>
    <col min="14591" max="14592" width="0" style="178" hidden="1" customWidth="1"/>
    <col min="14593" max="14593" width="2.109375" style="178" customWidth="1"/>
    <col min="14594" max="14594" width="55" style="178" customWidth="1"/>
    <col min="14595" max="14595" width="0" style="178" hidden="1" customWidth="1"/>
    <col min="14596" max="14596" width="9.77734375" style="178" customWidth="1"/>
    <col min="14597" max="14597" width="10.33203125" style="178" customWidth="1"/>
    <col min="14598" max="14598" width="11.109375" style="178" customWidth="1"/>
    <col min="14599" max="14599" width="0" style="178" hidden="1" customWidth="1"/>
    <col min="14600" max="14600" width="18.44140625" style="178" customWidth="1"/>
    <col min="14601" max="14603" width="0" style="178" hidden="1" customWidth="1"/>
    <col min="14604" max="14604" width="18" style="178" customWidth="1"/>
    <col min="14605" max="14605" width="0" style="178" hidden="1" customWidth="1"/>
    <col min="14606" max="14606" width="13.77734375" style="178" customWidth="1"/>
    <col min="14607" max="14607" width="10.6640625" style="178" customWidth="1"/>
    <col min="14608" max="14608" width="11.109375" style="178" customWidth="1"/>
    <col min="14609" max="14609" width="11" style="178" customWidth="1"/>
    <col min="14610" max="14610" width="9.77734375" style="178" customWidth="1"/>
    <col min="14611" max="14617" width="0" style="178" hidden="1" customWidth="1"/>
    <col min="14618" max="14618" width="29" style="178" customWidth="1"/>
    <col min="14619" max="14619" width="27.44140625" style="178" customWidth="1"/>
    <col min="14620" max="14620" width="15.6640625" style="178" customWidth="1"/>
    <col min="14621" max="14621" width="13.33203125" style="178" customWidth="1"/>
    <col min="14622" max="14622" width="18.77734375" style="178" customWidth="1"/>
    <col min="14623" max="14623" width="27.6640625" style="178" customWidth="1"/>
    <col min="14624" max="14846" width="9.6640625" style="178"/>
    <col min="14847" max="14848" width="0" style="178" hidden="1" customWidth="1"/>
    <col min="14849" max="14849" width="2.109375" style="178" customWidth="1"/>
    <col min="14850" max="14850" width="55" style="178" customWidth="1"/>
    <col min="14851" max="14851" width="0" style="178" hidden="1" customWidth="1"/>
    <col min="14852" max="14852" width="9.77734375" style="178" customWidth="1"/>
    <col min="14853" max="14853" width="10.33203125" style="178" customWidth="1"/>
    <col min="14854" max="14854" width="11.109375" style="178" customWidth="1"/>
    <col min="14855" max="14855" width="0" style="178" hidden="1" customWidth="1"/>
    <col min="14856" max="14856" width="18.44140625" style="178" customWidth="1"/>
    <col min="14857" max="14859" width="0" style="178" hidden="1" customWidth="1"/>
    <col min="14860" max="14860" width="18" style="178" customWidth="1"/>
    <col min="14861" max="14861" width="0" style="178" hidden="1" customWidth="1"/>
    <col min="14862" max="14862" width="13.77734375" style="178" customWidth="1"/>
    <col min="14863" max="14863" width="10.6640625" style="178" customWidth="1"/>
    <col min="14864" max="14864" width="11.109375" style="178" customWidth="1"/>
    <col min="14865" max="14865" width="11" style="178" customWidth="1"/>
    <col min="14866" max="14866" width="9.77734375" style="178" customWidth="1"/>
    <col min="14867" max="14873" width="0" style="178" hidden="1" customWidth="1"/>
    <col min="14874" max="14874" width="29" style="178" customWidth="1"/>
    <col min="14875" max="14875" width="27.44140625" style="178" customWidth="1"/>
    <col min="14876" max="14876" width="15.6640625" style="178" customWidth="1"/>
    <col min="14877" max="14877" width="13.33203125" style="178" customWidth="1"/>
    <col min="14878" max="14878" width="18.77734375" style="178" customWidth="1"/>
    <col min="14879" max="14879" width="27.6640625" style="178" customWidth="1"/>
    <col min="14880" max="15102" width="9.6640625" style="178"/>
    <col min="15103" max="15104" width="0" style="178" hidden="1" customWidth="1"/>
    <col min="15105" max="15105" width="2.109375" style="178" customWidth="1"/>
    <col min="15106" max="15106" width="55" style="178" customWidth="1"/>
    <col min="15107" max="15107" width="0" style="178" hidden="1" customWidth="1"/>
    <col min="15108" max="15108" width="9.77734375" style="178" customWidth="1"/>
    <col min="15109" max="15109" width="10.33203125" style="178" customWidth="1"/>
    <col min="15110" max="15110" width="11.109375" style="178" customWidth="1"/>
    <col min="15111" max="15111" width="0" style="178" hidden="1" customWidth="1"/>
    <col min="15112" max="15112" width="18.44140625" style="178" customWidth="1"/>
    <col min="15113" max="15115" width="0" style="178" hidden="1" customWidth="1"/>
    <col min="15116" max="15116" width="18" style="178" customWidth="1"/>
    <col min="15117" max="15117" width="0" style="178" hidden="1" customWidth="1"/>
    <col min="15118" max="15118" width="13.77734375" style="178" customWidth="1"/>
    <col min="15119" max="15119" width="10.6640625" style="178" customWidth="1"/>
    <col min="15120" max="15120" width="11.109375" style="178" customWidth="1"/>
    <col min="15121" max="15121" width="11" style="178" customWidth="1"/>
    <col min="15122" max="15122" width="9.77734375" style="178" customWidth="1"/>
    <col min="15123" max="15129" width="0" style="178" hidden="1" customWidth="1"/>
    <col min="15130" max="15130" width="29" style="178" customWidth="1"/>
    <col min="15131" max="15131" width="27.44140625" style="178" customWidth="1"/>
    <col min="15132" max="15132" width="15.6640625" style="178" customWidth="1"/>
    <col min="15133" max="15133" width="13.33203125" style="178" customWidth="1"/>
    <col min="15134" max="15134" width="18.77734375" style="178" customWidth="1"/>
    <col min="15135" max="15135" width="27.6640625" style="178" customWidth="1"/>
    <col min="15136" max="15358" width="9.6640625" style="178"/>
    <col min="15359" max="15360" width="0" style="178" hidden="1" customWidth="1"/>
    <col min="15361" max="15361" width="2.109375" style="178" customWidth="1"/>
    <col min="15362" max="15362" width="55" style="178" customWidth="1"/>
    <col min="15363" max="15363" width="0" style="178" hidden="1" customWidth="1"/>
    <col min="15364" max="15364" width="9.77734375" style="178" customWidth="1"/>
    <col min="15365" max="15365" width="10.33203125" style="178" customWidth="1"/>
    <col min="15366" max="15366" width="11.109375" style="178" customWidth="1"/>
    <col min="15367" max="15367" width="0" style="178" hidden="1" customWidth="1"/>
    <col min="15368" max="15368" width="18.44140625" style="178" customWidth="1"/>
    <col min="15369" max="15371" width="0" style="178" hidden="1" customWidth="1"/>
    <col min="15372" max="15372" width="18" style="178" customWidth="1"/>
    <col min="15373" max="15373" width="0" style="178" hidden="1" customWidth="1"/>
    <col min="15374" max="15374" width="13.77734375" style="178" customWidth="1"/>
    <col min="15375" max="15375" width="10.6640625" style="178" customWidth="1"/>
    <col min="15376" max="15376" width="11.109375" style="178" customWidth="1"/>
    <col min="15377" max="15377" width="11" style="178" customWidth="1"/>
    <col min="15378" max="15378" width="9.77734375" style="178" customWidth="1"/>
    <col min="15379" max="15385" width="0" style="178" hidden="1" customWidth="1"/>
    <col min="15386" max="15386" width="29" style="178" customWidth="1"/>
    <col min="15387" max="15387" width="27.44140625" style="178" customWidth="1"/>
    <col min="15388" max="15388" width="15.6640625" style="178" customWidth="1"/>
    <col min="15389" max="15389" width="13.33203125" style="178" customWidth="1"/>
    <col min="15390" max="15390" width="18.77734375" style="178" customWidth="1"/>
    <col min="15391" max="15391" width="27.6640625" style="178" customWidth="1"/>
    <col min="15392" max="15614" width="9.6640625" style="178"/>
    <col min="15615" max="15616" width="0" style="178" hidden="1" customWidth="1"/>
    <col min="15617" max="15617" width="2.109375" style="178" customWidth="1"/>
    <col min="15618" max="15618" width="55" style="178" customWidth="1"/>
    <col min="15619" max="15619" width="0" style="178" hidden="1" customWidth="1"/>
    <col min="15620" max="15620" width="9.77734375" style="178" customWidth="1"/>
    <col min="15621" max="15621" width="10.33203125" style="178" customWidth="1"/>
    <col min="15622" max="15622" width="11.109375" style="178" customWidth="1"/>
    <col min="15623" max="15623" width="0" style="178" hidden="1" customWidth="1"/>
    <col min="15624" max="15624" width="18.44140625" style="178" customWidth="1"/>
    <col min="15625" max="15627" width="0" style="178" hidden="1" customWidth="1"/>
    <col min="15628" max="15628" width="18" style="178" customWidth="1"/>
    <col min="15629" max="15629" width="0" style="178" hidden="1" customWidth="1"/>
    <col min="15630" max="15630" width="13.77734375" style="178" customWidth="1"/>
    <col min="15631" max="15631" width="10.6640625" style="178" customWidth="1"/>
    <col min="15632" max="15632" width="11.109375" style="178" customWidth="1"/>
    <col min="15633" max="15633" width="11" style="178" customWidth="1"/>
    <col min="15634" max="15634" width="9.77734375" style="178" customWidth="1"/>
    <col min="15635" max="15641" width="0" style="178" hidden="1" customWidth="1"/>
    <col min="15642" max="15642" width="29" style="178" customWidth="1"/>
    <col min="15643" max="15643" width="27.44140625" style="178" customWidth="1"/>
    <col min="15644" max="15644" width="15.6640625" style="178" customWidth="1"/>
    <col min="15645" max="15645" width="13.33203125" style="178" customWidth="1"/>
    <col min="15646" max="15646" width="18.77734375" style="178" customWidth="1"/>
    <col min="15647" max="15647" width="27.6640625" style="178" customWidth="1"/>
    <col min="15648" max="15870" width="9.6640625" style="178"/>
    <col min="15871" max="15872" width="0" style="178" hidden="1" customWidth="1"/>
    <col min="15873" max="15873" width="2.109375" style="178" customWidth="1"/>
    <col min="15874" max="15874" width="55" style="178" customWidth="1"/>
    <col min="15875" max="15875" width="0" style="178" hidden="1" customWidth="1"/>
    <col min="15876" max="15876" width="9.77734375" style="178" customWidth="1"/>
    <col min="15877" max="15877" width="10.33203125" style="178" customWidth="1"/>
    <col min="15878" max="15878" width="11.109375" style="178" customWidth="1"/>
    <col min="15879" max="15879" width="0" style="178" hidden="1" customWidth="1"/>
    <col min="15880" max="15880" width="18.44140625" style="178" customWidth="1"/>
    <col min="15881" max="15883" width="0" style="178" hidden="1" customWidth="1"/>
    <col min="15884" max="15884" width="18" style="178" customWidth="1"/>
    <col min="15885" max="15885" width="0" style="178" hidden="1" customWidth="1"/>
    <col min="15886" max="15886" width="13.77734375" style="178" customWidth="1"/>
    <col min="15887" max="15887" width="10.6640625" style="178" customWidth="1"/>
    <col min="15888" max="15888" width="11.109375" style="178" customWidth="1"/>
    <col min="15889" max="15889" width="11" style="178" customWidth="1"/>
    <col min="15890" max="15890" width="9.77734375" style="178" customWidth="1"/>
    <col min="15891" max="15897" width="0" style="178" hidden="1" customWidth="1"/>
    <col min="15898" max="15898" width="29" style="178" customWidth="1"/>
    <col min="15899" max="15899" width="27.44140625" style="178" customWidth="1"/>
    <col min="15900" max="15900" width="15.6640625" style="178" customWidth="1"/>
    <col min="15901" max="15901" width="13.33203125" style="178" customWidth="1"/>
    <col min="15902" max="15902" width="18.77734375" style="178" customWidth="1"/>
    <col min="15903" max="15903" width="27.6640625" style="178" customWidth="1"/>
    <col min="15904" max="16126" width="9.6640625" style="178"/>
    <col min="16127" max="16128" width="0" style="178" hidden="1" customWidth="1"/>
    <col min="16129" max="16129" width="2.109375" style="178" customWidth="1"/>
    <col min="16130" max="16130" width="55" style="178" customWidth="1"/>
    <col min="16131" max="16131" width="0" style="178" hidden="1" customWidth="1"/>
    <col min="16132" max="16132" width="9.77734375" style="178" customWidth="1"/>
    <col min="16133" max="16133" width="10.33203125" style="178" customWidth="1"/>
    <col min="16134" max="16134" width="11.109375" style="178" customWidth="1"/>
    <col min="16135" max="16135" width="0" style="178" hidden="1" customWidth="1"/>
    <col min="16136" max="16136" width="18.44140625" style="178" customWidth="1"/>
    <col min="16137" max="16139" width="0" style="178" hidden="1" customWidth="1"/>
    <col min="16140" max="16140" width="18" style="178" customWidth="1"/>
    <col min="16141" max="16141" width="0" style="178" hidden="1" customWidth="1"/>
    <col min="16142" max="16142" width="13.77734375" style="178" customWidth="1"/>
    <col min="16143" max="16143" width="10.6640625" style="178" customWidth="1"/>
    <col min="16144" max="16144" width="11.109375" style="178" customWidth="1"/>
    <col min="16145" max="16145" width="11" style="178" customWidth="1"/>
    <col min="16146" max="16146" width="9.77734375" style="178" customWidth="1"/>
    <col min="16147" max="16153" width="0" style="178" hidden="1" customWidth="1"/>
    <col min="16154" max="16154" width="29" style="178" customWidth="1"/>
    <col min="16155" max="16155" width="27.44140625" style="178" customWidth="1"/>
    <col min="16156" max="16156" width="15.6640625" style="178" customWidth="1"/>
    <col min="16157" max="16157" width="13.33203125" style="178" customWidth="1"/>
    <col min="16158" max="16158" width="18.77734375" style="178" customWidth="1"/>
    <col min="16159" max="16159" width="27.6640625" style="178" customWidth="1"/>
    <col min="16160" max="16384" width="9.6640625" style="178"/>
  </cols>
  <sheetData>
    <row r="1" spans="1:139" ht="10" hidden="1" x14ac:dyDescent="0.2">
      <c r="O1" s="179" t="s">
        <v>179</v>
      </c>
      <c r="P1" s="178" t="s">
        <v>353</v>
      </c>
      <c r="Q1" s="1" t="s">
        <v>354</v>
      </c>
      <c r="R1" s="1" t="s">
        <v>180</v>
      </c>
      <c r="Z1" s="466"/>
    </row>
    <row r="2" spans="1:139" s="180" customFormat="1" ht="10" hidden="1" x14ac:dyDescent="0.2">
      <c r="B2" s="181"/>
      <c r="C2" s="182"/>
      <c r="D2" s="183"/>
      <c r="E2" s="182"/>
      <c r="F2" s="182"/>
      <c r="G2" s="182"/>
      <c r="H2" s="184"/>
      <c r="I2" s="185"/>
      <c r="J2" s="185"/>
      <c r="K2" s="185"/>
      <c r="L2" s="186"/>
      <c r="M2" s="186"/>
      <c r="N2" s="187" t="s">
        <v>167</v>
      </c>
      <c r="O2" s="512">
        <f t="shared" ref="O2:O8" si="0">P2/3</f>
        <v>22.333333333333332</v>
      </c>
      <c r="P2" s="43">
        <f>'Table 1'!R2</f>
        <v>67</v>
      </c>
      <c r="Q2" s="46">
        <f>'Table 1'!S2</f>
        <v>46</v>
      </c>
      <c r="R2" s="4">
        <f t="shared" ref="R2:R8" si="1">Q2/3</f>
        <v>15.333333333333334</v>
      </c>
      <c r="S2" s="188" t="s">
        <v>355</v>
      </c>
      <c r="T2" s="189"/>
      <c r="U2" s="190"/>
      <c r="X2" s="191"/>
      <c r="AG2" s="1321"/>
      <c r="AH2" s="1321"/>
      <c r="AI2" s="1321"/>
      <c r="AJ2" s="1321"/>
      <c r="AK2" s="1321"/>
      <c r="AL2" s="1321"/>
      <c r="AM2" s="1321"/>
      <c r="AN2" s="1321"/>
      <c r="AO2" s="1321"/>
      <c r="AP2" s="1321"/>
      <c r="AQ2" s="1321"/>
      <c r="AR2" s="1321"/>
      <c r="AS2" s="1321"/>
      <c r="AT2" s="1321"/>
      <c r="AU2" s="1321"/>
      <c r="AV2" s="1321"/>
      <c r="AW2" s="1321"/>
      <c r="AX2" s="1321"/>
      <c r="AY2" s="1321"/>
      <c r="AZ2" s="1321"/>
      <c r="BA2" s="1321"/>
      <c r="BB2" s="1321"/>
      <c r="BC2" s="1321"/>
      <c r="BD2" s="1321"/>
      <c r="BE2" s="1321"/>
      <c r="BF2" s="1321"/>
      <c r="BG2" s="1321"/>
      <c r="BH2" s="1321"/>
      <c r="BI2" s="1321"/>
      <c r="BJ2" s="1321"/>
      <c r="BK2" s="1321"/>
      <c r="BL2" s="1321"/>
      <c r="BM2" s="1321"/>
      <c r="BN2" s="1321"/>
      <c r="BO2" s="1321"/>
      <c r="BP2" s="1321"/>
      <c r="BQ2" s="1321"/>
      <c r="BR2" s="1321"/>
      <c r="BS2" s="1321"/>
      <c r="BT2" s="1321"/>
      <c r="BU2" s="1321"/>
      <c r="BV2" s="1321"/>
      <c r="BW2" s="1321"/>
      <c r="BX2" s="1321"/>
      <c r="BY2" s="1321"/>
      <c r="BZ2" s="1321"/>
      <c r="CA2" s="1321"/>
      <c r="CB2" s="1321"/>
      <c r="CC2" s="1321"/>
      <c r="CD2" s="1321"/>
      <c r="CE2" s="1321"/>
      <c r="CF2" s="1321"/>
      <c r="CG2" s="1321"/>
      <c r="CH2" s="1321"/>
      <c r="CI2" s="1321"/>
      <c r="CJ2" s="1321"/>
      <c r="CK2" s="1321"/>
      <c r="CL2" s="1321"/>
      <c r="CM2" s="1321"/>
      <c r="CN2" s="1321"/>
      <c r="CO2" s="1321"/>
      <c r="CP2" s="1321"/>
      <c r="CQ2" s="1321"/>
      <c r="CR2" s="1321"/>
      <c r="CS2" s="1321"/>
      <c r="CT2" s="1321"/>
      <c r="CU2" s="1321"/>
      <c r="CV2" s="1321"/>
      <c r="CW2" s="1321"/>
      <c r="CX2" s="1321"/>
      <c r="CY2" s="1321"/>
      <c r="CZ2" s="1321"/>
      <c r="DA2" s="1321"/>
      <c r="DB2" s="1321"/>
      <c r="DC2" s="1321"/>
      <c r="DD2" s="1321"/>
      <c r="DE2" s="1321"/>
      <c r="DF2" s="1321"/>
      <c r="DG2" s="1321"/>
      <c r="DH2" s="1321"/>
      <c r="DI2" s="1321"/>
      <c r="DJ2" s="1321"/>
      <c r="DK2" s="1321"/>
      <c r="DL2" s="1321"/>
      <c r="DM2" s="1321"/>
      <c r="DN2" s="1321"/>
      <c r="DO2" s="1321"/>
      <c r="DP2" s="1321"/>
      <c r="DQ2" s="1321"/>
      <c r="DR2" s="1321"/>
      <c r="DS2" s="1321"/>
      <c r="DT2" s="1321"/>
      <c r="DU2" s="1321"/>
      <c r="DV2" s="1321"/>
      <c r="DW2" s="1321"/>
      <c r="DX2" s="1321"/>
      <c r="DY2" s="1321"/>
      <c r="DZ2" s="1321"/>
      <c r="EA2" s="1321"/>
      <c r="EB2" s="1321"/>
      <c r="EC2" s="1321"/>
      <c r="ED2" s="1321"/>
      <c r="EE2" s="1321"/>
      <c r="EF2" s="1321"/>
      <c r="EG2" s="1321"/>
      <c r="EH2" s="1321"/>
      <c r="EI2" s="1321"/>
    </row>
    <row r="3" spans="1:139" s="180" customFormat="1" ht="10" hidden="1" x14ac:dyDescent="0.2">
      <c r="B3" s="192"/>
      <c r="C3" s="184"/>
      <c r="D3" s="184"/>
      <c r="E3" s="184"/>
      <c r="F3" s="184"/>
      <c r="G3" s="184"/>
      <c r="H3" s="184"/>
      <c r="I3" s="185"/>
      <c r="J3" s="185"/>
      <c r="K3" s="185"/>
      <c r="L3" s="186"/>
      <c r="M3" s="186"/>
      <c r="N3" s="187" t="s">
        <v>168</v>
      </c>
      <c r="O3" s="512">
        <f t="shared" si="0"/>
        <v>5</v>
      </c>
      <c r="P3" s="43">
        <f>'Table 1'!R3</f>
        <v>15</v>
      </c>
      <c r="Q3" s="46">
        <f>'Table 1'!S3</f>
        <v>9</v>
      </c>
      <c r="R3" s="4">
        <f t="shared" si="1"/>
        <v>3</v>
      </c>
      <c r="S3" s="193"/>
      <c r="T3" s="193"/>
      <c r="U3" s="190"/>
      <c r="X3" s="191"/>
      <c r="AG3" s="1321"/>
      <c r="AH3" s="1321"/>
      <c r="AI3" s="1321"/>
      <c r="AJ3" s="1321"/>
      <c r="AK3" s="1321"/>
      <c r="AL3" s="1321"/>
      <c r="AM3" s="1321"/>
      <c r="AN3" s="1321"/>
      <c r="AO3" s="1321"/>
      <c r="AP3" s="1321"/>
      <c r="AQ3" s="1321"/>
      <c r="AR3" s="1321"/>
      <c r="AS3" s="1321"/>
      <c r="AT3" s="1321"/>
      <c r="AU3" s="1321"/>
      <c r="AV3" s="1321"/>
      <c r="AW3" s="1321"/>
      <c r="AX3" s="1321"/>
      <c r="AY3" s="1321"/>
      <c r="AZ3" s="1321"/>
      <c r="BA3" s="1321"/>
      <c r="BB3" s="1321"/>
      <c r="BC3" s="1321"/>
      <c r="BD3" s="1321"/>
      <c r="BE3" s="1321"/>
      <c r="BF3" s="1321"/>
      <c r="BG3" s="1321"/>
      <c r="BH3" s="1321"/>
      <c r="BI3" s="1321"/>
      <c r="BJ3" s="1321"/>
      <c r="BK3" s="1321"/>
      <c r="BL3" s="1321"/>
      <c r="BM3" s="1321"/>
      <c r="BN3" s="1321"/>
      <c r="BO3" s="1321"/>
      <c r="BP3" s="1321"/>
      <c r="BQ3" s="1321"/>
      <c r="BR3" s="1321"/>
      <c r="BS3" s="1321"/>
      <c r="BT3" s="1321"/>
      <c r="BU3" s="1321"/>
      <c r="BV3" s="1321"/>
      <c r="BW3" s="1321"/>
      <c r="BX3" s="1321"/>
      <c r="BY3" s="1321"/>
      <c r="BZ3" s="1321"/>
      <c r="CA3" s="1321"/>
      <c r="CB3" s="1321"/>
      <c r="CC3" s="1321"/>
      <c r="CD3" s="1321"/>
      <c r="CE3" s="1321"/>
      <c r="CF3" s="1321"/>
      <c r="CG3" s="1321"/>
      <c r="CH3" s="1321"/>
      <c r="CI3" s="1321"/>
      <c r="CJ3" s="1321"/>
      <c r="CK3" s="1321"/>
      <c r="CL3" s="1321"/>
      <c r="CM3" s="1321"/>
      <c r="CN3" s="1321"/>
      <c r="CO3" s="1321"/>
      <c r="CP3" s="1321"/>
      <c r="CQ3" s="1321"/>
      <c r="CR3" s="1321"/>
      <c r="CS3" s="1321"/>
      <c r="CT3" s="1321"/>
      <c r="CU3" s="1321"/>
      <c r="CV3" s="1321"/>
      <c r="CW3" s="1321"/>
      <c r="CX3" s="1321"/>
      <c r="CY3" s="1321"/>
      <c r="CZ3" s="1321"/>
      <c r="DA3" s="1321"/>
      <c r="DB3" s="1321"/>
      <c r="DC3" s="1321"/>
      <c r="DD3" s="1321"/>
      <c r="DE3" s="1321"/>
      <c r="DF3" s="1321"/>
      <c r="DG3" s="1321"/>
      <c r="DH3" s="1321"/>
      <c r="DI3" s="1321"/>
      <c r="DJ3" s="1321"/>
      <c r="DK3" s="1321"/>
      <c r="DL3" s="1321"/>
      <c r="DM3" s="1321"/>
      <c r="DN3" s="1321"/>
      <c r="DO3" s="1321"/>
      <c r="DP3" s="1321"/>
      <c r="DQ3" s="1321"/>
      <c r="DR3" s="1321"/>
      <c r="DS3" s="1321"/>
      <c r="DT3" s="1321"/>
      <c r="DU3" s="1321"/>
      <c r="DV3" s="1321"/>
      <c r="DW3" s="1321"/>
      <c r="DX3" s="1321"/>
      <c r="DY3" s="1321"/>
      <c r="DZ3" s="1321"/>
      <c r="EA3" s="1321"/>
      <c r="EB3" s="1321"/>
      <c r="EC3" s="1321"/>
      <c r="ED3" s="1321"/>
      <c r="EE3" s="1321"/>
      <c r="EF3" s="1321"/>
      <c r="EG3" s="1321"/>
      <c r="EH3" s="1321"/>
      <c r="EI3" s="1321"/>
    </row>
    <row r="4" spans="1:139" s="180" customFormat="1" ht="10" hidden="1" x14ac:dyDescent="0.2">
      <c r="B4" s="194"/>
      <c r="C4" s="184"/>
      <c r="D4" s="184"/>
      <c r="E4" s="184"/>
      <c r="F4" s="184"/>
      <c r="G4" s="184"/>
      <c r="H4" s="184"/>
      <c r="I4" s="185"/>
      <c r="J4" s="185"/>
      <c r="K4" s="185"/>
      <c r="L4" s="186"/>
      <c r="M4" s="186"/>
      <c r="N4" s="187" t="s">
        <v>169</v>
      </c>
      <c r="O4" s="512">
        <f t="shared" si="0"/>
        <v>0.66666666666666663</v>
      </c>
      <c r="P4" s="43">
        <f>'Table 1'!R4</f>
        <v>2</v>
      </c>
      <c r="Q4" s="46">
        <f>'Table 1'!S4</f>
        <v>1</v>
      </c>
      <c r="R4" s="4">
        <f t="shared" si="1"/>
        <v>0.33333333333333331</v>
      </c>
      <c r="S4" s="193"/>
      <c r="T4" s="193"/>
      <c r="U4" s="190"/>
      <c r="X4" s="191"/>
      <c r="AG4" s="1321"/>
      <c r="AH4" s="1321"/>
      <c r="AI4" s="1321"/>
      <c r="AJ4" s="1321"/>
      <c r="AK4" s="1321"/>
      <c r="AL4" s="1321"/>
      <c r="AM4" s="1321"/>
      <c r="AN4" s="1321"/>
      <c r="AO4" s="1321"/>
      <c r="AP4" s="1321"/>
      <c r="AQ4" s="1321"/>
      <c r="AR4" s="1321"/>
      <c r="AS4" s="1321"/>
      <c r="AT4" s="1321"/>
      <c r="AU4" s="1321"/>
      <c r="AV4" s="1321"/>
      <c r="AW4" s="1321"/>
      <c r="AX4" s="1321"/>
      <c r="AY4" s="1321"/>
      <c r="AZ4" s="1321"/>
      <c r="BA4" s="1321"/>
      <c r="BB4" s="1321"/>
      <c r="BC4" s="1321"/>
      <c r="BD4" s="1321"/>
      <c r="BE4" s="1321"/>
      <c r="BF4" s="1321"/>
      <c r="BG4" s="1321"/>
      <c r="BH4" s="1321"/>
      <c r="BI4" s="1321"/>
      <c r="BJ4" s="1321"/>
      <c r="BK4" s="1321"/>
      <c r="BL4" s="1321"/>
      <c r="BM4" s="1321"/>
      <c r="BN4" s="1321"/>
      <c r="BO4" s="1321"/>
      <c r="BP4" s="1321"/>
      <c r="BQ4" s="1321"/>
      <c r="BR4" s="1321"/>
      <c r="BS4" s="1321"/>
      <c r="BT4" s="1321"/>
      <c r="BU4" s="1321"/>
      <c r="BV4" s="1321"/>
      <c r="BW4" s="1321"/>
      <c r="BX4" s="1321"/>
      <c r="BY4" s="1321"/>
      <c r="BZ4" s="1321"/>
      <c r="CA4" s="1321"/>
      <c r="CB4" s="1321"/>
      <c r="CC4" s="1321"/>
      <c r="CD4" s="1321"/>
      <c r="CE4" s="1321"/>
      <c r="CF4" s="1321"/>
      <c r="CG4" s="1321"/>
      <c r="CH4" s="1321"/>
      <c r="CI4" s="1321"/>
      <c r="CJ4" s="1321"/>
      <c r="CK4" s="1321"/>
      <c r="CL4" s="1321"/>
      <c r="CM4" s="1321"/>
      <c r="CN4" s="1321"/>
      <c r="CO4" s="1321"/>
      <c r="CP4" s="1321"/>
      <c r="CQ4" s="1321"/>
      <c r="CR4" s="1321"/>
      <c r="CS4" s="1321"/>
      <c r="CT4" s="1321"/>
      <c r="CU4" s="1321"/>
      <c r="CV4" s="1321"/>
      <c r="CW4" s="1321"/>
      <c r="CX4" s="1321"/>
      <c r="CY4" s="1321"/>
      <c r="CZ4" s="1321"/>
      <c r="DA4" s="1321"/>
      <c r="DB4" s="1321"/>
      <c r="DC4" s="1321"/>
      <c r="DD4" s="1321"/>
      <c r="DE4" s="1321"/>
      <c r="DF4" s="1321"/>
      <c r="DG4" s="1321"/>
      <c r="DH4" s="1321"/>
      <c r="DI4" s="1321"/>
      <c r="DJ4" s="1321"/>
      <c r="DK4" s="1321"/>
      <c r="DL4" s="1321"/>
      <c r="DM4" s="1321"/>
      <c r="DN4" s="1321"/>
      <c r="DO4" s="1321"/>
      <c r="DP4" s="1321"/>
      <c r="DQ4" s="1321"/>
      <c r="DR4" s="1321"/>
      <c r="DS4" s="1321"/>
      <c r="DT4" s="1321"/>
      <c r="DU4" s="1321"/>
      <c r="DV4" s="1321"/>
      <c r="DW4" s="1321"/>
      <c r="DX4" s="1321"/>
      <c r="DY4" s="1321"/>
      <c r="DZ4" s="1321"/>
      <c r="EA4" s="1321"/>
      <c r="EB4" s="1321"/>
      <c r="EC4" s="1321"/>
      <c r="ED4" s="1321"/>
      <c r="EE4" s="1321"/>
      <c r="EF4" s="1321"/>
      <c r="EG4" s="1321"/>
      <c r="EH4" s="1321"/>
      <c r="EI4" s="1321"/>
    </row>
    <row r="5" spans="1:139" s="180" customFormat="1" ht="10" hidden="1" x14ac:dyDescent="0.2">
      <c r="B5" s="194"/>
      <c r="C5" s="184"/>
      <c r="D5" s="184"/>
      <c r="E5" s="184"/>
      <c r="F5" s="184"/>
      <c r="G5" s="184"/>
      <c r="H5" s="184"/>
      <c r="I5" s="185"/>
      <c r="J5" s="185"/>
      <c r="K5" s="185"/>
      <c r="L5" s="186"/>
      <c r="M5" s="186"/>
      <c r="N5" s="187" t="s">
        <v>170</v>
      </c>
      <c r="O5" s="512">
        <f t="shared" si="0"/>
        <v>21</v>
      </c>
      <c r="P5" s="43">
        <f>'Table 1'!R5</f>
        <v>63</v>
      </c>
      <c r="Q5" s="46">
        <f>'Table 1'!S5</f>
        <v>31</v>
      </c>
      <c r="R5" s="4">
        <f t="shared" si="1"/>
        <v>10.333333333333334</v>
      </c>
      <c r="S5" s="193"/>
      <c r="T5" s="193"/>
      <c r="U5" s="190"/>
      <c r="X5" s="191"/>
      <c r="AG5" s="1321"/>
      <c r="AH5" s="1321"/>
      <c r="AI5" s="1321"/>
      <c r="AJ5" s="1321"/>
      <c r="AK5" s="1321"/>
      <c r="AL5" s="1321"/>
      <c r="AM5" s="1321"/>
      <c r="AN5" s="1321"/>
      <c r="AO5" s="1321"/>
      <c r="AP5" s="1321"/>
      <c r="AQ5" s="1321"/>
      <c r="AR5" s="1321"/>
      <c r="AS5" s="1321"/>
      <c r="AT5" s="1321"/>
      <c r="AU5" s="1321"/>
      <c r="AV5" s="1321"/>
      <c r="AW5" s="1321"/>
      <c r="AX5" s="1321"/>
      <c r="AY5" s="1321"/>
      <c r="AZ5" s="1321"/>
      <c r="BA5" s="1321"/>
      <c r="BB5" s="1321"/>
      <c r="BC5" s="1321"/>
      <c r="BD5" s="1321"/>
      <c r="BE5" s="1321"/>
      <c r="BF5" s="1321"/>
      <c r="BG5" s="1321"/>
      <c r="BH5" s="1321"/>
      <c r="BI5" s="1321"/>
      <c r="BJ5" s="1321"/>
      <c r="BK5" s="1321"/>
      <c r="BL5" s="1321"/>
      <c r="BM5" s="1321"/>
      <c r="BN5" s="1321"/>
      <c r="BO5" s="1321"/>
      <c r="BP5" s="1321"/>
      <c r="BQ5" s="1321"/>
      <c r="BR5" s="1321"/>
      <c r="BS5" s="1321"/>
      <c r="BT5" s="1321"/>
      <c r="BU5" s="1321"/>
      <c r="BV5" s="1321"/>
      <c r="BW5" s="1321"/>
      <c r="BX5" s="1321"/>
      <c r="BY5" s="1321"/>
      <c r="BZ5" s="1321"/>
      <c r="CA5" s="1321"/>
      <c r="CB5" s="1321"/>
      <c r="CC5" s="1321"/>
      <c r="CD5" s="1321"/>
      <c r="CE5" s="1321"/>
      <c r="CF5" s="1321"/>
      <c r="CG5" s="1321"/>
      <c r="CH5" s="1321"/>
      <c r="CI5" s="1321"/>
      <c r="CJ5" s="1321"/>
      <c r="CK5" s="1321"/>
      <c r="CL5" s="1321"/>
      <c r="CM5" s="1321"/>
      <c r="CN5" s="1321"/>
      <c r="CO5" s="1321"/>
      <c r="CP5" s="1321"/>
      <c r="CQ5" s="1321"/>
      <c r="CR5" s="1321"/>
      <c r="CS5" s="1321"/>
      <c r="CT5" s="1321"/>
      <c r="CU5" s="1321"/>
      <c r="CV5" s="1321"/>
      <c r="CW5" s="1321"/>
      <c r="CX5" s="1321"/>
      <c r="CY5" s="1321"/>
      <c r="CZ5" s="1321"/>
      <c r="DA5" s="1321"/>
      <c r="DB5" s="1321"/>
      <c r="DC5" s="1321"/>
      <c r="DD5" s="1321"/>
      <c r="DE5" s="1321"/>
      <c r="DF5" s="1321"/>
      <c r="DG5" s="1321"/>
      <c r="DH5" s="1321"/>
      <c r="DI5" s="1321"/>
      <c r="DJ5" s="1321"/>
      <c r="DK5" s="1321"/>
      <c r="DL5" s="1321"/>
      <c r="DM5" s="1321"/>
      <c r="DN5" s="1321"/>
      <c r="DO5" s="1321"/>
      <c r="DP5" s="1321"/>
      <c r="DQ5" s="1321"/>
      <c r="DR5" s="1321"/>
      <c r="DS5" s="1321"/>
      <c r="DT5" s="1321"/>
      <c r="DU5" s="1321"/>
      <c r="DV5" s="1321"/>
      <c r="DW5" s="1321"/>
      <c r="DX5" s="1321"/>
      <c r="DY5" s="1321"/>
      <c r="DZ5" s="1321"/>
      <c r="EA5" s="1321"/>
      <c r="EB5" s="1321"/>
      <c r="EC5" s="1321"/>
      <c r="ED5" s="1321"/>
      <c r="EE5" s="1321"/>
      <c r="EF5" s="1321"/>
      <c r="EG5" s="1321"/>
      <c r="EH5" s="1321"/>
      <c r="EI5" s="1321"/>
    </row>
    <row r="6" spans="1:139" s="180" customFormat="1" ht="10" hidden="1" x14ac:dyDescent="0.2">
      <c r="B6" s="194"/>
      <c r="C6" s="184"/>
      <c r="D6" s="151" t="s">
        <v>729</v>
      </c>
      <c r="E6" s="184"/>
      <c r="F6" s="184"/>
      <c r="G6" s="184"/>
      <c r="H6" s="184"/>
      <c r="I6" s="185"/>
      <c r="J6" s="185"/>
      <c r="K6" s="185"/>
      <c r="L6" s="186"/>
      <c r="M6" s="186"/>
      <c r="N6" s="187" t="s">
        <v>171</v>
      </c>
      <c r="O6" s="512">
        <f t="shared" si="0"/>
        <v>2.3333333333333335</v>
      </c>
      <c r="P6" s="43">
        <f>'Table 1'!R6</f>
        <v>7</v>
      </c>
      <c r="Q6" s="46">
        <f>'Table 1'!S6</f>
        <v>2</v>
      </c>
      <c r="R6" s="4">
        <f t="shared" si="1"/>
        <v>0.66666666666666663</v>
      </c>
      <c r="S6" s="193"/>
      <c r="T6" s="193"/>
      <c r="U6" s="190"/>
      <c r="X6" s="191"/>
      <c r="AG6" s="1321"/>
      <c r="AH6" s="1321"/>
      <c r="AI6" s="1321"/>
      <c r="AJ6" s="1321"/>
      <c r="AK6" s="1321"/>
      <c r="AL6" s="1321"/>
      <c r="AM6" s="1321"/>
      <c r="AN6" s="1321"/>
      <c r="AO6" s="1321"/>
      <c r="AP6" s="1321"/>
      <c r="AQ6" s="1321"/>
      <c r="AR6" s="1321"/>
      <c r="AS6" s="1321"/>
      <c r="AT6" s="1321"/>
      <c r="AU6" s="1321"/>
      <c r="AV6" s="1321"/>
      <c r="AW6" s="1321"/>
      <c r="AX6" s="1321"/>
      <c r="AY6" s="1321"/>
      <c r="AZ6" s="1321"/>
      <c r="BA6" s="1321"/>
      <c r="BB6" s="1321"/>
      <c r="BC6" s="1321"/>
      <c r="BD6" s="1321"/>
      <c r="BE6" s="1321"/>
      <c r="BF6" s="1321"/>
      <c r="BG6" s="1321"/>
      <c r="BH6" s="1321"/>
      <c r="BI6" s="1321"/>
      <c r="BJ6" s="1321"/>
      <c r="BK6" s="1321"/>
      <c r="BL6" s="1321"/>
      <c r="BM6" s="1321"/>
      <c r="BN6" s="1321"/>
      <c r="BO6" s="1321"/>
      <c r="BP6" s="1321"/>
      <c r="BQ6" s="1321"/>
      <c r="BR6" s="1321"/>
      <c r="BS6" s="1321"/>
      <c r="BT6" s="1321"/>
      <c r="BU6" s="1321"/>
      <c r="BV6" s="1321"/>
      <c r="BW6" s="1321"/>
      <c r="BX6" s="1321"/>
      <c r="BY6" s="1321"/>
      <c r="BZ6" s="1321"/>
      <c r="CA6" s="1321"/>
      <c r="CB6" s="1321"/>
      <c r="CC6" s="1321"/>
      <c r="CD6" s="1321"/>
      <c r="CE6" s="1321"/>
      <c r="CF6" s="1321"/>
      <c r="CG6" s="1321"/>
      <c r="CH6" s="1321"/>
      <c r="CI6" s="1321"/>
      <c r="CJ6" s="1321"/>
      <c r="CK6" s="1321"/>
      <c r="CL6" s="1321"/>
      <c r="CM6" s="1321"/>
      <c r="CN6" s="1321"/>
      <c r="CO6" s="1321"/>
      <c r="CP6" s="1321"/>
      <c r="CQ6" s="1321"/>
      <c r="CR6" s="1321"/>
      <c r="CS6" s="1321"/>
      <c r="CT6" s="1321"/>
      <c r="CU6" s="1321"/>
      <c r="CV6" s="1321"/>
      <c r="CW6" s="1321"/>
      <c r="CX6" s="1321"/>
      <c r="CY6" s="1321"/>
      <c r="CZ6" s="1321"/>
      <c r="DA6" s="1321"/>
      <c r="DB6" s="1321"/>
      <c r="DC6" s="1321"/>
      <c r="DD6" s="1321"/>
      <c r="DE6" s="1321"/>
      <c r="DF6" s="1321"/>
      <c r="DG6" s="1321"/>
      <c r="DH6" s="1321"/>
      <c r="DI6" s="1321"/>
      <c r="DJ6" s="1321"/>
      <c r="DK6" s="1321"/>
      <c r="DL6" s="1321"/>
      <c r="DM6" s="1321"/>
      <c r="DN6" s="1321"/>
      <c r="DO6" s="1321"/>
      <c r="DP6" s="1321"/>
      <c r="DQ6" s="1321"/>
      <c r="DR6" s="1321"/>
      <c r="DS6" s="1321"/>
      <c r="DT6" s="1321"/>
      <c r="DU6" s="1321"/>
      <c r="DV6" s="1321"/>
      <c r="DW6" s="1321"/>
      <c r="DX6" s="1321"/>
      <c r="DY6" s="1321"/>
      <c r="DZ6" s="1321"/>
      <c r="EA6" s="1321"/>
      <c r="EB6" s="1321"/>
      <c r="EC6" s="1321"/>
      <c r="ED6" s="1321"/>
      <c r="EE6" s="1321"/>
      <c r="EF6" s="1321"/>
      <c r="EG6" s="1321"/>
      <c r="EH6" s="1321"/>
      <c r="EI6" s="1321"/>
    </row>
    <row r="7" spans="1:139" s="180" customFormat="1" ht="10" hidden="1" x14ac:dyDescent="0.2">
      <c r="B7" s="194" t="s">
        <v>356</v>
      </c>
      <c r="C7" s="182" t="s">
        <v>5</v>
      </c>
      <c r="D7" s="182" t="s">
        <v>6</v>
      </c>
      <c r="E7" s="182" t="s">
        <v>7</v>
      </c>
      <c r="F7" s="182" t="s">
        <v>8</v>
      </c>
      <c r="G7" s="182"/>
      <c r="H7" s="184"/>
      <c r="I7" s="185"/>
      <c r="J7" s="185"/>
      <c r="K7" s="185"/>
      <c r="L7" s="186"/>
      <c r="M7" s="186"/>
      <c r="N7" s="187" t="s">
        <v>172</v>
      </c>
      <c r="O7" s="512">
        <f t="shared" si="0"/>
        <v>5.666666666666667</v>
      </c>
      <c r="P7" s="43">
        <f>'Table 1'!R7</f>
        <v>17</v>
      </c>
      <c r="Q7" s="46">
        <f>'Table 1'!S7</f>
        <v>11</v>
      </c>
      <c r="R7" s="4">
        <f t="shared" si="1"/>
        <v>3.6666666666666665</v>
      </c>
      <c r="S7" s="193"/>
      <c r="T7" s="193"/>
      <c r="U7" s="190"/>
      <c r="X7" s="191"/>
      <c r="AG7" s="1321"/>
      <c r="AH7" s="1321"/>
      <c r="AI7" s="1321"/>
      <c r="AJ7" s="1321"/>
      <c r="AK7" s="1321"/>
      <c r="AL7" s="1321"/>
      <c r="AM7" s="1321"/>
      <c r="AN7" s="1321"/>
      <c r="AO7" s="1321"/>
      <c r="AP7" s="1321"/>
      <c r="AQ7" s="1321"/>
      <c r="AR7" s="1321"/>
      <c r="AS7" s="1321"/>
      <c r="AT7" s="1321"/>
      <c r="AU7" s="1321"/>
      <c r="AV7" s="1321"/>
      <c r="AW7" s="1321"/>
      <c r="AX7" s="1321"/>
      <c r="AY7" s="1321"/>
      <c r="AZ7" s="1321"/>
      <c r="BA7" s="1321"/>
      <c r="BB7" s="1321"/>
      <c r="BC7" s="1321"/>
      <c r="BD7" s="1321"/>
      <c r="BE7" s="1321"/>
      <c r="BF7" s="1321"/>
      <c r="BG7" s="1321"/>
      <c r="BH7" s="1321"/>
      <c r="BI7" s="1321"/>
      <c r="BJ7" s="1321"/>
      <c r="BK7" s="1321"/>
      <c r="BL7" s="1321"/>
      <c r="BM7" s="1321"/>
      <c r="BN7" s="1321"/>
      <c r="BO7" s="1321"/>
      <c r="BP7" s="1321"/>
      <c r="BQ7" s="1321"/>
      <c r="BR7" s="1321"/>
      <c r="BS7" s="1321"/>
      <c r="BT7" s="1321"/>
      <c r="BU7" s="1321"/>
      <c r="BV7" s="1321"/>
      <c r="BW7" s="1321"/>
      <c r="BX7" s="1321"/>
      <c r="BY7" s="1321"/>
      <c r="BZ7" s="1321"/>
      <c r="CA7" s="1321"/>
      <c r="CB7" s="1321"/>
      <c r="CC7" s="1321"/>
      <c r="CD7" s="1321"/>
      <c r="CE7" s="1321"/>
      <c r="CF7" s="1321"/>
      <c r="CG7" s="1321"/>
      <c r="CH7" s="1321"/>
      <c r="CI7" s="1321"/>
      <c r="CJ7" s="1321"/>
      <c r="CK7" s="1321"/>
      <c r="CL7" s="1321"/>
      <c r="CM7" s="1321"/>
      <c r="CN7" s="1321"/>
      <c r="CO7" s="1321"/>
      <c r="CP7" s="1321"/>
      <c r="CQ7" s="1321"/>
      <c r="CR7" s="1321"/>
      <c r="CS7" s="1321"/>
      <c r="CT7" s="1321"/>
      <c r="CU7" s="1321"/>
      <c r="CV7" s="1321"/>
      <c r="CW7" s="1321"/>
      <c r="CX7" s="1321"/>
      <c r="CY7" s="1321"/>
      <c r="CZ7" s="1321"/>
      <c r="DA7" s="1321"/>
      <c r="DB7" s="1321"/>
      <c r="DC7" s="1321"/>
      <c r="DD7" s="1321"/>
      <c r="DE7" s="1321"/>
      <c r="DF7" s="1321"/>
      <c r="DG7" s="1321"/>
      <c r="DH7" s="1321"/>
      <c r="DI7" s="1321"/>
      <c r="DJ7" s="1321"/>
      <c r="DK7" s="1321"/>
      <c r="DL7" s="1321"/>
      <c r="DM7" s="1321"/>
      <c r="DN7" s="1321"/>
      <c r="DO7" s="1321"/>
      <c r="DP7" s="1321"/>
      <c r="DQ7" s="1321"/>
      <c r="DR7" s="1321"/>
      <c r="DS7" s="1321"/>
      <c r="DT7" s="1321"/>
      <c r="DU7" s="1321"/>
      <c r="DV7" s="1321"/>
      <c r="DW7" s="1321"/>
      <c r="DX7" s="1321"/>
      <c r="DY7" s="1321"/>
      <c r="DZ7" s="1321"/>
      <c r="EA7" s="1321"/>
      <c r="EB7" s="1321"/>
      <c r="EC7" s="1321"/>
      <c r="ED7" s="1321"/>
      <c r="EE7" s="1321"/>
      <c r="EF7" s="1321"/>
      <c r="EG7" s="1321"/>
      <c r="EH7" s="1321"/>
      <c r="EI7" s="1321"/>
    </row>
    <row r="8" spans="1:139" s="180" customFormat="1" ht="10" hidden="1" x14ac:dyDescent="0.2">
      <c r="B8" s="194" t="s">
        <v>357</v>
      </c>
      <c r="C8" s="4"/>
      <c r="D8" s="47">
        <v>44.1</v>
      </c>
      <c r="E8" s="47">
        <v>32.729999999999997</v>
      </c>
      <c r="F8" s="47">
        <v>17.71</v>
      </c>
      <c r="G8" s="184"/>
      <c r="H8" s="184"/>
      <c r="I8" s="185"/>
      <c r="J8" s="185"/>
      <c r="K8" s="185"/>
      <c r="L8" s="186"/>
      <c r="M8" s="186"/>
      <c r="N8" s="187" t="s">
        <v>173</v>
      </c>
      <c r="O8" s="512">
        <f t="shared" si="0"/>
        <v>29</v>
      </c>
      <c r="P8" s="195">
        <f>SUM(P5:P7)</f>
        <v>87</v>
      </c>
      <c r="Q8" s="43">
        <f>SUM(Q5:Q7)</f>
        <v>44</v>
      </c>
      <c r="R8" s="4">
        <f t="shared" si="1"/>
        <v>14.666666666666666</v>
      </c>
      <c r="S8" s="193"/>
      <c r="T8" s="193"/>
      <c r="U8" s="190"/>
      <c r="X8" s="191"/>
      <c r="AG8" s="1321"/>
      <c r="AH8" s="1321"/>
      <c r="AI8" s="1321"/>
      <c r="AJ8" s="1321"/>
      <c r="AK8" s="1321"/>
      <c r="AL8" s="1321"/>
      <c r="AM8" s="1321"/>
      <c r="AN8" s="1321"/>
      <c r="AO8" s="1321"/>
      <c r="AP8" s="1322"/>
      <c r="AQ8" s="1321"/>
      <c r="AR8" s="1321"/>
      <c r="AS8" s="1321"/>
      <c r="AT8" s="1321"/>
      <c r="AU8" s="1321"/>
      <c r="AV8" s="1321"/>
      <c r="AW8" s="1321"/>
      <c r="AX8" s="1321"/>
      <c r="AY8" s="1321"/>
      <c r="AZ8" s="1321"/>
      <c r="BA8" s="1321"/>
      <c r="BB8" s="1321"/>
      <c r="BC8" s="1321"/>
      <c r="BD8" s="1321"/>
      <c r="BE8" s="1321"/>
      <c r="BF8" s="1321"/>
      <c r="BG8" s="1321"/>
      <c r="BH8" s="1321"/>
      <c r="BI8" s="1321"/>
      <c r="BJ8" s="1321"/>
      <c r="BK8" s="1321"/>
      <c r="BL8" s="1321"/>
      <c r="BM8" s="1321"/>
      <c r="BN8" s="1321"/>
      <c r="BO8" s="1321"/>
      <c r="BP8" s="1321"/>
      <c r="BQ8" s="1321"/>
      <c r="BR8" s="1321"/>
      <c r="BS8" s="1321"/>
      <c r="BT8" s="1321"/>
      <c r="BU8" s="1321"/>
      <c r="BV8" s="1321"/>
      <c r="BW8" s="1321"/>
      <c r="BX8" s="1321"/>
      <c r="BY8" s="1321"/>
      <c r="BZ8" s="1321"/>
      <c r="CA8" s="1321"/>
      <c r="CB8" s="1321"/>
      <c r="CC8" s="1321"/>
      <c r="CD8" s="1321"/>
      <c r="CE8" s="1321"/>
      <c r="CF8" s="1321"/>
      <c r="CG8" s="1321"/>
      <c r="CH8" s="1321"/>
      <c r="CI8" s="1321"/>
      <c r="CJ8" s="1321"/>
      <c r="CK8" s="1321"/>
      <c r="CL8" s="1321"/>
      <c r="CM8" s="1321"/>
      <c r="CN8" s="1321"/>
      <c r="CO8" s="1321"/>
      <c r="CP8" s="1321"/>
      <c r="CQ8" s="1321"/>
      <c r="CR8" s="1321"/>
      <c r="CS8" s="1321"/>
      <c r="CT8" s="1321"/>
      <c r="CU8" s="1321"/>
      <c r="CV8" s="1321"/>
      <c r="CW8" s="1321"/>
      <c r="CX8" s="1321"/>
      <c r="CY8" s="1321"/>
      <c r="CZ8" s="1321"/>
      <c r="DA8" s="1321"/>
      <c r="DB8" s="1321"/>
      <c r="DC8" s="1321"/>
      <c r="DD8" s="1321"/>
      <c r="DE8" s="1321"/>
      <c r="DF8" s="1321"/>
      <c r="DG8" s="1321"/>
      <c r="DH8" s="1321"/>
      <c r="DI8" s="1321"/>
      <c r="DJ8" s="1321"/>
      <c r="DK8" s="1321"/>
      <c r="DL8" s="1321"/>
      <c r="DM8" s="1321"/>
      <c r="DN8" s="1321"/>
      <c r="DO8" s="1321"/>
      <c r="DP8" s="1321"/>
      <c r="DQ8" s="1321"/>
      <c r="DR8" s="1321"/>
      <c r="DS8" s="1321"/>
      <c r="DT8" s="1321"/>
      <c r="DU8" s="1321"/>
      <c r="DV8" s="1321"/>
      <c r="DW8" s="1321"/>
      <c r="DX8" s="1321"/>
      <c r="DY8" s="1321"/>
      <c r="DZ8" s="1321"/>
      <c r="EA8" s="1321"/>
      <c r="EB8" s="1321"/>
      <c r="EC8" s="1321"/>
      <c r="ED8" s="1321"/>
      <c r="EE8" s="1321"/>
      <c r="EF8" s="1321"/>
      <c r="EG8" s="1321"/>
      <c r="EH8" s="1321"/>
      <c r="EI8" s="1321"/>
    </row>
    <row r="9" spans="1:139" s="180" customFormat="1" ht="10" hidden="1" x14ac:dyDescent="0.2">
      <c r="B9" s="194" t="s">
        <v>358</v>
      </c>
      <c r="C9" s="630"/>
      <c r="D9" s="630">
        <v>1.6</v>
      </c>
      <c r="E9" s="630">
        <v>1.6</v>
      </c>
      <c r="F9" s="630">
        <v>1.6</v>
      </c>
      <c r="G9" s="184"/>
      <c r="H9" s="184"/>
      <c r="I9" s="185"/>
      <c r="J9" s="185"/>
      <c r="K9" s="185"/>
      <c r="L9" s="186"/>
      <c r="M9" s="186"/>
      <c r="N9" s="186"/>
      <c r="O9" s="187"/>
      <c r="P9" s="195"/>
      <c r="Q9" s="195"/>
      <c r="R9" s="186"/>
      <c r="S9" s="193"/>
      <c r="T9" s="193"/>
      <c r="U9" s="190"/>
      <c r="X9" s="191"/>
      <c r="AG9" s="1321"/>
      <c r="AH9" s="1321"/>
      <c r="AI9" s="1321"/>
      <c r="AJ9" s="1321"/>
      <c r="AK9" s="1321"/>
      <c r="AL9" s="1321"/>
      <c r="AM9" s="1321"/>
      <c r="AN9" s="1321"/>
      <c r="AO9" s="1321"/>
      <c r="AP9" s="1321"/>
      <c r="AQ9" s="1321"/>
      <c r="AR9" s="1321"/>
      <c r="AS9" s="1321"/>
      <c r="AT9" s="1321"/>
      <c r="AU9" s="1321"/>
      <c r="AV9" s="1321"/>
      <c r="AW9" s="1321"/>
      <c r="AX9" s="1321"/>
      <c r="AY9" s="1321"/>
      <c r="AZ9" s="1321"/>
      <c r="BA9" s="1321"/>
      <c r="BB9" s="1321"/>
      <c r="BC9" s="1321"/>
      <c r="BD9" s="1321"/>
      <c r="BE9" s="1321"/>
      <c r="BF9" s="1321"/>
      <c r="BG9" s="1321"/>
      <c r="BH9" s="1321"/>
      <c r="BI9" s="1321"/>
      <c r="BJ9" s="1321"/>
      <c r="BK9" s="1321"/>
      <c r="BL9" s="1321"/>
      <c r="BM9" s="1321"/>
      <c r="BN9" s="1321"/>
      <c r="BO9" s="1321"/>
      <c r="BP9" s="1321"/>
      <c r="BQ9" s="1321"/>
      <c r="BR9" s="1321"/>
      <c r="BS9" s="1321"/>
      <c r="BT9" s="1321"/>
      <c r="BU9" s="1321"/>
      <c r="BV9" s="1321"/>
      <c r="BW9" s="1321"/>
      <c r="BX9" s="1321"/>
      <c r="BY9" s="1321"/>
      <c r="BZ9" s="1321"/>
      <c r="CA9" s="1321"/>
      <c r="CB9" s="1321"/>
      <c r="CC9" s="1321"/>
      <c r="CD9" s="1321"/>
      <c r="CE9" s="1321"/>
      <c r="CF9" s="1321"/>
      <c r="CG9" s="1321"/>
      <c r="CH9" s="1321"/>
      <c r="CI9" s="1321"/>
      <c r="CJ9" s="1321"/>
      <c r="CK9" s="1321"/>
      <c r="CL9" s="1321"/>
      <c r="CM9" s="1321"/>
      <c r="CN9" s="1321"/>
      <c r="CO9" s="1321"/>
      <c r="CP9" s="1321"/>
      <c r="CQ9" s="1321"/>
      <c r="CR9" s="1321"/>
      <c r="CS9" s="1321"/>
      <c r="CT9" s="1321"/>
      <c r="CU9" s="1321"/>
      <c r="CV9" s="1321"/>
      <c r="CW9" s="1321"/>
      <c r="CX9" s="1321"/>
      <c r="CY9" s="1321"/>
      <c r="CZ9" s="1321"/>
      <c r="DA9" s="1321"/>
      <c r="DB9" s="1321"/>
      <c r="DC9" s="1321"/>
      <c r="DD9" s="1321"/>
      <c r="DE9" s="1321"/>
      <c r="DF9" s="1321"/>
      <c r="DG9" s="1321"/>
      <c r="DH9" s="1321"/>
      <c r="DI9" s="1321"/>
      <c r="DJ9" s="1321"/>
      <c r="DK9" s="1321"/>
      <c r="DL9" s="1321"/>
      <c r="DM9" s="1321"/>
      <c r="DN9" s="1321"/>
      <c r="DO9" s="1321"/>
      <c r="DP9" s="1321"/>
      <c r="DQ9" s="1321"/>
      <c r="DR9" s="1321"/>
      <c r="DS9" s="1321"/>
      <c r="DT9" s="1321"/>
      <c r="DU9" s="1321"/>
      <c r="DV9" s="1321"/>
      <c r="DW9" s="1321"/>
      <c r="DX9" s="1321"/>
      <c r="DY9" s="1321"/>
      <c r="DZ9" s="1321"/>
      <c r="EA9" s="1321"/>
      <c r="EB9" s="1321"/>
      <c r="EC9" s="1321"/>
      <c r="ED9" s="1321"/>
      <c r="EE9" s="1321"/>
      <c r="EF9" s="1321"/>
      <c r="EG9" s="1321"/>
      <c r="EH9" s="1321"/>
      <c r="EI9" s="1321"/>
    </row>
    <row r="10" spans="1:139" s="180" customFormat="1" ht="10" hidden="1" x14ac:dyDescent="0.2">
      <c r="B10" s="194" t="s">
        <v>359</v>
      </c>
      <c r="C10" s="519"/>
      <c r="D10" s="519">
        <f>D9*D8</f>
        <v>70.56</v>
      </c>
      <c r="E10" s="519">
        <f>E9*E8</f>
        <v>52.367999999999995</v>
      </c>
      <c r="F10" s="519">
        <f>F9*F8</f>
        <v>28.336000000000002</v>
      </c>
      <c r="G10" s="193">
        <v>0</v>
      </c>
      <c r="H10" s="184"/>
      <c r="I10" s="185"/>
      <c r="J10" s="185"/>
      <c r="K10" s="185"/>
      <c r="L10" s="186"/>
      <c r="M10" s="186"/>
      <c r="N10" s="186"/>
      <c r="O10" s="196">
        <f>SUM(O2:O7)</f>
        <v>57</v>
      </c>
      <c r="P10" s="195">
        <f>SUM(P2:P7)</f>
        <v>171</v>
      </c>
      <c r="Q10" s="150">
        <v>94</v>
      </c>
      <c r="R10" s="150">
        <f>Q10/3</f>
        <v>31.333333333333332</v>
      </c>
      <c r="S10" s="193"/>
      <c r="T10" s="193"/>
      <c r="U10" s="190"/>
      <c r="X10" s="191"/>
      <c r="AG10" s="1321"/>
      <c r="AH10" s="1321"/>
      <c r="AI10" s="1321"/>
      <c r="AJ10" s="1321"/>
      <c r="AK10" s="1321"/>
      <c r="AL10" s="1321"/>
      <c r="AM10" s="1321"/>
      <c r="AN10" s="1321"/>
      <c r="AO10" s="1321"/>
      <c r="AP10" s="1321"/>
      <c r="AQ10" s="1321"/>
      <c r="AR10" s="1321"/>
      <c r="AS10" s="1321"/>
      <c r="AT10" s="1321"/>
      <c r="AU10" s="1321"/>
      <c r="AV10" s="1321"/>
      <c r="AW10" s="1321"/>
      <c r="AX10" s="1321"/>
      <c r="AY10" s="1321"/>
      <c r="AZ10" s="1321"/>
      <c r="BA10" s="1321"/>
      <c r="BB10" s="1321"/>
      <c r="BC10" s="1321"/>
      <c r="BD10" s="1321"/>
      <c r="BE10" s="1321"/>
      <c r="BF10" s="1321"/>
      <c r="BG10" s="1321"/>
      <c r="BH10" s="1321"/>
      <c r="BI10" s="1321"/>
      <c r="BJ10" s="1321"/>
      <c r="BK10" s="1321"/>
      <c r="BL10" s="1321"/>
      <c r="BM10" s="1321"/>
      <c r="BN10" s="1321"/>
      <c r="BO10" s="1321"/>
      <c r="BP10" s="1321"/>
      <c r="BQ10" s="1321"/>
      <c r="BR10" s="1321"/>
      <c r="BS10" s="1321"/>
      <c r="BT10" s="1321"/>
      <c r="BU10" s="1321"/>
      <c r="BV10" s="1321"/>
      <c r="BW10" s="1321"/>
      <c r="BX10" s="1321"/>
      <c r="BY10" s="1321"/>
      <c r="BZ10" s="1321"/>
      <c r="CA10" s="1321"/>
      <c r="CB10" s="1321"/>
      <c r="CC10" s="1321"/>
      <c r="CD10" s="1321"/>
      <c r="CE10" s="1321"/>
      <c r="CF10" s="1321"/>
      <c r="CG10" s="1321"/>
      <c r="CH10" s="1321"/>
      <c r="CI10" s="1321"/>
      <c r="CJ10" s="1321"/>
      <c r="CK10" s="1321"/>
      <c r="CL10" s="1321"/>
      <c r="CM10" s="1321"/>
      <c r="CN10" s="1321"/>
      <c r="CO10" s="1321"/>
      <c r="CP10" s="1321"/>
      <c r="CQ10" s="1321"/>
      <c r="CR10" s="1321"/>
      <c r="CS10" s="1321"/>
      <c r="CT10" s="1321"/>
      <c r="CU10" s="1321"/>
      <c r="CV10" s="1321"/>
      <c r="CW10" s="1321"/>
      <c r="CX10" s="1321"/>
      <c r="CY10" s="1321"/>
      <c r="CZ10" s="1321"/>
      <c r="DA10" s="1321"/>
      <c r="DB10" s="1321"/>
      <c r="DC10" s="1321"/>
      <c r="DD10" s="1321"/>
      <c r="DE10" s="1321"/>
      <c r="DF10" s="1321"/>
      <c r="DG10" s="1321"/>
      <c r="DH10" s="1321"/>
      <c r="DI10" s="1321"/>
      <c r="DJ10" s="1321"/>
      <c r="DK10" s="1321"/>
      <c r="DL10" s="1321"/>
      <c r="DM10" s="1321"/>
      <c r="DN10" s="1321"/>
      <c r="DO10" s="1321"/>
      <c r="DP10" s="1321"/>
      <c r="DQ10" s="1321"/>
      <c r="DR10" s="1321"/>
      <c r="DS10" s="1321"/>
      <c r="DT10" s="1321"/>
      <c r="DU10" s="1321"/>
      <c r="DV10" s="1321"/>
      <c r="DW10" s="1321"/>
      <c r="DX10" s="1321"/>
      <c r="DY10" s="1321"/>
      <c r="DZ10" s="1321"/>
      <c r="EA10" s="1321"/>
      <c r="EB10" s="1321"/>
      <c r="EC10" s="1321"/>
      <c r="ED10" s="1321"/>
      <c r="EE10" s="1321"/>
      <c r="EF10" s="1321"/>
      <c r="EG10" s="1321"/>
      <c r="EH10" s="1321"/>
      <c r="EI10" s="1321"/>
    </row>
    <row r="11" spans="1:139" s="180" customFormat="1" ht="10.5" hidden="1" x14ac:dyDescent="0.25">
      <c r="C11" s="184"/>
      <c r="D11" s="184"/>
      <c r="E11" s="184"/>
      <c r="F11" s="184"/>
      <c r="G11" s="184"/>
      <c r="H11" s="197"/>
      <c r="I11" s="198"/>
      <c r="J11" s="198"/>
      <c r="K11" s="198"/>
      <c r="L11" s="186"/>
      <c r="M11" s="186"/>
      <c r="N11" s="186"/>
      <c r="O11" s="187"/>
      <c r="P11" s="195"/>
      <c r="Q11" s="195"/>
      <c r="R11" s="186"/>
      <c r="S11" s="193"/>
      <c r="T11" s="193"/>
      <c r="U11" s="190"/>
      <c r="X11" s="191"/>
      <c r="AG11" s="1321"/>
      <c r="AH11" s="1321"/>
      <c r="AI11" s="1321"/>
      <c r="AJ11" s="1321"/>
      <c r="AK11" s="1321"/>
      <c r="AL11" s="1321"/>
      <c r="AM11" s="1321"/>
      <c r="AN11" s="1321"/>
      <c r="AO11" s="1321"/>
      <c r="AP11" s="1321"/>
      <c r="AQ11" s="1321"/>
      <c r="AR11" s="1321"/>
      <c r="AS11" s="1321"/>
      <c r="AT11" s="1321"/>
      <c r="AU11" s="1321"/>
      <c r="AV11" s="1321"/>
      <c r="AW11" s="1321"/>
      <c r="AX11" s="1321"/>
      <c r="AY11" s="1321"/>
      <c r="AZ11" s="1321"/>
      <c r="BA11" s="1321"/>
      <c r="BB11" s="1321"/>
      <c r="BC11" s="1321"/>
      <c r="BD11" s="1321"/>
      <c r="BE11" s="1321"/>
      <c r="BF11" s="1321"/>
      <c r="BG11" s="1321"/>
      <c r="BH11" s="1321"/>
      <c r="BI11" s="1321"/>
      <c r="BJ11" s="1321"/>
      <c r="BK11" s="1321"/>
      <c r="BL11" s="1321"/>
      <c r="BM11" s="1321"/>
      <c r="BN11" s="1321"/>
      <c r="BO11" s="1321"/>
      <c r="BP11" s="1321"/>
      <c r="BQ11" s="1321"/>
      <c r="BR11" s="1321"/>
      <c r="BS11" s="1321"/>
      <c r="BT11" s="1321"/>
      <c r="BU11" s="1321"/>
      <c r="BV11" s="1321"/>
      <c r="BW11" s="1321"/>
      <c r="BX11" s="1321"/>
      <c r="BY11" s="1321"/>
      <c r="BZ11" s="1321"/>
      <c r="CA11" s="1321"/>
      <c r="CB11" s="1321"/>
      <c r="CC11" s="1321"/>
      <c r="CD11" s="1321"/>
      <c r="CE11" s="1321"/>
      <c r="CF11" s="1321"/>
      <c r="CG11" s="1321"/>
      <c r="CH11" s="1321"/>
      <c r="CI11" s="1321"/>
      <c r="CJ11" s="1321"/>
      <c r="CK11" s="1321"/>
      <c r="CL11" s="1321"/>
      <c r="CM11" s="1321"/>
      <c r="CN11" s="1321"/>
      <c r="CO11" s="1321"/>
      <c r="CP11" s="1321"/>
      <c r="CQ11" s="1321"/>
      <c r="CR11" s="1321"/>
      <c r="CS11" s="1321"/>
      <c r="CT11" s="1321"/>
      <c r="CU11" s="1321"/>
      <c r="CV11" s="1321"/>
      <c r="CW11" s="1321"/>
      <c r="CX11" s="1321"/>
      <c r="CY11" s="1321"/>
      <c r="CZ11" s="1321"/>
      <c r="DA11" s="1321"/>
      <c r="DB11" s="1321"/>
      <c r="DC11" s="1321"/>
      <c r="DD11" s="1321"/>
      <c r="DE11" s="1321"/>
      <c r="DF11" s="1321"/>
      <c r="DG11" s="1321"/>
      <c r="DH11" s="1321"/>
      <c r="DI11" s="1321"/>
      <c r="DJ11" s="1321"/>
      <c r="DK11" s="1321"/>
      <c r="DL11" s="1321"/>
      <c r="DM11" s="1321"/>
      <c r="DN11" s="1321"/>
      <c r="DO11" s="1321"/>
      <c r="DP11" s="1321"/>
      <c r="DQ11" s="1321"/>
      <c r="DR11" s="1321"/>
      <c r="DS11" s="1321"/>
      <c r="DT11" s="1321"/>
      <c r="DU11" s="1321"/>
      <c r="DV11" s="1321"/>
      <c r="DW11" s="1321"/>
      <c r="DX11" s="1321"/>
      <c r="DY11" s="1321"/>
      <c r="DZ11" s="1321"/>
      <c r="EA11" s="1321"/>
      <c r="EB11" s="1321"/>
      <c r="EC11" s="1321"/>
      <c r="ED11" s="1321"/>
      <c r="EE11" s="1321"/>
      <c r="EF11" s="1321"/>
      <c r="EG11" s="1321"/>
      <c r="EH11" s="1321"/>
      <c r="EI11" s="1321"/>
    </row>
    <row r="12" spans="1:139" s="180" customFormat="1" ht="12.75" customHeight="1" x14ac:dyDescent="0.3">
      <c r="A12" s="199" t="s">
        <v>360</v>
      </c>
      <c r="B12" s="200"/>
      <c r="C12" s="201"/>
      <c r="D12" s="201"/>
      <c r="E12" s="201"/>
      <c r="F12" s="201"/>
      <c r="G12" s="201"/>
      <c r="H12" s="201"/>
      <c r="I12" s="202"/>
      <c r="J12" s="202"/>
      <c r="K12" s="202"/>
      <c r="L12" s="203"/>
      <c r="M12" s="203"/>
      <c r="N12" s="203"/>
      <c r="O12" s="204"/>
      <c r="P12" s="205"/>
      <c r="Q12" s="205"/>
      <c r="R12" s="206"/>
      <c r="S12" s="193"/>
      <c r="T12" s="193"/>
      <c r="U12" s="190"/>
      <c r="X12" s="191"/>
      <c r="AA12" s="146" t="s">
        <v>361</v>
      </c>
      <c r="AB12" s="1"/>
      <c r="AC12" s="1"/>
      <c r="AD12" s="1"/>
      <c r="AE12" s="1"/>
      <c r="AF12" s="2"/>
      <c r="AG12" s="1321"/>
      <c r="AH12" s="1321"/>
      <c r="AI12" s="1321"/>
      <c r="AJ12" s="1321"/>
      <c r="AK12" s="1321"/>
      <c r="AL12" s="1321"/>
      <c r="AM12" s="1321"/>
      <c r="AN12" s="1321"/>
      <c r="AO12" s="1321"/>
      <c r="AP12" s="1321"/>
      <c r="AQ12" s="1321"/>
      <c r="AR12" s="1321"/>
      <c r="AS12" s="1321"/>
      <c r="AT12" s="1321"/>
      <c r="AU12" s="1321"/>
      <c r="AV12" s="1321"/>
      <c r="AW12" s="1321"/>
      <c r="AX12" s="1321"/>
      <c r="AY12" s="1321"/>
      <c r="AZ12" s="1321"/>
      <c r="BA12" s="1321"/>
      <c r="BB12" s="1321"/>
      <c r="BC12" s="1321"/>
      <c r="BD12" s="1321"/>
      <c r="BE12" s="1321"/>
      <c r="BF12" s="1321"/>
      <c r="BG12" s="1321"/>
      <c r="BH12" s="1321"/>
      <c r="BI12" s="1321"/>
      <c r="BJ12" s="1321"/>
      <c r="BK12" s="1321"/>
      <c r="BL12" s="1321"/>
      <c r="BM12" s="1321"/>
      <c r="BN12" s="1321"/>
      <c r="BO12" s="1321"/>
      <c r="BP12" s="1321"/>
      <c r="BQ12" s="1321"/>
      <c r="BR12" s="1321"/>
      <c r="BS12" s="1321"/>
      <c r="BT12" s="1321"/>
      <c r="BU12" s="1321"/>
      <c r="BV12" s="1321"/>
      <c r="BW12" s="1321"/>
      <c r="BX12" s="1321"/>
      <c r="BY12" s="1321"/>
      <c r="BZ12" s="1321"/>
      <c r="CA12" s="1321"/>
      <c r="CB12" s="1321"/>
      <c r="CC12" s="1321"/>
      <c r="CD12" s="1321"/>
      <c r="CE12" s="1321"/>
      <c r="CF12" s="1321"/>
      <c r="CG12" s="1321"/>
      <c r="CH12" s="1321"/>
      <c r="CI12" s="1321"/>
      <c r="CJ12" s="1321"/>
      <c r="CK12" s="1321"/>
      <c r="CL12" s="1321"/>
      <c r="CM12" s="1321"/>
      <c r="CN12" s="1321"/>
      <c r="CO12" s="1321"/>
      <c r="CP12" s="1321"/>
      <c r="CQ12" s="1321"/>
      <c r="CR12" s="1321"/>
      <c r="CS12" s="1321"/>
      <c r="CT12" s="1321"/>
      <c r="CU12" s="1321"/>
      <c r="CV12" s="1321"/>
      <c r="CW12" s="1321"/>
      <c r="CX12" s="1321"/>
      <c r="CY12" s="1321"/>
      <c r="CZ12" s="1321"/>
      <c r="DA12" s="1321"/>
      <c r="DB12" s="1321"/>
      <c r="DC12" s="1321"/>
      <c r="DD12" s="1321"/>
      <c r="DE12" s="1321"/>
      <c r="DF12" s="1321"/>
      <c r="DG12" s="1321"/>
      <c r="DH12" s="1321"/>
      <c r="DI12" s="1321"/>
      <c r="DJ12" s="1321"/>
      <c r="DK12" s="1321"/>
      <c r="DL12" s="1321"/>
      <c r="DM12" s="1321"/>
      <c r="DN12" s="1321"/>
      <c r="DO12" s="1321"/>
      <c r="DP12" s="1321"/>
      <c r="DQ12" s="1321"/>
      <c r="DR12" s="1321"/>
      <c r="DS12" s="1321"/>
      <c r="DT12" s="1321"/>
      <c r="DU12" s="1321"/>
      <c r="DV12" s="1321"/>
      <c r="DW12" s="1321"/>
      <c r="DX12" s="1321"/>
      <c r="DY12" s="1321"/>
      <c r="DZ12" s="1321"/>
      <c r="EA12" s="1321"/>
      <c r="EB12" s="1321"/>
      <c r="EC12" s="1321"/>
      <c r="ED12" s="1321"/>
      <c r="EE12" s="1321"/>
      <c r="EF12" s="1321"/>
      <c r="EG12" s="1321"/>
      <c r="EH12" s="1321"/>
      <c r="EI12" s="1321"/>
    </row>
    <row r="13" spans="1:139" s="180" customFormat="1" ht="12.75" customHeight="1" x14ac:dyDescent="0.25">
      <c r="A13" s="207"/>
      <c r="B13" s="208"/>
      <c r="C13" s="209"/>
      <c r="D13" s="570"/>
      <c r="E13" s="571" t="s">
        <v>362</v>
      </c>
      <c r="F13" s="570"/>
      <c r="G13" s="570"/>
      <c r="H13" s="570"/>
      <c r="I13" s="572"/>
      <c r="J13" s="572"/>
      <c r="K13" s="572"/>
      <c r="L13" s="573"/>
      <c r="M13" s="573"/>
      <c r="N13" s="574"/>
      <c r="O13" s="575"/>
      <c r="P13" s="576" t="s">
        <v>10</v>
      </c>
      <c r="Q13" s="576"/>
      <c r="R13" s="577"/>
      <c r="S13" s="193"/>
      <c r="T13" s="193"/>
      <c r="U13" s="190"/>
      <c r="X13" s="191"/>
      <c r="AA13" s="1"/>
      <c r="AB13" s="1"/>
      <c r="AC13" s="1"/>
      <c r="AD13" s="1"/>
      <c r="AE13" s="1"/>
      <c r="AF13" s="2"/>
      <c r="AG13" s="1321"/>
      <c r="AH13" s="1321"/>
      <c r="AI13" s="1321"/>
      <c r="AJ13" s="1321"/>
      <c r="AK13" s="1321"/>
      <c r="AL13" s="1321"/>
      <c r="AM13" s="1321"/>
      <c r="AN13" s="1321"/>
      <c r="AO13" s="1321"/>
      <c r="AP13" s="1321"/>
      <c r="AQ13" s="1321"/>
      <c r="AR13" s="1321"/>
      <c r="AS13" s="1321"/>
      <c r="AT13" s="1321"/>
      <c r="AU13" s="1321"/>
      <c r="AV13" s="1321"/>
      <c r="AW13" s="1321"/>
      <c r="AX13" s="1321"/>
      <c r="AY13" s="1321"/>
      <c r="AZ13" s="1321"/>
      <c r="BA13" s="1321"/>
      <c r="BB13" s="1321"/>
      <c r="BC13" s="1321"/>
      <c r="BD13" s="1321"/>
      <c r="BE13" s="1321"/>
      <c r="BF13" s="1321"/>
      <c r="BG13" s="1321"/>
      <c r="BH13" s="1321"/>
      <c r="BI13" s="1321"/>
      <c r="BJ13" s="1321"/>
      <c r="BK13" s="1321"/>
      <c r="BL13" s="1321"/>
      <c r="BM13" s="1321"/>
      <c r="BN13" s="1321"/>
      <c r="BO13" s="1321"/>
      <c r="BP13" s="1321"/>
      <c r="BQ13" s="1321"/>
      <c r="BR13" s="1321"/>
      <c r="BS13" s="1321"/>
      <c r="BT13" s="1321"/>
      <c r="BU13" s="1321"/>
      <c r="BV13" s="1321"/>
      <c r="BW13" s="1321"/>
      <c r="BX13" s="1321"/>
      <c r="BY13" s="1321"/>
      <c r="BZ13" s="1321"/>
      <c r="CA13" s="1321"/>
      <c r="CB13" s="1321"/>
      <c r="CC13" s="1321"/>
      <c r="CD13" s="1321"/>
      <c r="CE13" s="1321"/>
      <c r="CF13" s="1321"/>
      <c r="CG13" s="1321"/>
      <c r="CH13" s="1321"/>
      <c r="CI13" s="1321"/>
      <c r="CJ13" s="1321"/>
      <c r="CK13" s="1321"/>
      <c r="CL13" s="1321"/>
      <c r="CM13" s="1321"/>
      <c r="CN13" s="1321"/>
      <c r="CO13" s="1321"/>
      <c r="CP13" s="1321"/>
      <c r="CQ13" s="1321"/>
      <c r="CR13" s="1321"/>
      <c r="CS13" s="1321"/>
      <c r="CT13" s="1321"/>
      <c r="CU13" s="1321"/>
      <c r="CV13" s="1321"/>
      <c r="CW13" s="1321"/>
      <c r="CX13" s="1321"/>
      <c r="CY13" s="1321"/>
      <c r="CZ13" s="1321"/>
      <c r="DA13" s="1321"/>
      <c r="DB13" s="1321"/>
      <c r="DC13" s="1321"/>
      <c r="DD13" s="1321"/>
      <c r="DE13" s="1321"/>
      <c r="DF13" s="1321"/>
      <c r="DG13" s="1321"/>
      <c r="DH13" s="1321"/>
      <c r="DI13" s="1321"/>
      <c r="DJ13" s="1321"/>
      <c r="DK13" s="1321"/>
      <c r="DL13" s="1321"/>
      <c r="DM13" s="1321"/>
      <c r="DN13" s="1321"/>
      <c r="DO13" s="1321"/>
      <c r="DP13" s="1321"/>
      <c r="DQ13" s="1321"/>
      <c r="DR13" s="1321"/>
      <c r="DS13" s="1321"/>
      <c r="DT13" s="1321"/>
      <c r="DU13" s="1321"/>
      <c r="DV13" s="1321"/>
      <c r="DW13" s="1321"/>
      <c r="DX13" s="1321"/>
      <c r="DY13" s="1321"/>
      <c r="DZ13" s="1321"/>
      <c r="EA13" s="1321"/>
      <c r="EB13" s="1321"/>
      <c r="EC13" s="1321"/>
      <c r="ED13" s="1321"/>
      <c r="EE13" s="1321"/>
      <c r="EF13" s="1321"/>
      <c r="EG13" s="1321"/>
      <c r="EH13" s="1321"/>
      <c r="EI13" s="1321"/>
    </row>
    <row r="14" spans="1:139" s="180" customFormat="1" ht="12.75" customHeight="1" x14ac:dyDescent="0.25">
      <c r="A14" s="210"/>
      <c r="B14" s="211"/>
      <c r="C14" s="212" t="s">
        <v>363</v>
      </c>
      <c r="D14" s="578"/>
      <c r="E14" s="578"/>
      <c r="F14" s="578"/>
      <c r="G14" s="578"/>
      <c r="H14" s="197"/>
      <c r="I14" s="198"/>
      <c r="J14" s="198"/>
      <c r="K14" s="198"/>
      <c r="L14" s="579"/>
      <c r="M14" s="579"/>
      <c r="N14" s="580"/>
      <c r="O14" s="581"/>
      <c r="P14" s="582"/>
      <c r="Q14" s="582"/>
      <c r="R14" s="580"/>
      <c r="S14" s="1350" t="s">
        <v>194</v>
      </c>
      <c r="T14" s="213" t="s">
        <v>195</v>
      </c>
      <c r="U14" s="214"/>
      <c r="V14" s="214"/>
      <c r="W14" s="214"/>
      <c r="X14" s="214"/>
      <c r="Y14" s="215"/>
      <c r="AA14" s="147"/>
      <c r="AB14" s="147" t="s">
        <v>225</v>
      </c>
      <c r="AC14" s="147" t="s">
        <v>226</v>
      </c>
      <c r="AD14" s="147" t="s">
        <v>227</v>
      </c>
      <c r="AE14" s="147" t="s">
        <v>228</v>
      </c>
      <c r="AF14" s="2"/>
      <c r="AG14" s="1321"/>
      <c r="AH14" s="1321"/>
      <c r="AI14" s="1321"/>
      <c r="AJ14" s="1321"/>
      <c r="AK14" s="1321"/>
      <c r="AL14" s="1321"/>
      <c r="AM14" s="1321"/>
      <c r="AN14" s="1321"/>
      <c r="AO14" s="1321"/>
      <c r="AP14" s="1321"/>
      <c r="AQ14" s="1321"/>
      <c r="AR14" s="1321"/>
      <c r="AS14" s="1321"/>
      <c r="AT14" s="1321"/>
      <c r="AU14" s="1321"/>
      <c r="AV14" s="1321"/>
      <c r="AW14" s="1321"/>
      <c r="AX14" s="1321"/>
      <c r="AY14" s="1321"/>
      <c r="AZ14" s="1321"/>
      <c r="BA14" s="1321"/>
      <c r="BB14" s="1321"/>
      <c r="BC14" s="1321"/>
      <c r="BD14" s="1321"/>
      <c r="BE14" s="1321"/>
      <c r="BF14" s="1321"/>
      <c r="BG14" s="1321"/>
      <c r="BH14" s="1321"/>
      <c r="BI14" s="1321"/>
      <c r="BJ14" s="1321"/>
      <c r="BK14" s="1321"/>
      <c r="BL14" s="1321"/>
      <c r="BM14" s="1321"/>
      <c r="BN14" s="1321"/>
      <c r="BO14" s="1321"/>
      <c r="BP14" s="1321"/>
      <c r="BQ14" s="1321"/>
      <c r="BR14" s="1321"/>
      <c r="BS14" s="1321"/>
      <c r="BT14" s="1321"/>
      <c r="BU14" s="1321"/>
      <c r="BV14" s="1321"/>
      <c r="BW14" s="1321"/>
      <c r="BX14" s="1321"/>
      <c r="BY14" s="1321"/>
      <c r="BZ14" s="1321"/>
      <c r="CA14" s="1321"/>
      <c r="CB14" s="1321"/>
      <c r="CC14" s="1321"/>
      <c r="CD14" s="1321"/>
      <c r="CE14" s="1321"/>
      <c r="CF14" s="1321"/>
      <c r="CG14" s="1321"/>
      <c r="CH14" s="1321"/>
      <c r="CI14" s="1321"/>
      <c r="CJ14" s="1321"/>
      <c r="CK14" s="1321"/>
      <c r="CL14" s="1321"/>
      <c r="CM14" s="1321"/>
      <c r="CN14" s="1321"/>
      <c r="CO14" s="1321"/>
      <c r="CP14" s="1321"/>
      <c r="CQ14" s="1321"/>
      <c r="CR14" s="1321"/>
      <c r="CS14" s="1321"/>
      <c r="CT14" s="1321"/>
      <c r="CU14" s="1321"/>
      <c r="CV14" s="1321"/>
      <c r="CW14" s="1321"/>
      <c r="CX14" s="1321"/>
      <c r="CY14" s="1321"/>
      <c r="CZ14" s="1321"/>
      <c r="DA14" s="1321"/>
      <c r="DB14" s="1321"/>
      <c r="DC14" s="1321"/>
      <c r="DD14" s="1321"/>
      <c r="DE14" s="1321"/>
      <c r="DF14" s="1321"/>
      <c r="DG14" s="1321"/>
      <c r="DH14" s="1321"/>
      <c r="DI14" s="1321"/>
      <c r="DJ14" s="1321"/>
      <c r="DK14" s="1321"/>
      <c r="DL14" s="1321"/>
      <c r="DM14" s="1321"/>
      <c r="DN14" s="1321"/>
      <c r="DO14" s="1321"/>
      <c r="DP14" s="1321"/>
      <c r="DQ14" s="1321"/>
      <c r="DR14" s="1321"/>
      <c r="DS14" s="1321"/>
      <c r="DT14" s="1321"/>
      <c r="DU14" s="1321"/>
      <c r="DV14" s="1321"/>
      <c r="DW14" s="1321"/>
      <c r="DX14" s="1321"/>
      <c r="DY14" s="1321"/>
      <c r="DZ14" s="1321"/>
      <c r="EA14" s="1321"/>
      <c r="EB14" s="1321"/>
      <c r="EC14" s="1321"/>
      <c r="ED14" s="1321"/>
      <c r="EE14" s="1321"/>
      <c r="EF14" s="1321"/>
      <c r="EG14" s="1321"/>
      <c r="EH14" s="1321"/>
      <c r="EI14" s="1321"/>
    </row>
    <row r="15" spans="1:139" s="180" customFormat="1" ht="12.75" customHeight="1" x14ac:dyDescent="0.25">
      <c r="A15" s="210"/>
      <c r="B15" s="211"/>
      <c r="C15" s="216" t="s">
        <v>5</v>
      </c>
      <c r="D15" s="583" t="s">
        <v>6</v>
      </c>
      <c r="E15" s="583" t="s">
        <v>7</v>
      </c>
      <c r="F15" s="583" t="s">
        <v>8</v>
      </c>
      <c r="G15" s="583" t="s">
        <v>9</v>
      </c>
      <c r="H15" s="583" t="s">
        <v>364</v>
      </c>
      <c r="I15" s="584"/>
      <c r="J15" s="584"/>
      <c r="K15" s="584"/>
      <c r="L15" s="585" t="s">
        <v>224</v>
      </c>
      <c r="M15" s="585" t="s">
        <v>12</v>
      </c>
      <c r="N15" s="586" t="s">
        <v>365</v>
      </c>
      <c r="O15" s="587" t="s">
        <v>366</v>
      </c>
      <c r="P15" s="588" t="s">
        <v>224</v>
      </c>
      <c r="Q15" s="588" t="s">
        <v>367</v>
      </c>
      <c r="R15" s="586" t="s">
        <v>11</v>
      </c>
      <c r="S15" s="1351"/>
      <c r="T15" s="218" t="s">
        <v>192</v>
      </c>
      <c r="U15" s="218"/>
      <c r="V15" s="218"/>
      <c r="W15" s="218" t="s">
        <v>193</v>
      </c>
      <c r="X15" s="218"/>
      <c r="Y15" s="218"/>
      <c r="AA15" s="89" t="s">
        <v>192</v>
      </c>
      <c r="AB15" s="219" t="e">
        <f>AC15/AF15</f>
        <v>#DIV/0!</v>
      </c>
      <c r="AC15" s="148">
        <f>U190</f>
        <v>0</v>
      </c>
      <c r="AD15" s="149" t="e">
        <f>AE15/AF15</f>
        <v>#DIV/0!</v>
      </c>
      <c r="AE15" s="149">
        <f>V190</f>
        <v>0</v>
      </c>
      <c r="AF15" s="67">
        <f>T190</f>
        <v>0</v>
      </c>
      <c r="AG15" s="1321"/>
      <c r="AH15" s="1321"/>
      <c r="AI15" s="1321"/>
      <c r="AJ15" s="1321"/>
      <c r="AK15" s="1321"/>
      <c r="AL15" s="1321"/>
      <c r="AM15" s="1321"/>
      <c r="AN15" s="1321"/>
      <c r="AO15" s="1321"/>
      <c r="AP15" s="1321"/>
      <c r="AQ15" s="1321"/>
      <c r="AR15" s="1321"/>
      <c r="AS15" s="1321"/>
      <c r="AT15" s="1321"/>
      <c r="AU15" s="1321"/>
      <c r="AV15" s="1321"/>
      <c r="AW15" s="1321"/>
      <c r="AX15" s="1321"/>
      <c r="AY15" s="1321"/>
      <c r="AZ15" s="1321"/>
      <c r="BA15" s="1321"/>
      <c r="BB15" s="1321"/>
      <c r="BC15" s="1321"/>
      <c r="BD15" s="1321"/>
      <c r="BE15" s="1321"/>
      <c r="BF15" s="1321"/>
      <c r="BG15" s="1321"/>
      <c r="BH15" s="1321"/>
      <c r="BI15" s="1321"/>
      <c r="BJ15" s="1321"/>
      <c r="BK15" s="1321"/>
      <c r="BL15" s="1321"/>
      <c r="BM15" s="1321"/>
      <c r="BN15" s="1321"/>
      <c r="BO15" s="1321"/>
      <c r="BP15" s="1321"/>
      <c r="BQ15" s="1321"/>
      <c r="BR15" s="1321"/>
      <c r="BS15" s="1321"/>
      <c r="BT15" s="1321"/>
      <c r="BU15" s="1321"/>
      <c r="BV15" s="1321"/>
      <c r="BW15" s="1321"/>
      <c r="BX15" s="1321"/>
      <c r="BY15" s="1321"/>
      <c r="BZ15" s="1321"/>
      <c r="CA15" s="1321"/>
      <c r="CB15" s="1321"/>
      <c r="CC15" s="1321"/>
      <c r="CD15" s="1321"/>
      <c r="CE15" s="1321"/>
      <c r="CF15" s="1321"/>
      <c r="CG15" s="1321"/>
      <c r="CH15" s="1321"/>
      <c r="CI15" s="1321"/>
      <c r="CJ15" s="1321"/>
      <c r="CK15" s="1321"/>
      <c r="CL15" s="1321"/>
      <c r="CM15" s="1321"/>
      <c r="CN15" s="1321"/>
      <c r="CO15" s="1321"/>
      <c r="CP15" s="1321"/>
      <c r="CQ15" s="1321"/>
      <c r="CR15" s="1321"/>
      <c r="CS15" s="1321"/>
      <c r="CT15" s="1321"/>
      <c r="CU15" s="1321"/>
      <c r="CV15" s="1321"/>
      <c r="CW15" s="1321"/>
      <c r="CX15" s="1321"/>
      <c r="CY15" s="1321"/>
      <c r="CZ15" s="1321"/>
      <c r="DA15" s="1321"/>
      <c r="DB15" s="1321"/>
      <c r="DC15" s="1321"/>
      <c r="DD15" s="1321"/>
      <c r="DE15" s="1321"/>
      <c r="DF15" s="1321"/>
      <c r="DG15" s="1321"/>
      <c r="DH15" s="1321"/>
      <c r="DI15" s="1321"/>
      <c r="DJ15" s="1321"/>
      <c r="DK15" s="1321"/>
      <c r="DL15" s="1321"/>
      <c r="DM15" s="1321"/>
      <c r="DN15" s="1321"/>
      <c r="DO15" s="1321"/>
      <c r="DP15" s="1321"/>
      <c r="DQ15" s="1321"/>
      <c r="DR15" s="1321"/>
      <c r="DS15" s="1321"/>
      <c r="DT15" s="1321"/>
      <c r="DU15" s="1321"/>
      <c r="DV15" s="1321"/>
      <c r="DW15" s="1321"/>
      <c r="DX15" s="1321"/>
      <c r="DY15" s="1321"/>
      <c r="DZ15" s="1321"/>
      <c r="EA15" s="1321"/>
      <c r="EB15" s="1321"/>
      <c r="EC15" s="1321"/>
      <c r="ED15" s="1321"/>
      <c r="EE15" s="1321"/>
      <c r="EF15" s="1321"/>
      <c r="EG15" s="1321"/>
      <c r="EH15" s="1321"/>
      <c r="EI15" s="1321"/>
    </row>
    <row r="16" spans="1:139" s="180" customFormat="1" ht="12.75" customHeight="1" x14ac:dyDescent="0.25">
      <c r="A16" s="210"/>
      <c r="B16" s="211"/>
      <c r="C16" s="611">
        <f>C10</f>
        <v>0</v>
      </c>
      <c r="D16" s="612">
        <f>D10</f>
        <v>70.56</v>
      </c>
      <c r="E16" s="612">
        <f>E10</f>
        <v>52.367999999999995</v>
      </c>
      <c r="F16" s="612">
        <f>F10</f>
        <v>28.336000000000002</v>
      </c>
      <c r="G16" s="613">
        <v>0</v>
      </c>
      <c r="H16" s="583" t="s">
        <v>221</v>
      </c>
      <c r="I16" s="584"/>
      <c r="J16" s="584"/>
      <c r="K16" s="584"/>
      <c r="L16" s="585" t="s">
        <v>368</v>
      </c>
      <c r="M16" s="585" t="s">
        <v>15</v>
      </c>
      <c r="N16" s="586" t="s">
        <v>177</v>
      </c>
      <c r="O16" s="589" t="s">
        <v>664</v>
      </c>
      <c r="P16" s="588" t="s">
        <v>176</v>
      </c>
      <c r="Q16" s="588" t="s">
        <v>177</v>
      </c>
      <c r="R16" s="586" t="s">
        <v>669</v>
      </c>
      <c r="S16" s="1351"/>
      <c r="T16" s="220"/>
      <c r="U16" s="220"/>
      <c r="V16" s="220"/>
      <c r="W16" s="220"/>
      <c r="X16" s="220"/>
      <c r="Y16" s="220"/>
      <c r="AA16" s="89" t="s">
        <v>193</v>
      </c>
      <c r="AB16" s="219" t="e">
        <f>AC16/AF16</f>
        <v>#DIV/0!</v>
      </c>
      <c r="AC16" s="148">
        <f>X190</f>
        <v>0</v>
      </c>
      <c r="AD16" s="149" t="e">
        <f>AE16/AF16</f>
        <v>#DIV/0!</v>
      </c>
      <c r="AE16" s="149">
        <f>Y190</f>
        <v>0</v>
      </c>
      <c r="AF16" s="67">
        <f>W190</f>
        <v>0</v>
      </c>
      <c r="AG16" s="1321"/>
      <c r="AH16" s="1321"/>
      <c r="AI16" s="1321"/>
      <c r="AJ16" s="1321"/>
      <c r="AK16" s="1321"/>
      <c r="AL16" s="1321"/>
      <c r="AM16" s="1321"/>
      <c r="AN16" s="1321"/>
      <c r="AO16" s="1321"/>
      <c r="AP16" s="1321"/>
      <c r="AQ16" s="1321"/>
      <c r="AR16" s="1321"/>
      <c r="AS16" s="1321"/>
      <c r="AT16" s="1321"/>
      <c r="AU16" s="1321"/>
      <c r="AV16" s="1321"/>
      <c r="AW16" s="1321"/>
      <c r="AX16" s="1321"/>
      <c r="AY16" s="1321"/>
      <c r="AZ16" s="1321"/>
      <c r="BA16" s="1321"/>
      <c r="BB16" s="1321"/>
      <c r="BC16" s="1321"/>
      <c r="BD16" s="1321"/>
      <c r="BE16" s="1321"/>
      <c r="BF16" s="1321"/>
      <c r="BG16" s="1321"/>
      <c r="BH16" s="1321"/>
      <c r="BI16" s="1321"/>
      <c r="BJ16" s="1321"/>
      <c r="BK16" s="1321"/>
      <c r="BL16" s="1321"/>
      <c r="BM16" s="1321"/>
      <c r="BN16" s="1321"/>
      <c r="BO16" s="1321"/>
      <c r="BP16" s="1321"/>
      <c r="BQ16" s="1321"/>
      <c r="BR16" s="1321"/>
      <c r="BS16" s="1321"/>
      <c r="BT16" s="1321"/>
      <c r="BU16" s="1321"/>
      <c r="BV16" s="1321"/>
      <c r="BW16" s="1321"/>
      <c r="BX16" s="1321"/>
      <c r="BY16" s="1321"/>
      <c r="BZ16" s="1321"/>
      <c r="CA16" s="1321"/>
      <c r="CB16" s="1321"/>
      <c r="CC16" s="1321"/>
      <c r="CD16" s="1321"/>
      <c r="CE16" s="1321"/>
      <c r="CF16" s="1321"/>
      <c r="CG16" s="1321"/>
      <c r="CH16" s="1321"/>
      <c r="CI16" s="1321"/>
      <c r="CJ16" s="1321"/>
      <c r="CK16" s="1321"/>
      <c r="CL16" s="1321"/>
      <c r="CM16" s="1321"/>
      <c r="CN16" s="1321"/>
      <c r="CO16" s="1321"/>
      <c r="CP16" s="1321"/>
      <c r="CQ16" s="1321"/>
      <c r="CR16" s="1321"/>
      <c r="CS16" s="1321"/>
      <c r="CT16" s="1321"/>
      <c r="CU16" s="1321"/>
      <c r="CV16" s="1321"/>
      <c r="CW16" s="1321"/>
      <c r="CX16" s="1321"/>
      <c r="CY16" s="1321"/>
      <c r="CZ16" s="1321"/>
      <c r="DA16" s="1321"/>
      <c r="DB16" s="1321"/>
      <c r="DC16" s="1321"/>
      <c r="DD16" s="1321"/>
      <c r="DE16" s="1321"/>
      <c r="DF16" s="1321"/>
      <c r="DG16" s="1321"/>
      <c r="DH16" s="1321"/>
      <c r="DI16" s="1321"/>
      <c r="DJ16" s="1321"/>
      <c r="DK16" s="1321"/>
      <c r="DL16" s="1321"/>
      <c r="DM16" s="1321"/>
      <c r="DN16" s="1321"/>
      <c r="DO16" s="1321"/>
      <c r="DP16" s="1321"/>
      <c r="DQ16" s="1321"/>
      <c r="DR16" s="1321"/>
      <c r="DS16" s="1321"/>
      <c r="DT16" s="1321"/>
      <c r="DU16" s="1321"/>
      <c r="DV16" s="1321"/>
      <c r="DW16" s="1321"/>
      <c r="DX16" s="1321"/>
      <c r="DY16" s="1321"/>
      <c r="DZ16" s="1321"/>
      <c r="EA16" s="1321"/>
      <c r="EB16" s="1321"/>
      <c r="EC16" s="1321"/>
      <c r="ED16" s="1321"/>
      <c r="EE16" s="1321"/>
      <c r="EF16" s="1321"/>
      <c r="EG16" s="1321"/>
      <c r="EH16" s="1321"/>
      <c r="EI16" s="1321"/>
    </row>
    <row r="17" spans="1:139" s="180" customFormat="1" ht="12.75" customHeight="1" x14ac:dyDescent="0.25">
      <c r="A17" s="598" t="s">
        <v>17</v>
      </c>
      <c r="B17" s="597"/>
      <c r="C17" s="216"/>
      <c r="D17" s="583" t="s">
        <v>19</v>
      </c>
      <c r="E17" s="583" t="s">
        <v>19</v>
      </c>
      <c r="F17" s="583" t="s">
        <v>19</v>
      </c>
      <c r="G17" s="583" t="s">
        <v>19</v>
      </c>
      <c r="H17" s="583" t="s">
        <v>19</v>
      </c>
      <c r="I17" s="584"/>
      <c r="J17" s="584"/>
      <c r="K17" s="584"/>
      <c r="L17" s="585" t="s">
        <v>19</v>
      </c>
      <c r="M17" s="585" t="s">
        <v>19</v>
      </c>
      <c r="N17" s="586" t="s">
        <v>19</v>
      </c>
      <c r="O17" s="590" t="s">
        <v>19</v>
      </c>
      <c r="P17" s="588" t="s">
        <v>19</v>
      </c>
      <c r="Q17" s="585" t="s">
        <v>19</v>
      </c>
      <c r="R17" s="586" t="s">
        <v>19</v>
      </c>
      <c r="S17" s="1352"/>
      <c r="T17" s="223" t="s">
        <v>196</v>
      </c>
      <c r="U17" s="223" t="s">
        <v>197</v>
      </c>
      <c r="V17" s="223" t="s">
        <v>369</v>
      </c>
      <c r="W17" s="223" t="s">
        <v>196</v>
      </c>
      <c r="X17" s="223" t="s">
        <v>197</v>
      </c>
      <c r="Y17" s="223" t="s">
        <v>369</v>
      </c>
      <c r="AA17" s="89" t="s">
        <v>370</v>
      </c>
      <c r="AB17" s="219"/>
      <c r="AC17" s="148"/>
      <c r="AD17" s="149"/>
      <c r="AE17" s="149"/>
      <c r="AF17" s="2"/>
      <c r="AG17" s="1321"/>
      <c r="AH17" s="1321"/>
      <c r="AI17" s="1321"/>
      <c r="AJ17" s="1321"/>
      <c r="AK17" s="1321"/>
      <c r="AL17" s="1321"/>
      <c r="AM17" s="1321"/>
      <c r="AN17" s="1321"/>
      <c r="AO17" s="1321"/>
      <c r="AP17" s="1321"/>
      <c r="AQ17" s="1321"/>
      <c r="AR17" s="1321"/>
      <c r="AS17" s="1321"/>
      <c r="AT17" s="1321"/>
      <c r="AU17" s="1321"/>
      <c r="AV17" s="1321"/>
      <c r="AW17" s="1321"/>
      <c r="AX17" s="1321"/>
      <c r="AY17" s="1321"/>
      <c r="AZ17" s="1321"/>
      <c r="BA17" s="1321"/>
      <c r="BB17" s="1321"/>
      <c r="BC17" s="1321"/>
      <c r="BD17" s="1321"/>
      <c r="BE17" s="1321"/>
      <c r="BF17" s="1321"/>
      <c r="BG17" s="1321"/>
      <c r="BH17" s="1321"/>
      <c r="BI17" s="1321"/>
      <c r="BJ17" s="1321"/>
      <c r="BK17" s="1321"/>
      <c r="BL17" s="1321"/>
      <c r="BM17" s="1321"/>
      <c r="BN17" s="1321"/>
      <c r="BO17" s="1321"/>
      <c r="BP17" s="1321"/>
      <c r="BQ17" s="1321"/>
      <c r="BR17" s="1321"/>
      <c r="BS17" s="1321"/>
      <c r="BT17" s="1321"/>
      <c r="BU17" s="1321"/>
      <c r="BV17" s="1321"/>
      <c r="BW17" s="1321"/>
      <c r="BX17" s="1321"/>
      <c r="BY17" s="1321"/>
      <c r="BZ17" s="1321"/>
      <c r="CA17" s="1321"/>
      <c r="CB17" s="1321"/>
      <c r="CC17" s="1321"/>
      <c r="CD17" s="1321"/>
      <c r="CE17" s="1321"/>
      <c r="CF17" s="1321"/>
      <c r="CG17" s="1321"/>
      <c r="CH17" s="1321"/>
      <c r="CI17" s="1321"/>
      <c r="CJ17" s="1321"/>
      <c r="CK17" s="1321"/>
      <c r="CL17" s="1321"/>
      <c r="CM17" s="1321"/>
      <c r="CN17" s="1321"/>
      <c r="CO17" s="1321"/>
      <c r="CP17" s="1321"/>
      <c r="CQ17" s="1321"/>
      <c r="CR17" s="1321"/>
      <c r="CS17" s="1321"/>
      <c r="CT17" s="1321"/>
      <c r="CU17" s="1321"/>
      <c r="CV17" s="1321"/>
      <c r="CW17" s="1321"/>
      <c r="CX17" s="1321"/>
      <c r="CY17" s="1321"/>
      <c r="CZ17" s="1321"/>
      <c r="DA17" s="1321"/>
      <c r="DB17" s="1321"/>
      <c r="DC17" s="1321"/>
      <c r="DD17" s="1321"/>
      <c r="DE17" s="1321"/>
      <c r="DF17" s="1321"/>
      <c r="DG17" s="1321"/>
      <c r="DH17" s="1321"/>
      <c r="DI17" s="1321"/>
      <c r="DJ17" s="1321"/>
      <c r="DK17" s="1321"/>
      <c r="DL17" s="1321"/>
      <c r="DM17" s="1321"/>
      <c r="DN17" s="1321"/>
      <c r="DO17" s="1321"/>
      <c r="DP17" s="1321"/>
      <c r="DQ17" s="1321"/>
      <c r="DR17" s="1321"/>
      <c r="DS17" s="1321"/>
      <c r="DT17" s="1321"/>
      <c r="DU17" s="1321"/>
      <c r="DV17" s="1321"/>
      <c r="DW17" s="1321"/>
      <c r="DX17" s="1321"/>
      <c r="DY17" s="1321"/>
      <c r="DZ17" s="1321"/>
      <c r="EA17" s="1321"/>
      <c r="EB17" s="1321"/>
      <c r="EC17" s="1321"/>
      <c r="ED17" s="1321"/>
      <c r="EE17" s="1321"/>
      <c r="EF17" s="1321"/>
      <c r="EG17" s="1321"/>
      <c r="EH17" s="1321"/>
      <c r="EI17" s="1321"/>
    </row>
    <row r="18" spans="1:139" s="180" customFormat="1" ht="12.75" customHeight="1" thickBot="1" x14ac:dyDescent="0.3">
      <c r="A18" s="224"/>
      <c r="B18" s="225"/>
      <c r="C18" s="226"/>
      <c r="D18" s="591"/>
      <c r="E18" s="591"/>
      <c r="F18" s="591"/>
      <c r="G18" s="591"/>
      <c r="H18" s="591"/>
      <c r="I18" s="592"/>
      <c r="J18" s="592"/>
      <c r="K18" s="592"/>
      <c r="L18" s="593"/>
      <c r="M18" s="593"/>
      <c r="N18" s="594"/>
      <c r="O18" s="595"/>
      <c r="P18" s="596"/>
      <c r="Q18" s="596"/>
      <c r="R18" s="594"/>
      <c r="S18" s="232"/>
      <c r="T18" s="233"/>
      <c r="U18" s="234"/>
      <c r="V18" s="235"/>
      <c r="W18" s="235"/>
      <c r="X18" s="235"/>
      <c r="Y18" s="235"/>
      <c r="AA18" s="89" t="s">
        <v>11</v>
      </c>
      <c r="AB18" s="219" t="e">
        <f>AC18/AF18</f>
        <v>#DIV/0!</v>
      </c>
      <c r="AC18" s="148">
        <f>SUM(AC15:AC17)</f>
        <v>0</v>
      </c>
      <c r="AD18" s="149" t="e">
        <f>AE18/AF18</f>
        <v>#DIV/0!</v>
      </c>
      <c r="AE18" s="149">
        <f>SUM(AE15:AE17)</f>
        <v>0</v>
      </c>
      <c r="AF18" s="67">
        <f>SUM(AF16,AF15)</f>
        <v>0</v>
      </c>
      <c r="AG18" s="1321"/>
      <c r="AH18" s="1321"/>
      <c r="AI18" s="1321"/>
      <c r="AJ18" s="1321"/>
      <c r="AK18" s="1321"/>
      <c r="AL18" s="1321"/>
      <c r="AM18" s="1321"/>
      <c r="AN18" s="1321"/>
      <c r="AO18" s="1321"/>
      <c r="AP18" s="1321"/>
      <c r="AQ18" s="1321"/>
      <c r="AR18" s="1321"/>
      <c r="AS18" s="1321"/>
      <c r="AT18" s="1321"/>
      <c r="AU18" s="1321"/>
      <c r="AV18" s="1321"/>
      <c r="AW18" s="1321"/>
      <c r="AX18" s="1321"/>
      <c r="AY18" s="1321"/>
      <c r="AZ18" s="1321"/>
      <c r="BA18" s="1321"/>
      <c r="BB18" s="1321"/>
      <c r="BC18" s="1321"/>
      <c r="BD18" s="1321"/>
      <c r="BE18" s="1321"/>
      <c r="BF18" s="1321"/>
      <c r="BG18" s="1321"/>
      <c r="BH18" s="1321"/>
      <c r="BI18" s="1321"/>
      <c r="BJ18" s="1321"/>
      <c r="BK18" s="1321"/>
      <c r="BL18" s="1321"/>
      <c r="BM18" s="1321"/>
      <c r="BN18" s="1321"/>
      <c r="BO18" s="1321"/>
      <c r="BP18" s="1321"/>
      <c r="BQ18" s="1321"/>
      <c r="BR18" s="1321"/>
      <c r="BS18" s="1321"/>
      <c r="BT18" s="1321"/>
      <c r="BU18" s="1321"/>
      <c r="BV18" s="1321"/>
      <c r="BW18" s="1321"/>
      <c r="BX18" s="1321"/>
      <c r="BY18" s="1321"/>
      <c r="BZ18" s="1321"/>
      <c r="CA18" s="1321"/>
      <c r="CB18" s="1321"/>
      <c r="CC18" s="1321"/>
      <c r="CD18" s="1321"/>
      <c r="CE18" s="1321"/>
      <c r="CF18" s="1321"/>
      <c r="CG18" s="1321"/>
      <c r="CH18" s="1321"/>
      <c r="CI18" s="1321"/>
      <c r="CJ18" s="1321"/>
      <c r="CK18" s="1321"/>
      <c r="CL18" s="1321"/>
      <c r="CM18" s="1321"/>
      <c r="CN18" s="1321"/>
      <c r="CO18" s="1321"/>
      <c r="CP18" s="1321"/>
      <c r="CQ18" s="1321"/>
      <c r="CR18" s="1321"/>
      <c r="CS18" s="1321"/>
      <c r="CT18" s="1321"/>
      <c r="CU18" s="1321"/>
      <c r="CV18" s="1321"/>
      <c r="CW18" s="1321"/>
      <c r="CX18" s="1321"/>
      <c r="CY18" s="1321"/>
      <c r="CZ18" s="1321"/>
      <c r="DA18" s="1321"/>
      <c r="DB18" s="1321"/>
      <c r="DC18" s="1321"/>
      <c r="DD18" s="1321"/>
      <c r="DE18" s="1321"/>
      <c r="DF18" s="1321"/>
      <c r="DG18" s="1321"/>
      <c r="DH18" s="1321"/>
      <c r="DI18" s="1321"/>
      <c r="DJ18" s="1321"/>
      <c r="DK18" s="1321"/>
      <c r="DL18" s="1321"/>
      <c r="DM18" s="1321"/>
      <c r="DN18" s="1321"/>
      <c r="DO18" s="1321"/>
      <c r="DP18" s="1321"/>
      <c r="DQ18" s="1321"/>
      <c r="DR18" s="1321"/>
      <c r="DS18" s="1321"/>
      <c r="DT18" s="1321"/>
      <c r="DU18" s="1321"/>
      <c r="DV18" s="1321"/>
      <c r="DW18" s="1321"/>
      <c r="DX18" s="1321"/>
      <c r="DY18" s="1321"/>
      <c r="DZ18" s="1321"/>
      <c r="EA18" s="1321"/>
      <c r="EB18" s="1321"/>
      <c r="EC18" s="1321"/>
      <c r="ED18" s="1321"/>
      <c r="EE18" s="1321"/>
      <c r="EF18" s="1321"/>
      <c r="EG18" s="1321"/>
      <c r="EH18" s="1321"/>
      <c r="EI18" s="1321"/>
    </row>
    <row r="19" spans="1:139" ht="12.75" customHeight="1" x14ac:dyDescent="0.2">
      <c r="A19" s="479" t="s">
        <v>552</v>
      </c>
      <c r="B19" s="480"/>
      <c r="C19" s="516"/>
      <c r="D19" s="516"/>
      <c r="E19" s="516"/>
      <c r="F19" s="516"/>
      <c r="G19" s="516"/>
      <c r="H19" s="516"/>
      <c r="I19" s="517"/>
      <c r="J19" s="517"/>
      <c r="K19" s="517"/>
      <c r="L19" s="518"/>
      <c r="M19" s="518"/>
      <c r="N19" s="242"/>
      <c r="O19" s="402"/>
      <c r="P19" s="241"/>
      <c r="Q19" s="241"/>
      <c r="R19" s="242"/>
      <c r="S19" s="519"/>
      <c r="T19" s="521"/>
      <c r="U19" s="520"/>
      <c r="W19" s="521"/>
      <c r="X19" s="521"/>
    </row>
    <row r="20" spans="1:139" s="265" customFormat="1" ht="13" customHeight="1" x14ac:dyDescent="0.2">
      <c r="A20" s="285"/>
      <c r="B20" s="286" t="s">
        <v>371</v>
      </c>
      <c r="C20" s="287">
        <v>0</v>
      </c>
      <c r="D20" s="287">
        <v>0.25</v>
      </c>
      <c r="E20" s="287">
        <v>8</v>
      </c>
      <c r="F20" s="287">
        <v>0</v>
      </c>
      <c r="G20" s="287">
        <v>0</v>
      </c>
      <c r="H20" s="287">
        <f>SUM(C20:G20)</f>
        <v>8.25</v>
      </c>
      <c r="I20" s="288"/>
      <c r="J20" s="288"/>
      <c r="K20" s="288"/>
      <c r="L20" s="530">
        <f>((C20*$C$10)+(D20*$D$10)+(E20*$E$10)+(F20*$F$10))</f>
        <v>436.58399999999995</v>
      </c>
      <c r="M20" s="289">
        <v>0</v>
      </c>
      <c r="N20" s="272">
        <v>0</v>
      </c>
      <c r="O20" s="333">
        <f>'Table 1'!L28</f>
        <v>5.7</v>
      </c>
      <c r="P20" s="290">
        <f>(C20+D20+E20+F20)*O20</f>
        <v>47.024999999999999</v>
      </c>
      <c r="Q20" s="291">
        <f>(M20+N20)*O20</f>
        <v>0</v>
      </c>
      <c r="R20" s="526">
        <f>(L20+M20+N20)*O20</f>
        <v>2488.5287999999996</v>
      </c>
      <c r="S20" s="263" t="s">
        <v>199</v>
      </c>
      <c r="T20" s="292" t="str">
        <f t="shared" ref="T20:V21" si="2">IF($S20="RP",O20,"")</f>
        <v/>
      </c>
      <c r="U20" s="293" t="str">
        <f t="shared" si="2"/>
        <v/>
      </c>
      <c r="V20" s="122" t="str">
        <f t="shared" si="2"/>
        <v/>
      </c>
      <c r="W20" s="293">
        <f t="shared" ref="W20:Y21" si="3">IF($S20="RK",O20,"")</f>
        <v>5.7</v>
      </c>
      <c r="X20" s="293">
        <f t="shared" si="3"/>
        <v>47.024999999999999</v>
      </c>
      <c r="Y20" s="122">
        <f t="shared" si="3"/>
        <v>0</v>
      </c>
      <c r="AG20" s="1321"/>
      <c r="AH20" s="1321"/>
      <c r="AI20" s="1321"/>
      <c r="AJ20" s="1321"/>
      <c r="AK20" s="1321"/>
      <c r="AL20" s="1321"/>
      <c r="AM20" s="1321"/>
      <c r="AN20" s="1321"/>
      <c r="AO20" s="1321"/>
      <c r="AP20" s="1321"/>
      <c r="AQ20" s="1321"/>
      <c r="AR20" s="1321"/>
      <c r="AS20" s="1321"/>
      <c r="AT20" s="1321"/>
      <c r="AU20" s="1321"/>
      <c r="AV20" s="1321"/>
      <c r="AW20" s="1321"/>
      <c r="AX20" s="1321"/>
      <c r="AY20" s="1321"/>
      <c r="AZ20" s="1321"/>
      <c r="BA20" s="1321"/>
      <c r="BB20" s="1321"/>
      <c r="BC20" s="1321"/>
      <c r="BD20" s="1321"/>
      <c r="BE20" s="1321"/>
      <c r="BF20" s="1321"/>
      <c r="BG20" s="1321"/>
      <c r="BH20" s="1321"/>
      <c r="BI20" s="1321"/>
      <c r="BJ20" s="1321"/>
      <c r="BK20" s="1321"/>
      <c r="BL20" s="1321"/>
      <c r="BM20" s="1321"/>
      <c r="BN20" s="1321"/>
      <c r="BO20" s="1321"/>
      <c r="BP20" s="1321"/>
      <c r="BQ20" s="1321"/>
      <c r="BR20" s="1321"/>
      <c r="BS20" s="1321"/>
      <c r="BT20" s="1321"/>
      <c r="BU20" s="1321"/>
      <c r="BV20" s="1321"/>
      <c r="BW20" s="1321"/>
      <c r="BX20" s="1321"/>
      <c r="BY20" s="1321"/>
      <c r="BZ20" s="1321"/>
      <c r="CA20" s="1321"/>
      <c r="CB20" s="1321"/>
      <c r="CC20" s="1321"/>
      <c r="CD20" s="1321"/>
      <c r="CE20" s="1321"/>
      <c r="CF20" s="1321"/>
      <c r="CG20" s="1321"/>
      <c r="CH20" s="1321"/>
      <c r="CI20" s="1321"/>
      <c r="CJ20" s="1321"/>
      <c r="CK20" s="1321"/>
      <c r="CL20" s="1321"/>
      <c r="CM20" s="1321"/>
      <c r="CN20" s="1321"/>
      <c r="CO20" s="1321"/>
      <c r="CP20" s="1321"/>
      <c r="CQ20" s="1321"/>
      <c r="CR20" s="1321"/>
      <c r="CS20" s="1321"/>
      <c r="CT20" s="1321"/>
      <c r="CU20" s="1321"/>
      <c r="CV20" s="1321"/>
      <c r="CW20" s="1321"/>
      <c r="CX20" s="1321"/>
      <c r="CY20" s="1321"/>
      <c r="CZ20" s="1321"/>
      <c r="DA20" s="1321"/>
      <c r="DB20" s="1321"/>
      <c r="DC20" s="1321"/>
      <c r="DD20" s="1321"/>
      <c r="DE20" s="1321"/>
      <c r="DF20" s="1321"/>
      <c r="DG20" s="1321"/>
      <c r="DH20" s="1321"/>
      <c r="DI20" s="1321"/>
      <c r="DJ20" s="1321"/>
      <c r="DK20" s="1321"/>
      <c r="DL20" s="1321"/>
      <c r="DM20" s="1321"/>
      <c r="DN20" s="1321"/>
      <c r="DO20" s="1321"/>
      <c r="DP20" s="1321"/>
      <c r="DQ20" s="1321"/>
      <c r="DR20" s="1321"/>
      <c r="DS20" s="1321"/>
      <c r="DT20" s="1321"/>
      <c r="DU20" s="1321"/>
      <c r="DV20" s="1321"/>
      <c r="DW20" s="1321"/>
      <c r="DX20" s="1321"/>
      <c r="DY20" s="1321"/>
      <c r="DZ20" s="1321"/>
      <c r="EA20" s="1321"/>
      <c r="EB20" s="1321"/>
      <c r="EC20" s="1321"/>
      <c r="ED20" s="1321"/>
      <c r="EE20" s="1321"/>
      <c r="EF20" s="1321"/>
      <c r="EG20" s="1321"/>
      <c r="EH20" s="1321"/>
      <c r="EI20" s="1321"/>
    </row>
    <row r="21" spans="1:139" s="265" customFormat="1" ht="12.75" customHeight="1" thickBot="1" x14ac:dyDescent="0.25">
      <c r="A21" s="285"/>
      <c r="B21" s="286" t="s">
        <v>372</v>
      </c>
      <c r="C21" s="294">
        <v>0</v>
      </c>
      <c r="D21" s="513">
        <v>0.25</v>
      </c>
      <c r="E21" s="513">
        <v>0</v>
      </c>
      <c r="F21" s="513">
        <v>0.25</v>
      </c>
      <c r="G21" s="513">
        <v>0</v>
      </c>
      <c r="H21" s="513">
        <f>SUM(C21:G21)</f>
        <v>0.5</v>
      </c>
      <c r="I21" s="514"/>
      <c r="J21" s="514"/>
      <c r="K21" s="514"/>
      <c r="L21" s="531">
        <f>((C21*$C$10)+(D21*$D$10)+(E21*$E$10)+(F21*$F$10))</f>
        <v>24.724</v>
      </c>
      <c r="M21" s="515">
        <v>0</v>
      </c>
      <c r="N21" s="487">
        <v>20</v>
      </c>
      <c r="O21" s="468">
        <f>O20</f>
        <v>5.7</v>
      </c>
      <c r="P21" s="366">
        <f>(C21+D21+E21+F21)*O21</f>
        <v>2.85</v>
      </c>
      <c r="Q21" s="242">
        <f>(M21+N21)*O21</f>
        <v>114</v>
      </c>
      <c r="R21" s="527">
        <f>(L21+M21+N21)*O21</f>
        <v>254.92680000000004</v>
      </c>
      <c r="S21" s="300" t="s">
        <v>200</v>
      </c>
      <c r="T21" s="292">
        <f t="shared" si="2"/>
        <v>5.7</v>
      </c>
      <c r="U21" s="293">
        <f t="shared" si="2"/>
        <v>2.85</v>
      </c>
      <c r="V21" s="122">
        <f t="shared" si="2"/>
        <v>114</v>
      </c>
      <c r="W21" s="293" t="str">
        <f t="shared" si="3"/>
        <v/>
      </c>
      <c r="X21" s="293" t="str">
        <f t="shared" si="3"/>
        <v/>
      </c>
      <c r="Y21" s="122" t="str">
        <f t="shared" si="3"/>
        <v/>
      </c>
      <c r="AG21" s="1321"/>
      <c r="AH21" s="1321"/>
      <c r="AI21" s="1321"/>
      <c r="AJ21" s="1321"/>
      <c r="AK21" s="1321"/>
      <c r="AL21" s="1321"/>
      <c r="AM21" s="1321"/>
      <c r="AN21" s="1321"/>
      <c r="AO21" s="1321"/>
      <c r="AP21" s="1321"/>
      <c r="AQ21" s="1321"/>
      <c r="AR21" s="1321"/>
      <c r="AS21" s="1321"/>
      <c r="AT21" s="1321"/>
      <c r="AU21" s="1321"/>
      <c r="AV21" s="1321"/>
      <c r="AW21" s="1321"/>
      <c r="AX21" s="1321"/>
      <c r="AY21" s="1321"/>
      <c r="AZ21" s="1321"/>
      <c r="BA21" s="1321"/>
      <c r="BB21" s="1321"/>
      <c r="BC21" s="1321"/>
      <c r="BD21" s="1321"/>
      <c r="BE21" s="1321"/>
      <c r="BF21" s="1321"/>
      <c r="BG21" s="1321"/>
      <c r="BH21" s="1321"/>
      <c r="BI21" s="1321"/>
      <c r="BJ21" s="1321"/>
      <c r="BK21" s="1321"/>
      <c r="BL21" s="1321"/>
      <c r="BM21" s="1321"/>
      <c r="BN21" s="1321"/>
      <c r="BO21" s="1321"/>
      <c r="BP21" s="1321"/>
      <c r="BQ21" s="1321"/>
      <c r="BR21" s="1321"/>
      <c r="BS21" s="1321"/>
      <c r="BT21" s="1321"/>
      <c r="BU21" s="1321"/>
      <c r="BV21" s="1321"/>
      <c r="BW21" s="1321"/>
      <c r="BX21" s="1321"/>
      <c r="BY21" s="1321"/>
      <c r="BZ21" s="1321"/>
      <c r="CA21" s="1321"/>
      <c r="CB21" s="1321"/>
      <c r="CC21" s="1321"/>
      <c r="CD21" s="1321"/>
      <c r="CE21" s="1321"/>
      <c r="CF21" s="1321"/>
      <c r="CG21" s="1321"/>
      <c r="CH21" s="1321"/>
      <c r="CI21" s="1321"/>
      <c r="CJ21" s="1321"/>
      <c r="CK21" s="1321"/>
      <c r="CL21" s="1321"/>
      <c r="CM21" s="1321"/>
      <c r="CN21" s="1321"/>
      <c r="CO21" s="1321"/>
      <c r="CP21" s="1321"/>
      <c r="CQ21" s="1321"/>
      <c r="CR21" s="1321"/>
      <c r="CS21" s="1321"/>
      <c r="CT21" s="1321"/>
      <c r="CU21" s="1321"/>
      <c r="CV21" s="1321"/>
      <c r="CW21" s="1321"/>
      <c r="CX21" s="1321"/>
      <c r="CY21" s="1321"/>
      <c r="CZ21" s="1321"/>
      <c r="DA21" s="1321"/>
      <c r="DB21" s="1321"/>
      <c r="DC21" s="1321"/>
      <c r="DD21" s="1321"/>
      <c r="DE21" s="1321"/>
      <c r="DF21" s="1321"/>
      <c r="DG21" s="1321"/>
      <c r="DH21" s="1321"/>
      <c r="DI21" s="1321"/>
      <c r="DJ21" s="1321"/>
      <c r="DK21" s="1321"/>
      <c r="DL21" s="1321"/>
      <c r="DM21" s="1321"/>
      <c r="DN21" s="1321"/>
      <c r="DO21" s="1321"/>
      <c r="DP21" s="1321"/>
      <c r="DQ21" s="1321"/>
      <c r="DR21" s="1321"/>
      <c r="DS21" s="1321"/>
      <c r="DT21" s="1321"/>
      <c r="DU21" s="1321"/>
      <c r="DV21" s="1321"/>
      <c r="DW21" s="1321"/>
      <c r="DX21" s="1321"/>
      <c r="DY21" s="1321"/>
      <c r="DZ21" s="1321"/>
      <c r="EA21" s="1321"/>
      <c r="EB21" s="1321"/>
      <c r="EC21" s="1321"/>
      <c r="ED21" s="1321"/>
      <c r="EE21" s="1321"/>
      <c r="EF21" s="1321"/>
      <c r="EG21" s="1321"/>
      <c r="EH21" s="1321"/>
      <c r="EI21" s="1321"/>
    </row>
    <row r="22" spans="1:139" s="180" customFormat="1" ht="12.75" customHeight="1" thickTop="1" x14ac:dyDescent="0.2">
      <c r="A22" s="301" t="s">
        <v>553</v>
      </c>
      <c r="B22" s="302"/>
      <c r="C22" s="303"/>
      <c r="D22" s="303"/>
      <c r="E22" s="303"/>
      <c r="F22" s="303"/>
      <c r="G22" s="303"/>
      <c r="H22" s="303"/>
      <c r="I22" s="304"/>
      <c r="J22" s="304"/>
      <c r="K22" s="304"/>
      <c r="L22" s="532"/>
      <c r="M22" s="305"/>
      <c r="N22" s="306"/>
      <c r="O22" s="429"/>
      <c r="P22" s="307"/>
      <c r="Q22" s="307"/>
      <c r="R22" s="558"/>
      <c r="S22" s="308"/>
      <c r="T22" s="185"/>
      <c r="U22" s="240"/>
      <c r="W22" s="185"/>
      <c r="X22" s="185"/>
      <c r="AG22" s="1321"/>
      <c r="AH22" s="1321"/>
      <c r="AI22" s="1321"/>
      <c r="AJ22" s="1321"/>
      <c r="AK22" s="1321"/>
      <c r="AL22" s="1321"/>
      <c r="AM22" s="1321"/>
      <c r="AN22" s="1321"/>
      <c r="AO22" s="1321"/>
      <c r="AP22" s="1321"/>
      <c r="AQ22" s="1321"/>
      <c r="AR22" s="1321"/>
      <c r="AS22" s="1321"/>
      <c r="AT22" s="1321"/>
      <c r="AU22" s="1321"/>
      <c r="AV22" s="1321"/>
      <c r="AW22" s="1321"/>
      <c r="AX22" s="1321"/>
      <c r="AY22" s="1321"/>
      <c r="AZ22" s="1321"/>
      <c r="BA22" s="1321"/>
      <c r="BB22" s="1321"/>
      <c r="BC22" s="1321"/>
      <c r="BD22" s="1321"/>
      <c r="BE22" s="1321"/>
      <c r="BF22" s="1321"/>
      <c r="BG22" s="1321"/>
      <c r="BH22" s="1321"/>
      <c r="BI22" s="1321"/>
      <c r="BJ22" s="1321"/>
      <c r="BK22" s="1321"/>
      <c r="BL22" s="1321"/>
      <c r="BM22" s="1321"/>
      <c r="BN22" s="1321"/>
      <c r="BO22" s="1321"/>
      <c r="BP22" s="1321"/>
      <c r="BQ22" s="1321"/>
      <c r="BR22" s="1321"/>
      <c r="BS22" s="1321"/>
      <c r="BT22" s="1321"/>
      <c r="BU22" s="1321"/>
      <c r="BV22" s="1321"/>
      <c r="BW22" s="1321"/>
      <c r="BX22" s="1321"/>
      <c r="BY22" s="1321"/>
      <c r="BZ22" s="1321"/>
      <c r="CA22" s="1321"/>
      <c r="CB22" s="1321"/>
      <c r="CC22" s="1321"/>
      <c r="CD22" s="1321"/>
      <c r="CE22" s="1321"/>
      <c r="CF22" s="1321"/>
      <c r="CG22" s="1321"/>
      <c r="CH22" s="1321"/>
      <c r="CI22" s="1321"/>
      <c r="CJ22" s="1321"/>
      <c r="CK22" s="1321"/>
      <c r="CL22" s="1321"/>
      <c r="CM22" s="1321"/>
      <c r="CN22" s="1321"/>
      <c r="CO22" s="1321"/>
      <c r="CP22" s="1321"/>
      <c r="CQ22" s="1321"/>
      <c r="CR22" s="1321"/>
      <c r="CS22" s="1321"/>
      <c r="CT22" s="1321"/>
      <c r="CU22" s="1321"/>
      <c r="CV22" s="1321"/>
      <c r="CW22" s="1321"/>
      <c r="CX22" s="1321"/>
      <c r="CY22" s="1321"/>
      <c r="CZ22" s="1321"/>
      <c r="DA22" s="1321"/>
      <c r="DB22" s="1321"/>
      <c r="DC22" s="1321"/>
      <c r="DD22" s="1321"/>
      <c r="DE22" s="1321"/>
      <c r="DF22" s="1321"/>
      <c r="DG22" s="1321"/>
      <c r="DH22" s="1321"/>
      <c r="DI22" s="1321"/>
      <c r="DJ22" s="1321"/>
      <c r="DK22" s="1321"/>
      <c r="DL22" s="1321"/>
      <c r="DM22" s="1321"/>
      <c r="DN22" s="1321"/>
      <c r="DO22" s="1321"/>
      <c r="DP22" s="1321"/>
      <c r="DQ22" s="1321"/>
      <c r="DR22" s="1321"/>
      <c r="DS22" s="1321"/>
      <c r="DT22" s="1321"/>
      <c r="DU22" s="1321"/>
      <c r="DV22" s="1321"/>
      <c r="DW22" s="1321"/>
      <c r="DX22" s="1321"/>
      <c r="DY22" s="1321"/>
      <c r="DZ22" s="1321"/>
      <c r="EA22" s="1321"/>
      <c r="EB22" s="1321"/>
      <c r="EC22" s="1321"/>
      <c r="ED22" s="1321"/>
      <c r="EE22" s="1321"/>
      <c r="EF22" s="1321"/>
      <c r="EG22" s="1321"/>
      <c r="EH22" s="1321"/>
      <c r="EI22" s="1321"/>
    </row>
    <row r="23" spans="1:139" s="180" customFormat="1" ht="12.75" customHeight="1" thickBot="1" x14ac:dyDescent="0.25">
      <c r="A23" s="309"/>
      <c r="B23" s="310" t="s">
        <v>373</v>
      </c>
      <c r="C23" s="277">
        <v>0</v>
      </c>
      <c r="D23" s="277">
        <v>0.75</v>
      </c>
      <c r="E23" s="277">
        <v>10</v>
      </c>
      <c r="F23" s="277">
        <v>0.25</v>
      </c>
      <c r="G23" s="311">
        <v>0</v>
      </c>
      <c r="H23" s="249">
        <f>SUM(C23:G23)</f>
        <v>11</v>
      </c>
      <c r="I23" s="250"/>
      <c r="J23" s="250"/>
      <c r="K23" s="250"/>
      <c r="L23" s="533">
        <f>((C23*$C$10)+(D23*$D$10)+(E23*$E$10)+(F23*$F$10))</f>
        <v>583.68399999999986</v>
      </c>
      <c r="M23" s="251">
        <v>0</v>
      </c>
      <c r="N23" s="252">
        <v>0</v>
      </c>
      <c r="O23" s="468">
        <f>'Table 1'!L124</f>
        <v>0</v>
      </c>
      <c r="P23" s="312">
        <f>(C23+D23+E23+F23)*O23</f>
        <v>0</v>
      </c>
      <c r="Q23" s="291">
        <f>(M23+N23)*O23</f>
        <v>0</v>
      </c>
      <c r="R23" s="559">
        <f>(L23+M23+N23)*O23</f>
        <v>0</v>
      </c>
      <c r="S23" s="300" t="s">
        <v>199</v>
      </c>
      <c r="T23" s="292" t="str">
        <f>IF($S23="RP",O23,"")</f>
        <v/>
      </c>
      <c r="U23" s="293" t="str">
        <f>IF($S23="RP",P23,"")</f>
        <v/>
      </c>
      <c r="V23" s="122" t="str">
        <f>IF($S23="RP",Q23,"")</f>
        <v/>
      </c>
      <c r="W23" s="293">
        <f>IF($S23="RK",O23,"")</f>
        <v>0</v>
      </c>
      <c r="X23" s="293">
        <f>IF($S23="RK",P23,"")</f>
        <v>0</v>
      </c>
      <c r="Y23" s="122">
        <f>IF($S23="RK",Q23,"")</f>
        <v>0</v>
      </c>
      <c r="AG23" s="1321"/>
      <c r="AH23" s="1321"/>
      <c r="AI23" s="1321"/>
      <c r="AJ23" s="1321"/>
      <c r="AK23" s="1321"/>
      <c r="AL23" s="1321"/>
      <c r="AM23" s="1321"/>
      <c r="AN23" s="1321"/>
      <c r="AO23" s="1321"/>
      <c r="AP23" s="1321"/>
      <c r="AQ23" s="1321"/>
      <c r="AR23" s="1321"/>
      <c r="AS23" s="1321"/>
      <c r="AT23" s="1321"/>
      <c r="AU23" s="1321"/>
      <c r="AV23" s="1321"/>
      <c r="AW23" s="1321"/>
      <c r="AX23" s="1321"/>
      <c r="AY23" s="1321"/>
      <c r="AZ23" s="1321"/>
      <c r="BA23" s="1321"/>
      <c r="BB23" s="1321"/>
      <c r="BC23" s="1321"/>
      <c r="BD23" s="1321"/>
      <c r="BE23" s="1321"/>
      <c r="BF23" s="1321"/>
      <c r="BG23" s="1321"/>
      <c r="BH23" s="1321"/>
      <c r="BI23" s="1321"/>
      <c r="BJ23" s="1321"/>
      <c r="BK23" s="1321"/>
      <c r="BL23" s="1321"/>
      <c r="BM23" s="1321"/>
      <c r="BN23" s="1321"/>
      <c r="BO23" s="1321"/>
      <c r="BP23" s="1321"/>
      <c r="BQ23" s="1321"/>
      <c r="BR23" s="1321"/>
      <c r="BS23" s="1321"/>
      <c r="BT23" s="1321"/>
      <c r="BU23" s="1321"/>
      <c r="BV23" s="1321"/>
      <c r="BW23" s="1321"/>
      <c r="BX23" s="1321"/>
      <c r="BY23" s="1321"/>
      <c r="BZ23" s="1321"/>
      <c r="CA23" s="1321"/>
      <c r="CB23" s="1321"/>
      <c r="CC23" s="1321"/>
      <c r="CD23" s="1321"/>
      <c r="CE23" s="1321"/>
      <c r="CF23" s="1321"/>
      <c r="CG23" s="1321"/>
      <c r="CH23" s="1321"/>
      <c r="CI23" s="1321"/>
      <c r="CJ23" s="1321"/>
      <c r="CK23" s="1321"/>
      <c r="CL23" s="1321"/>
      <c r="CM23" s="1321"/>
      <c r="CN23" s="1321"/>
      <c r="CO23" s="1321"/>
      <c r="CP23" s="1321"/>
      <c r="CQ23" s="1321"/>
      <c r="CR23" s="1321"/>
      <c r="CS23" s="1321"/>
      <c r="CT23" s="1321"/>
      <c r="CU23" s="1321"/>
      <c r="CV23" s="1321"/>
      <c r="CW23" s="1321"/>
      <c r="CX23" s="1321"/>
      <c r="CY23" s="1321"/>
      <c r="CZ23" s="1321"/>
      <c r="DA23" s="1321"/>
      <c r="DB23" s="1321"/>
      <c r="DC23" s="1321"/>
      <c r="DD23" s="1321"/>
      <c r="DE23" s="1321"/>
      <c r="DF23" s="1321"/>
      <c r="DG23" s="1321"/>
      <c r="DH23" s="1321"/>
      <c r="DI23" s="1321"/>
      <c r="DJ23" s="1321"/>
      <c r="DK23" s="1321"/>
      <c r="DL23" s="1321"/>
      <c r="DM23" s="1321"/>
      <c r="DN23" s="1321"/>
      <c r="DO23" s="1321"/>
      <c r="DP23" s="1321"/>
      <c r="DQ23" s="1321"/>
      <c r="DR23" s="1321"/>
      <c r="DS23" s="1321"/>
      <c r="DT23" s="1321"/>
      <c r="DU23" s="1321"/>
      <c r="DV23" s="1321"/>
      <c r="DW23" s="1321"/>
      <c r="DX23" s="1321"/>
      <c r="DY23" s="1321"/>
      <c r="DZ23" s="1321"/>
      <c r="EA23" s="1321"/>
      <c r="EB23" s="1321"/>
      <c r="EC23" s="1321"/>
      <c r="ED23" s="1321"/>
      <c r="EE23" s="1321"/>
      <c r="EF23" s="1321"/>
      <c r="EG23" s="1321"/>
      <c r="EH23" s="1321"/>
      <c r="EI23" s="1321"/>
    </row>
    <row r="24" spans="1:139" s="180" customFormat="1" ht="25.5" customHeight="1" thickTop="1" x14ac:dyDescent="0.2">
      <c r="A24" s="1356" t="s">
        <v>555</v>
      </c>
      <c r="B24" s="1357"/>
      <c r="C24" s="311"/>
      <c r="D24" s="311"/>
      <c r="E24" s="311"/>
      <c r="F24" s="311"/>
      <c r="G24" s="311"/>
      <c r="H24" s="311"/>
      <c r="I24" s="314"/>
      <c r="J24" s="314"/>
      <c r="K24" s="314"/>
      <c r="L24" s="534"/>
      <c r="M24" s="315"/>
      <c r="N24" s="291"/>
      <c r="O24" s="316"/>
      <c r="P24" s="317"/>
      <c r="Q24" s="317"/>
      <c r="R24" s="526"/>
      <c r="S24" s="308"/>
      <c r="T24" s="185"/>
      <c r="U24" s="240"/>
      <c r="W24" s="185"/>
      <c r="X24" s="185"/>
      <c r="AG24" s="1321"/>
      <c r="AH24" s="1321"/>
      <c r="AI24" s="1321"/>
      <c r="AJ24" s="1321"/>
      <c r="AK24" s="1321"/>
      <c r="AL24" s="1321"/>
      <c r="AM24" s="1321"/>
      <c r="AN24" s="1321"/>
      <c r="AO24" s="1321"/>
      <c r="AP24" s="1321"/>
      <c r="AQ24" s="1321"/>
      <c r="AR24" s="1321"/>
      <c r="AS24" s="1321"/>
      <c r="AT24" s="1321"/>
      <c r="AU24" s="1321"/>
      <c r="AV24" s="1321"/>
      <c r="AW24" s="1321"/>
      <c r="AX24" s="1321"/>
      <c r="AY24" s="1321"/>
      <c r="AZ24" s="1321"/>
      <c r="BA24" s="1321"/>
      <c r="BB24" s="1321"/>
      <c r="BC24" s="1321"/>
      <c r="BD24" s="1321"/>
      <c r="BE24" s="1321"/>
      <c r="BF24" s="1321"/>
      <c r="BG24" s="1321"/>
      <c r="BH24" s="1321"/>
      <c r="BI24" s="1321"/>
      <c r="BJ24" s="1321"/>
      <c r="BK24" s="1321"/>
      <c r="BL24" s="1321"/>
      <c r="BM24" s="1321"/>
      <c r="BN24" s="1321"/>
      <c r="BO24" s="1321"/>
      <c r="BP24" s="1321"/>
      <c r="BQ24" s="1321"/>
      <c r="BR24" s="1321"/>
      <c r="BS24" s="1321"/>
      <c r="BT24" s="1321"/>
      <c r="BU24" s="1321"/>
      <c r="BV24" s="1321"/>
      <c r="BW24" s="1321"/>
      <c r="BX24" s="1321"/>
      <c r="BY24" s="1321"/>
      <c r="BZ24" s="1321"/>
      <c r="CA24" s="1321"/>
      <c r="CB24" s="1321"/>
      <c r="CC24" s="1321"/>
      <c r="CD24" s="1321"/>
      <c r="CE24" s="1321"/>
      <c r="CF24" s="1321"/>
      <c r="CG24" s="1321"/>
      <c r="CH24" s="1321"/>
      <c r="CI24" s="1321"/>
      <c r="CJ24" s="1321"/>
      <c r="CK24" s="1321"/>
      <c r="CL24" s="1321"/>
      <c r="CM24" s="1321"/>
      <c r="CN24" s="1321"/>
      <c r="CO24" s="1321"/>
      <c r="CP24" s="1321"/>
      <c r="CQ24" s="1321"/>
      <c r="CR24" s="1321"/>
      <c r="CS24" s="1321"/>
      <c r="CT24" s="1321"/>
      <c r="CU24" s="1321"/>
      <c r="CV24" s="1321"/>
      <c r="CW24" s="1321"/>
      <c r="CX24" s="1321"/>
      <c r="CY24" s="1321"/>
      <c r="CZ24" s="1321"/>
      <c r="DA24" s="1321"/>
      <c r="DB24" s="1321"/>
      <c r="DC24" s="1321"/>
      <c r="DD24" s="1321"/>
      <c r="DE24" s="1321"/>
      <c r="DF24" s="1321"/>
      <c r="DG24" s="1321"/>
      <c r="DH24" s="1321"/>
      <c r="DI24" s="1321"/>
      <c r="DJ24" s="1321"/>
      <c r="DK24" s="1321"/>
      <c r="DL24" s="1321"/>
      <c r="DM24" s="1321"/>
      <c r="DN24" s="1321"/>
      <c r="DO24" s="1321"/>
      <c r="DP24" s="1321"/>
      <c r="DQ24" s="1321"/>
      <c r="DR24" s="1321"/>
      <c r="DS24" s="1321"/>
      <c r="DT24" s="1321"/>
      <c r="DU24" s="1321"/>
      <c r="DV24" s="1321"/>
      <c r="DW24" s="1321"/>
      <c r="DX24" s="1321"/>
      <c r="DY24" s="1321"/>
      <c r="DZ24" s="1321"/>
      <c r="EA24" s="1321"/>
      <c r="EB24" s="1321"/>
      <c r="EC24" s="1321"/>
      <c r="ED24" s="1321"/>
      <c r="EE24" s="1321"/>
      <c r="EF24" s="1321"/>
      <c r="EG24" s="1321"/>
      <c r="EH24" s="1321"/>
      <c r="EI24" s="1321"/>
    </row>
    <row r="25" spans="1:139" s="180" customFormat="1" ht="12.75" customHeight="1" thickBot="1" x14ac:dyDescent="0.25">
      <c r="A25" s="221"/>
      <c r="B25" s="222" t="s">
        <v>374</v>
      </c>
      <c r="C25" s="318">
        <v>0</v>
      </c>
      <c r="D25" s="318">
        <v>1</v>
      </c>
      <c r="E25" s="318">
        <v>4</v>
      </c>
      <c r="F25" s="318">
        <v>0.25</v>
      </c>
      <c r="G25" s="318">
        <v>0</v>
      </c>
      <c r="H25" s="249">
        <f>SUM(C25:G25)</f>
        <v>5.25</v>
      </c>
      <c r="I25" s="250"/>
      <c r="J25" s="250"/>
      <c r="K25" s="250"/>
      <c r="L25" s="533">
        <f>((C25*$C$10)+(D25*$D$10)+(E25*$E$10)+(F25*$F$10))</f>
        <v>287.11599999999999</v>
      </c>
      <c r="M25" s="251">
        <v>0</v>
      </c>
      <c r="N25" s="319">
        <v>1</v>
      </c>
      <c r="O25" s="320">
        <f>'Table 1'!L187+'Table 1'!L189</f>
        <v>11.4</v>
      </c>
      <c r="P25" s="312">
        <f>(C25+D25+E25+F25)*O25</f>
        <v>59.85</v>
      </c>
      <c r="Q25" s="298">
        <f>(M25+N25)*O25</f>
        <v>11.4</v>
      </c>
      <c r="R25" s="559">
        <f>(L25+M25+N25)*O25</f>
        <v>3284.5223999999998</v>
      </c>
      <c r="S25" s="321" t="s">
        <v>199</v>
      </c>
      <c r="T25" s="322" t="str">
        <f>IF($S25="RP",O25,"")</f>
        <v/>
      </c>
      <c r="U25" s="323" t="str">
        <f>IF($S25="RP",P25,"")</f>
        <v/>
      </c>
      <c r="V25" s="324" t="str">
        <f>IF($S25="RP",Q25,"")</f>
        <v/>
      </c>
      <c r="W25" s="323">
        <f>IF($S25="RK",O25,"")</f>
        <v>11.4</v>
      </c>
      <c r="X25" s="323">
        <f>IF($S25="RK",P25,"")</f>
        <v>59.85</v>
      </c>
      <c r="Y25" s="324">
        <f>IF($S25="RK",Q25,"")</f>
        <v>11.4</v>
      </c>
      <c r="AG25" s="1321"/>
      <c r="AH25" s="1321"/>
      <c r="AI25" s="1321"/>
      <c r="AJ25" s="1321"/>
      <c r="AK25" s="1321"/>
      <c r="AL25" s="1321"/>
      <c r="AM25" s="1321"/>
      <c r="AN25" s="1321"/>
      <c r="AO25" s="1321"/>
      <c r="AP25" s="1321"/>
      <c r="AQ25" s="1321"/>
      <c r="AR25" s="1321"/>
      <c r="AS25" s="1321"/>
      <c r="AT25" s="1321"/>
      <c r="AU25" s="1321"/>
      <c r="AV25" s="1321"/>
      <c r="AW25" s="1321"/>
      <c r="AX25" s="1321"/>
      <c r="AY25" s="1321"/>
      <c r="AZ25" s="1321"/>
      <c r="BA25" s="1321"/>
      <c r="BB25" s="1321"/>
      <c r="BC25" s="1321"/>
      <c r="BD25" s="1321"/>
      <c r="BE25" s="1321"/>
      <c r="BF25" s="1321"/>
      <c r="BG25" s="1321"/>
      <c r="BH25" s="1321"/>
      <c r="BI25" s="1321"/>
      <c r="BJ25" s="1321"/>
      <c r="BK25" s="1321"/>
      <c r="BL25" s="1321"/>
      <c r="BM25" s="1321"/>
      <c r="BN25" s="1321"/>
      <c r="BO25" s="1321"/>
      <c r="BP25" s="1321"/>
      <c r="BQ25" s="1321"/>
      <c r="BR25" s="1321"/>
      <c r="BS25" s="1321"/>
      <c r="BT25" s="1321"/>
      <c r="BU25" s="1321"/>
      <c r="BV25" s="1321"/>
      <c r="BW25" s="1321"/>
      <c r="BX25" s="1321"/>
      <c r="BY25" s="1321"/>
      <c r="BZ25" s="1321"/>
      <c r="CA25" s="1321"/>
      <c r="CB25" s="1321"/>
      <c r="CC25" s="1321"/>
      <c r="CD25" s="1321"/>
      <c r="CE25" s="1321"/>
      <c r="CF25" s="1321"/>
      <c r="CG25" s="1321"/>
      <c r="CH25" s="1321"/>
      <c r="CI25" s="1321"/>
      <c r="CJ25" s="1321"/>
      <c r="CK25" s="1321"/>
      <c r="CL25" s="1321"/>
      <c r="CM25" s="1321"/>
      <c r="CN25" s="1321"/>
      <c r="CO25" s="1321"/>
      <c r="CP25" s="1321"/>
      <c r="CQ25" s="1321"/>
      <c r="CR25" s="1321"/>
      <c r="CS25" s="1321"/>
      <c r="CT25" s="1321"/>
      <c r="CU25" s="1321"/>
      <c r="CV25" s="1321"/>
      <c r="CW25" s="1321"/>
      <c r="CX25" s="1321"/>
      <c r="CY25" s="1321"/>
      <c r="CZ25" s="1321"/>
      <c r="DA25" s="1321"/>
      <c r="DB25" s="1321"/>
      <c r="DC25" s="1321"/>
      <c r="DD25" s="1321"/>
      <c r="DE25" s="1321"/>
      <c r="DF25" s="1321"/>
      <c r="DG25" s="1321"/>
      <c r="DH25" s="1321"/>
      <c r="DI25" s="1321"/>
      <c r="DJ25" s="1321"/>
      <c r="DK25" s="1321"/>
      <c r="DL25" s="1321"/>
      <c r="DM25" s="1321"/>
      <c r="DN25" s="1321"/>
      <c r="DO25" s="1321"/>
      <c r="DP25" s="1321"/>
      <c r="DQ25" s="1321"/>
      <c r="DR25" s="1321"/>
      <c r="DS25" s="1321"/>
      <c r="DT25" s="1321"/>
      <c r="DU25" s="1321"/>
      <c r="DV25" s="1321"/>
      <c r="DW25" s="1321"/>
      <c r="DX25" s="1321"/>
      <c r="DY25" s="1321"/>
      <c r="DZ25" s="1321"/>
      <c r="EA25" s="1321"/>
      <c r="EB25" s="1321"/>
      <c r="EC25" s="1321"/>
      <c r="ED25" s="1321"/>
      <c r="EE25" s="1321"/>
      <c r="EF25" s="1321"/>
      <c r="EG25" s="1321"/>
      <c r="EH25" s="1321"/>
      <c r="EI25" s="1321"/>
    </row>
    <row r="26" spans="1:139" s="180" customFormat="1" ht="12.75" customHeight="1" x14ac:dyDescent="0.2">
      <c r="A26" s="278" t="s">
        <v>556</v>
      </c>
      <c r="B26" s="279"/>
      <c r="C26" s="280"/>
      <c r="D26" s="280"/>
      <c r="E26" s="280"/>
      <c r="F26" s="280"/>
      <c r="G26" s="280"/>
      <c r="H26" s="280"/>
      <c r="I26" s="281"/>
      <c r="J26" s="281"/>
      <c r="K26" s="281"/>
      <c r="L26" s="535"/>
      <c r="M26" s="282"/>
      <c r="N26" s="283"/>
      <c r="O26" s="402"/>
      <c r="P26" s="241"/>
      <c r="Q26" s="241"/>
      <c r="R26" s="560"/>
      <c r="S26" s="193"/>
      <c r="T26" s="239"/>
      <c r="U26" s="240"/>
      <c r="W26" s="185"/>
      <c r="X26" s="185"/>
      <c r="AG26" s="1321"/>
      <c r="AH26" s="1321"/>
      <c r="AI26" s="1321"/>
      <c r="AJ26" s="1321"/>
      <c r="AK26" s="1321"/>
      <c r="AL26" s="1321"/>
      <c r="AM26" s="1321"/>
      <c r="AN26" s="1321"/>
      <c r="AO26" s="1321"/>
      <c r="AP26" s="1321"/>
      <c r="AQ26" s="1321"/>
      <c r="AR26" s="1321"/>
      <c r="AS26" s="1321"/>
      <c r="AT26" s="1321"/>
      <c r="AU26" s="1321"/>
      <c r="AV26" s="1321"/>
      <c r="AW26" s="1321"/>
      <c r="AX26" s="1321"/>
      <c r="AY26" s="1321"/>
      <c r="AZ26" s="1321"/>
      <c r="BA26" s="1321"/>
      <c r="BB26" s="1321"/>
      <c r="BC26" s="1321"/>
      <c r="BD26" s="1321"/>
      <c r="BE26" s="1321"/>
      <c r="BF26" s="1321"/>
      <c r="BG26" s="1321"/>
      <c r="BH26" s="1321"/>
      <c r="BI26" s="1321"/>
      <c r="BJ26" s="1321"/>
      <c r="BK26" s="1321"/>
      <c r="BL26" s="1321"/>
      <c r="BM26" s="1321"/>
      <c r="BN26" s="1321"/>
      <c r="BO26" s="1321"/>
      <c r="BP26" s="1321"/>
      <c r="BQ26" s="1321"/>
      <c r="BR26" s="1321"/>
      <c r="BS26" s="1321"/>
      <c r="BT26" s="1321"/>
      <c r="BU26" s="1321"/>
      <c r="BV26" s="1321"/>
      <c r="BW26" s="1321"/>
      <c r="BX26" s="1321"/>
      <c r="BY26" s="1321"/>
      <c r="BZ26" s="1321"/>
      <c r="CA26" s="1321"/>
      <c r="CB26" s="1321"/>
      <c r="CC26" s="1321"/>
      <c r="CD26" s="1321"/>
      <c r="CE26" s="1321"/>
      <c r="CF26" s="1321"/>
      <c r="CG26" s="1321"/>
      <c r="CH26" s="1321"/>
      <c r="CI26" s="1321"/>
      <c r="CJ26" s="1321"/>
      <c r="CK26" s="1321"/>
      <c r="CL26" s="1321"/>
      <c r="CM26" s="1321"/>
      <c r="CN26" s="1321"/>
      <c r="CO26" s="1321"/>
      <c r="CP26" s="1321"/>
      <c r="CQ26" s="1321"/>
      <c r="CR26" s="1321"/>
      <c r="CS26" s="1321"/>
      <c r="CT26" s="1321"/>
      <c r="CU26" s="1321"/>
      <c r="CV26" s="1321"/>
      <c r="CW26" s="1321"/>
      <c r="CX26" s="1321"/>
      <c r="CY26" s="1321"/>
      <c r="CZ26" s="1321"/>
      <c r="DA26" s="1321"/>
      <c r="DB26" s="1321"/>
      <c r="DC26" s="1321"/>
      <c r="DD26" s="1321"/>
      <c r="DE26" s="1321"/>
      <c r="DF26" s="1321"/>
      <c r="DG26" s="1321"/>
      <c r="DH26" s="1321"/>
      <c r="DI26" s="1321"/>
      <c r="DJ26" s="1321"/>
      <c r="DK26" s="1321"/>
      <c r="DL26" s="1321"/>
      <c r="DM26" s="1321"/>
      <c r="DN26" s="1321"/>
      <c r="DO26" s="1321"/>
      <c r="DP26" s="1321"/>
      <c r="DQ26" s="1321"/>
      <c r="DR26" s="1321"/>
      <c r="DS26" s="1321"/>
      <c r="DT26" s="1321"/>
      <c r="DU26" s="1321"/>
      <c r="DV26" s="1321"/>
      <c r="DW26" s="1321"/>
      <c r="DX26" s="1321"/>
      <c r="DY26" s="1321"/>
      <c r="DZ26" s="1321"/>
      <c r="EA26" s="1321"/>
      <c r="EB26" s="1321"/>
      <c r="EC26" s="1321"/>
      <c r="ED26" s="1321"/>
      <c r="EE26" s="1321"/>
      <c r="EF26" s="1321"/>
      <c r="EG26" s="1321"/>
      <c r="EH26" s="1321"/>
      <c r="EI26" s="1321"/>
    </row>
    <row r="27" spans="1:139" s="180" customFormat="1" ht="12.75" customHeight="1" x14ac:dyDescent="0.2">
      <c r="A27" s="325"/>
      <c r="B27" s="286" t="s">
        <v>375</v>
      </c>
      <c r="C27" s="287">
        <v>0</v>
      </c>
      <c r="D27" s="287">
        <v>0.5</v>
      </c>
      <c r="E27" s="287">
        <v>4</v>
      </c>
      <c r="F27" s="287">
        <v>0</v>
      </c>
      <c r="G27" s="287">
        <v>0</v>
      </c>
      <c r="H27" s="287">
        <f>SUM(C27:G27)</f>
        <v>4.5</v>
      </c>
      <c r="I27" s="288"/>
      <c r="J27" s="288"/>
      <c r="K27" s="288"/>
      <c r="L27" s="530">
        <f>((C27*$C$10)+(D27*$D$10)+(E27*$E$10)+(F27*$F$10))</f>
        <v>244.75199999999998</v>
      </c>
      <c r="M27" s="289">
        <v>0</v>
      </c>
      <c r="N27" s="272">
        <v>0</v>
      </c>
      <c r="O27" s="333">
        <f>'Table 1'!L56</f>
        <v>6.6666666666666679</v>
      </c>
      <c r="P27" s="326">
        <f>(C27+D27+E27+F27)*O27</f>
        <v>30.000000000000007</v>
      </c>
      <c r="Q27" s="291">
        <f>(M27+N27)*O27</f>
        <v>0</v>
      </c>
      <c r="R27" s="561">
        <f>(L27+M27+N27)*O27</f>
        <v>1631.68</v>
      </c>
      <c r="S27" s="193" t="s">
        <v>199</v>
      </c>
      <c r="T27" s="292" t="str">
        <f t="shared" ref="T27:V29" si="4">IF($S27="RP",O27,"")</f>
        <v/>
      </c>
      <c r="U27" s="293" t="str">
        <f t="shared" si="4"/>
        <v/>
      </c>
      <c r="V27" s="122" t="str">
        <f t="shared" si="4"/>
        <v/>
      </c>
      <c r="W27" s="293">
        <f t="shared" ref="W27:Y29" si="5">IF($S27="RK",O27,"")</f>
        <v>6.6666666666666679</v>
      </c>
      <c r="X27" s="293">
        <f t="shared" si="5"/>
        <v>30.000000000000007</v>
      </c>
      <c r="Y27" s="122">
        <f t="shared" si="5"/>
        <v>0</v>
      </c>
      <c r="AG27" s="1321"/>
      <c r="AH27" s="1321"/>
      <c r="AI27" s="1321"/>
      <c r="AJ27" s="1321"/>
      <c r="AK27" s="1321"/>
      <c r="AL27" s="1321"/>
      <c r="AM27" s="1321"/>
      <c r="AN27" s="1321"/>
      <c r="AO27" s="1321"/>
      <c r="AP27" s="1321"/>
      <c r="AQ27" s="1321"/>
      <c r="AR27" s="1321"/>
      <c r="AS27" s="1321"/>
      <c r="AT27" s="1321"/>
      <c r="AU27" s="1321"/>
      <c r="AV27" s="1321"/>
      <c r="AW27" s="1321"/>
      <c r="AX27" s="1321"/>
      <c r="AY27" s="1321"/>
      <c r="AZ27" s="1321"/>
      <c r="BA27" s="1321"/>
      <c r="BB27" s="1321"/>
      <c r="BC27" s="1321"/>
      <c r="BD27" s="1321"/>
      <c r="BE27" s="1321"/>
      <c r="BF27" s="1321"/>
      <c r="BG27" s="1321"/>
      <c r="BH27" s="1321"/>
      <c r="BI27" s="1321"/>
      <c r="BJ27" s="1321"/>
      <c r="BK27" s="1321"/>
      <c r="BL27" s="1321"/>
      <c r="BM27" s="1321"/>
      <c r="BN27" s="1321"/>
      <c r="BO27" s="1321"/>
      <c r="BP27" s="1321"/>
      <c r="BQ27" s="1321"/>
      <c r="BR27" s="1321"/>
      <c r="BS27" s="1321"/>
      <c r="BT27" s="1321"/>
      <c r="BU27" s="1321"/>
      <c r="BV27" s="1321"/>
      <c r="BW27" s="1321"/>
      <c r="BX27" s="1321"/>
      <c r="BY27" s="1321"/>
      <c r="BZ27" s="1321"/>
      <c r="CA27" s="1321"/>
      <c r="CB27" s="1321"/>
      <c r="CC27" s="1321"/>
      <c r="CD27" s="1321"/>
      <c r="CE27" s="1321"/>
      <c r="CF27" s="1321"/>
      <c r="CG27" s="1321"/>
      <c r="CH27" s="1321"/>
      <c r="CI27" s="1321"/>
      <c r="CJ27" s="1321"/>
      <c r="CK27" s="1321"/>
      <c r="CL27" s="1321"/>
      <c r="CM27" s="1321"/>
      <c r="CN27" s="1321"/>
      <c r="CO27" s="1321"/>
      <c r="CP27" s="1321"/>
      <c r="CQ27" s="1321"/>
      <c r="CR27" s="1321"/>
      <c r="CS27" s="1321"/>
      <c r="CT27" s="1321"/>
      <c r="CU27" s="1321"/>
      <c r="CV27" s="1321"/>
      <c r="CW27" s="1321"/>
      <c r="CX27" s="1321"/>
      <c r="CY27" s="1321"/>
      <c r="CZ27" s="1321"/>
      <c r="DA27" s="1321"/>
      <c r="DB27" s="1321"/>
      <c r="DC27" s="1321"/>
      <c r="DD27" s="1321"/>
      <c r="DE27" s="1321"/>
      <c r="DF27" s="1321"/>
      <c r="DG27" s="1321"/>
      <c r="DH27" s="1321"/>
      <c r="DI27" s="1321"/>
      <c r="DJ27" s="1321"/>
      <c r="DK27" s="1321"/>
      <c r="DL27" s="1321"/>
      <c r="DM27" s="1321"/>
      <c r="DN27" s="1321"/>
      <c r="DO27" s="1321"/>
      <c r="DP27" s="1321"/>
      <c r="DQ27" s="1321"/>
      <c r="DR27" s="1321"/>
      <c r="DS27" s="1321"/>
      <c r="DT27" s="1321"/>
      <c r="DU27" s="1321"/>
      <c r="DV27" s="1321"/>
      <c r="DW27" s="1321"/>
      <c r="DX27" s="1321"/>
      <c r="DY27" s="1321"/>
      <c r="DZ27" s="1321"/>
      <c r="EA27" s="1321"/>
      <c r="EB27" s="1321"/>
      <c r="EC27" s="1321"/>
      <c r="ED27" s="1321"/>
      <c r="EE27" s="1321"/>
      <c r="EF27" s="1321"/>
      <c r="EG27" s="1321"/>
      <c r="EH27" s="1321"/>
      <c r="EI27" s="1321"/>
    </row>
    <row r="28" spans="1:139" s="265" customFormat="1" ht="12.75" customHeight="1" x14ac:dyDescent="0.2">
      <c r="A28" s="285"/>
      <c r="B28" s="286" t="s">
        <v>376</v>
      </c>
      <c r="C28" s="287">
        <v>0</v>
      </c>
      <c r="D28" s="287">
        <v>0.5</v>
      </c>
      <c r="E28" s="287">
        <v>1</v>
      </c>
      <c r="F28" s="277">
        <v>0</v>
      </c>
      <c r="G28" s="277">
        <v>0</v>
      </c>
      <c r="H28" s="277">
        <f>SUM(C28:G28)</f>
        <v>1.5</v>
      </c>
      <c r="I28" s="327"/>
      <c r="J28" s="327"/>
      <c r="K28" s="327"/>
      <c r="L28" s="536">
        <f>((C28*$C$10)+(D28*$D$10)+(E28*$E$10)+(F28*$F$10))</f>
        <v>87.647999999999996</v>
      </c>
      <c r="M28" s="328">
        <v>0</v>
      </c>
      <c r="N28" s="291">
        <v>0</v>
      </c>
      <c r="O28" s="333">
        <f>'Table 1'!L57</f>
        <v>6.6666666666666679</v>
      </c>
      <c r="P28" s="326">
        <f>(C28+D28+E28+F28)*O28</f>
        <v>10.000000000000002</v>
      </c>
      <c r="Q28" s="291">
        <f>(M28+N28)*O28</f>
        <v>0</v>
      </c>
      <c r="R28" s="561">
        <f>(L28+M28+N28)*O28</f>
        <v>584.32000000000005</v>
      </c>
      <c r="S28" s="263" t="s">
        <v>199</v>
      </c>
      <c r="T28" s="292" t="str">
        <f t="shared" si="4"/>
        <v/>
      </c>
      <c r="U28" s="293" t="str">
        <f t="shared" si="4"/>
        <v/>
      </c>
      <c r="V28" s="122" t="str">
        <f t="shared" si="4"/>
        <v/>
      </c>
      <c r="W28" s="293">
        <f t="shared" si="5"/>
        <v>6.6666666666666679</v>
      </c>
      <c r="X28" s="293">
        <f t="shared" si="5"/>
        <v>10.000000000000002</v>
      </c>
      <c r="Y28" s="122">
        <f t="shared" si="5"/>
        <v>0</v>
      </c>
      <c r="AG28" s="1321"/>
      <c r="AH28" s="1321"/>
      <c r="AI28" s="1321"/>
      <c r="AJ28" s="1321"/>
      <c r="AK28" s="1321"/>
      <c r="AL28" s="1321"/>
      <c r="AM28" s="1321"/>
      <c r="AN28" s="1321"/>
      <c r="AO28" s="1321"/>
      <c r="AP28" s="1321"/>
      <c r="AQ28" s="1321"/>
      <c r="AR28" s="1321"/>
      <c r="AS28" s="1321"/>
      <c r="AT28" s="1321"/>
      <c r="AU28" s="1321"/>
      <c r="AV28" s="1321"/>
      <c r="AW28" s="1321"/>
      <c r="AX28" s="1321"/>
      <c r="AY28" s="1321"/>
      <c r="AZ28" s="1321"/>
      <c r="BA28" s="1321"/>
      <c r="BB28" s="1321"/>
      <c r="BC28" s="1321"/>
      <c r="BD28" s="1321"/>
      <c r="BE28" s="1321"/>
      <c r="BF28" s="1321"/>
      <c r="BG28" s="1321"/>
      <c r="BH28" s="1321"/>
      <c r="BI28" s="1321"/>
      <c r="BJ28" s="1321"/>
      <c r="BK28" s="1321"/>
      <c r="BL28" s="1321"/>
      <c r="BM28" s="1321"/>
      <c r="BN28" s="1321"/>
      <c r="BO28" s="1321"/>
      <c r="BP28" s="1321"/>
      <c r="BQ28" s="1321"/>
      <c r="BR28" s="1321"/>
      <c r="BS28" s="1321"/>
      <c r="BT28" s="1321"/>
      <c r="BU28" s="1321"/>
      <c r="BV28" s="1321"/>
      <c r="BW28" s="1321"/>
      <c r="BX28" s="1321"/>
      <c r="BY28" s="1321"/>
      <c r="BZ28" s="1321"/>
      <c r="CA28" s="1321"/>
      <c r="CB28" s="1321"/>
      <c r="CC28" s="1321"/>
      <c r="CD28" s="1321"/>
      <c r="CE28" s="1321"/>
      <c r="CF28" s="1321"/>
      <c r="CG28" s="1321"/>
      <c r="CH28" s="1321"/>
      <c r="CI28" s="1321"/>
      <c r="CJ28" s="1321"/>
      <c r="CK28" s="1321"/>
      <c r="CL28" s="1321"/>
      <c r="CM28" s="1321"/>
      <c r="CN28" s="1321"/>
      <c r="CO28" s="1321"/>
      <c r="CP28" s="1321"/>
      <c r="CQ28" s="1321"/>
      <c r="CR28" s="1321"/>
      <c r="CS28" s="1321"/>
      <c r="CT28" s="1321"/>
      <c r="CU28" s="1321"/>
      <c r="CV28" s="1321"/>
      <c r="CW28" s="1321"/>
      <c r="CX28" s="1321"/>
      <c r="CY28" s="1321"/>
      <c r="CZ28" s="1321"/>
      <c r="DA28" s="1321"/>
      <c r="DB28" s="1321"/>
      <c r="DC28" s="1321"/>
      <c r="DD28" s="1321"/>
      <c r="DE28" s="1321"/>
      <c r="DF28" s="1321"/>
      <c r="DG28" s="1321"/>
      <c r="DH28" s="1321"/>
      <c r="DI28" s="1321"/>
      <c r="DJ28" s="1321"/>
      <c r="DK28" s="1321"/>
      <c r="DL28" s="1321"/>
      <c r="DM28" s="1321"/>
      <c r="DN28" s="1321"/>
      <c r="DO28" s="1321"/>
      <c r="DP28" s="1321"/>
      <c r="DQ28" s="1321"/>
      <c r="DR28" s="1321"/>
      <c r="DS28" s="1321"/>
      <c r="DT28" s="1321"/>
      <c r="DU28" s="1321"/>
      <c r="DV28" s="1321"/>
      <c r="DW28" s="1321"/>
      <c r="DX28" s="1321"/>
      <c r="DY28" s="1321"/>
      <c r="DZ28" s="1321"/>
      <c r="EA28" s="1321"/>
      <c r="EB28" s="1321"/>
      <c r="EC28" s="1321"/>
      <c r="ED28" s="1321"/>
      <c r="EE28" s="1321"/>
      <c r="EF28" s="1321"/>
      <c r="EG28" s="1321"/>
      <c r="EH28" s="1321"/>
      <c r="EI28" s="1321"/>
    </row>
    <row r="29" spans="1:139" s="180" customFormat="1" ht="12.75" customHeight="1" x14ac:dyDescent="0.2">
      <c r="A29" s="210"/>
      <c r="B29" s="211" t="s">
        <v>372</v>
      </c>
      <c r="C29" s="256">
        <v>0</v>
      </c>
      <c r="D29" s="256">
        <v>0.25</v>
      </c>
      <c r="E29" s="256">
        <v>0</v>
      </c>
      <c r="F29" s="256">
        <v>0.25</v>
      </c>
      <c r="G29" s="257">
        <v>0</v>
      </c>
      <c r="H29" s="249">
        <f>SUM(C29:G29)</f>
        <v>0.5</v>
      </c>
      <c r="I29" s="250"/>
      <c r="J29" s="250"/>
      <c r="K29" s="250"/>
      <c r="L29" s="533">
        <f>((C29*$C$10)+(D29*$D$10)+(E29*$E$10)+(F29*$F$10))</f>
        <v>24.724</v>
      </c>
      <c r="M29" s="251">
        <v>0</v>
      </c>
      <c r="N29" s="319">
        <v>5</v>
      </c>
      <c r="O29" s="334">
        <f>O27</f>
        <v>6.6666666666666679</v>
      </c>
      <c r="P29" s="312">
        <f>(C29+D29+E29+F29)*O29</f>
        <v>3.3333333333333339</v>
      </c>
      <c r="Q29" s="298">
        <f>(M29+N29)*O29</f>
        <v>33.333333333333343</v>
      </c>
      <c r="R29" s="559">
        <f>(L29+M29+N29)*O29</f>
        <v>198.16000000000003</v>
      </c>
      <c r="S29" s="193" t="s">
        <v>200</v>
      </c>
      <c r="T29" s="292">
        <f t="shared" si="4"/>
        <v>6.6666666666666679</v>
      </c>
      <c r="U29" s="293">
        <f t="shared" si="4"/>
        <v>3.3333333333333339</v>
      </c>
      <c r="V29" s="122">
        <f t="shared" si="4"/>
        <v>33.333333333333343</v>
      </c>
      <c r="W29" s="293" t="str">
        <f t="shared" si="5"/>
        <v/>
      </c>
      <c r="X29" s="293" t="str">
        <f t="shared" si="5"/>
        <v/>
      </c>
      <c r="Y29" s="122" t="str">
        <f t="shared" si="5"/>
        <v/>
      </c>
      <c r="AG29" s="1321"/>
      <c r="AH29" s="1321"/>
      <c r="AI29" s="1321"/>
      <c r="AJ29" s="1321"/>
      <c r="AK29" s="1321"/>
      <c r="AL29" s="1321"/>
      <c r="AM29" s="1321"/>
      <c r="AN29" s="1321"/>
      <c r="AO29" s="1321"/>
      <c r="AP29" s="1321"/>
      <c r="AQ29" s="1321"/>
      <c r="AR29" s="1321"/>
      <c r="AS29" s="1321"/>
      <c r="AT29" s="1321"/>
      <c r="AU29" s="1321"/>
      <c r="AV29" s="1321"/>
      <c r="AW29" s="1321"/>
      <c r="AX29" s="1321"/>
      <c r="AY29" s="1321"/>
      <c r="AZ29" s="1321"/>
      <c r="BA29" s="1321"/>
      <c r="BB29" s="1321"/>
      <c r="BC29" s="1321"/>
      <c r="BD29" s="1321"/>
      <c r="BE29" s="1321"/>
      <c r="BF29" s="1321"/>
      <c r="BG29" s="1321"/>
      <c r="BH29" s="1321"/>
      <c r="BI29" s="1321"/>
      <c r="BJ29" s="1321"/>
      <c r="BK29" s="1321"/>
      <c r="BL29" s="1321"/>
      <c r="BM29" s="1321"/>
      <c r="BN29" s="1321"/>
      <c r="BO29" s="1321"/>
      <c r="BP29" s="1321"/>
      <c r="BQ29" s="1321"/>
      <c r="BR29" s="1321"/>
      <c r="BS29" s="1321"/>
      <c r="BT29" s="1321"/>
      <c r="BU29" s="1321"/>
      <c r="BV29" s="1321"/>
      <c r="BW29" s="1321"/>
      <c r="BX29" s="1321"/>
      <c r="BY29" s="1321"/>
      <c r="BZ29" s="1321"/>
      <c r="CA29" s="1321"/>
      <c r="CB29" s="1321"/>
      <c r="CC29" s="1321"/>
      <c r="CD29" s="1321"/>
      <c r="CE29" s="1321"/>
      <c r="CF29" s="1321"/>
      <c r="CG29" s="1321"/>
      <c r="CH29" s="1321"/>
      <c r="CI29" s="1321"/>
      <c r="CJ29" s="1321"/>
      <c r="CK29" s="1321"/>
      <c r="CL29" s="1321"/>
      <c r="CM29" s="1321"/>
      <c r="CN29" s="1321"/>
      <c r="CO29" s="1321"/>
      <c r="CP29" s="1321"/>
      <c r="CQ29" s="1321"/>
      <c r="CR29" s="1321"/>
      <c r="CS29" s="1321"/>
      <c r="CT29" s="1321"/>
      <c r="CU29" s="1321"/>
      <c r="CV29" s="1321"/>
      <c r="CW29" s="1321"/>
      <c r="CX29" s="1321"/>
      <c r="CY29" s="1321"/>
      <c r="CZ29" s="1321"/>
      <c r="DA29" s="1321"/>
      <c r="DB29" s="1321"/>
      <c r="DC29" s="1321"/>
      <c r="DD29" s="1321"/>
      <c r="DE29" s="1321"/>
      <c r="DF29" s="1321"/>
      <c r="DG29" s="1321"/>
      <c r="DH29" s="1321"/>
      <c r="DI29" s="1321"/>
      <c r="DJ29" s="1321"/>
      <c r="DK29" s="1321"/>
      <c r="DL29" s="1321"/>
      <c r="DM29" s="1321"/>
      <c r="DN29" s="1321"/>
      <c r="DO29" s="1321"/>
      <c r="DP29" s="1321"/>
      <c r="DQ29" s="1321"/>
      <c r="DR29" s="1321"/>
      <c r="DS29" s="1321"/>
      <c r="DT29" s="1321"/>
      <c r="DU29" s="1321"/>
      <c r="DV29" s="1321"/>
      <c r="DW29" s="1321"/>
      <c r="DX29" s="1321"/>
      <c r="DY29" s="1321"/>
      <c r="DZ29" s="1321"/>
      <c r="EA29" s="1321"/>
      <c r="EB29" s="1321"/>
      <c r="EC29" s="1321"/>
      <c r="ED29" s="1321"/>
      <c r="EE29" s="1321"/>
      <c r="EF29" s="1321"/>
      <c r="EG29" s="1321"/>
      <c r="EH29" s="1321"/>
      <c r="EI29" s="1321"/>
    </row>
    <row r="30" spans="1:139" s="180" customFormat="1" ht="12.75" customHeight="1" x14ac:dyDescent="0.2">
      <c r="A30" s="278" t="s">
        <v>557</v>
      </c>
      <c r="B30" s="279"/>
      <c r="C30" s="280"/>
      <c r="D30" s="280"/>
      <c r="E30" s="280"/>
      <c r="F30" s="280"/>
      <c r="G30" s="280"/>
      <c r="H30" s="280"/>
      <c r="I30" s="281"/>
      <c r="J30" s="281"/>
      <c r="K30" s="281"/>
      <c r="L30" s="535"/>
      <c r="M30" s="282"/>
      <c r="N30" s="283"/>
      <c r="O30" s="402"/>
      <c r="P30" s="284"/>
      <c r="Q30" s="284"/>
      <c r="R30" s="562"/>
      <c r="S30" s="193"/>
      <c r="T30" s="239"/>
      <c r="U30" s="240"/>
      <c r="W30" s="185"/>
      <c r="X30" s="185"/>
      <c r="AG30" s="1321"/>
      <c r="AH30" s="1321"/>
      <c r="AI30" s="1321"/>
      <c r="AJ30" s="1321"/>
      <c r="AK30" s="1321"/>
      <c r="AL30" s="1321"/>
      <c r="AM30" s="1321"/>
      <c r="AN30" s="1321"/>
      <c r="AO30" s="1321"/>
      <c r="AP30" s="1321"/>
      <c r="AQ30" s="1321"/>
      <c r="AR30" s="1321"/>
      <c r="AS30" s="1321"/>
      <c r="AT30" s="1321"/>
      <c r="AU30" s="1321"/>
      <c r="AV30" s="1321"/>
      <c r="AW30" s="1321"/>
      <c r="AX30" s="1321"/>
      <c r="AY30" s="1321"/>
      <c r="AZ30" s="1321"/>
      <c r="BA30" s="1321"/>
      <c r="BB30" s="1321"/>
      <c r="BC30" s="1321"/>
      <c r="BD30" s="1321"/>
      <c r="BE30" s="1321"/>
      <c r="BF30" s="1321"/>
      <c r="BG30" s="1321"/>
      <c r="BH30" s="1321"/>
      <c r="BI30" s="1321"/>
      <c r="BJ30" s="1321"/>
      <c r="BK30" s="1321"/>
      <c r="BL30" s="1321"/>
      <c r="BM30" s="1321"/>
      <c r="BN30" s="1321"/>
      <c r="BO30" s="1321"/>
      <c r="BP30" s="1321"/>
      <c r="BQ30" s="1321"/>
      <c r="BR30" s="1321"/>
      <c r="BS30" s="1321"/>
      <c r="BT30" s="1321"/>
      <c r="BU30" s="1321"/>
      <c r="BV30" s="1321"/>
      <c r="BW30" s="1321"/>
      <c r="BX30" s="1321"/>
      <c r="BY30" s="1321"/>
      <c r="BZ30" s="1321"/>
      <c r="CA30" s="1321"/>
      <c r="CB30" s="1321"/>
      <c r="CC30" s="1321"/>
      <c r="CD30" s="1321"/>
      <c r="CE30" s="1321"/>
      <c r="CF30" s="1321"/>
      <c r="CG30" s="1321"/>
      <c r="CH30" s="1321"/>
      <c r="CI30" s="1321"/>
      <c r="CJ30" s="1321"/>
      <c r="CK30" s="1321"/>
      <c r="CL30" s="1321"/>
      <c r="CM30" s="1321"/>
      <c r="CN30" s="1321"/>
      <c r="CO30" s="1321"/>
      <c r="CP30" s="1321"/>
      <c r="CQ30" s="1321"/>
      <c r="CR30" s="1321"/>
      <c r="CS30" s="1321"/>
      <c r="CT30" s="1321"/>
      <c r="CU30" s="1321"/>
      <c r="CV30" s="1321"/>
      <c r="CW30" s="1321"/>
      <c r="CX30" s="1321"/>
      <c r="CY30" s="1321"/>
      <c r="CZ30" s="1321"/>
      <c r="DA30" s="1321"/>
      <c r="DB30" s="1321"/>
      <c r="DC30" s="1321"/>
      <c r="DD30" s="1321"/>
      <c r="DE30" s="1321"/>
      <c r="DF30" s="1321"/>
      <c r="DG30" s="1321"/>
      <c r="DH30" s="1321"/>
      <c r="DI30" s="1321"/>
      <c r="DJ30" s="1321"/>
      <c r="DK30" s="1321"/>
      <c r="DL30" s="1321"/>
      <c r="DM30" s="1321"/>
      <c r="DN30" s="1321"/>
      <c r="DO30" s="1321"/>
      <c r="DP30" s="1321"/>
      <c r="DQ30" s="1321"/>
      <c r="DR30" s="1321"/>
      <c r="DS30" s="1321"/>
      <c r="DT30" s="1321"/>
      <c r="DU30" s="1321"/>
      <c r="DV30" s="1321"/>
      <c r="DW30" s="1321"/>
      <c r="DX30" s="1321"/>
      <c r="DY30" s="1321"/>
      <c r="DZ30" s="1321"/>
      <c r="EA30" s="1321"/>
      <c r="EB30" s="1321"/>
      <c r="EC30" s="1321"/>
      <c r="ED30" s="1321"/>
      <c r="EE30" s="1321"/>
      <c r="EF30" s="1321"/>
      <c r="EG30" s="1321"/>
      <c r="EH30" s="1321"/>
      <c r="EI30" s="1321"/>
    </row>
    <row r="31" spans="1:139" s="180" customFormat="1" ht="12.75" customHeight="1" x14ac:dyDescent="0.2">
      <c r="A31" s="329"/>
      <c r="B31" s="330" t="s">
        <v>377</v>
      </c>
      <c r="C31" s="294"/>
      <c r="D31" s="294"/>
      <c r="E31" s="294"/>
      <c r="F31" s="294"/>
      <c r="G31" s="294"/>
      <c r="H31" s="294"/>
      <c r="I31" s="295"/>
      <c r="J31" s="295"/>
      <c r="K31" s="295"/>
      <c r="L31" s="537"/>
      <c r="M31" s="296"/>
      <c r="N31" s="245"/>
      <c r="O31" s="334"/>
      <c r="P31" s="297"/>
      <c r="Q31" s="297"/>
      <c r="R31" s="544"/>
      <c r="S31" s="193"/>
      <c r="T31" s="239"/>
      <c r="U31" s="240"/>
      <c r="W31" s="185"/>
      <c r="X31" s="185"/>
      <c r="AG31" s="1321"/>
      <c r="AH31" s="1321"/>
      <c r="AI31" s="1321"/>
      <c r="AJ31" s="1321"/>
      <c r="AK31" s="1321"/>
      <c r="AL31" s="1321"/>
      <c r="AM31" s="1321"/>
      <c r="AN31" s="1321"/>
      <c r="AO31" s="1321"/>
      <c r="AP31" s="1321"/>
      <c r="AQ31" s="1321"/>
      <c r="AR31" s="1321"/>
      <c r="AS31" s="1321"/>
      <c r="AT31" s="1321"/>
      <c r="AU31" s="1321"/>
      <c r="AV31" s="1321"/>
      <c r="AW31" s="1321"/>
      <c r="AX31" s="1321"/>
      <c r="AY31" s="1321"/>
      <c r="AZ31" s="1321"/>
      <c r="BA31" s="1321"/>
      <c r="BB31" s="1321"/>
      <c r="BC31" s="1321"/>
      <c r="BD31" s="1321"/>
      <c r="BE31" s="1321"/>
      <c r="BF31" s="1321"/>
      <c r="BG31" s="1321"/>
      <c r="BH31" s="1321"/>
      <c r="BI31" s="1321"/>
      <c r="BJ31" s="1321"/>
      <c r="BK31" s="1321"/>
      <c r="BL31" s="1321"/>
      <c r="BM31" s="1321"/>
      <c r="BN31" s="1321"/>
      <c r="BO31" s="1321"/>
      <c r="BP31" s="1321"/>
      <c r="BQ31" s="1321"/>
      <c r="BR31" s="1321"/>
      <c r="BS31" s="1321"/>
      <c r="BT31" s="1321"/>
      <c r="BU31" s="1321"/>
      <c r="BV31" s="1321"/>
      <c r="BW31" s="1321"/>
      <c r="BX31" s="1321"/>
      <c r="BY31" s="1321"/>
      <c r="BZ31" s="1321"/>
      <c r="CA31" s="1321"/>
      <c r="CB31" s="1321"/>
      <c r="CC31" s="1321"/>
      <c r="CD31" s="1321"/>
      <c r="CE31" s="1321"/>
      <c r="CF31" s="1321"/>
      <c r="CG31" s="1321"/>
      <c r="CH31" s="1321"/>
      <c r="CI31" s="1321"/>
      <c r="CJ31" s="1321"/>
      <c r="CK31" s="1321"/>
      <c r="CL31" s="1321"/>
      <c r="CM31" s="1321"/>
      <c r="CN31" s="1321"/>
      <c r="CO31" s="1321"/>
      <c r="CP31" s="1321"/>
      <c r="CQ31" s="1321"/>
      <c r="CR31" s="1321"/>
      <c r="CS31" s="1321"/>
      <c r="CT31" s="1321"/>
      <c r="CU31" s="1321"/>
      <c r="CV31" s="1321"/>
      <c r="CW31" s="1321"/>
      <c r="CX31" s="1321"/>
      <c r="CY31" s="1321"/>
      <c r="CZ31" s="1321"/>
      <c r="DA31" s="1321"/>
      <c r="DB31" s="1321"/>
      <c r="DC31" s="1321"/>
      <c r="DD31" s="1321"/>
      <c r="DE31" s="1321"/>
      <c r="DF31" s="1321"/>
      <c r="DG31" s="1321"/>
      <c r="DH31" s="1321"/>
      <c r="DI31" s="1321"/>
      <c r="DJ31" s="1321"/>
      <c r="DK31" s="1321"/>
      <c r="DL31" s="1321"/>
      <c r="DM31" s="1321"/>
      <c r="DN31" s="1321"/>
      <c r="DO31" s="1321"/>
      <c r="DP31" s="1321"/>
      <c r="DQ31" s="1321"/>
      <c r="DR31" s="1321"/>
      <c r="DS31" s="1321"/>
      <c r="DT31" s="1321"/>
      <c r="DU31" s="1321"/>
      <c r="DV31" s="1321"/>
      <c r="DW31" s="1321"/>
      <c r="DX31" s="1321"/>
      <c r="DY31" s="1321"/>
      <c r="DZ31" s="1321"/>
      <c r="EA31" s="1321"/>
      <c r="EB31" s="1321"/>
      <c r="EC31" s="1321"/>
      <c r="ED31" s="1321"/>
      <c r="EE31" s="1321"/>
      <c r="EF31" s="1321"/>
      <c r="EG31" s="1321"/>
      <c r="EH31" s="1321"/>
      <c r="EI31" s="1321"/>
    </row>
    <row r="32" spans="1:139" s="265" customFormat="1" ht="12.75" customHeight="1" x14ac:dyDescent="0.2">
      <c r="A32" s="285"/>
      <c r="B32" s="286" t="s">
        <v>378</v>
      </c>
      <c r="C32" s="287">
        <v>0</v>
      </c>
      <c r="D32" s="287">
        <v>3</v>
      </c>
      <c r="E32" s="287">
        <v>15</v>
      </c>
      <c r="F32" s="287">
        <v>0</v>
      </c>
      <c r="G32" s="275">
        <v>0</v>
      </c>
      <c r="H32" s="275">
        <f>SUM(C32:G32)</f>
        <v>18</v>
      </c>
      <c r="I32" s="331"/>
      <c r="J32" s="331"/>
      <c r="K32" s="331"/>
      <c r="L32" s="538">
        <f>((C32*$C$10)+(D32*$D$10)+(E32*$E$10)+(F32*$F$10))</f>
        <v>997.2</v>
      </c>
      <c r="M32" s="272">
        <v>0</v>
      </c>
      <c r="N32" s="272">
        <v>0</v>
      </c>
      <c r="O32" s="333">
        <f>'Table 1'!L60</f>
        <v>28.5</v>
      </c>
      <c r="P32" s="332">
        <f>(C32+D32+E32+F32)*O32</f>
        <v>513</v>
      </c>
      <c r="Q32" s="298">
        <f>(M32+N32)*O32</f>
        <v>0</v>
      </c>
      <c r="R32" s="291">
        <f>(L32+M32+N32)*O32</f>
        <v>28420.2</v>
      </c>
      <c r="S32" s="263" t="s">
        <v>199</v>
      </c>
      <c r="T32" s="292" t="str">
        <f t="shared" ref="T32:V33" si="6">IF($S32="RP",O32,"")</f>
        <v/>
      </c>
      <c r="U32" s="293" t="str">
        <f t="shared" si="6"/>
        <v/>
      </c>
      <c r="V32" s="122" t="str">
        <f t="shared" si="6"/>
        <v/>
      </c>
      <c r="W32" s="293">
        <f t="shared" ref="W32:Y33" si="7">IF($S32="RK",O32,"")</f>
        <v>28.5</v>
      </c>
      <c r="X32" s="293">
        <f t="shared" si="7"/>
        <v>513</v>
      </c>
      <c r="Y32" s="122">
        <f t="shared" si="7"/>
        <v>0</v>
      </c>
      <c r="AG32" s="1321"/>
      <c r="AH32" s="1321"/>
      <c r="AI32" s="1321"/>
      <c r="AJ32" s="1321"/>
      <c r="AK32" s="1321"/>
      <c r="AL32" s="1321"/>
      <c r="AM32" s="1321"/>
      <c r="AN32" s="1321"/>
      <c r="AO32" s="1321"/>
      <c r="AP32" s="1321"/>
      <c r="AQ32" s="1321"/>
      <c r="AR32" s="1321"/>
      <c r="AS32" s="1321"/>
      <c r="AT32" s="1321"/>
      <c r="AU32" s="1321"/>
      <c r="AV32" s="1321"/>
      <c r="AW32" s="1321"/>
      <c r="AX32" s="1321"/>
      <c r="AY32" s="1321"/>
      <c r="AZ32" s="1321"/>
      <c r="BA32" s="1321"/>
      <c r="BB32" s="1321"/>
      <c r="BC32" s="1321"/>
      <c r="BD32" s="1321"/>
      <c r="BE32" s="1321"/>
      <c r="BF32" s="1321"/>
      <c r="BG32" s="1321"/>
      <c r="BH32" s="1321"/>
      <c r="BI32" s="1321"/>
      <c r="BJ32" s="1321"/>
      <c r="BK32" s="1321"/>
      <c r="BL32" s="1321"/>
      <c r="BM32" s="1321"/>
      <c r="BN32" s="1321"/>
      <c r="BO32" s="1321"/>
      <c r="BP32" s="1321"/>
      <c r="BQ32" s="1321"/>
      <c r="BR32" s="1321"/>
      <c r="BS32" s="1321"/>
      <c r="BT32" s="1321"/>
      <c r="BU32" s="1321"/>
      <c r="BV32" s="1321"/>
      <c r="BW32" s="1321"/>
      <c r="BX32" s="1321"/>
      <c r="BY32" s="1321"/>
      <c r="BZ32" s="1321"/>
      <c r="CA32" s="1321"/>
      <c r="CB32" s="1321"/>
      <c r="CC32" s="1321"/>
      <c r="CD32" s="1321"/>
      <c r="CE32" s="1321"/>
      <c r="CF32" s="1321"/>
      <c r="CG32" s="1321"/>
      <c r="CH32" s="1321"/>
      <c r="CI32" s="1321"/>
      <c r="CJ32" s="1321"/>
      <c r="CK32" s="1321"/>
      <c r="CL32" s="1321"/>
      <c r="CM32" s="1321"/>
      <c r="CN32" s="1321"/>
      <c r="CO32" s="1321"/>
      <c r="CP32" s="1321"/>
      <c r="CQ32" s="1321"/>
      <c r="CR32" s="1321"/>
      <c r="CS32" s="1321"/>
      <c r="CT32" s="1321"/>
      <c r="CU32" s="1321"/>
      <c r="CV32" s="1321"/>
      <c r="CW32" s="1321"/>
      <c r="CX32" s="1321"/>
      <c r="CY32" s="1321"/>
      <c r="CZ32" s="1321"/>
      <c r="DA32" s="1321"/>
      <c r="DB32" s="1321"/>
      <c r="DC32" s="1321"/>
      <c r="DD32" s="1321"/>
      <c r="DE32" s="1321"/>
      <c r="DF32" s="1321"/>
      <c r="DG32" s="1321"/>
      <c r="DH32" s="1321"/>
      <c r="DI32" s="1321"/>
      <c r="DJ32" s="1321"/>
      <c r="DK32" s="1321"/>
      <c r="DL32" s="1321"/>
      <c r="DM32" s="1321"/>
      <c r="DN32" s="1321"/>
      <c r="DO32" s="1321"/>
      <c r="DP32" s="1321"/>
      <c r="DQ32" s="1321"/>
      <c r="DR32" s="1321"/>
      <c r="DS32" s="1321"/>
      <c r="DT32" s="1321"/>
      <c r="DU32" s="1321"/>
      <c r="DV32" s="1321"/>
      <c r="DW32" s="1321"/>
      <c r="DX32" s="1321"/>
      <c r="DY32" s="1321"/>
      <c r="DZ32" s="1321"/>
      <c r="EA32" s="1321"/>
      <c r="EB32" s="1321"/>
      <c r="EC32" s="1321"/>
      <c r="ED32" s="1321"/>
      <c r="EE32" s="1321"/>
      <c r="EF32" s="1321"/>
      <c r="EG32" s="1321"/>
      <c r="EH32" s="1321"/>
      <c r="EI32" s="1321"/>
    </row>
    <row r="33" spans="1:139" s="180" customFormat="1" ht="12.75" customHeight="1" x14ac:dyDescent="0.2">
      <c r="A33" s="207"/>
      <c r="B33" s="211" t="s">
        <v>372</v>
      </c>
      <c r="C33" s="256">
        <v>0</v>
      </c>
      <c r="D33" s="256">
        <v>0.25</v>
      </c>
      <c r="E33" s="256">
        <v>0</v>
      </c>
      <c r="F33" s="256">
        <v>0.25</v>
      </c>
      <c r="G33" s="257">
        <v>0</v>
      </c>
      <c r="H33" s="249">
        <f>SUM(C33:G33)</f>
        <v>0.5</v>
      </c>
      <c r="I33" s="250"/>
      <c r="J33" s="250"/>
      <c r="K33" s="250"/>
      <c r="L33" s="533">
        <f>((C33*$C$10)+(D33*$D$10)+(E33*$E$10)+(F33*$F$10))</f>
        <v>24.724</v>
      </c>
      <c r="M33" s="251">
        <v>0</v>
      </c>
      <c r="N33" s="319">
        <v>1</v>
      </c>
      <c r="O33" s="334">
        <f>O32</f>
        <v>28.5</v>
      </c>
      <c r="P33" s="312">
        <f>(C33+D33+E33+F33)*O33</f>
        <v>14.25</v>
      </c>
      <c r="Q33" s="298">
        <f>(M33+N33)*O33</f>
        <v>28.5</v>
      </c>
      <c r="R33" s="559">
        <f>(L33+M33+N33)*O33</f>
        <v>733.13400000000001</v>
      </c>
      <c r="S33" s="193" t="s">
        <v>200</v>
      </c>
      <c r="T33" s="292">
        <f t="shared" si="6"/>
        <v>28.5</v>
      </c>
      <c r="U33" s="293">
        <f t="shared" si="6"/>
        <v>14.25</v>
      </c>
      <c r="V33" s="122">
        <f t="shared" si="6"/>
        <v>28.5</v>
      </c>
      <c r="W33" s="293" t="str">
        <f t="shared" si="7"/>
        <v/>
      </c>
      <c r="X33" s="293" t="str">
        <f t="shared" si="7"/>
        <v/>
      </c>
      <c r="Y33" s="122" t="str">
        <f t="shared" si="7"/>
        <v/>
      </c>
      <c r="AG33" s="1321"/>
      <c r="AH33" s="1321"/>
      <c r="AI33" s="1321"/>
      <c r="AJ33" s="1321"/>
      <c r="AK33" s="1321"/>
      <c r="AL33" s="1321"/>
      <c r="AM33" s="1321"/>
      <c r="AN33" s="1321"/>
      <c r="AO33" s="1321"/>
      <c r="AP33" s="1321"/>
      <c r="AQ33" s="1321"/>
      <c r="AR33" s="1321"/>
      <c r="AS33" s="1321"/>
      <c r="AT33" s="1321"/>
      <c r="AU33" s="1321"/>
      <c r="AV33" s="1321"/>
      <c r="AW33" s="1321"/>
      <c r="AX33" s="1321"/>
      <c r="AY33" s="1321"/>
      <c r="AZ33" s="1321"/>
      <c r="BA33" s="1321"/>
      <c r="BB33" s="1321"/>
      <c r="BC33" s="1321"/>
      <c r="BD33" s="1321"/>
      <c r="BE33" s="1321"/>
      <c r="BF33" s="1321"/>
      <c r="BG33" s="1321"/>
      <c r="BH33" s="1321"/>
      <c r="BI33" s="1321"/>
      <c r="BJ33" s="1321"/>
      <c r="BK33" s="1321"/>
      <c r="BL33" s="1321"/>
      <c r="BM33" s="1321"/>
      <c r="BN33" s="1321"/>
      <c r="BO33" s="1321"/>
      <c r="BP33" s="1321"/>
      <c r="BQ33" s="1321"/>
      <c r="BR33" s="1321"/>
      <c r="BS33" s="1321"/>
      <c r="BT33" s="1321"/>
      <c r="BU33" s="1321"/>
      <c r="BV33" s="1321"/>
      <c r="BW33" s="1321"/>
      <c r="BX33" s="1321"/>
      <c r="BY33" s="1321"/>
      <c r="BZ33" s="1321"/>
      <c r="CA33" s="1321"/>
      <c r="CB33" s="1321"/>
      <c r="CC33" s="1321"/>
      <c r="CD33" s="1321"/>
      <c r="CE33" s="1321"/>
      <c r="CF33" s="1321"/>
      <c r="CG33" s="1321"/>
      <c r="CH33" s="1321"/>
      <c r="CI33" s="1321"/>
      <c r="CJ33" s="1321"/>
      <c r="CK33" s="1321"/>
      <c r="CL33" s="1321"/>
      <c r="CM33" s="1321"/>
      <c r="CN33" s="1321"/>
      <c r="CO33" s="1321"/>
      <c r="CP33" s="1321"/>
      <c r="CQ33" s="1321"/>
      <c r="CR33" s="1321"/>
      <c r="CS33" s="1321"/>
      <c r="CT33" s="1321"/>
      <c r="CU33" s="1321"/>
      <c r="CV33" s="1321"/>
      <c r="CW33" s="1321"/>
      <c r="CX33" s="1321"/>
      <c r="CY33" s="1321"/>
      <c r="CZ33" s="1321"/>
      <c r="DA33" s="1321"/>
      <c r="DB33" s="1321"/>
      <c r="DC33" s="1321"/>
      <c r="DD33" s="1321"/>
      <c r="DE33" s="1321"/>
      <c r="DF33" s="1321"/>
      <c r="DG33" s="1321"/>
      <c r="DH33" s="1321"/>
      <c r="DI33" s="1321"/>
      <c r="DJ33" s="1321"/>
      <c r="DK33" s="1321"/>
      <c r="DL33" s="1321"/>
      <c r="DM33" s="1321"/>
      <c r="DN33" s="1321"/>
      <c r="DO33" s="1321"/>
      <c r="DP33" s="1321"/>
      <c r="DQ33" s="1321"/>
      <c r="DR33" s="1321"/>
      <c r="DS33" s="1321"/>
      <c r="DT33" s="1321"/>
      <c r="DU33" s="1321"/>
      <c r="DV33" s="1321"/>
      <c r="DW33" s="1321"/>
      <c r="DX33" s="1321"/>
      <c r="DY33" s="1321"/>
      <c r="DZ33" s="1321"/>
      <c r="EA33" s="1321"/>
      <c r="EB33" s="1321"/>
      <c r="EC33" s="1321"/>
      <c r="ED33" s="1321"/>
      <c r="EE33" s="1321"/>
      <c r="EF33" s="1321"/>
      <c r="EG33" s="1321"/>
      <c r="EH33" s="1321"/>
      <c r="EI33" s="1321"/>
    </row>
    <row r="34" spans="1:139" s="180" customFormat="1" ht="23.5" customHeight="1" x14ac:dyDescent="0.2">
      <c r="A34" s="1354" t="s">
        <v>559</v>
      </c>
      <c r="B34" s="1355"/>
      <c r="C34" s="280"/>
      <c r="D34" s="280"/>
      <c r="E34" s="280"/>
      <c r="F34" s="280"/>
      <c r="G34" s="280"/>
      <c r="H34" s="280"/>
      <c r="I34" s="281"/>
      <c r="J34" s="281"/>
      <c r="K34" s="281"/>
      <c r="L34" s="535"/>
      <c r="M34" s="282"/>
      <c r="N34" s="283"/>
      <c r="O34" s="402"/>
      <c r="P34" s="284"/>
      <c r="Q34" s="284"/>
      <c r="R34" s="562"/>
      <c r="S34" s="193"/>
      <c r="T34" s="239"/>
      <c r="U34" s="240"/>
      <c r="W34" s="185"/>
      <c r="X34" s="185"/>
      <c r="AG34" s="1321"/>
      <c r="AH34" s="1321"/>
      <c r="AI34" s="1321"/>
      <c r="AJ34" s="1321"/>
      <c r="AK34" s="1321"/>
      <c r="AL34" s="1321"/>
      <c r="AM34" s="1321"/>
      <c r="AN34" s="1321"/>
      <c r="AO34" s="1321"/>
      <c r="AP34" s="1321"/>
      <c r="AQ34" s="1321"/>
      <c r="AR34" s="1321"/>
      <c r="AS34" s="1321"/>
      <c r="AT34" s="1321"/>
      <c r="AU34" s="1321"/>
      <c r="AV34" s="1321"/>
      <c r="AW34" s="1321"/>
      <c r="AX34" s="1321"/>
      <c r="AY34" s="1321"/>
      <c r="AZ34" s="1321"/>
      <c r="BA34" s="1321"/>
      <c r="BB34" s="1321"/>
      <c r="BC34" s="1321"/>
      <c r="BD34" s="1321"/>
      <c r="BE34" s="1321"/>
      <c r="BF34" s="1321"/>
      <c r="BG34" s="1321"/>
      <c r="BH34" s="1321"/>
      <c r="BI34" s="1321"/>
      <c r="BJ34" s="1321"/>
      <c r="BK34" s="1321"/>
      <c r="BL34" s="1321"/>
      <c r="BM34" s="1321"/>
      <c r="BN34" s="1321"/>
      <c r="BO34" s="1321"/>
      <c r="BP34" s="1321"/>
      <c r="BQ34" s="1321"/>
      <c r="BR34" s="1321"/>
      <c r="BS34" s="1321"/>
      <c r="BT34" s="1321"/>
      <c r="BU34" s="1321"/>
      <c r="BV34" s="1321"/>
      <c r="BW34" s="1321"/>
      <c r="BX34" s="1321"/>
      <c r="BY34" s="1321"/>
      <c r="BZ34" s="1321"/>
      <c r="CA34" s="1321"/>
      <c r="CB34" s="1321"/>
      <c r="CC34" s="1321"/>
      <c r="CD34" s="1321"/>
      <c r="CE34" s="1321"/>
      <c r="CF34" s="1321"/>
      <c r="CG34" s="1321"/>
      <c r="CH34" s="1321"/>
      <c r="CI34" s="1321"/>
      <c r="CJ34" s="1321"/>
      <c r="CK34" s="1321"/>
      <c r="CL34" s="1321"/>
      <c r="CM34" s="1321"/>
      <c r="CN34" s="1321"/>
      <c r="CO34" s="1321"/>
      <c r="CP34" s="1321"/>
      <c r="CQ34" s="1321"/>
      <c r="CR34" s="1321"/>
      <c r="CS34" s="1321"/>
      <c r="CT34" s="1321"/>
      <c r="CU34" s="1321"/>
      <c r="CV34" s="1321"/>
      <c r="CW34" s="1321"/>
      <c r="CX34" s="1321"/>
      <c r="CY34" s="1321"/>
      <c r="CZ34" s="1321"/>
      <c r="DA34" s="1321"/>
      <c r="DB34" s="1321"/>
      <c r="DC34" s="1321"/>
      <c r="DD34" s="1321"/>
      <c r="DE34" s="1321"/>
      <c r="DF34" s="1321"/>
      <c r="DG34" s="1321"/>
      <c r="DH34" s="1321"/>
      <c r="DI34" s="1321"/>
      <c r="DJ34" s="1321"/>
      <c r="DK34" s="1321"/>
      <c r="DL34" s="1321"/>
      <c r="DM34" s="1321"/>
      <c r="DN34" s="1321"/>
      <c r="DO34" s="1321"/>
      <c r="DP34" s="1321"/>
      <c r="DQ34" s="1321"/>
      <c r="DR34" s="1321"/>
      <c r="DS34" s="1321"/>
      <c r="DT34" s="1321"/>
      <c r="DU34" s="1321"/>
      <c r="DV34" s="1321"/>
      <c r="DW34" s="1321"/>
      <c r="DX34" s="1321"/>
      <c r="DY34" s="1321"/>
      <c r="DZ34" s="1321"/>
      <c r="EA34" s="1321"/>
      <c r="EB34" s="1321"/>
      <c r="EC34" s="1321"/>
      <c r="ED34" s="1321"/>
      <c r="EE34" s="1321"/>
      <c r="EF34" s="1321"/>
      <c r="EG34" s="1321"/>
      <c r="EH34" s="1321"/>
      <c r="EI34" s="1321"/>
    </row>
    <row r="35" spans="1:139" s="180" customFormat="1" ht="13" customHeight="1" x14ac:dyDescent="0.2">
      <c r="A35" s="325"/>
      <c r="B35" s="286" t="s">
        <v>379</v>
      </c>
      <c r="C35" s="287">
        <v>0</v>
      </c>
      <c r="D35" s="287">
        <v>0.25</v>
      </c>
      <c r="E35" s="287">
        <v>10</v>
      </c>
      <c r="F35" s="287">
        <v>0</v>
      </c>
      <c r="G35" s="287">
        <v>0</v>
      </c>
      <c r="H35" s="287">
        <f>SUM(C35:G35)</f>
        <v>10.25</v>
      </c>
      <c r="I35" s="288"/>
      <c r="J35" s="288"/>
      <c r="K35" s="288"/>
      <c r="L35" s="530">
        <f>((C35*$C$10)+(D35*$D$10)+(E35*$E$10)+(F35*$F$10))</f>
        <v>541.31999999999994</v>
      </c>
      <c r="M35" s="289">
        <v>0</v>
      </c>
      <c r="N35" s="272">
        <v>0</v>
      </c>
      <c r="O35" s="333">
        <f>'Table 1'!L69</f>
        <v>12.350000000000001</v>
      </c>
      <c r="P35" s="290">
        <f>(C35+D35+E35+F35)*O35</f>
        <v>126.58750000000002</v>
      </c>
      <c r="Q35" s="291">
        <f>(M35+N35)*O35</f>
        <v>0</v>
      </c>
      <c r="R35" s="526">
        <f>(L35+M35+N35)*O35</f>
        <v>6685.3019999999997</v>
      </c>
      <c r="S35" s="193" t="s">
        <v>199</v>
      </c>
      <c r="T35" s="292" t="str">
        <f t="shared" ref="T35:V36" si="8">IF($S35="RP",O35,"")</f>
        <v/>
      </c>
      <c r="U35" s="293" t="str">
        <f t="shared" si="8"/>
        <v/>
      </c>
      <c r="V35" s="122" t="str">
        <f t="shared" si="8"/>
        <v/>
      </c>
      <c r="W35" s="293">
        <f t="shared" ref="W35:Y36" si="9">IF($S35="RK",O35,"")</f>
        <v>12.350000000000001</v>
      </c>
      <c r="X35" s="293">
        <f t="shared" si="9"/>
        <v>126.58750000000002</v>
      </c>
      <c r="Y35" s="122">
        <f t="shared" si="9"/>
        <v>0</v>
      </c>
      <c r="AG35" s="1321"/>
      <c r="AH35" s="1321"/>
      <c r="AI35" s="1321"/>
      <c r="AJ35" s="1321"/>
      <c r="AK35" s="1321"/>
      <c r="AL35" s="1321"/>
      <c r="AM35" s="1321"/>
      <c r="AN35" s="1321"/>
      <c r="AO35" s="1321"/>
      <c r="AP35" s="1321"/>
      <c r="AQ35" s="1321"/>
      <c r="AR35" s="1321"/>
      <c r="AS35" s="1321"/>
      <c r="AT35" s="1321"/>
      <c r="AU35" s="1321"/>
      <c r="AV35" s="1321"/>
      <c r="AW35" s="1321"/>
      <c r="AX35" s="1321"/>
      <c r="AY35" s="1321"/>
      <c r="AZ35" s="1321"/>
      <c r="BA35" s="1321"/>
      <c r="BB35" s="1321"/>
      <c r="BC35" s="1321"/>
      <c r="BD35" s="1321"/>
      <c r="BE35" s="1321"/>
      <c r="BF35" s="1321"/>
      <c r="BG35" s="1321"/>
      <c r="BH35" s="1321"/>
      <c r="BI35" s="1321"/>
      <c r="BJ35" s="1321"/>
      <c r="BK35" s="1321"/>
      <c r="BL35" s="1321"/>
      <c r="BM35" s="1321"/>
      <c r="BN35" s="1321"/>
      <c r="BO35" s="1321"/>
      <c r="BP35" s="1321"/>
      <c r="BQ35" s="1321"/>
      <c r="BR35" s="1321"/>
      <c r="BS35" s="1321"/>
      <c r="BT35" s="1321"/>
      <c r="BU35" s="1321"/>
      <c r="BV35" s="1321"/>
      <c r="BW35" s="1321"/>
      <c r="BX35" s="1321"/>
      <c r="BY35" s="1321"/>
      <c r="BZ35" s="1321"/>
      <c r="CA35" s="1321"/>
      <c r="CB35" s="1321"/>
      <c r="CC35" s="1321"/>
      <c r="CD35" s="1321"/>
      <c r="CE35" s="1321"/>
      <c r="CF35" s="1321"/>
      <c r="CG35" s="1321"/>
      <c r="CH35" s="1321"/>
      <c r="CI35" s="1321"/>
      <c r="CJ35" s="1321"/>
      <c r="CK35" s="1321"/>
      <c r="CL35" s="1321"/>
      <c r="CM35" s="1321"/>
      <c r="CN35" s="1321"/>
      <c r="CO35" s="1321"/>
      <c r="CP35" s="1321"/>
      <c r="CQ35" s="1321"/>
      <c r="CR35" s="1321"/>
      <c r="CS35" s="1321"/>
      <c r="CT35" s="1321"/>
      <c r="CU35" s="1321"/>
      <c r="CV35" s="1321"/>
      <c r="CW35" s="1321"/>
      <c r="CX35" s="1321"/>
      <c r="CY35" s="1321"/>
      <c r="CZ35" s="1321"/>
      <c r="DA35" s="1321"/>
      <c r="DB35" s="1321"/>
      <c r="DC35" s="1321"/>
      <c r="DD35" s="1321"/>
      <c r="DE35" s="1321"/>
      <c r="DF35" s="1321"/>
      <c r="DG35" s="1321"/>
      <c r="DH35" s="1321"/>
      <c r="DI35" s="1321"/>
      <c r="DJ35" s="1321"/>
      <c r="DK35" s="1321"/>
      <c r="DL35" s="1321"/>
      <c r="DM35" s="1321"/>
      <c r="DN35" s="1321"/>
      <c r="DO35" s="1321"/>
      <c r="DP35" s="1321"/>
      <c r="DQ35" s="1321"/>
      <c r="DR35" s="1321"/>
      <c r="DS35" s="1321"/>
      <c r="DT35" s="1321"/>
      <c r="DU35" s="1321"/>
      <c r="DV35" s="1321"/>
      <c r="DW35" s="1321"/>
      <c r="DX35" s="1321"/>
      <c r="DY35" s="1321"/>
      <c r="DZ35" s="1321"/>
      <c r="EA35" s="1321"/>
      <c r="EB35" s="1321"/>
      <c r="EC35" s="1321"/>
      <c r="ED35" s="1321"/>
      <c r="EE35" s="1321"/>
      <c r="EF35" s="1321"/>
      <c r="EG35" s="1321"/>
      <c r="EH35" s="1321"/>
      <c r="EI35" s="1321"/>
    </row>
    <row r="36" spans="1:139" s="180" customFormat="1" ht="12.75" customHeight="1" x14ac:dyDescent="0.2">
      <c r="A36" s="210"/>
      <c r="B36" s="211" t="s">
        <v>380</v>
      </c>
      <c r="C36" s="256">
        <v>0</v>
      </c>
      <c r="D36" s="256">
        <v>0.25</v>
      </c>
      <c r="E36" s="256">
        <v>0</v>
      </c>
      <c r="F36" s="256">
        <v>0.25</v>
      </c>
      <c r="G36" s="257">
        <v>0</v>
      </c>
      <c r="H36" s="249">
        <f>SUM(C36:G36)</f>
        <v>0.5</v>
      </c>
      <c r="I36" s="250"/>
      <c r="J36" s="250"/>
      <c r="K36" s="250"/>
      <c r="L36" s="533">
        <f>((C36*$C$10)+(D36*$D$10)+(E36*$E$10)+(F36*$F$10))</f>
        <v>24.724</v>
      </c>
      <c r="M36" s="251">
        <v>0</v>
      </c>
      <c r="N36" s="319">
        <v>1</v>
      </c>
      <c r="O36" s="334">
        <f>O35</f>
        <v>12.350000000000001</v>
      </c>
      <c r="P36" s="312">
        <f>(C36+D36+E36+F36)*O36</f>
        <v>6.1750000000000007</v>
      </c>
      <c r="Q36" s="298">
        <f>(M36+N36)*O36</f>
        <v>12.350000000000001</v>
      </c>
      <c r="R36" s="559">
        <f>(L36+M36+N36)*O36</f>
        <v>317.69140000000004</v>
      </c>
      <c r="S36" s="193" t="s">
        <v>200</v>
      </c>
      <c r="T36" s="292">
        <f t="shared" si="8"/>
        <v>12.350000000000001</v>
      </c>
      <c r="U36" s="293">
        <f t="shared" si="8"/>
        <v>6.1750000000000007</v>
      </c>
      <c r="V36" s="122">
        <f t="shared" si="8"/>
        <v>12.350000000000001</v>
      </c>
      <c r="W36" s="293" t="str">
        <f t="shared" si="9"/>
        <v/>
      </c>
      <c r="X36" s="293" t="str">
        <f t="shared" si="9"/>
        <v/>
      </c>
      <c r="Y36" s="122" t="str">
        <f t="shared" si="9"/>
        <v/>
      </c>
      <c r="AG36" s="1321"/>
      <c r="AH36" s="1321"/>
      <c r="AI36" s="1321"/>
      <c r="AJ36" s="1321"/>
      <c r="AK36" s="1321"/>
      <c r="AL36" s="1321"/>
      <c r="AM36" s="1321"/>
      <c r="AN36" s="1321"/>
      <c r="AO36" s="1321"/>
      <c r="AP36" s="1321"/>
      <c r="AQ36" s="1321"/>
      <c r="AR36" s="1321"/>
      <c r="AS36" s="1321"/>
      <c r="AT36" s="1321"/>
      <c r="AU36" s="1321"/>
      <c r="AV36" s="1321"/>
      <c r="AW36" s="1321"/>
      <c r="AX36" s="1321"/>
      <c r="AY36" s="1321"/>
      <c r="AZ36" s="1321"/>
      <c r="BA36" s="1321"/>
      <c r="BB36" s="1321"/>
      <c r="BC36" s="1321"/>
      <c r="BD36" s="1321"/>
      <c r="BE36" s="1321"/>
      <c r="BF36" s="1321"/>
      <c r="BG36" s="1321"/>
      <c r="BH36" s="1321"/>
      <c r="BI36" s="1321"/>
      <c r="BJ36" s="1321"/>
      <c r="BK36" s="1321"/>
      <c r="BL36" s="1321"/>
      <c r="BM36" s="1321"/>
      <c r="BN36" s="1321"/>
      <c r="BO36" s="1321"/>
      <c r="BP36" s="1321"/>
      <c r="BQ36" s="1321"/>
      <c r="BR36" s="1321"/>
      <c r="BS36" s="1321"/>
      <c r="BT36" s="1321"/>
      <c r="BU36" s="1321"/>
      <c r="BV36" s="1321"/>
      <c r="BW36" s="1321"/>
      <c r="BX36" s="1321"/>
      <c r="BY36" s="1321"/>
      <c r="BZ36" s="1321"/>
      <c r="CA36" s="1321"/>
      <c r="CB36" s="1321"/>
      <c r="CC36" s="1321"/>
      <c r="CD36" s="1321"/>
      <c r="CE36" s="1321"/>
      <c r="CF36" s="1321"/>
      <c r="CG36" s="1321"/>
      <c r="CH36" s="1321"/>
      <c r="CI36" s="1321"/>
      <c r="CJ36" s="1321"/>
      <c r="CK36" s="1321"/>
      <c r="CL36" s="1321"/>
      <c r="CM36" s="1321"/>
      <c r="CN36" s="1321"/>
      <c r="CO36" s="1321"/>
      <c r="CP36" s="1321"/>
      <c r="CQ36" s="1321"/>
      <c r="CR36" s="1321"/>
      <c r="CS36" s="1321"/>
      <c r="CT36" s="1321"/>
      <c r="CU36" s="1321"/>
      <c r="CV36" s="1321"/>
      <c r="CW36" s="1321"/>
      <c r="CX36" s="1321"/>
      <c r="CY36" s="1321"/>
      <c r="CZ36" s="1321"/>
      <c r="DA36" s="1321"/>
      <c r="DB36" s="1321"/>
      <c r="DC36" s="1321"/>
      <c r="DD36" s="1321"/>
      <c r="DE36" s="1321"/>
      <c r="DF36" s="1321"/>
      <c r="DG36" s="1321"/>
      <c r="DH36" s="1321"/>
      <c r="DI36" s="1321"/>
      <c r="DJ36" s="1321"/>
      <c r="DK36" s="1321"/>
      <c r="DL36" s="1321"/>
      <c r="DM36" s="1321"/>
      <c r="DN36" s="1321"/>
      <c r="DO36" s="1321"/>
      <c r="DP36" s="1321"/>
      <c r="DQ36" s="1321"/>
      <c r="DR36" s="1321"/>
      <c r="DS36" s="1321"/>
      <c r="DT36" s="1321"/>
      <c r="DU36" s="1321"/>
      <c r="DV36" s="1321"/>
      <c r="DW36" s="1321"/>
      <c r="DX36" s="1321"/>
      <c r="DY36" s="1321"/>
      <c r="DZ36" s="1321"/>
      <c r="EA36" s="1321"/>
      <c r="EB36" s="1321"/>
      <c r="EC36" s="1321"/>
      <c r="ED36" s="1321"/>
      <c r="EE36" s="1321"/>
      <c r="EF36" s="1321"/>
      <c r="EG36" s="1321"/>
      <c r="EH36" s="1321"/>
      <c r="EI36" s="1321"/>
    </row>
    <row r="37" spans="1:139" s="180" customFormat="1" ht="24.65" customHeight="1" x14ac:dyDescent="0.2">
      <c r="A37" s="1360" t="s">
        <v>730</v>
      </c>
      <c r="B37" s="1361"/>
      <c r="C37" s="516"/>
      <c r="D37" s="516"/>
      <c r="E37" s="516"/>
      <c r="F37" s="516"/>
      <c r="G37" s="516"/>
      <c r="H37" s="516"/>
      <c r="I37" s="517"/>
      <c r="J37" s="517"/>
      <c r="K37" s="517"/>
      <c r="L37" s="631"/>
      <c r="M37" s="518"/>
      <c r="N37" s="242"/>
      <c r="O37" s="402"/>
      <c r="P37" s="241"/>
      <c r="Q37" s="241"/>
      <c r="R37" s="560"/>
      <c r="S37" s="519"/>
      <c r="T37" s="239"/>
      <c r="U37" s="240"/>
      <c r="W37" s="185"/>
      <c r="X37" s="185"/>
      <c r="AG37" s="1321"/>
      <c r="AH37" s="1321"/>
      <c r="AI37" s="1321"/>
      <c r="AJ37" s="1321"/>
      <c r="AK37" s="1321"/>
      <c r="AL37" s="1321"/>
      <c r="AM37" s="1321"/>
      <c r="AN37" s="1321"/>
      <c r="AO37" s="1321"/>
      <c r="AP37" s="1321"/>
      <c r="AQ37" s="1321"/>
      <c r="AR37" s="1321"/>
      <c r="AS37" s="1321"/>
      <c r="AT37" s="1321"/>
      <c r="AU37" s="1321"/>
      <c r="AV37" s="1321"/>
      <c r="AW37" s="1321"/>
      <c r="AX37" s="1321"/>
      <c r="AY37" s="1321"/>
      <c r="AZ37" s="1321"/>
      <c r="BA37" s="1321"/>
      <c r="BB37" s="1321"/>
      <c r="BC37" s="1321"/>
      <c r="BD37" s="1321"/>
      <c r="BE37" s="1321"/>
      <c r="BF37" s="1321"/>
      <c r="BG37" s="1321"/>
      <c r="BH37" s="1321"/>
      <c r="BI37" s="1321"/>
      <c r="BJ37" s="1321"/>
      <c r="BK37" s="1321"/>
      <c r="BL37" s="1321"/>
      <c r="BM37" s="1321"/>
      <c r="BN37" s="1321"/>
      <c r="BO37" s="1321"/>
      <c r="BP37" s="1321"/>
      <c r="BQ37" s="1321"/>
      <c r="BR37" s="1321"/>
      <c r="BS37" s="1321"/>
      <c r="BT37" s="1321"/>
      <c r="BU37" s="1321"/>
      <c r="BV37" s="1321"/>
      <c r="BW37" s="1321"/>
      <c r="BX37" s="1321"/>
      <c r="BY37" s="1321"/>
      <c r="BZ37" s="1321"/>
      <c r="CA37" s="1321"/>
      <c r="CB37" s="1321"/>
      <c r="CC37" s="1321"/>
      <c r="CD37" s="1321"/>
      <c r="CE37" s="1321"/>
      <c r="CF37" s="1321"/>
      <c r="CG37" s="1321"/>
      <c r="CH37" s="1321"/>
      <c r="CI37" s="1321"/>
      <c r="CJ37" s="1321"/>
      <c r="CK37" s="1321"/>
      <c r="CL37" s="1321"/>
      <c r="CM37" s="1321"/>
      <c r="CN37" s="1321"/>
      <c r="CO37" s="1321"/>
      <c r="CP37" s="1321"/>
      <c r="CQ37" s="1321"/>
      <c r="CR37" s="1321"/>
      <c r="CS37" s="1321"/>
      <c r="CT37" s="1321"/>
      <c r="CU37" s="1321"/>
      <c r="CV37" s="1321"/>
      <c r="CW37" s="1321"/>
      <c r="CX37" s="1321"/>
      <c r="CY37" s="1321"/>
      <c r="CZ37" s="1321"/>
      <c r="DA37" s="1321"/>
      <c r="DB37" s="1321"/>
      <c r="DC37" s="1321"/>
      <c r="DD37" s="1321"/>
      <c r="DE37" s="1321"/>
      <c r="DF37" s="1321"/>
      <c r="DG37" s="1321"/>
      <c r="DH37" s="1321"/>
      <c r="DI37" s="1321"/>
      <c r="DJ37" s="1321"/>
      <c r="DK37" s="1321"/>
      <c r="DL37" s="1321"/>
      <c r="DM37" s="1321"/>
      <c r="DN37" s="1321"/>
      <c r="DO37" s="1321"/>
      <c r="DP37" s="1321"/>
      <c r="DQ37" s="1321"/>
      <c r="DR37" s="1321"/>
      <c r="DS37" s="1321"/>
      <c r="DT37" s="1321"/>
      <c r="DU37" s="1321"/>
      <c r="DV37" s="1321"/>
      <c r="DW37" s="1321"/>
      <c r="DX37" s="1321"/>
      <c r="DY37" s="1321"/>
      <c r="DZ37" s="1321"/>
      <c r="EA37" s="1321"/>
      <c r="EB37" s="1321"/>
      <c r="EC37" s="1321"/>
      <c r="ED37" s="1321"/>
      <c r="EE37" s="1321"/>
      <c r="EF37" s="1321"/>
      <c r="EG37" s="1321"/>
      <c r="EH37" s="1321"/>
      <c r="EI37" s="1321"/>
    </row>
    <row r="38" spans="1:139" s="180" customFormat="1" ht="12.75" customHeight="1" x14ac:dyDescent="0.2">
      <c r="A38" s="632"/>
      <c r="B38" s="633" t="s">
        <v>381</v>
      </c>
      <c r="C38" s="634"/>
      <c r="D38" s="634"/>
      <c r="E38" s="634"/>
      <c r="F38" s="634"/>
      <c r="G38" s="634"/>
      <c r="H38" s="634"/>
      <c r="I38" s="635"/>
      <c r="J38" s="635"/>
      <c r="K38" s="635"/>
      <c r="L38" s="636"/>
      <c r="M38" s="637"/>
      <c r="N38" s="246"/>
      <c r="O38" s="334"/>
      <c r="P38" s="638"/>
      <c r="Q38" s="638"/>
      <c r="R38" s="639"/>
      <c r="S38" s="519"/>
      <c r="T38" s="239"/>
      <c r="U38" s="240"/>
      <c r="W38" s="185"/>
      <c r="X38" s="185"/>
      <c r="AG38" s="1321"/>
      <c r="AH38" s="1321"/>
      <c r="AI38" s="1321"/>
      <c r="AJ38" s="1321"/>
      <c r="AK38" s="1321"/>
      <c r="AL38" s="1321"/>
      <c r="AM38" s="1321"/>
      <c r="AN38" s="1321"/>
      <c r="AO38" s="1321"/>
      <c r="AP38" s="1321"/>
      <c r="AQ38" s="1321"/>
      <c r="AR38" s="1321"/>
      <c r="AS38" s="1321"/>
      <c r="AT38" s="1321"/>
      <c r="AU38" s="1321"/>
      <c r="AV38" s="1321"/>
      <c r="AW38" s="1321"/>
      <c r="AX38" s="1321"/>
      <c r="AY38" s="1321"/>
      <c r="AZ38" s="1321"/>
      <c r="BA38" s="1321"/>
      <c r="BB38" s="1321"/>
      <c r="BC38" s="1321"/>
      <c r="BD38" s="1321"/>
      <c r="BE38" s="1321"/>
      <c r="BF38" s="1321"/>
      <c r="BG38" s="1321"/>
      <c r="BH38" s="1321"/>
      <c r="BI38" s="1321"/>
      <c r="BJ38" s="1321"/>
      <c r="BK38" s="1321"/>
      <c r="BL38" s="1321"/>
      <c r="BM38" s="1321"/>
      <c r="BN38" s="1321"/>
      <c r="BO38" s="1321"/>
      <c r="BP38" s="1321"/>
      <c r="BQ38" s="1321"/>
      <c r="BR38" s="1321"/>
      <c r="BS38" s="1321"/>
      <c r="BT38" s="1321"/>
      <c r="BU38" s="1321"/>
      <c r="BV38" s="1321"/>
      <c r="BW38" s="1321"/>
      <c r="BX38" s="1321"/>
      <c r="BY38" s="1321"/>
      <c r="BZ38" s="1321"/>
      <c r="CA38" s="1321"/>
      <c r="CB38" s="1321"/>
      <c r="CC38" s="1321"/>
      <c r="CD38" s="1321"/>
      <c r="CE38" s="1321"/>
      <c r="CF38" s="1321"/>
      <c r="CG38" s="1321"/>
      <c r="CH38" s="1321"/>
      <c r="CI38" s="1321"/>
      <c r="CJ38" s="1321"/>
      <c r="CK38" s="1321"/>
      <c r="CL38" s="1321"/>
      <c r="CM38" s="1321"/>
      <c r="CN38" s="1321"/>
      <c r="CO38" s="1321"/>
      <c r="CP38" s="1321"/>
      <c r="CQ38" s="1321"/>
      <c r="CR38" s="1321"/>
      <c r="CS38" s="1321"/>
      <c r="CT38" s="1321"/>
      <c r="CU38" s="1321"/>
      <c r="CV38" s="1321"/>
      <c r="CW38" s="1321"/>
      <c r="CX38" s="1321"/>
      <c r="CY38" s="1321"/>
      <c r="CZ38" s="1321"/>
      <c r="DA38" s="1321"/>
      <c r="DB38" s="1321"/>
      <c r="DC38" s="1321"/>
      <c r="DD38" s="1321"/>
      <c r="DE38" s="1321"/>
      <c r="DF38" s="1321"/>
      <c r="DG38" s="1321"/>
      <c r="DH38" s="1321"/>
      <c r="DI38" s="1321"/>
      <c r="DJ38" s="1321"/>
      <c r="DK38" s="1321"/>
      <c r="DL38" s="1321"/>
      <c r="DM38" s="1321"/>
      <c r="DN38" s="1321"/>
      <c r="DO38" s="1321"/>
      <c r="DP38" s="1321"/>
      <c r="DQ38" s="1321"/>
      <c r="DR38" s="1321"/>
      <c r="DS38" s="1321"/>
      <c r="DT38" s="1321"/>
      <c r="DU38" s="1321"/>
      <c r="DV38" s="1321"/>
      <c r="DW38" s="1321"/>
      <c r="DX38" s="1321"/>
      <c r="DY38" s="1321"/>
      <c r="DZ38" s="1321"/>
      <c r="EA38" s="1321"/>
      <c r="EB38" s="1321"/>
      <c r="EC38" s="1321"/>
      <c r="ED38" s="1321"/>
      <c r="EE38" s="1321"/>
      <c r="EF38" s="1321"/>
      <c r="EG38" s="1321"/>
      <c r="EH38" s="1321"/>
      <c r="EI38" s="1321"/>
    </row>
    <row r="39" spans="1:139" s="265" customFormat="1" ht="12.75" customHeight="1" x14ac:dyDescent="0.2">
      <c r="A39" s="640"/>
      <c r="B39" s="641" t="s">
        <v>382</v>
      </c>
      <c r="C39" s="642">
        <v>0</v>
      </c>
      <c r="D39" s="642">
        <v>0.5</v>
      </c>
      <c r="E39" s="642">
        <v>15</v>
      </c>
      <c r="F39" s="642">
        <v>0</v>
      </c>
      <c r="G39" s="643">
        <v>0</v>
      </c>
      <c r="H39" s="643">
        <f>SUM(C39:F39)</f>
        <v>15.5</v>
      </c>
      <c r="I39" s="644"/>
      <c r="J39" s="644"/>
      <c r="K39" s="644"/>
      <c r="L39" s="645">
        <f>((C39*$C$10)+(D39*$D$10)+(E39*$E$10)+(F39*$F$10))</f>
        <v>820.8</v>
      </c>
      <c r="M39" s="335"/>
      <c r="N39" s="298"/>
      <c r="O39" s="333">
        <f>0.1*$O$5</f>
        <v>2.1</v>
      </c>
      <c r="P39" s="326">
        <f>(C39+D39+E39+F39)*O39</f>
        <v>32.550000000000004</v>
      </c>
      <c r="Q39" s="298">
        <f>(M39+N39)*O39</f>
        <v>0</v>
      </c>
      <c r="R39" s="561">
        <f>(L39+M39+N39)*O39</f>
        <v>1723.68</v>
      </c>
      <c r="S39" s="646" t="s">
        <v>199</v>
      </c>
      <c r="T39" s="292" t="str">
        <f t="shared" ref="T39:V40" si="10">IF($S39="RP",O39,"")</f>
        <v/>
      </c>
      <c r="U39" s="293" t="str">
        <f t="shared" si="10"/>
        <v/>
      </c>
      <c r="V39" s="122" t="str">
        <f t="shared" si="10"/>
        <v/>
      </c>
      <c r="W39" s="293">
        <f t="shared" ref="W39:Y40" si="11">IF($S39="RK",O39,"")</f>
        <v>2.1</v>
      </c>
      <c r="X39" s="293">
        <f t="shared" si="11"/>
        <v>32.550000000000004</v>
      </c>
      <c r="Y39" s="122">
        <f t="shared" si="11"/>
        <v>0</v>
      </c>
      <c r="AG39" s="1321"/>
      <c r="AH39" s="1321"/>
      <c r="AI39" s="1321"/>
      <c r="AJ39" s="1321"/>
      <c r="AK39" s="1321"/>
      <c r="AL39" s="1321"/>
      <c r="AM39" s="1321"/>
      <c r="AN39" s="1321"/>
      <c r="AO39" s="1321"/>
      <c r="AP39" s="1321"/>
      <c r="AQ39" s="1321"/>
      <c r="AR39" s="1321"/>
      <c r="AS39" s="1321"/>
      <c r="AT39" s="1321"/>
      <c r="AU39" s="1321"/>
      <c r="AV39" s="1321"/>
      <c r="AW39" s="1321"/>
      <c r="AX39" s="1321"/>
      <c r="AY39" s="1321"/>
      <c r="AZ39" s="1321"/>
      <c r="BA39" s="1321"/>
      <c r="BB39" s="1321"/>
      <c r="BC39" s="1321"/>
      <c r="BD39" s="1321"/>
      <c r="BE39" s="1321"/>
      <c r="BF39" s="1321"/>
      <c r="BG39" s="1321"/>
      <c r="BH39" s="1321"/>
      <c r="BI39" s="1321"/>
      <c r="BJ39" s="1321"/>
      <c r="BK39" s="1321"/>
      <c r="BL39" s="1321"/>
      <c r="BM39" s="1321"/>
      <c r="BN39" s="1321"/>
      <c r="BO39" s="1321"/>
      <c r="BP39" s="1321"/>
      <c r="BQ39" s="1321"/>
      <c r="BR39" s="1321"/>
      <c r="BS39" s="1321"/>
      <c r="BT39" s="1321"/>
      <c r="BU39" s="1321"/>
      <c r="BV39" s="1321"/>
      <c r="BW39" s="1321"/>
      <c r="BX39" s="1321"/>
      <c r="BY39" s="1321"/>
      <c r="BZ39" s="1321"/>
      <c r="CA39" s="1321"/>
      <c r="CB39" s="1321"/>
      <c r="CC39" s="1321"/>
      <c r="CD39" s="1321"/>
      <c r="CE39" s="1321"/>
      <c r="CF39" s="1321"/>
      <c r="CG39" s="1321"/>
      <c r="CH39" s="1321"/>
      <c r="CI39" s="1321"/>
      <c r="CJ39" s="1321"/>
      <c r="CK39" s="1321"/>
      <c r="CL39" s="1321"/>
      <c r="CM39" s="1321"/>
      <c r="CN39" s="1321"/>
      <c r="CO39" s="1321"/>
      <c r="CP39" s="1321"/>
      <c r="CQ39" s="1321"/>
      <c r="CR39" s="1321"/>
      <c r="CS39" s="1321"/>
      <c r="CT39" s="1321"/>
      <c r="CU39" s="1321"/>
      <c r="CV39" s="1321"/>
      <c r="CW39" s="1321"/>
      <c r="CX39" s="1321"/>
      <c r="CY39" s="1321"/>
      <c r="CZ39" s="1321"/>
      <c r="DA39" s="1321"/>
      <c r="DB39" s="1321"/>
      <c r="DC39" s="1321"/>
      <c r="DD39" s="1321"/>
      <c r="DE39" s="1321"/>
      <c r="DF39" s="1321"/>
      <c r="DG39" s="1321"/>
      <c r="DH39" s="1321"/>
      <c r="DI39" s="1321"/>
      <c r="DJ39" s="1321"/>
      <c r="DK39" s="1321"/>
      <c r="DL39" s="1321"/>
      <c r="DM39" s="1321"/>
      <c r="DN39" s="1321"/>
      <c r="DO39" s="1321"/>
      <c r="DP39" s="1321"/>
      <c r="DQ39" s="1321"/>
      <c r="DR39" s="1321"/>
      <c r="DS39" s="1321"/>
      <c r="DT39" s="1321"/>
      <c r="DU39" s="1321"/>
      <c r="DV39" s="1321"/>
      <c r="DW39" s="1321"/>
      <c r="DX39" s="1321"/>
      <c r="DY39" s="1321"/>
      <c r="DZ39" s="1321"/>
      <c r="EA39" s="1321"/>
      <c r="EB39" s="1321"/>
      <c r="EC39" s="1321"/>
      <c r="ED39" s="1321"/>
      <c r="EE39" s="1321"/>
      <c r="EF39" s="1321"/>
      <c r="EG39" s="1321"/>
      <c r="EH39" s="1321"/>
      <c r="EI39" s="1321"/>
    </row>
    <row r="40" spans="1:139" s="180" customFormat="1" ht="12.75" customHeight="1" x14ac:dyDescent="0.2">
      <c r="A40" s="485"/>
      <c r="B40" s="647" t="s">
        <v>380</v>
      </c>
      <c r="C40" s="648">
        <v>0</v>
      </c>
      <c r="D40" s="648">
        <v>0.25</v>
      </c>
      <c r="E40" s="648">
        <v>0</v>
      </c>
      <c r="F40" s="648">
        <v>0.25</v>
      </c>
      <c r="G40" s="649">
        <v>0</v>
      </c>
      <c r="H40" s="650">
        <f>SUM(C40:G40)</f>
        <v>0.5</v>
      </c>
      <c r="I40" s="651"/>
      <c r="J40" s="651"/>
      <c r="K40" s="651"/>
      <c r="L40" s="555">
        <f>((C40*$C$10)+(D40*$D$10)+(E40*$E$10)+(F40*$F$10))</f>
        <v>24.724</v>
      </c>
      <c r="M40" s="652">
        <v>0</v>
      </c>
      <c r="N40" s="319">
        <v>0</v>
      </c>
      <c r="O40" s="334">
        <f>O39</f>
        <v>2.1</v>
      </c>
      <c r="P40" s="253">
        <f>(C40+D40+E40+F40)*O40</f>
        <v>1.05</v>
      </c>
      <c r="Q40" s="298">
        <f>(M40+N40)*O40</f>
        <v>0</v>
      </c>
      <c r="R40" s="569">
        <f>(L40+M40+N40)*O40</f>
        <v>51.920400000000001</v>
      </c>
      <c r="S40" s="519" t="s">
        <v>200</v>
      </c>
      <c r="T40" s="292">
        <f t="shared" si="10"/>
        <v>2.1</v>
      </c>
      <c r="U40" s="293">
        <f t="shared" si="10"/>
        <v>1.05</v>
      </c>
      <c r="V40" s="122">
        <f t="shared" si="10"/>
        <v>0</v>
      </c>
      <c r="W40" s="293" t="str">
        <f t="shared" si="11"/>
        <v/>
      </c>
      <c r="X40" s="293" t="str">
        <f t="shared" si="11"/>
        <v/>
      </c>
      <c r="Y40" s="122" t="str">
        <f t="shared" si="11"/>
        <v/>
      </c>
      <c r="AG40" s="1321"/>
      <c r="AH40" s="1321"/>
      <c r="AI40" s="1321"/>
      <c r="AJ40" s="1321"/>
      <c r="AK40" s="1321"/>
      <c r="AL40" s="1321"/>
      <c r="AM40" s="1321"/>
      <c r="AN40" s="1321"/>
      <c r="AO40" s="1321"/>
      <c r="AP40" s="1321"/>
      <c r="AQ40" s="1321"/>
      <c r="AR40" s="1321"/>
      <c r="AS40" s="1321"/>
      <c r="AT40" s="1321"/>
      <c r="AU40" s="1321"/>
      <c r="AV40" s="1321"/>
      <c r="AW40" s="1321"/>
      <c r="AX40" s="1321"/>
      <c r="AY40" s="1321"/>
      <c r="AZ40" s="1321"/>
      <c r="BA40" s="1321"/>
      <c r="BB40" s="1321"/>
      <c r="BC40" s="1321"/>
      <c r="BD40" s="1321"/>
      <c r="BE40" s="1321"/>
      <c r="BF40" s="1321"/>
      <c r="BG40" s="1321"/>
      <c r="BH40" s="1321"/>
      <c r="BI40" s="1321"/>
      <c r="BJ40" s="1321"/>
      <c r="BK40" s="1321"/>
      <c r="BL40" s="1321"/>
      <c r="BM40" s="1321"/>
      <c r="BN40" s="1321"/>
      <c r="BO40" s="1321"/>
      <c r="BP40" s="1321"/>
      <c r="BQ40" s="1321"/>
      <c r="BR40" s="1321"/>
      <c r="BS40" s="1321"/>
      <c r="BT40" s="1321"/>
      <c r="BU40" s="1321"/>
      <c r="BV40" s="1321"/>
      <c r="BW40" s="1321"/>
      <c r="BX40" s="1321"/>
      <c r="BY40" s="1321"/>
      <c r="BZ40" s="1321"/>
      <c r="CA40" s="1321"/>
      <c r="CB40" s="1321"/>
      <c r="CC40" s="1321"/>
      <c r="CD40" s="1321"/>
      <c r="CE40" s="1321"/>
      <c r="CF40" s="1321"/>
      <c r="CG40" s="1321"/>
      <c r="CH40" s="1321"/>
      <c r="CI40" s="1321"/>
      <c r="CJ40" s="1321"/>
      <c r="CK40" s="1321"/>
      <c r="CL40" s="1321"/>
      <c r="CM40" s="1321"/>
      <c r="CN40" s="1321"/>
      <c r="CO40" s="1321"/>
      <c r="CP40" s="1321"/>
      <c r="CQ40" s="1321"/>
      <c r="CR40" s="1321"/>
      <c r="CS40" s="1321"/>
      <c r="CT40" s="1321"/>
      <c r="CU40" s="1321"/>
      <c r="CV40" s="1321"/>
      <c r="CW40" s="1321"/>
      <c r="CX40" s="1321"/>
      <c r="CY40" s="1321"/>
      <c r="CZ40" s="1321"/>
      <c r="DA40" s="1321"/>
      <c r="DB40" s="1321"/>
      <c r="DC40" s="1321"/>
      <c r="DD40" s="1321"/>
      <c r="DE40" s="1321"/>
      <c r="DF40" s="1321"/>
      <c r="DG40" s="1321"/>
      <c r="DH40" s="1321"/>
      <c r="DI40" s="1321"/>
      <c r="DJ40" s="1321"/>
      <c r="DK40" s="1321"/>
      <c r="DL40" s="1321"/>
      <c r="DM40" s="1321"/>
      <c r="DN40" s="1321"/>
      <c r="DO40" s="1321"/>
      <c r="DP40" s="1321"/>
      <c r="DQ40" s="1321"/>
      <c r="DR40" s="1321"/>
      <c r="DS40" s="1321"/>
      <c r="DT40" s="1321"/>
      <c r="DU40" s="1321"/>
      <c r="DV40" s="1321"/>
      <c r="DW40" s="1321"/>
      <c r="DX40" s="1321"/>
      <c r="DY40" s="1321"/>
      <c r="DZ40" s="1321"/>
      <c r="EA40" s="1321"/>
      <c r="EB40" s="1321"/>
      <c r="EC40" s="1321"/>
      <c r="ED40" s="1321"/>
      <c r="EE40" s="1321"/>
      <c r="EF40" s="1321"/>
      <c r="EG40" s="1321"/>
      <c r="EH40" s="1321"/>
      <c r="EI40" s="1321"/>
    </row>
    <row r="41" spans="1:139" s="180" customFormat="1" ht="12.75" customHeight="1" x14ac:dyDescent="0.2">
      <c r="A41" s="278" t="s">
        <v>563</v>
      </c>
      <c r="B41" s="279"/>
      <c r="C41" s="280"/>
      <c r="D41" s="280"/>
      <c r="E41" s="280"/>
      <c r="F41" s="280"/>
      <c r="G41" s="280"/>
      <c r="H41" s="280"/>
      <c r="I41" s="281"/>
      <c r="J41" s="281"/>
      <c r="K41" s="281"/>
      <c r="L41" s="535"/>
      <c r="M41" s="282"/>
      <c r="N41" s="283"/>
      <c r="O41" s="402"/>
      <c r="P41" s="284"/>
      <c r="Q41" s="284"/>
      <c r="R41" s="562"/>
      <c r="S41" s="193"/>
      <c r="T41" s="185"/>
      <c r="U41" s="240"/>
      <c r="W41" s="185"/>
      <c r="X41" s="185"/>
      <c r="AG41" s="1321"/>
      <c r="AH41" s="1321"/>
      <c r="AI41" s="1321"/>
      <c r="AJ41" s="1321"/>
      <c r="AK41" s="1321"/>
      <c r="AL41" s="1321"/>
      <c r="AM41" s="1321"/>
      <c r="AN41" s="1321"/>
      <c r="AO41" s="1321"/>
      <c r="AP41" s="1321"/>
      <c r="AQ41" s="1321"/>
      <c r="AR41" s="1321"/>
      <c r="AS41" s="1321"/>
      <c r="AT41" s="1321"/>
      <c r="AU41" s="1321"/>
      <c r="AV41" s="1321"/>
      <c r="AW41" s="1321"/>
      <c r="AX41" s="1321"/>
      <c r="AY41" s="1321"/>
      <c r="AZ41" s="1321"/>
      <c r="BA41" s="1321"/>
      <c r="BB41" s="1321"/>
      <c r="BC41" s="1321"/>
      <c r="BD41" s="1321"/>
      <c r="BE41" s="1321"/>
      <c r="BF41" s="1321"/>
      <c r="BG41" s="1321"/>
      <c r="BH41" s="1321"/>
      <c r="BI41" s="1321"/>
      <c r="BJ41" s="1321"/>
      <c r="BK41" s="1321"/>
      <c r="BL41" s="1321"/>
      <c r="BM41" s="1321"/>
      <c r="BN41" s="1321"/>
      <c r="BO41" s="1321"/>
      <c r="BP41" s="1321"/>
      <c r="BQ41" s="1321"/>
      <c r="BR41" s="1321"/>
      <c r="BS41" s="1321"/>
      <c r="BT41" s="1321"/>
      <c r="BU41" s="1321"/>
      <c r="BV41" s="1321"/>
      <c r="BW41" s="1321"/>
      <c r="BX41" s="1321"/>
      <c r="BY41" s="1321"/>
      <c r="BZ41" s="1321"/>
      <c r="CA41" s="1321"/>
      <c r="CB41" s="1321"/>
      <c r="CC41" s="1321"/>
      <c r="CD41" s="1321"/>
      <c r="CE41" s="1321"/>
      <c r="CF41" s="1321"/>
      <c r="CG41" s="1321"/>
      <c r="CH41" s="1321"/>
      <c r="CI41" s="1321"/>
      <c r="CJ41" s="1321"/>
      <c r="CK41" s="1321"/>
      <c r="CL41" s="1321"/>
      <c r="CM41" s="1321"/>
      <c r="CN41" s="1321"/>
      <c r="CO41" s="1321"/>
      <c r="CP41" s="1321"/>
      <c r="CQ41" s="1321"/>
      <c r="CR41" s="1321"/>
      <c r="CS41" s="1321"/>
      <c r="CT41" s="1321"/>
      <c r="CU41" s="1321"/>
      <c r="CV41" s="1321"/>
      <c r="CW41" s="1321"/>
      <c r="CX41" s="1321"/>
      <c r="CY41" s="1321"/>
      <c r="CZ41" s="1321"/>
      <c r="DA41" s="1321"/>
      <c r="DB41" s="1321"/>
      <c r="DC41" s="1321"/>
      <c r="DD41" s="1321"/>
      <c r="DE41" s="1321"/>
      <c r="DF41" s="1321"/>
      <c r="DG41" s="1321"/>
      <c r="DH41" s="1321"/>
      <c r="DI41" s="1321"/>
      <c r="DJ41" s="1321"/>
      <c r="DK41" s="1321"/>
      <c r="DL41" s="1321"/>
      <c r="DM41" s="1321"/>
      <c r="DN41" s="1321"/>
      <c r="DO41" s="1321"/>
      <c r="DP41" s="1321"/>
      <c r="DQ41" s="1321"/>
      <c r="DR41" s="1321"/>
      <c r="DS41" s="1321"/>
      <c r="DT41" s="1321"/>
      <c r="DU41" s="1321"/>
      <c r="DV41" s="1321"/>
      <c r="DW41" s="1321"/>
      <c r="DX41" s="1321"/>
      <c r="DY41" s="1321"/>
      <c r="DZ41" s="1321"/>
      <c r="EA41" s="1321"/>
      <c r="EB41" s="1321"/>
      <c r="EC41" s="1321"/>
      <c r="ED41" s="1321"/>
      <c r="EE41" s="1321"/>
      <c r="EF41" s="1321"/>
      <c r="EG41" s="1321"/>
      <c r="EH41" s="1321"/>
      <c r="EI41" s="1321"/>
    </row>
    <row r="42" spans="1:139" s="180" customFormat="1" ht="12.75" customHeight="1" x14ac:dyDescent="0.2">
      <c r="A42" s="329"/>
      <c r="B42" s="330" t="s">
        <v>383</v>
      </c>
      <c r="C42" s="294"/>
      <c r="D42" s="294"/>
      <c r="E42" s="294"/>
      <c r="F42" s="294"/>
      <c r="G42" s="294"/>
      <c r="H42" s="294"/>
      <c r="I42" s="295"/>
      <c r="J42" s="295"/>
      <c r="K42" s="295"/>
      <c r="L42" s="537"/>
      <c r="M42" s="296"/>
      <c r="N42" s="245"/>
      <c r="O42" s="334"/>
      <c r="P42" s="297"/>
      <c r="Q42" s="297"/>
      <c r="R42" s="544"/>
      <c r="S42" s="193"/>
      <c r="T42" s="292"/>
      <c r="U42" s="293"/>
      <c r="V42" s="122"/>
      <c r="W42" s="293"/>
      <c r="X42" s="293"/>
      <c r="Y42" s="122"/>
      <c r="AG42" s="1321"/>
      <c r="AH42" s="1321"/>
      <c r="AI42" s="1321"/>
      <c r="AJ42" s="1321"/>
      <c r="AK42" s="1321"/>
      <c r="AL42" s="1321"/>
      <c r="AM42" s="1321"/>
      <c r="AN42" s="1321"/>
      <c r="AO42" s="1321"/>
      <c r="AP42" s="1321"/>
      <c r="AQ42" s="1321"/>
      <c r="AR42" s="1321"/>
      <c r="AS42" s="1321"/>
      <c r="AT42" s="1321"/>
      <c r="AU42" s="1321"/>
      <c r="AV42" s="1321"/>
      <c r="AW42" s="1321"/>
      <c r="AX42" s="1321"/>
      <c r="AY42" s="1321"/>
      <c r="AZ42" s="1321"/>
      <c r="BA42" s="1321"/>
      <c r="BB42" s="1321"/>
      <c r="BC42" s="1321"/>
      <c r="BD42" s="1321"/>
      <c r="BE42" s="1321"/>
      <c r="BF42" s="1321"/>
      <c r="BG42" s="1321"/>
      <c r="BH42" s="1321"/>
      <c r="BI42" s="1321"/>
      <c r="BJ42" s="1321"/>
      <c r="BK42" s="1321"/>
      <c r="BL42" s="1321"/>
      <c r="BM42" s="1321"/>
      <c r="BN42" s="1321"/>
      <c r="BO42" s="1321"/>
      <c r="BP42" s="1321"/>
      <c r="BQ42" s="1321"/>
      <c r="BR42" s="1321"/>
      <c r="BS42" s="1321"/>
      <c r="BT42" s="1321"/>
      <c r="BU42" s="1321"/>
      <c r="BV42" s="1321"/>
      <c r="BW42" s="1321"/>
      <c r="BX42" s="1321"/>
      <c r="BY42" s="1321"/>
      <c r="BZ42" s="1321"/>
      <c r="CA42" s="1321"/>
      <c r="CB42" s="1321"/>
      <c r="CC42" s="1321"/>
      <c r="CD42" s="1321"/>
      <c r="CE42" s="1321"/>
      <c r="CF42" s="1321"/>
      <c r="CG42" s="1321"/>
      <c r="CH42" s="1321"/>
      <c r="CI42" s="1321"/>
      <c r="CJ42" s="1321"/>
      <c r="CK42" s="1321"/>
      <c r="CL42" s="1321"/>
      <c r="CM42" s="1321"/>
      <c r="CN42" s="1321"/>
      <c r="CO42" s="1321"/>
      <c r="CP42" s="1321"/>
      <c r="CQ42" s="1321"/>
      <c r="CR42" s="1321"/>
      <c r="CS42" s="1321"/>
      <c r="CT42" s="1321"/>
      <c r="CU42" s="1321"/>
      <c r="CV42" s="1321"/>
      <c r="CW42" s="1321"/>
      <c r="CX42" s="1321"/>
      <c r="CY42" s="1321"/>
      <c r="CZ42" s="1321"/>
      <c r="DA42" s="1321"/>
      <c r="DB42" s="1321"/>
      <c r="DC42" s="1321"/>
      <c r="DD42" s="1321"/>
      <c r="DE42" s="1321"/>
      <c r="DF42" s="1321"/>
      <c r="DG42" s="1321"/>
      <c r="DH42" s="1321"/>
      <c r="DI42" s="1321"/>
      <c r="DJ42" s="1321"/>
      <c r="DK42" s="1321"/>
      <c r="DL42" s="1321"/>
      <c r="DM42" s="1321"/>
      <c r="DN42" s="1321"/>
      <c r="DO42" s="1321"/>
      <c r="DP42" s="1321"/>
      <c r="DQ42" s="1321"/>
      <c r="DR42" s="1321"/>
      <c r="DS42" s="1321"/>
      <c r="DT42" s="1321"/>
      <c r="DU42" s="1321"/>
      <c r="DV42" s="1321"/>
      <c r="DW42" s="1321"/>
      <c r="DX42" s="1321"/>
      <c r="DY42" s="1321"/>
      <c r="DZ42" s="1321"/>
      <c r="EA42" s="1321"/>
      <c r="EB42" s="1321"/>
      <c r="EC42" s="1321"/>
      <c r="ED42" s="1321"/>
      <c r="EE42" s="1321"/>
      <c r="EF42" s="1321"/>
      <c r="EG42" s="1321"/>
      <c r="EH42" s="1321"/>
      <c r="EI42" s="1321"/>
    </row>
    <row r="43" spans="1:139" s="265" customFormat="1" ht="12.75" customHeight="1" x14ac:dyDescent="0.2">
      <c r="A43" s="285"/>
      <c r="B43" s="286" t="s">
        <v>384</v>
      </c>
      <c r="C43" s="294">
        <v>0</v>
      </c>
      <c r="D43" s="294">
        <v>0.5</v>
      </c>
      <c r="E43" s="294">
        <v>5</v>
      </c>
      <c r="F43" s="294">
        <v>0</v>
      </c>
      <c r="G43" s="294">
        <v>0</v>
      </c>
      <c r="H43" s="294">
        <f>SUM(C43:G43)</f>
        <v>5.5</v>
      </c>
      <c r="I43" s="295"/>
      <c r="J43" s="295"/>
      <c r="K43" s="295"/>
      <c r="L43" s="537">
        <f>((C43*$C$10)+(D43*$D$10)+(E43*$E$10)+(F43*$F$10))</f>
        <v>297.12</v>
      </c>
      <c r="M43" s="296">
        <v>0</v>
      </c>
      <c r="N43" s="246">
        <v>1</v>
      </c>
      <c r="O43" s="334">
        <f>'Table 1'!L75</f>
        <v>6.7</v>
      </c>
      <c r="P43" s="297">
        <f>(C43+D43+E43+F43)*O43</f>
        <v>36.85</v>
      </c>
      <c r="Q43" s="298">
        <f>(M43+N43)*O43</f>
        <v>6.7</v>
      </c>
      <c r="R43" s="544">
        <f>(L43+M43+N43)*O43</f>
        <v>1997.404</v>
      </c>
      <c r="S43" s="263" t="s">
        <v>199</v>
      </c>
      <c r="T43" s="292" t="str">
        <f>IF($S43="RP",O43,"")</f>
        <v/>
      </c>
      <c r="U43" s="293" t="str">
        <f>IF($S43="RP",P43,"")</f>
        <v/>
      </c>
      <c r="V43" s="122" t="str">
        <f>IF($S43="RP",Q43,"")</f>
        <v/>
      </c>
      <c r="W43" s="293">
        <f>IF($S43="RK",O43,"")</f>
        <v>6.7</v>
      </c>
      <c r="X43" s="293">
        <f>IF($S43="RK",P43,"")</f>
        <v>36.85</v>
      </c>
      <c r="Y43" s="122">
        <f>IF($S43="RK",Q43,"")</f>
        <v>6.7</v>
      </c>
      <c r="AG43" s="1321"/>
      <c r="AH43" s="1321"/>
      <c r="AI43" s="1321"/>
      <c r="AJ43" s="1321"/>
      <c r="AK43" s="1321"/>
      <c r="AL43" s="1321"/>
      <c r="AM43" s="1321"/>
      <c r="AN43" s="1321"/>
      <c r="AO43" s="1321"/>
      <c r="AP43" s="1321"/>
      <c r="AQ43" s="1321"/>
      <c r="AR43" s="1321"/>
      <c r="AS43" s="1321"/>
      <c r="AT43" s="1321"/>
      <c r="AU43" s="1321"/>
      <c r="AV43" s="1321"/>
      <c r="AW43" s="1321"/>
      <c r="AX43" s="1321"/>
      <c r="AY43" s="1321"/>
      <c r="AZ43" s="1321"/>
      <c r="BA43" s="1321"/>
      <c r="BB43" s="1321"/>
      <c r="BC43" s="1321"/>
      <c r="BD43" s="1321"/>
      <c r="BE43" s="1321"/>
      <c r="BF43" s="1321"/>
      <c r="BG43" s="1321"/>
      <c r="BH43" s="1321"/>
      <c r="BI43" s="1321"/>
      <c r="BJ43" s="1321"/>
      <c r="BK43" s="1321"/>
      <c r="BL43" s="1321"/>
      <c r="BM43" s="1321"/>
      <c r="BN43" s="1321"/>
      <c r="BO43" s="1321"/>
      <c r="BP43" s="1321"/>
      <c r="BQ43" s="1321"/>
      <c r="BR43" s="1321"/>
      <c r="BS43" s="1321"/>
      <c r="BT43" s="1321"/>
      <c r="BU43" s="1321"/>
      <c r="BV43" s="1321"/>
      <c r="BW43" s="1321"/>
      <c r="BX43" s="1321"/>
      <c r="BY43" s="1321"/>
      <c r="BZ43" s="1321"/>
      <c r="CA43" s="1321"/>
      <c r="CB43" s="1321"/>
      <c r="CC43" s="1321"/>
      <c r="CD43" s="1321"/>
      <c r="CE43" s="1321"/>
      <c r="CF43" s="1321"/>
      <c r="CG43" s="1321"/>
      <c r="CH43" s="1321"/>
      <c r="CI43" s="1321"/>
      <c r="CJ43" s="1321"/>
      <c r="CK43" s="1321"/>
      <c r="CL43" s="1321"/>
      <c r="CM43" s="1321"/>
      <c r="CN43" s="1321"/>
      <c r="CO43" s="1321"/>
      <c r="CP43" s="1321"/>
      <c r="CQ43" s="1321"/>
      <c r="CR43" s="1321"/>
      <c r="CS43" s="1321"/>
      <c r="CT43" s="1321"/>
      <c r="CU43" s="1321"/>
      <c r="CV43" s="1321"/>
      <c r="CW43" s="1321"/>
      <c r="CX43" s="1321"/>
      <c r="CY43" s="1321"/>
      <c r="CZ43" s="1321"/>
      <c r="DA43" s="1321"/>
      <c r="DB43" s="1321"/>
      <c r="DC43" s="1321"/>
      <c r="DD43" s="1321"/>
      <c r="DE43" s="1321"/>
      <c r="DF43" s="1321"/>
      <c r="DG43" s="1321"/>
      <c r="DH43" s="1321"/>
      <c r="DI43" s="1321"/>
      <c r="DJ43" s="1321"/>
      <c r="DK43" s="1321"/>
      <c r="DL43" s="1321"/>
      <c r="DM43" s="1321"/>
      <c r="DN43" s="1321"/>
      <c r="DO43" s="1321"/>
      <c r="DP43" s="1321"/>
      <c r="DQ43" s="1321"/>
      <c r="DR43" s="1321"/>
      <c r="DS43" s="1321"/>
      <c r="DT43" s="1321"/>
      <c r="DU43" s="1321"/>
      <c r="DV43" s="1321"/>
      <c r="DW43" s="1321"/>
      <c r="DX43" s="1321"/>
      <c r="DY43" s="1321"/>
      <c r="DZ43" s="1321"/>
      <c r="EA43" s="1321"/>
      <c r="EB43" s="1321"/>
      <c r="EC43" s="1321"/>
      <c r="ED43" s="1321"/>
      <c r="EE43" s="1321"/>
      <c r="EF43" s="1321"/>
      <c r="EG43" s="1321"/>
      <c r="EH43" s="1321"/>
      <c r="EI43" s="1321"/>
    </row>
    <row r="44" spans="1:139" s="180" customFormat="1" ht="12.75" customHeight="1" x14ac:dyDescent="0.2">
      <c r="A44" s="278" t="s">
        <v>564</v>
      </c>
      <c r="B44" s="279"/>
      <c r="C44" s="280"/>
      <c r="D44" s="280"/>
      <c r="E44" s="280"/>
      <c r="F44" s="280"/>
      <c r="G44" s="280"/>
      <c r="H44" s="280"/>
      <c r="I44" s="281"/>
      <c r="J44" s="281"/>
      <c r="K44" s="281"/>
      <c r="L44" s="535"/>
      <c r="M44" s="282"/>
      <c r="N44" s="283"/>
      <c r="O44" s="402"/>
      <c r="P44" s="284"/>
      <c r="Q44" s="284"/>
      <c r="R44" s="562"/>
      <c r="S44" s="193"/>
      <c r="T44" s="185"/>
      <c r="U44" s="240"/>
      <c r="W44" s="185"/>
      <c r="X44" s="185"/>
      <c r="AG44" s="1321"/>
      <c r="AH44" s="1321"/>
      <c r="AI44" s="1321"/>
      <c r="AJ44" s="1321"/>
      <c r="AK44" s="1321"/>
      <c r="AL44" s="1321"/>
      <c r="AM44" s="1321"/>
      <c r="AN44" s="1321"/>
      <c r="AO44" s="1321"/>
      <c r="AP44" s="1321"/>
      <c r="AQ44" s="1321"/>
      <c r="AR44" s="1321"/>
      <c r="AS44" s="1321"/>
      <c r="AT44" s="1321"/>
      <c r="AU44" s="1321"/>
      <c r="AV44" s="1321"/>
      <c r="AW44" s="1321"/>
      <c r="AX44" s="1321"/>
      <c r="AY44" s="1321"/>
      <c r="AZ44" s="1321"/>
      <c r="BA44" s="1321"/>
      <c r="BB44" s="1321"/>
      <c r="BC44" s="1321"/>
      <c r="BD44" s="1321"/>
      <c r="BE44" s="1321"/>
      <c r="BF44" s="1321"/>
      <c r="BG44" s="1321"/>
      <c r="BH44" s="1321"/>
      <c r="BI44" s="1321"/>
      <c r="BJ44" s="1321"/>
      <c r="BK44" s="1321"/>
      <c r="BL44" s="1321"/>
      <c r="BM44" s="1321"/>
      <c r="BN44" s="1321"/>
      <c r="BO44" s="1321"/>
      <c r="BP44" s="1321"/>
      <c r="BQ44" s="1321"/>
      <c r="BR44" s="1321"/>
      <c r="BS44" s="1321"/>
      <c r="BT44" s="1321"/>
      <c r="BU44" s="1321"/>
      <c r="BV44" s="1321"/>
      <c r="BW44" s="1321"/>
      <c r="BX44" s="1321"/>
      <c r="BY44" s="1321"/>
      <c r="BZ44" s="1321"/>
      <c r="CA44" s="1321"/>
      <c r="CB44" s="1321"/>
      <c r="CC44" s="1321"/>
      <c r="CD44" s="1321"/>
      <c r="CE44" s="1321"/>
      <c r="CF44" s="1321"/>
      <c r="CG44" s="1321"/>
      <c r="CH44" s="1321"/>
      <c r="CI44" s="1321"/>
      <c r="CJ44" s="1321"/>
      <c r="CK44" s="1321"/>
      <c r="CL44" s="1321"/>
      <c r="CM44" s="1321"/>
      <c r="CN44" s="1321"/>
      <c r="CO44" s="1321"/>
      <c r="CP44" s="1321"/>
      <c r="CQ44" s="1321"/>
      <c r="CR44" s="1321"/>
      <c r="CS44" s="1321"/>
      <c r="CT44" s="1321"/>
      <c r="CU44" s="1321"/>
      <c r="CV44" s="1321"/>
      <c r="CW44" s="1321"/>
      <c r="CX44" s="1321"/>
      <c r="CY44" s="1321"/>
      <c r="CZ44" s="1321"/>
      <c r="DA44" s="1321"/>
      <c r="DB44" s="1321"/>
      <c r="DC44" s="1321"/>
      <c r="DD44" s="1321"/>
      <c r="DE44" s="1321"/>
      <c r="DF44" s="1321"/>
      <c r="DG44" s="1321"/>
      <c r="DH44" s="1321"/>
      <c r="DI44" s="1321"/>
      <c r="DJ44" s="1321"/>
      <c r="DK44" s="1321"/>
      <c r="DL44" s="1321"/>
      <c r="DM44" s="1321"/>
      <c r="DN44" s="1321"/>
      <c r="DO44" s="1321"/>
      <c r="DP44" s="1321"/>
      <c r="DQ44" s="1321"/>
      <c r="DR44" s="1321"/>
      <c r="DS44" s="1321"/>
      <c r="DT44" s="1321"/>
      <c r="DU44" s="1321"/>
      <c r="DV44" s="1321"/>
      <c r="DW44" s="1321"/>
      <c r="DX44" s="1321"/>
      <c r="DY44" s="1321"/>
      <c r="DZ44" s="1321"/>
      <c r="EA44" s="1321"/>
      <c r="EB44" s="1321"/>
      <c r="EC44" s="1321"/>
      <c r="ED44" s="1321"/>
      <c r="EE44" s="1321"/>
      <c r="EF44" s="1321"/>
      <c r="EG44" s="1321"/>
      <c r="EH44" s="1321"/>
      <c r="EI44" s="1321"/>
    </row>
    <row r="45" spans="1:139" s="265" customFormat="1" ht="12.75" customHeight="1" x14ac:dyDescent="0.2">
      <c r="A45" s="285"/>
      <c r="B45" s="286" t="s">
        <v>385</v>
      </c>
      <c r="C45" s="287">
        <v>0</v>
      </c>
      <c r="D45" s="287">
        <v>0.25</v>
      </c>
      <c r="E45" s="287">
        <v>5</v>
      </c>
      <c r="F45" s="287">
        <v>0.1</v>
      </c>
      <c r="G45" s="287">
        <v>0</v>
      </c>
      <c r="H45" s="287">
        <f>SUM(C45:G45)</f>
        <v>5.35</v>
      </c>
      <c r="I45" s="288"/>
      <c r="J45" s="288"/>
      <c r="K45" s="288"/>
      <c r="L45" s="530">
        <f>((C45*$C$10)+(D45*$D$10)+(E45*$E$10)+(F45*$F$10))</f>
        <v>282.31359999999995</v>
      </c>
      <c r="M45" s="289">
        <v>0</v>
      </c>
      <c r="N45" s="272">
        <v>0</v>
      </c>
      <c r="O45" s="333">
        <f>'Table 1'!L80</f>
        <v>5.7</v>
      </c>
      <c r="P45" s="290">
        <f>(C45+D45+E45+F45)*O45</f>
        <v>30.494999999999997</v>
      </c>
      <c r="Q45" s="291">
        <f>(M45+N45)*O45</f>
        <v>0</v>
      </c>
      <c r="R45" s="526">
        <f>(L45+M45+N45)*O45</f>
        <v>1609.1875199999997</v>
      </c>
      <c r="S45" s="263" t="s">
        <v>199</v>
      </c>
      <c r="T45" s="292" t="str">
        <f t="shared" ref="T45:V46" si="12">IF($S45="RP",O45,"")</f>
        <v/>
      </c>
      <c r="U45" s="293" t="str">
        <f t="shared" si="12"/>
        <v/>
      </c>
      <c r="V45" s="122" t="str">
        <f t="shared" si="12"/>
        <v/>
      </c>
      <c r="W45" s="293">
        <f t="shared" ref="W45:Y46" si="13">IF($S45="RK",O45,"")</f>
        <v>5.7</v>
      </c>
      <c r="X45" s="293">
        <f t="shared" si="13"/>
        <v>30.494999999999997</v>
      </c>
      <c r="Y45" s="122">
        <f t="shared" si="13"/>
        <v>0</v>
      </c>
      <c r="AG45" s="1321"/>
      <c r="AH45" s="1321"/>
      <c r="AI45" s="1321"/>
      <c r="AJ45" s="1321"/>
      <c r="AK45" s="1321"/>
      <c r="AL45" s="1321"/>
      <c r="AM45" s="1321"/>
      <c r="AN45" s="1321"/>
      <c r="AO45" s="1321"/>
      <c r="AP45" s="1321"/>
      <c r="AQ45" s="1321"/>
      <c r="AR45" s="1321"/>
      <c r="AS45" s="1321"/>
      <c r="AT45" s="1321"/>
      <c r="AU45" s="1321"/>
      <c r="AV45" s="1321"/>
      <c r="AW45" s="1321"/>
      <c r="AX45" s="1321"/>
      <c r="AY45" s="1321"/>
      <c r="AZ45" s="1321"/>
      <c r="BA45" s="1321"/>
      <c r="BB45" s="1321"/>
      <c r="BC45" s="1321"/>
      <c r="BD45" s="1321"/>
      <c r="BE45" s="1321"/>
      <c r="BF45" s="1321"/>
      <c r="BG45" s="1321"/>
      <c r="BH45" s="1321"/>
      <c r="BI45" s="1321"/>
      <c r="BJ45" s="1321"/>
      <c r="BK45" s="1321"/>
      <c r="BL45" s="1321"/>
      <c r="BM45" s="1321"/>
      <c r="BN45" s="1321"/>
      <c r="BO45" s="1321"/>
      <c r="BP45" s="1321"/>
      <c r="BQ45" s="1321"/>
      <c r="BR45" s="1321"/>
      <c r="BS45" s="1321"/>
      <c r="BT45" s="1321"/>
      <c r="BU45" s="1321"/>
      <c r="BV45" s="1321"/>
      <c r="BW45" s="1321"/>
      <c r="BX45" s="1321"/>
      <c r="BY45" s="1321"/>
      <c r="BZ45" s="1321"/>
      <c r="CA45" s="1321"/>
      <c r="CB45" s="1321"/>
      <c r="CC45" s="1321"/>
      <c r="CD45" s="1321"/>
      <c r="CE45" s="1321"/>
      <c r="CF45" s="1321"/>
      <c r="CG45" s="1321"/>
      <c r="CH45" s="1321"/>
      <c r="CI45" s="1321"/>
      <c r="CJ45" s="1321"/>
      <c r="CK45" s="1321"/>
      <c r="CL45" s="1321"/>
      <c r="CM45" s="1321"/>
      <c r="CN45" s="1321"/>
      <c r="CO45" s="1321"/>
      <c r="CP45" s="1321"/>
      <c r="CQ45" s="1321"/>
      <c r="CR45" s="1321"/>
      <c r="CS45" s="1321"/>
      <c r="CT45" s="1321"/>
      <c r="CU45" s="1321"/>
      <c r="CV45" s="1321"/>
      <c r="CW45" s="1321"/>
      <c r="CX45" s="1321"/>
      <c r="CY45" s="1321"/>
      <c r="CZ45" s="1321"/>
      <c r="DA45" s="1321"/>
      <c r="DB45" s="1321"/>
      <c r="DC45" s="1321"/>
      <c r="DD45" s="1321"/>
      <c r="DE45" s="1321"/>
      <c r="DF45" s="1321"/>
      <c r="DG45" s="1321"/>
      <c r="DH45" s="1321"/>
      <c r="DI45" s="1321"/>
      <c r="DJ45" s="1321"/>
      <c r="DK45" s="1321"/>
      <c r="DL45" s="1321"/>
      <c r="DM45" s="1321"/>
      <c r="DN45" s="1321"/>
      <c r="DO45" s="1321"/>
      <c r="DP45" s="1321"/>
      <c r="DQ45" s="1321"/>
      <c r="DR45" s="1321"/>
      <c r="DS45" s="1321"/>
      <c r="DT45" s="1321"/>
      <c r="DU45" s="1321"/>
      <c r="DV45" s="1321"/>
      <c r="DW45" s="1321"/>
      <c r="DX45" s="1321"/>
      <c r="DY45" s="1321"/>
      <c r="DZ45" s="1321"/>
      <c r="EA45" s="1321"/>
      <c r="EB45" s="1321"/>
      <c r="EC45" s="1321"/>
      <c r="ED45" s="1321"/>
      <c r="EE45" s="1321"/>
      <c r="EF45" s="1321"/>
      <c r="EG45" s="1321"/>
      <c r="EH45" s="1321"/>
      <c r="EI45" s="1321"/>
    </row>
    <row r="46" spans="1:139" s="265" customFormat="1" ht="12.75" customHeight="1" x14ac:dyDescent="0.2">
      <c r="A46" s="285"/>
      <c r="B46" s="286" t="s">
        <v>372</v>
      </c>
      <c r="C46" s="287">
        <v>0</v>
      </c>
      <c r="D46" s="287">
        <v>0.25</v>
      </c>
      <c r="E46" s="287">
        <v>0</v>
      </c>
      <c r="F46" s="287">
        <v>0.25</v>
      </c>
      <c r="G46" s="287">
        <v>0</v>
      </c>
      <c r="H46" s="287">
        <f>SUM(C46:G46)</f>
        <v>0.5</v>
      </c>
      <c r="I46" s="288"/>
      <c r="J46" s="288"/>
      <c r="K46" s="288"/>
      <c r="L46" s="530">
        <f>((C46*$C$10)+(D46*$D$10)+(E46*$E$10)+(F46*$F$10))</f>
        <v>24.724</v>
      </c>
      <c r="M46" s="289">
        <v>0</v>
      </c>
      <c r="N46" s="335">
        <v>1</v>
      </c>
      <c r="O46" s="333">
        <f>O45</f>
        <v>5.7</v>
      </c>
      <c r="P46" s="290">
        <f>(C46+D46+E46+F46)*O46</f>
        <v>2.85</v>
      </c>
      <c r="Q46" s="298">
        <f>(M46+N46)*O46</f>
        <v>5.7</v>
      </c>
      <c r="R46" s="526">
        <f>(L46+M46+N46)*O46</f>
        <v>146.6268</v>
      </c>
      <c r="S46" s="263" t="s">
        <v>200</v>
      </c>
      <c r="T46" s="292">
        <f t="shared" si="12"/>
        <v>5.7</v>
      </c>
      <c r="U46" s="293">
        <f t="shared" si="12"/>
        <v>2.85</v>
      </c>
      <c r="V46" s="122">
        <f t="shared" si="12"/>
        <v>5.7</v>
      </c>
      <c r="W46" s="293" t="str">
        <f t="shared" si="13"/>
        <v/>
      </c>
      <c r="X46" s="293" t="str">
        <f t="shared" si="13"/>
        <v/>
      </c>
      <c r="Y46" s="122" t="str">
        <f t="shared" si="13"/>
        <v/>
      </c>
      <c r="AG46" s="1321"/>
      <c r="AH46" s="1321"/>
      <c r="AI46" s="1321"/>
      <c r="AJ46" s="1321"/>
      <c r="AK46" s="1321"/>
      <c r="AL46" s="1321"/>
      <c r="AM46" s="1321"/>
      <c r="AN46" s="1321"/>
      <c r="AO46" s="1321"/>
      <c r="AP46" s="1321"/>
      <c r="AQ46" s="1321"/>
      <c r="AR46" s="1321"/>
      <c r="AS46" s="1321"/>
      <c r="AT46" s="1321"/>
      <c r="AU46" s="1321"/>
      <c r="AV46" s="1321"/>
      <c r="AW46" s="1321"/>
      <c r="AX46" s="1321"/>
      <c r="AY46" s="1321"/>
      <c r="AZ46" s="1321"/>
      <c r="BA46" s="1321"/>
      <c r="BB46" s="1321"/>
      <c r="BC46" s="1321"/>
      <c r="BD46" s="1321"/>
      <c r="BE46" s="1321"/>
      <c r="BF46" s="1321"/>
      <c r="BG46" s="1321"/>
      <c r="BH46" s="1321"/>
      <c r="BI46" s="1321"/>
      <c r="BJ46" s="1321"/>
      <c r="BK46" s="1321"/>
      <c r="BL46" s="1321"/>
      <c r="BM46" s="1321"/>
      <c r="BN46" s="1321"/>
      <c r="BO46" s="1321"/>
      <c r="BP46" s="1321"/>
      <c r="BQ46" s="1321"/>
      <c r="BR46" s="1321"/>
      <c r="BS46" s="1321"/>
      <c r="BT46" s="1321"/>
      <c r="BU46" s="1321"/>
      <c r="BV46" s="1321"/>
      <c r="BW46" s="1321"/>
      <c r="BX46" s="1321"/>
      <c r="BY46" s="1321"/>
      <c r="BZ46" s="1321"/>
      <c r="CA46" s="1321"/>
      <c r="CB46" s="1321"/>
      <c r="CC46" s="1321"/>
      <c r="CD46" s="1321"/>
      <c r="CE46" s="1321"/>
      <c r="CF46" s="1321"/>
      <c r="CG46" s="1321"/>
      <c r="CH46" s="1321"/>
      <c r="CI46" s="1321"/>
      <c r="CJ46" s="1321"/>
      <c r="CK46" s="1321"/>
      <c r="CL46" s="1321"/>
      <c r="CM46" s="1321"/>
      <c r="CN46" s="1321"/>
      <c r="CO46" s="1321"/>
      <c r="CP46" s="1321"/>
      <c r="CQ46" s="1321"/>
      <c r="CR46" s="1321"/>
      <c r="CS46" s="1321"/>
      <c r="CT46" s="1321"/>
      <c r="CU46" s="1321"/>
      <c r="CV46" s="1321"/>
      <c r="CW46" s="1321"/>
      <c r="CX46" s="1321"/>
      <c r="CY46" s="1321"/>
      <c r="CZ46" s="1321"/>
      <c r="DA46" s="1321"/>
      <c r="DB46" s="1321"/>
      <c r="DC46" s="1321"/>
      <c r="DD46" s="1321"/>
      <c r="DE46" s="1321"/>
      <c r="DF46" s="1321"/>
      <c r="DG46" s="1321"/>
      <c r="DH46" s="1321"/>
      <c r="DI46" s="1321"/>
      <c r="DJ46" s="1321"/>
      <c r="DK46" s="1321"/>
      <c r="DL46" s="1321"/>
      <c r="DM46" s="1321"/>
      <c r="DN46" s="1321"/>
      <c r="DO46" s="1321"/>
      <c r="DP46" s="1321"/>
      <c r="DQ46" s="1321"/>
      <c r="DR46" s="1321"/>
      <c r="DS46" s="1321"/>
      <c r="DT46" s="1321"/>
      <c r="DU46" s="1321"/>
      <c r="DV46" s="1321"/>
      <c r="DW46" s="1321"/>
      <c r="DX46" s="1321"/>
      <c r="DY46" s="1321"/>
      <c r="DZ46" s="1321"/>
      <c r="EA46" s="1321"/>
      <c r="EB46" s="1321"/>
      <c r="EC46" s="1321"/>
      <c r="ED46" s="1321"/>
      <c r="EE46" s="1321"/>
      <c r="EF46" s="1321"/>
      <c r="EG46" s="1321"/>
      <c r="EH46" s="1321"/>
      <c r="EI46" s="1321"/>
    </row>
    <row r="47" spans="1:139" s="180" customFormat="1" ht="12.75" customHeight="1" x14ac:dyDescent="0.2">
      <c r="A47" s="278" t="s">
        <v>566</v>
      </c>
      <c r="B47" s="279"/>
      <c r="C47" s="280"/>
      <c r="D47" s="280"/>
      <c r="E47" s="280"/>
      <c r="F47" s="280"/>
      <c r="G47" s="280"/>
      <c r="H47" s="280"/>
      <c r="I47" s="281"/>
      <c r="J47" s="281"/>
      <c r="K47" s="281"/>
      <c r="L47" s="535"/>
      <c r="M47" s="282"/>
      <c r="N47" s="283"/>
      <c r="O47" s="402"/>
      <c r="P47" s="284"/>
      <c r="Q47" s="284"/>
      <c r="R47" s="562"/>
      <c r="S47" s="193"/>
      <c r="T47" s="185"/>
      <c r="U47" s="240"/>
      <c r="W47" s="185"/>
      <c r="X47" s="185"/>
      <c r="AG47" s="1321"/>
      <c r="AH47" s="1321"/>
      <c r="AI47" s="1321"/>
      <c r="AJ47" s="1321"/>
      <c r="AK47" s="1321"/>
      <c r="AL47" s="1321"/>
      <c r="AM47" s="1321"/>
      <c r="AN47" s="1321"/>
      <c r="AO47" s="1321"/>
      <c r="AP47" s="1321"/>
      <c r="AQ47" s="1321"/>
      <c r="AR47" s="1321"/>
      <c r="AS47" s="1321"/>
      <c r="AT47" s="1321"/>
      <c r="AU47" s="1321"/>
      <c r="AV47" s="1321"/>
      <c r="AW47" s="1321"/>
      <c r="AX47" s="1321"/>
      <c r="AY47" s="1321"/>
      <c r="AZ47" s="1321"/>
      <c r="BA47" s="1321"/>
      <c r="BB47" s="1321"/>
      <c r="BC47" s="1321"/>
      <c r="BD47" s="1321"/>
      <c r="BE47" s="1321"/>
      <c r="BF47" s="1321"/>
      <c r="BG47" s="1321"/>
      <c r="BH47" s="1321"/>
      <c r="BI47" s="1321"/>
      <c r="BJ47" s="1321"/>
      <c r="BK47" s="1321"/>
      <c r="BL47" s="1321"/>
      <c r="BM47" s="1321"/>
      <c r="BN47" s="1321"/>
      <c r="BO47" s="1321"/>
      <c r="BP47" s="1321"/>
      <c r="BQ47" s="1321"/>
      <c r="BR47" s="1321"/>
      <c r="BS47" s="1321"/>
      <c r="BT47" s="1321"/>
      <c r="BU47" s="1321"/>
      <c r="BV47" s="1321"/>
      <c r="BW47" s="1321"/>
      <c r="BX47" s="1321"/>
      <c r="BY47" s="1321"/>
      <c r="BZ47" s="1321"/>
      <c r="CA47" s="1321"/>
      <c r="CB47" s="1321"/>
      <c r="CC47" s="1321"/>
      <c r="CD47" s="1321"/>
      <c r="CE47" s="1321"/>
      <c r="CF47" s="1321"/>
      <c r="CG47" s="1321"/>
      <c r="CH47" s="1321"/>
      <c r="CI47" s="1321"/>
      <c r="CJ47" s="1321"/>
      <c r="CK47" s="1321"/>
      <c r="CL47" s="1321"/>
      <c r="CM47" s="1321"/>
      <c r="CN47" s="1321"/>
      <c r="CO47" s="1321"/>
      <c r="CP47" s="1321"/>
      <c r="CQ47" s="1321"/>
      <c r="CR47" s="1321"/>
      <c r="CS47" s="1321"/>
      <c r="CT47" s="1321"/>
      <c r="CU47" s="1321"/>
      <c r="CV47" s="1321"/>
      <c r="CW47" s="1321"/>
      <c r="CX47" s="1321"/>
      <c r="CY47" s="1321"/>
      <c r="CZ47" s="1321"/>
      <c r="DA47" s="1321"/>
      <c r="DB47" s="1321"/>
      <c r="DC47" s="1321"/>
      <c r="DD47" s="1321"/>
      <c r="DE47" s="1321"/>
      <c r="DF47" s="1321"/>
      <c r="DG47" s="1321"/>
      <c r="DH47" s="1321"/>
      <c r="DI47" s="1321"/>
      <c r="DJ47" s="1321"/>
      <c r="DK47" s="1321"/>
      <c r="DL47" s="1321"/>
      <c r="DM47" s="1321"/>
      <c r="DN47" s="1321"/>
      <c r="DO47" s="1321"/>
      <c r="DP47" s="1321"/>
      <c r="DQ47" s="1321"/>
      <c r="DR47" s="1321"/>
      <c r="DS47" s="1321"/>
      <c r="DT47" s="1321"/>
      <c r="DU47" s="1321"/>
      <c r="DV47" s="1321"/>
      <c r="DW47" s="1321"/>
      <c r="DX47" s="1321"/>
      <c r="DY47" s="1321"/>
      <c r="DZ47" s="1321"/>
      <c r="EA47" s="1321"/>
      <c r="EB47" s="1321"/>
      <c r="EC47" s="1321"/>
      <c r="ED47" s="1321"/>
      <c r="EE47" s="1321"/>
      <c r="EF47" s="1321"/>
      <c r="EG47" s="1321"/>
      <c r="EH47" s="1321"/>
      <c r="EI47" s="1321"/>
    </row>
    <row r="48" spans="1:139" s="265" customFormat="1" ht="12.75" customHeight="1" x14ac:dyDescent="0.2">
      <c r="A48" s="285"/>
      <c r="B48" s="286" t="s">
        <v>386</v>
      </c>
      <c r="C48" s="287">
        <v>0</v>
      </c>
      <c r="D48" s="287">
        <v>0.25</v>
      </c>
      <c r="E48" s="287">
        <v>5</v>
      </c>
      <c r="F48" s="287">
        <v>0.1</v>
      </c>
      <c r="G48" s="287">
        <v>0</v>
      </c>
      <c r="H48" s="287">
        <f>SUM(C48:G48)</f>
        <v>5.35</v>
      </c>
      <c r="I48" s="288"/>
      <c r="J48" s="288"/>
      <c r="K48" s="288"/>
      <c r="L48" s="530">
        <f>((C48*$C$10)+(D48*$D$10)+(E48*$E$10)+(F48*$F$10))</f>
        <v>282.31359999999995</v>
      </c>
      <c r="M48" s="289">
        <v>0</v>
      </c>
      <c r="N48" s="272">
        <v>0</v>
      </c>
      <c r="O48" s="333">
        <f>'Table 1'!L84</f>
        <v>33.5</v>
      </c>
      <c r="P48" s="290">
        <f>(C48+D48+E48+F48)*O48</f>
        <v>179.22499999999999</v>
      </c>
      <c r="Q48" s="291">
        <f>(M48+N48)*O48</f>
        <v>0</v>
      </c>
      <c r="R48" s="526">
        <f>(L48+M48+N48)*O48</f>
        <v>9457.5055999999986</v>
      </c>
      <c r="S48" s="263" t="s">
        <v>199</v>
      </c>
      <c r="T48" s="292" t="str">
        <f t="shared" ref="T48:V49" si="14">IF($S48="RP",O48,"")</f>
        <v/>
      </c>
      <c r="U48" s="293" t="str">
        <f t="shared" si="14"/>
        <v/>
      </c>
      <c r="V48" s="122" t="str">
        <f t="shared" si="14"/>
        <v/>
      </c>
      <c r="W48" s="293">
        <f t="shared" ref="W48:Y49" si="15">IF($S48="RK",O48,"")</f>
        <v>33.5</v>
      </c>
      <c r="X48" s="293">
        <f t="shared" si="15"/>
        <v>179.22499999999999</v>
      </c>
      <c r="Y48" s="122">
        <f t="shared" si="15"/>
        <v>0</v>
      </c>
      <c r="AG48" s="1321"/>
      <c r="AH48" s="1321"/>
      <c r="AI48" s="1321"/>
      <c r="AJ48" s="1321"/>
      <c r="AK48" s="1321"/>
      <c r="AL48" s="1321"/>
      <c r="AM48" s="1321"/>
      <c r="AN48" s="1321"/>
      <c r="AO48" s="1321"/>
      <c r="AP48" s="1321"/>
      <c r="AQ48" s="1321"/>
      <c r="AR48" s="1321"/>
      <c r="AS48" s="1321"/>
      <c r="AT48" s="1321"/>
      <c r="AU48" s="1321"/>
      <c r="AV48" s="1321"/>
      <c r="AW48" s="1321"/>
      <c r="AX48" s="1321"/>
      <c r="AY48" s="1321"/>
      <c r="AZ48" s="1321"/>
      <c r="BA48" s="1321"/>
      <c r="BB48" s="1321"/>
      <c r="BC48" s="1321"/>
      <c r="BD48" s="1321"/>
      <c r="BE48" s="1321"/>
      <c r="BF48" s="1321"/>
      <c r="BG48" s="1321"/>
      <c r="BH48" s="1321"/>
      <c r="BI48" s="1321"/>
      <c r="BJ48" s="1321"/>
      <c r="BK48" s="1321"/>
      <c r="BL48" s="1321"/>
      <c r="BM48" s="1321"/>
      <c r="BN48" s="1321"/>
      <c r="BO48" s="1321"/>
      <c r="BP48" s="1321"/>
      <c r="BQ48" s="1321"/>
      <c r="BR48" s="1321"/>
      <c r="BS48" s="1321"/>
      <c r="BT48" s="1321"/>
      <c r="BU48" s="1321"/>
      <c r="BV48" s="1321"/>
      <c r="BW48" s="1321"/>
      <c r="BX48" s="1321"/>
      <c r="BY48" s="1321"/>
      <c r="BZ48" s="1321"/>
      <c r="CA48" s="1321"/>
      <c r="CB48" s="1321"/>
      <c r="CC48" s="1321"/>
      <c r="CD48" s="1321"/>
      <c r="CE48" s="1321"/>
      <c r="CF48" s="1321"/>
      <c r="CG48" s="1321"/>
      <c r="CH48" s="1321"/>
      <c r="CI48" s="1321"/>
      <c r="CJ48" s="1321"/>
      <c r="CK48" s="1321"/>
      <c r="CL48" s="1321"/>
      <c r="CM48" s="1321"/>
      <c r="CN48" s="1321"/>
      <c r="CO48" s="1321"/>
      <c r="CP48" s="1321"/>
      <c r="CQ48" s="1321"/>
      <c r="CR48" s="1321"/>
      <c r="CS48" s="1321"/>
      <c r="CT48" s="1321"/>
      <c r="CU48" s="1321"/>
      <c r="CV48" s="1321"/>
      <c r="CW48" s="1321"/>
      <c r="CX48" s="1321"/>
      <c r="CY48" s="1321"/>
      <c r="CZ48" s="1321"/>
      <c r="DA48" s="1321"/>
      <c r="DB48" s="1321"/>
      <c r="DC48" s="1321"/>
      <c r="DD48" s="1321"/>
      <c r="DE48" s="1321"/>
      <c r="DF48" s="1321"/>
      <c r="DG48" s="1321"/>
      <c r="DH48" s="1321"/>
      <c r="DI48" s="1321"/>
      <c r="DJ48" s="1321"/>
      <c r="DK48" s="1321"/>
      <c r="DL48" s="1321"/>
      <c r="DM48" s="1321"/>
      <c r="DN48" s="1321"/>
      <c r="DO48" s="1321"/>
      <c r="DP48" s="1321"/>
      <c r="DQ48" s="1321"/>
      <c r="DR48" s="1321"/>
      <c r="DS48" s="1321"/>
      <c r="DT48" s="1321"/>
      <c r="DU48" s="1321"/>
      <c r="DV48" s="1321"/>
      <c r="DW48" s="1321"/>
      <c r="DX48" s="1321"/>
      <c r="DY48" s="1321"/>
      <c r="DZ48" s="1321"/>
      <c r="EA48" s="1321"/>
      <c r="EB48" s="1321"/>
      <c r="EC48" s="1321"/>
      <c r="ED48" s="1321"/>
      <c r="EE48" s="1321"/>
      <c r="EF48" s="1321"/>
      <c r="EG48" s="1321"/>
      <c r="EH48" s="1321"/>
      <c r="EI48" s="1321"/>
    </row>
    <row r="49" spans="1:139" s="265" customFormat="1" ht="12.75" customHeight="1" x14ac:dyDescent="0.2">
      <c r="A49" s="285"/>
      <c r="B49" s="286" t="s">
        <v>372</v>
      </c>
      <c r="C49" s="287">
        <v>0</v>
      </c>
      <c r="D49" s="287">
        <v>0.25</v>
      </c>
      <c r="E49" s="287">
        <v>0</v>
      </c>
      <c r="F49" s="287">
        <v>0.25</v>
      </c>
      <c r="G49" s="287">
        <v>0</v>
      </c>
      <c r="H49" s="287">
        <f>SUM(C49:G49)</f>
        <v>0.5</v>
      </c>
      <c r="I49" s="288"/>
      <c r="J49" s="288"/>
      <c r="K49" s="288"/>
      <c r="L49" s="530">
        <f>((C49*$C$10)+(D49*$D$10)+(E49*$E$10)+(F49*$F$10))</f>
        <v>24.724</v>
      </c>
      <c r="M49" s="289">
        <v>0</v>
      </c>
      <c r="N49" s="335">
        <v>1</v>
      </c>
      <c r="O49" s="333">
        <f>O48</f>
        <v>33.5</v>
      </c>
      <c r="P49" s="290">
        <f>(C49+D49+E49+F49)*O49</f>
        <v>16.75</v>
      </c>
      <c r="Q49" s="298">
        <f>(M49+N49)*O49</f>
        <v>33.5</v>
      </c>
      <c r="R49" s="526">
        <f>(L49+M49+N49)*O49</f>
        <v>861.75400000000002</v>
      </c>
      <c r="S49" s="263" t="s">
        <v>200</v>
      </c>
      <c r="T49" s="292">
        <f t="shared" si="14"/>
        <v>33.5</v>
      </c>
      <c r="U49" s="293">
        <f t="shared" si="14"/>
        <v>16.75</v>
      </c>
      <c r="V49" s="122">
        <f t="shared" si="14"/>
        <v>33.5</v>
      </c>
      <c r="W49" s="293" t="str">
        <f t="shared" si="15"/>
        <v/>
      </c>
      <c r="X49" s="293" t="str">
        <f t="shared" si="15"/>
        <v/>
      </c>
      <c r="Y49" s="122" t="str">
        <f t="shared" si="15"/>
        <v/>
      </c>
      <c r="AG49" s="1321"/>
      <c r="AH49" s="1321"/>
      <c r="AI49" s="1321"/>
      <c r="AJ49" s="1321"/>
      <c r="AK49" s="1321"/>
      <c r="AL49" s="1321"/>
      <c r="AM49" s="1321"/>
      <c r="AN49" s="1321"/>
      <c r="AO49" s="1321"/>
      <c r="AP49" s="1321"/>
      <c r="AQ49" s="1321"/>
      <c r="AR49" s="1321"/>
      <c r="AS49" s="1321"/>
      <c r="AT49" s="1321"/>
      <c r="AU49" s="1321"/>
      <c r="AV49" s="1321"/>
      <c r="AW49" s="1321"/>
      <c r="AX49" s="1321"/>
      <c r="AY49" s="1321"/>
      <c r="AZ49" s="1321"/>
      <c r="BA49" s="1321"/>
      <c r="BB49" s="1321"/>
      <c r="BC49" s="1321"/>
      <c r="BD49" s="1321"/>
      <c r="BE49" s="1321"/>
      <c r="BF49" s="1321"/>
      <c r="BG49" s="1321"/>
      <c r="BH49" s="1321"/>
      <c r="BI49" s="1321"/>
      <c r="BJ49" s="1321"/>
      <c r="BK49" s="1321"/>
      <c r="BL49" s="1321"/>
      <c r="BM49" s="1321"/>
      <c r="BN49" s="1321"/>
      <c r="BO49" s="1321"/>
      <c r="BP49" s="1321"/>
      <c r="BQ49" s="1321"/>
      <c r="BR49" s="1321"/>
      <c r="BS49" s="1321"/>
      <c r="BT49" s="1321"/>
      <c r="BU49" s="1321"/>
      <c r="BV49" s="1321"/>
      <c r="BW49" s="1321"/>
      <c r="BX49" s="1321"/>
      <c r="BY49" s="1321"/>
      <c r="BZ49" s="1321"/>
      <c r="CA49" s="1321"/>
      <c r="CB49" s="1321"/>
      <c r="CC49" s="1321"/>
      <c r="CD49" s="1321"/>
      <c r="CE49" s="1321"/>
      <c r="CF49" s="1321"/>
      <c r="CG49" s="1321"/>
      <c r="CH49" s="1321"/>
      <c r="CI49" s="1321"/>
      <c r="CJ49" s="1321"/>
      <c r="CK49" s="1321"/>
      <c r="CL49" s="1321"/>
      <c r="CM49" s="1321"/>
      <c r="CN49" s="1321"/>
      <c r="CO49" s="1321"/>
      <c r="CP49" s="1321"/>
      <c r="CQ49" s="1321"/>
      <c r="CR49" s="1321"/>
      <c r="CS49" s="1321"/>
      <c r="CT49" s="1321"/>
      <c r="CU49" s="1321"/>
      <c r="CV49" s="1321"/>
      <c r="CW49" s="1321"/>
      <c r="CX49" s="1321"/>
      <c r="CY49" s="1321"/>
      <c r="CZ49" s="1321"/>
      <c r="DA49" s="1321"/>
      <c r="DB49" s="1321"/>
      <c r="DC49" s="1321"/>
      <c r="DD49" s="1321"/>
      <c r="DE49" s="1321"/>
      <c r="DF49" s="1321"/>
      <c r="DG49" s="1321"/>
      <c r="DH49" s="1321"/>
      <c r="DI49" s="1321"/>
      <c r="DJ49" s="1321"/>
      <c r="DK49" s="1321"/>
      <c r="DL49" s="1321"/>
      <c r="DM49" s="1321"/>
      <c r="DN49" s="1321"/>
      <c r="DO49" s="1321"/>
      <c r="DP49" s="1321"/>
      <c r="DQ49" s="1321"/>
      <c r="DR49" s="1321"/>
      <c r="DS49" s="1321"/>
      <c r="DT49" s="1321"/>
      <c r="DU49" s="1321"/>
      <c r="DV49" s="1321"/>
      <c r="DW49" s="1321"/>
      <c r="DX49" s="1321"/>
      <c r="DY49" s="1321"/>
      <c r="DZ49" s="1321"/>
      <c r="EA49" s="1321"/>
      <c r="EB49" s="1321"/>
      <c r="EC49" s="1321"/>
      <c r="ED49" s="1321"/>
      <c r="EE49" s="1321"/>
      <c r="EF49" s="1321"/>
      <c r="EG49" s="1321"/>
      <c r="EH49" s="1321"/>
      <c r="EI49" s="1321"/>
    </row>
    <row r="50" spans="1:139" s="180" customFormat="1" ht="12.75" customHeight="1" x14ac:dyDescent="0.2">
      <c r="A50" s="278" t="s">
        <v>568</v>
      </c>
      <c r="B50" s="279"/>
      <c r="C50" s="280"/>
      <c r="D50" s="280"/>
      <c r="E50" s="280"/>
      <c r="F50" s="280"/>
      <c r="G50" s="280"/>
      <c r="H50" s="280"/>
      <c r="I50" s="281"/>
      <c r="J50" s="281"/>
      <c r="K50" s="281"/>
      <c r="L50" s="535"/>
      <c r="M50" s="282"/>
      <c r="N50" s="283"/>
      <c r="O50" s="402"/>
      <c r="P50" s="284"/>
      <c r="Q50" s="284"/>
      <c r="R50" s="562"/>
      <c r="S50" s="193"/>
      <c r="T50" s="185"/>
      <c r="U50" s="240"/>
      <c r="W50" s="185"/>
      <c r="X50" s="185"/>
      <c r="AG50" s="1321"/>
      <c r="AH50" s="1321"/>
      <c r="AI50" s="1321"/>
      <c r="AJ50" s="1321"/>
      <c r="AK50" s="1321"/>
      <c r="AL50" s="1321"/>
      <c r="AM50" s="1321"/>
      <c r="AN50" s="1321"/>
      <c r="AO50" s="1321"/>
      <c r="AP50" s="1321"/>
      <c r="AQ50" s="1321"/>
      <c r="AR50" s="1321"/>
      <c r="AS50" s="1321"/>
      <c r="AT50" s="1321"/>
      <c r="AU50" s="1321"/>
      <c r="AV50" s="1321"/>
      <c r="AW50" s="1321"/>
      <c r="AX50" s="1321"/>
      <c r="AY50" s="1321"/>
      <c r="AZ50" s="1321"/>
      <c r="BA50" s="1321"/>
      <c r="BB50" s="1321"/>
      <c r="BC50" s="1321"/>
      <c r="BD50" s="1321"/>
      <c r="BE50" s="1321"/>
      <c r="BF50" s="1321"/>
      <c r="BG50" s="1321"/>
      <c r="BH50" s="1321"/>
      <c r="BI50" s="1321"/>
      <c r="BJ50" s="1321"/>
      <c r="BK50" s="1321"/>
      <c r="BL50" s="1321"/>
      <c r="BM50" s="1321"/>
      <c r="BN50" s="1321"/>
      <c r="BO50" s="1321"/>
      <c r="BP50" s="1321"/>
      <c r="BQ50" s="1321"/>
      <c r="BR50" s="1321"/>
      <c r="BS50" s="1321"/>
      <c r="BT50" s="1321"/>
      <c r="BU50" s="1321"/>
      <c r="BV50" s="1321"/>
      <c r="BW50" s="1321"/>
      <c r="BX50" s="1321"/>
      <c r="BY50" s="1321"/>
      <c r="BZ50" s="1321"/>
      <c r="CA50" s="1321"/>
      <c r="CB50" s="1321"/>
      <c r="CC50" s="1321"/>
      <c r="CD50" s="1321"/>
      <c r="CE50" s="1321"/>
      <c r="CF50" s="1321"/>
      <c r="CG50" s="1321"/>
      <c r="CH50" s="1321"/>
      <c r="CI50" s="1321"/>
      <c r="CJ50" s="1321"/>
      <c r="CK50" s="1321"/>
      <c r="CL50" s="1321"/>
      <c r="CM50" s="1321"/>
      <c r="CN50" s="1321"/>
      <c r="CO50" s="1321"/>
      <c r="CP50" s="1321"/>
      <c r="CQ50" s="1321"/>
      <c r="CR50" s="1321"/>
      <c r="CS50" s="1321"/>
      <c r="CT50" s="1321"/>
      <c r="CU50" s="1321"/>
      <c r="CV50" s="1321"/>
      <c r="CW50" s="1321"/>
      <c r="CX50" s="1321"/>
      <c r="CY50" s="1321"/>
      <c r="CZ50" s="1321"/>
      <c r="DA50" s="1321"/>
      <c r="DB50" s="1321"/>
      <c r="DC50" s="1321"/>
      <c r="DD50" s="1321"/>
      <c r="DE50" s="1321"/>
      <c r="DF50" s="1321"/>
      <c r="DG50" s="1321"/>
      <c r="DH50" s="1321"/>
      <c r="DI50" s="1321"/>
      <c r="DJ50" s="1321"/>
      <c r="DK50" s="1321"/>
      <c r="DL50" s="1321"/>
      <c r="DM50" s="1321"/>
      <c r="DN50" s="1321"/>
      <c r="DO50" s="1321"/>
      <c r="DP50" s="1321"/>
      <c r="DQ50" s="1321"/>
      <c r="DR50" s="1321"/>
      <c r="DS50" s="1321"/>
      <c r="DT50" s="1321"/>
      <c r="DU50" s="1321"/>
      <c r="DV50" s="1321"/>
      <c r="DW50" s="1321"/>
      <c r="DX50" s="1321"/>
      <c r="DY50" s="1321"/>
      <c r="DZ50" s="1321"/>
      <c r="EA50" s="1321"/>
      <c r="EB50" s="1321"/>
      <c r="EC50" s="1321"/>
      <c r="ED50" s="1321"/>
      <c r="EE50" s="1321"/>
      <c r="EF50" s="1321"/>
      <c r="EG50" s="1321"/>
      <c r="EH50" s="1321"/>
      <c r="EI50" s="1321"/>
    </row>
    <row r="51" spans="1:139" s="180" customFormat="1" ht="12.75" customHeight="1" x14ac:dyDescent="0.2">
      <c r="A51" s="329"/>
      <c r="B51" s="330" t="s">
        <v>387</v>
      </c>
      <c r="C51" s="294"/>
      <c r="D51" s="294"/>
      <c r="E51" s="294"/>
      <c r="F51" s="294"/>
      <c r="G51" s="294"/>
      <c r="H51" s="294"/>
      <c r="I51" s="295"/>
      <c r="J51" s="295"/>
      <c r="K51" s="295"/>
      <c r="L51" s="537"/>
      <c r="M51" s="296"/>
      <c r="N51" s="245"/>
      <c r="O51" s="334"/>
      <c r="P51" s="297"/>
      <c r="Q51" s="297"/>
      <c r="R51" s="544"/>
      <c r="S51" s="193"/>
      <c r="T51" s="185"/>
      <c r="U51" s="240"/>
      <c r="W51" s="185"/>
      <c r="X51" s="185"/>
      <c r="AG51" s="1321"/>
      <c r="AH51" s="1321"/>
      <c r="AI51" s="1321"/>
      <c r="AJ51" s="1321"/>
      <c r="AK51" s="1321"/>
      <c r="AL51" s="1321"/>
      <c r="AM51" s="1321"/>
      <c r="AN51" s="1321"/>
      <c r="AO51" s="1321"/>
      <c r="AP51" s="1321"/>
      <c r="AQ51" s="1321"/>
      <c r="AR51" s="1321"/>
      <c r="AS51" s="1321"/>
      <c r="AT51" s="1321"/>
      <c r="AU51" s="1321"/>
      <c r="AV51" s="1321"/>
      <c r="AW51" s="1321"/>
      <c r="AX51" s="1321"/>
      <c r="AY51" s="1321"/>
      <c r="AZ51" s="1321"/>
      <c r="BA51" s="1321"/>
      <c r="BB51" s="1321"/>
      <c r="BC51" s="1321"/>
      <c r="BD51" s="1321"/>
      <c r="BE51" s="1321"/>
      <c r="BF51" s="1321"/>
      <c r="BG51" s="1321"/>
      <c r="BH51" s="1321"/>
      <c r="BI51" s="1321"/>
      <c r="BJ51" s="1321"/>
      <c r="BK51" s="1321"/>
      <c r="BL51" s="1321"/>
      <c r="BM51" s="1321"/>
      <c r="BN51" s="1321"/>
      <c r="BO51" s="1321"/>
      <c r="BP51" s="1321"/>
      <c r="BQ51" s="1321"/>
      <c r="BR51" s="1321"/>
      <c r="BS51" s="1321"/>
      <c r="BT51" s="1321"/>
      <c r="BU51" s="1321"/>
      <c r="BV51" s="1321"/>
      <c r="BW51" s="1321"/>
      <c r="BX51" s="1321"/>
      <c r="BY51" s="1321"/>
      <c r="BZ51" s="1321"/>
      <c r="CA51" s="1321"/>
      <c r="CB51" s="1321"/>
      <c r="CC51" s="1321"/>
      <c r="CD51" s="1321"/>
      <c r="CE51" s="1321"/>
      <c r="CF51" s="1321"/>
      <c r="CG51" s="1321"/>
      <c r="CH51" s="1321"/>
      <c r="CI51" s="1321"/>
      <c r="CJ51" s="1321"/>
      <c r="CK51" s="1321"/>
      <c r="CL51" s="1321"/>
      <c r="CM51" s="1321"/>
      <c r="CN51" s="1321"/>
      <c r="CO51" s="1321"/>
      <c r="CP51" s="1321"/>
      <c r="CQ51" s="1321"/>
      <c r="CR51" s="1321"/>
      <c r="CS51" s="1321"/>
      <c r="CT51" s="1321"/>
      <c r="CU51" s="1321"/>
      <c r="CV51" s="1321"/>
      <c r="CW51" s="1321"/>
      <c r="CX51" s="1321"/>
      <c r="CY51" s="1321"/>
      <c r="CZ51" s="1321"/>
      <c r="DA51" s="1321"/>
      <c r="DB51" s="1321"/>
      <c r="DC51" s="1321"/>
      <c r="DD51" s="1321"/>
      <c r="DE51" s="1321"/>
      <c r="DF51" s="1321"/>
      <c r="DG51" s="1321"/>
      <c r="DH51" s="1321"/>
      <c r="DI51" s="1321"/>
      <c r="DJ51" s="1321"/>
      <c r="DK51" s="1321"/>
      <c r="DL51" s="1321"/>
      <c r="DM51" s="1321"/>
      <c r="DN51" s="1321"/>
      <c r="DO51" s="1321"/>
      <c r="DP51" s="1321"/>
      <c r="DQ51" s="1321"/>
      <c r="DR51" s="1321"/>
      <c r="DS51" s="1321"/>
      <c r="DT51" s="1321"/>
      <c r="DU51" s="1321"/>
      <c r="DV51" s="1321"/>
      <c r="DW51" s="1321"/>
      <c r="DX51" s="1321"/>
      <c r="DY51" s="1321"/>
      <c r="DZ51" s="1321"/>
      <c r="EA51" s="1321"/>
      <c r="EB51" s="1321"/>
      <c r="EC51" s="1321"/>
      <c r="ED51" s="1321"/>
      <c r="EE51" s="1321"/>
      <c r="EF51" s="1321"/>
      <c r="EG51" s="1321"/>
      <c r="EH51" s="1321"/>
      <c r="EI51" s="1321"/>
    </row>
    <row r="52" spans="1:139" s="180" customFormat="1" ht="12.75" customHeight="1" x14ac:dyDescent="0.2">
      <c r="A52" s="329"/>
      <c r="B52" s="330" t="s">
        <v>388</v>
      </c>
      <c r="C52" s="294">
        <v>0</v>
      </c>
      <c r="D52" s="294">
        <v>0.5</v>
      </c>
      <c r="E52" s="294">
        <v>2</v>
      </c>
      <c r="F52" s="294">
        <v>0</v>
      </c>
      <c r="G52" s="294">
        <v>0</v>
      </c>
      <c r="H52" s="294">
        <f>SUM(C52:G52)</f>
        <v>2.5</v>
      </c>
      <c r="I52" s="295"/>
      <c r="J52" s="295"/>
      <c r="K52" s="295"/>
      <c r="L52" s="537">
        <f>((C52*$C$10)+(D52*$D$10)+(E52*$E$10)+(F52*$F$10))</f>
        <v>140.01599999999999</v>
      </c>
      <c r="M52" s="296">
        <v>0</v>
      </c>
      <c r="N52" s="245">
        <v>0</v>
      </c>
      <c r="O52" s="334">
        <f>'Table 1'!L87</f>
        <v>28.5</v>
      </c>
      <c r="P52" s="297">
        <f>(C52+D52+E52+F52)*O52</f>
        <v>71.25</v>
      </c>
      <c r="Q52" s="291">
        <f>(M52+N52)*O52</f>
        <v>0</v>
      </c>
      <c r="R52" s="544">
        <f>(L52+M52+N52)*O52</f>
        <v>3990.4559999999997</v>
      </c>
      <c r="S52" s="193" t="s">
        <v>199</v>
      </c>
      <c r="T52" s="292" t="str">
        <f t="shared" ref="T52:V53" si="16">IF($S52="RP",O52,"")</f>
        <v/>
      </c>
      <c r="U52" s="293" t="str">
        <f t="shared" si="16"/>
        <v/>
      </c>
      <c r="V52" s="122" t="str">
        <f t="shared" si="16"/>
        <v/>
      </c>
      <c r="W52" s="293">
        <f t="shared" ref="W52:Y53" si="17">IF($S52="RK",O52,"")</f>
        <v>28.5</v>
      </c>
      <c r="X52" s="293">
        <f t="shared" si="17"/>
        <v>71.25</v>
      </c>
      <c r="Y52" s="122">
        <f t="shared" si="17"/>
        <v>0</v>
      </c>
      <c r="AG52" s="1321"/>
      <c r="AH52" s="1321"/>
      <c r="AI52" s="1321"/>
      <c r="AJ52" s="1321"/>
      <c r="AK52" s="1321"/>
      <c r="AL52" s="1321"/>
      <c r="AM52" s="1321"/>
      <c r="AN52" s="1321"/>
      <c r="AO52" s="1321"/>
      <c r="AP52" s="1321"/>
      <c r="AQ52" s="1321"/>
      <c r="AR52" s="1321"/>
      <c r="AS52" s="1321"/>
      <c r="AT52" s="1321"/>
      <c r="AU52" s="1321"/>
      <c r="AV52" s="1321"/>
      <c r="AW52" s="1321"/>
      <c r="AX52" s="1321"/>
      <c r="AY52" s="1321"/>
      <c r="AZ52" s="1321"/>
      <c r="BA52" s="1321"/>
      <c r="BB52" s="1321"/>
      <c r="BC52" s="1321"/>
      <c r="BD52" s="1321"/>
      <c r="BE52" s="1321"/>
      <c r="BF52" s="1321"/>
      <c r="BG52" s="1321"/>
      <c r="BH52" s="1321"/>
      <c r="BI52" s="1321"/>
      <c r="BJ52" s="1321"/>
      <c r="BK52" s="1321"/>
      <c r="BL52" s="1321"/>
      <c r="BM52" s="1321"/>
      <c r="BN52" s="1321"/>
      <c r="BO52" s="1321"/>
      <c r="BP52" s="1321"/>
      <c r="BQ52" s="1321"/>
      <c r="BR52" s="1321"/>
      <c r="BS52" s="1321"/>
      <c r="BT52" s="1321"/>
      <c r="BU52" s="1321"/>
      <c r="BV52" s="1321"/>
      <c r="BW52" s="1321"/>
      <c r="BX52" s="1321"/>
      <c r="BY52" s="1321"/>
      <c r="BZ52" s="1321"/>
      <c r="CA52" s="1321"/>
      <c r="CB52" s="1321"/>
      <c r="CC52" s="1321"/>
      <c r="CD52" s="1321"/>
      <c r="CE52" s="1321"/>
      <c r="CF52" s="1321"/>
      <c r="CG52" s="1321"/>
      <c r="CH52" s="1321"/>
      <c r="CI52" s="1321"/>
      <c r="CJ52" s="1321"/>
      <c r="CK52" s="1321"/>
      <c r="CL52" s="1321"/>
      <c r="CM52" s="1321"/>
      <c r="CN52" s="1321"/>
      <c r="CO52" s="1321"/>
      <c r="CP52" s="1321"/>
      <c r="CQ52" s="1321"/>
      <c r="CR52" s="1321"/>
      <c r="CS52" s="1321"/>
      <c r="CT52" s="1321"/>
      <c r="CU52" s="1321"/>
      <c r="CV52" s="1321"/>
      <c r="CW52" s="1321"/>
      <c r="CX52" s="1321"/>
      <c r="CY52" s="1321"/>
      <c r="CZ52" s="1321"/>
      <c r="DA52" s="1321"/>
      <c r="DB52" s="1321"/>
      <c r="DC52" s="1321"/>
      <c r="DD52" s="1321"/>
      <c r="DE52" s="1321"/>
      <c r="DF52" s="1321"/>
      <c r="DG52" s="1321"/>
      <c r="DH52" s="1321"/>
      <c r="DI52" s="1321"/>
      <c r="DJ52" s="1321"/>
      <c r="DK52" s="1321"/>
      <c r="DL52" s="1321"/>
      <c r="DM52" s="1321"/>
      <c r="DN52" s="1321"/>
      <c r="DO52" s="1321"/>
      <c r="DP52" s="1321"/>
      <c r="DQ52" s="1321"/>
      <c r="DR52" s="1321"/>
      <c r="DS52" s="1321"/>
      <c r="DT52" s="1321"/>
      <c r="DU52" s="1321"/>
      <c r="DV52" s="1321"/>
      <c r="DW52" s="1321"/>
      <c r="DX52" s="1321"/>
      <c r="DY52" s="1321"/>
      <c r="DZ52" s="1321"/>
      <c r="EA52" s="1321"/>
      <c r="EB52" s="1321"/>
      <c r="EC52" s="1321"/>
      <c r="ED52" s="1321"/>
      <c r="EE52" s="1321"/>
      <c r="EF52" s="1321"/>
      <c r="EG52" s="1321"/>
      <c r="EH52" s="1321"/>
      <c r="EI52" s="1321"/>
    </row>
    <row r="53" spans="1:139" s="346" customFormat="1" ht="12.75" customHeight="1" x14ac:dyDescent="0.2">
      <c r="A53" s="207"/>
      <c r="B53" s="208" t="s">
        <v>380</v>
      </c>
      <c r="C53" s="277">
        <v>0</v>
      </c>
      <c r="D53" s="277">
        <v>0.25</v>
      </c>
      <c r="E53" s="277">
        <v>0</v>
      </c>
      <c r="F53" s="277">
        <v>0.25</v>
      </c>
      <c r="G53" s="201">
        <v>0</v>
      </c>
      <c r="H53" s="338">
        <f>SUM(C53:G53)</f>
        <v>0.5</v>
      </c>
      <c r="I53" s="339"/>
      <c r="J53" s="339"/>
      <c r="K53" s="339"/>
      <c r="L53" s="539">
        <f>((C53*$C$10)+(D53*$D$10)+(E53*$E$10)+(F53*$F$10))</f>
        <v>24.724</v>
      </c>
      <c r="M53" s="340">
        <v>0</v>
      </c>
      <c r="N53" s="341">
        <v>1</v>
      </c>
      <c r="O53" s="342">
        <f>O52</f>
        <v>28.5</v>
      </c>
      <c r="P53" s="343">
        <f>(C53+D53+E53+F53)*O53</f>
        <v>14.25</v>
      </c>
      <c r="Q53" s="298">
        <f>(M53+N53)*O53</f>
        <v>28.5</v>
      </c>
      <c r="R53" s="563">
        <f>(L53+M53+N53)*O53</f>
        <v>733.13400000000001</v>
      </c>
      <c r="S53" s="345" t="s">
        <v>200</v>
      </c>
      <c r="T53" s="292">
        <f t="shared" si="16"/>
        <v>28.5</v>
      </c>
      <c r="U53" s="293">
        <f t="shared" si="16"/>
        <v>14.25</v>
      </c>
      <c r="V53" s="122">
        <f t="shared" si="16"/>
        <v>28.5</v>
      </c>
      <c r="W53" s="293" t="str">
        <f t="shared" si="17"/>
        <v/>
      </c>
      <c r="X53" s="293" t="str">
        <f t="shared" si="17"/>
        <v/>
      </c>
      <c r="Y53" s="122" t="str">
        <f t="shared" si="17"/>
        <v/>
      </c>
      <c r="AG53" s="1321"/>
      <c r="AH53" s="1321"/>
      <c r="AI53" s="1321"/>
      <c r="AJ53" s="1321"/>
      <c r="AK53" s="1321"/>
      <c r="AL53" s="1321"/>
      <c r="AM53" s="1321"/>
      <c r="AN53" s="1321"/>
      <c r="AO53" s="1321"/>
      <c r="AP53" s="1321"/>
      <c r="AQ53" s="1321"/>
      <c r="AR53" s="1321"/>
      <c r="AS53" s="1321"/>
      <c r="AT53" s="1321"/>
      <c r="AU53" s="1321"/>
      <c r="AV53" s="1321"/>
      <c r="AW53" s="1321"/>
      <c r="AX53" s="1321"/>
      <c r="AY53" s="1321"/>
      <c r="AZ53" s="1321"/>
      <c r="BA53" s="1321"/>
      <c r="BB53" s="1321"/>
      <c r="BC53" s="1321"/>
      <c r="BD53" s="1321"/>
      <c r="BE53" s="1321"/>
      <c r="BF53" s="1321"/>
      <c r="BG53" s="1321"/>
      <c r="BH53" s="1321"/>
      <c r="BI53" s="1321"/>
      <c r="BJ53" s="1321"/>
      <c r="BK53" s="1321"/>
      <c r="BL53" s="1321"/>
      <c r="BM53" s="1321"/>
      <c r="BN53" s="1321"/>
      <c r="BO53" s="1321"/>
      <c r="BP53" s="1321"/>
      <c r="BQ53" s="1321"/>
      <c r="BR53" s="1321"/>
      <c r="BS53" s="1321"/>
      <c r="BT53" s="1321"/>
      <c r="BU53" s="1321"/>
      <c r="BV53" s="1321"/>
      <c r="BW53" s="1321"/>
      <c r="BX53" s="1321"/>
      <c r="BY53" s="1321"/>
      <c r="BZ53" s="1321"/>
      <c r="CA53" s="1321"/>
      <c r="CB53" s="1321"/>
      <c r="CC53" s="1321"/>
      <c r="CD53" s="1321"/>
      <c r="CE53" s="1321"/>
      <c r="CF53" s="1321"/>
      <c r="CG53" s="1321"/>
      <c r="CH53" s="1321"/>
      <c r="CI53" s="1321"/>
      <c r="CJ53" s="1321"/>
      <c r="CK53" s="1321"/>
      <c r="CL53" s="1321"/>
      <c r="CM53" s="1321"/>
      <c r="CN53" s="1321"/>
      <c r="CO53" s="1321"/>
      <c r="CP53" s="1321"/>
      <c r="CQ53" s="1321"/>
      <c r="CR53" s="1321"/>
      <c r="CS53" s="1321"/>
      <c r="CT53" s="1321"/>
      <c r="CU53" s="1321"/>
      <c r="CV53" s="1321"/>
      <c r="CW53" s="1321"/>
      <c r="CX53" s="1321"/>
      <c r="CY53" s="1321"/>
      <c r="CZ53" s="1321"/>
      <c r="DA53" s="1321"/>
      <c r="DB53" s="1321"/>
      <c r="DC53" s="1321"/>
      <c r="DD53" s="1321"/>
      <c r="DE53" s="1321"/>
      <c r="DF53" s="1321"/>
      <c r="DG53" s="1321"/>
      <c r="DH53" s="1321"/>
      <c r="DI53" s="1321"/>
      <c r="DJ53" s="1321"/>
      <c r="DK53" s="1321"/>
      <c r="DL53" s="1321"/>
      <c r="DM53" s="1321"/>
      <c r="DN53" s="1321"/>
      <c r="DO53" s="1321"/>
      <c r="DP53" s="1321"/>
      <c r="DQ53" s="1321"/>
      <c r="DR53" s="1321"/>
      <c r="DS53" s="1321"/>
      <c r="DT53" s="1321"/>
      <c r="DU53" s="1321"/>
      <c r="DV53" s="1321"/>
      <c r="DW53" s="1321"/>
      <c r="DX53" s="1321"/>
      <c r="DY53" s="1321"/>
      <c r="DZ53" s="1321"/>
      <c r="EA53" s="1321"/>
      <c r="EB53" s="1321"/>
      <c r="EC53" s="1321"/>
      <c r="ED53" s="1321"/>
      <c r="EE53" s="1321"/>
      <c r="EF53" s="1321"/>
      <c r="EG53" s="1321"/>
      <c r="EH53" s="1321"/>
      <c r="EI53" s="1321"/>
    </row>
    <row r="54" spans="1:139" s="180" customFormat="1" ht="12.75" customHeight="1" x14ac:dyDescent="0.2">
      <c r="A54" s="224" t="s">
        <v>570</v>
      </c>
      <c r="B54" s="286"/>
      <c r="C54" s="227"/>
      <c r="D54" s="227"/>
      <c r="E54" s="227"/>
      <c r="F54" s="227"/>
      <c r="G54" s="227"/>
      <c r="H54" s="227"/>
      <c r="I54" s="228"/>
      <c r="J54" s="228"/>
      <c r="K54" s="228"/>
      <c r="L54" s="540"/>
      <c r="M54" s="229"/>
      <c r="N54" s="230"/>
      <c r="O54" s="469"/>
      <c r="P54" s="231"/>
      <c r="Q54" s="231"/>
      <c r="R54" s="564"/>
      <c r="S54" s="230"/>
      <c r="T54" s="347"/>
      <c r="U54" s="347"/>
      <c r="V54" s="230"/>
      <c r="W54" s="347"/>
      <c r="X54" s="347"/>
      <c r="Y54" s="230"/>
      <c r="AG54" s="1321"/>
      <c r="AH54" s="1321"/>
      <c r="AI54" s="1321"/>
      <c r="AJ54" s="1321"/>
      <c r="AK54" s="1321"/>
      <c r="AL54" s="1321"/>
      <c r="AM54" s="1321"/>
      <c r="AN54" s="1321"/>
      <c r="AO54" s="1321"/>
      <c r="AP54" s="1321"/>
      <c r="AQ54" s="1321"/>
      <c r="AR54" s="1321"/>
      <c r="AS54" s="1321"/>
      <c r="AT54" s="1321"/>
      <c r="AU54" s="1321"/>
      <c r="AV54" s="1321"/>
      <c r="AW54" s="1321"/>
      <c r="AX54" s="1321"/>
      <c r="AY54" s="1321"/>
      <c r="AZ54" s="1321"/>
      <c r="BA54" s="1321"/>
      <c r="BB54" s="1321"/>
      <c r="BC54" s="1321"/>
      <c r="BD54" s="1321"/>
      <c r="BE54" s="1321"/>
      <c r="BF54" s="1321"/>
      <c r="BG54" s="1321"/>
      <c r="BH54" s="1321"/>
      <c r="BI54" s="1321"/>
      <c r="BJ54" s="1321"/>
      <c r="BK54" s="1321"/>
      <c r="BL54" s="1321"/>
      <c r="BM54" s="1321"/>
      <c r="BN54" s="1321"/>
      <c r="BO54" s="1321"/>
      <c r="BP54" s="1321"/>
      <c r="BQ54" s="1321"/>
      <c r="BR54" s="1321"/>
      <c r="BS54" s="1321"/>
      <c r="BT54" s="1321"/>
      <c r="BU54" s="1321"/>
      <c r="BV54" s="1321"/>
      <c r="BW54" s="1321"/>
      <c r="BX54" s="1321"/>
      <c r="BY54" s="1321"/>
      <c r="BZ54" s="1321"/>
      <c r="CA54" s="1321"/>
      <c r="CB54" s="1321"/>
      <c r="CC54" s="1321"/>
      <c r="CD54" s="1321"/>
      <c r="CE54" s="1321"/>
      <c r="CF54" s="1321"/>
      <c r="CG54" s="1321"/>
      <c r="CH54" s="1321"/>
      <c r="CI54" s="1321"/>
      <c r="CJ54" s="1321"/>
      <c r="CK54" s="1321"/>
      <c r="CL54" s="1321"/>
      <c r="CM54" s="1321"/>
      <c r="CN54" s="1321"/>
      <c r="CO54" s="1321"/>
      <c r="CP54" s="1321"/>
      <c r="CQ54" s="1321"/>
      <c r="CR54" s="1321"/>
      <c r="CS54" s="1321"/>
      <c r="CT54" s="1321"/>
      <c r="CU54" s="1321"/>
      <c r="CV54" s="1321"/>
      <c r="CW54" s="1321"/>
      <c r="CX54" s="1321"/>
      <c r="CY54" s="1321"/>
      <c r="CZ54" s="1321"/>
      <c r="DA54" s="1321"/>
      <c r="DB54" s="1321"/>
      <c r="DC54" s="1321"/>
      <c r="DD54" s="1321"/>
      <c r="DE54" s="1321"/>
      <c r="DF54" s="1321"/>
      <c r="DG54" s="1321"/>
      <c r="DH54" s="1321"/>
      <c r="DI54" s="1321"/>
      <c r="DJ54" s="1321"/>
      <c r="DK54" s="1321"/>
      <c r="DL54" s="1321"/>
      <c r="DM54" s="1321"/>
      <c r="DN54" s="1321"/>
      <c r="DO54" s="1321"/>
      <c r="DP54" s="1321"/>
      <c r="DQ54" s="1321"/>
      <c r="DR54" s="1321"/>
      <c r="DS54" s="1321"/>
      <c r="DT54" s="1321"/>
      <c r="DU54" s="1321"/>
      <c r="DV54" s="1321"/>
      <c r="DW54" s="1321"/>
      <c r="DX54" s="1321"/>
      <c r="DY54" s="1321"/>
      <c r="DZ54" s="1321"/>
      <c r="EA54" s="1321"/>
      <c r="EB54" s="1321"/>
      <c r="EC54" s="1321"/>
      <c r="ED54" s="1321"/>
      <c r="EE54" s="1321"/>
      <c r="EF54" s="1321"/>
      <c r="EG54" s="1321"/>
      <c r="EH54" s="1321"/>
      <c r="EI54" s="1321"/>
    </row>
    <row r="55" spans="1:139" s="180" customFormat="1" ht="12.75" customHeight="1" x14ac:dyDescent="0.2">
      <c r="A55" s="348"/>
      <c r="B55" s="222" t="s">
        <v>389</v>
      </c>
      <c r="C55" s="349"/>
      <c r="D55" s="349"/>
      <c r="E55" s="349"/>
      <c r="F55" s="349"/>
      <c r="G55" s="349"/>
      <c r="H55" s="349"/>
      <c r="I55" s="350"/>
      <c r="J55" s="350"/>
      <c r="K55" s="350"/>
      <c r="L55" s="541"/>
      <c r="M55" s="217"/>
      <c r="N55" s="217"/>
      <c r="O55" s="470"/>
      <c r="P55" s="351"/>
      <c r="Q55" s="351"/>
      <c r="R55" s="541"/>
      <c r="S55" s="193"/>
      <c r="T55" s="185"/>
      <c r="U55" s="240"/>
      <c r="W55" s="185"/>
      <c r="X55" s="185"/>
      <c r="AG55" s="1321"/>
      <c r="AH55" s="1321"/>
      <c r="AI55" s="1321"/>
      <c r="AJ55" s="1321"/>
      <c r="AK55" s="1321"/>
      <c r="AL55" s="1321"/>
      <c r="AM55" s="1321"/>
      <c r="AN55" s="1321"/>
      <c r="AO55" s="1321"/>
      <c r="AP55" s="1321"/>
      <c r="AQ55" s="1321"/>
      <c r="AR55" s="1321"/>
      <c r="AS55" s="1321"/>
      <c r="AT55" s="1321"/>
      <c r="AU55" s="1321"/>
      <c r="AV55" s="1321"/>
      <c r="AW55" s="1321"/>
      <c r="AX55" s="1321"/>
      <c r="AY55" s="1321"/>
      <c r="AZ55" s="1321"/>
      <c r="BA55" s="1321"/>
      <c r="BB55" s="1321"/>
      <c r="BC55" s="1321"/>
      <c r="BD55" s="1321"/>
      <c r="BE55" s="1321"/>
      <c r="BF55" s="1321"/>
      <c r="BG55" s="1321"/>
      <c r="BH55" s="1321"/>
      <c r="BI55" s="1321"/>
      <c r="BJ55" s="1321"/>
      <c r="BK55" s="1321"/>
      <c r="BL55" s="1321"/>
      <c r="BM55" s="1321"/>
      <c r="BN55" s="1321"/>
      <c r="BO55" s="1321"/>
      <c r="BP55" s="1321"/>
      <c r="BQ55" s="1321"/>
      <c r="BR55" s="1321"/>
      <c r="BS55" s="1321"/>
      <c r="BT55" s="1321"/>
      <c r="BU55" s="1321"/>
      <c r="BV55" s="1321"/>
      <c r="BW55" s="1321"/>
      <c r="BX55" s="1321"/>
      <c r="BY55" s="1321"/>
      <c r="BZ55" s="1321"/>
      <c r="CA55" s="1321"/>
      <c r="CB55" s="1321"/>
      <c r="CC55" s="1321"/>
      <c r="CD55" s="1321"/>
      <c r="CE55" s="1321"/>
      <c r="CF55" s="1321"/>
      <c r="CG55" s="1321"/>
      <c r="CH55" s="1321"/>
      <c r="CI55" s="1321"/>
      <c r="CJ55" s="1321"/>
      <c r="CK55" s="1321"/>
      <c r="CL55" s="1321"/>
      <c r="CM55" s="1321"/>
      <c r="CN55" s="1321"/>
      <c r="CO55" s="1321"/>
      <c r="CP55" s="1321"/>
      <c r="CQ55" s="1321"/>
      <c r="CR55" s="1321"/>
      <c r="CS55" s="1321"/>
      <c r="CT55" s="1321"/>
      <c r="CU55" s="1321"/>
      <c r="CV55" s="1321"/>
      <c r="CW55" s="1321"/>
      <c r="CX55" s="1321"/>
      <c r="CY55" s="1321"/>
      <c r="CZ55" s="1321"/>
      <c r="DA55" s="1321"/>
      <c r="DB55" s="1321"/>
      <c r="DC55" s="1321"/>
      <c r="DD55" s="1321"/>
      <c r="DE55" s="1321"/>
      <c r="DF55" s="1321"/>
      <c r="DG55" s="1321"/>
      <c r="DH55" s="1321"/>
      <c r="DI55" s="1321"/>
      <c r="DJ55" s="1321"/>
      <c r="DK55" s="1321"/>
      <c r="DL55" s="1321"/>
      <c r="DM55" s="1321"/>
      <c r="DN55" s="1321"/>
      <c r="DO55" s="1321"/>
      <c r="DP55" s="1321"/>
      <c r="DQ55" s="1321"/>
      <c r="DR55" s="1321"/>
      <c r="DS55" s="1321"/>
      <c r="DT55" s="1321"/>
      <c r="DU55" s="1321"/>
      <c r="DV55" s="1321"/>
      <c r="DW55" s="1321"/>
      <c r="DX55" s="1321"/>
      <c r="DY55" s="1321"/>
      <c r="DZ55" s="1321"/>
      <c r="EA55" s="1321"/>
      <c r="EB55" s="1321"/>
      <c r="EC55" s="1321"/>
      <c r="ED55" s="1321"/>
      <c r="EE55" s="1321"/>
      <c r="EF55" s="1321"/>
      <c r="EG55" s="1321"/>
      <c r="EH55" s="1321"/>
      <c r="EI55" s="1321"/>
    </row>
    <row r="56" spans="1:139" s="180" customFormat="1" ht="12.75" customHeight="1" x14ac:dyDescent="0.2">
      <c r="A56" s="224"/>
      <c r="B56" s="225" t="s">
        <v>390</v>
      </c>
      <c r="C56" s="352">
        <v>0</v>
      </c>
      <c r="D56" s="352">
        <v>2</v>
      </c>
      <c r="E56" s="352">
        <v>20</v>
      </c>
      <c r="F56" s="352">
        <v>0</v>
      </c>
      <c r="G56" s="352">
        <v>0</v>
      </c>
      <c r="H56" s="352">
        <f>SUM(C56:G56)</f>
        <v>22</v>
      </c>
      <c r="I56" s="353"/>
      <c r="J56" s="353"/>
      <c r="K56" s="353"/>
      <c r="L56" s="526">
        <f>((C56*$C$10)+(D56*$D$10)+(E56*$E$10)+(F56*$F$10))</f>
        <v>1188.48</v>
      </c>
      <c r="M56" s="291">
        <v>0</v>
      </c>
      <c r="N56" s="291">
        <v>0</v>
      </c>
      <c r="O56" s="471">
        <f>'Table 1'!L104</f>
        <v>5.7</v>
      </c>
      <c r="P56" s="290">
        <f>(C56+D56+E56+F56)*O56</f>
        <v>125.4</v>
      </c>
      <c r="Q56" s="291">
        <f>(M56+N56)*O56</f>
        <v>0</v>
      </c>
      <c r="R56" s="526">
        <f>(L56+M56+N56)*O56</f>
        <v>6774.3360000000002</v>
      </c>
      <c r="S56" s="263" t="s">
        <v>199</v>
      </c>
      <c r="T56" s="292" t="str">
        <f t="shared" ref="T56:V57" si="18">IF($S56="RP",O56,"")</f>
        <v/>
      </c>
      <c r="U56" s="293" t="str">
        <f t="shared" si="18"/>
        <v/>
      </c>
      <c r="V56" s="122" t="str">
        <f t="shared" si="18"/>
        <v/>
      </c>
      <c r="W56" s="293">
        <f t="shared" ref="W56:Y57" si="19">IF($S56="RK",O56,"")</f>
        <v>5.7</v>
      </c>
      <c r="X56" s="293">
        <f t="shared" si="19"/>
        <v>125.4</v>
      </c>
      <c r="Y56" s="122">
        <f t="shared" si="19"/>
        <v>0</v>
      </c>
      <c r="AG56" s="1321"/>
      <c r="AH56" s="1321"/>
      <c r="AI56" s="1321"/>
      <c r="AJ56" s="1321"/>
      <c r="AK56" s="1321"/>
      <c r="AL56" s="1321"/>
      <c r="AM56" s="1321"/>
      <c r="AN56" s="1321"/>
      <c r="AO56" s="1321"/>
      <c r="AP56" s="1321"/>
      <c r="AQ56" s="1321"/>
      <c r="AR56" s="1321"/>
      <c r="AS56" s="1321"/>
      <c r="AT56" s="1321"/>
      <c r="AU56" s="1321"/>
      <c r="AV56" s="1321"/>
      <c r="AW56" s="1321"/>
      <c r="AX56" s="1321"/>
      <c r="AY56" s="1321"/>
      <c r="AZ56" s="1321"/>
      <c r="BA56" s="1321"/>
      <c r="BB56" s="1321"/>
      <c r="BC56" s="1321"/>
      <c r="BD56" s="1321"/>
      <c r="BE56" s="1321"/>
      <c r="BF56" s="1321"/>
      <c r="BG56" s="1321"/>
      <c r="BH56" s="1321"/>
      <c r="BI56" s="1321"/>
      <c r="BJ56" s="1321"/>
      <c r="BK56" s="1321"/>
      <c r="BL56" s="1321"/>
      <c r="BM56" s="1321"/>
      <c r="BN56" s="1321"/>
      <c r="BO56" s="1321"/>
      <c r="BP56" s="1321"/>
      <c r="BQ56" s="1321"/>
      <c r="BR56" s="1321"/>
      <c r="BS56" s="1321"/>
      <c r="BT56" s="1321"/>
      <c r="BU56" s="1321"/>
      <c r="BV56" s="1321"/>
      <c r="BW56" s="1321"/>
      <c r="BX56" s="1321"/>
      <c r="BY56" s="1321"/>
      <c r="BZ56" s="1321"/>
      <c r="CA56" s="1321"/>
      <c r="CB56" s="1321"/>
      <c r="CC56" s="1321"/>
      <c r="CD56" s="1321"/>
      <c r="CE56" s="1321"/>
      <c r="CF56" s="1321"/>
      <c r="CG56" s="1321"/>
      <c r="CH56" s="1321"/>
      <c r="CI56" s="1321"/>
      <c r="CJ56" s="1321"/>
      <c r="CK56" s="1321"/>
      <c r="CL56" s="1321"/>
      <c r="CM56" s="1321"/>
      <c r="CN56" s="1321"/>
      <c r="CO56" s="1321"/>
      <c r="CP56" s="1321"/>
      <c r="CQ56" s="1321"/>
      <c r="CR56" s="1321"/>
      <c r="CS56" s="1321"/>
      <c r="CT56" s="1321"/>
      <c r="CU56" s="1321"/>
      <c r="CV56" s="1321"/>
      <c r="CW56" s="1321"/>
      <c r="CX56" s="1321"/>
      <c r="CY56" s="1321"/>
      <c r="CZ56" s="1321"/>
      <c r="DA56" s="1321"/>
      <c r="DB56" s="1321"/>
      <c r="DC56" s="1321"/>
      <c r="DD56" s="1321"/>
      <c r="DE56" s="1321"/>
      <c r="DF56" s="1321"/>
      <c r="DG56" s="1321"/>
      <c r="DH56" s="1321"/>
      <c r="DI56" s="1321"/>
      <c r="DJ56" s="1321"/>
      <c r="DK56" s="1321"/>
      <c r="DL56" s="1321"/>
      <c r="DM56" s="1321"/>
      <c r="DN56" s="1321"/>
      <c r="DO56" s="1321"/>
      <c r="DP56" s="1321"/>
      <c r="DQ56" s="1321"/>
      <c r="DR56" s="1321"/>
      <c r="DS56" s="1321"/>
      <c r="DT56" s="1321"/>
      <c r="DU56" s="1321"/>
      <c r="DV56" s="1321"/>
      <c r="DW56" s="1321"/>
      <c r="DX56" s="1321"/>
      <c r="DY56" s="1321"/>
      <c r="DZ56" s="1321"/>
      <c r="EA56" s="1321"/>
      <c r="EB56" s="1321"/>
      <c r="EC56" s="1321"/>
      <c r="ED56" s="1321"/>
      <c r="EE56" s="1321"/>
      <c r="EF56" s="1321"/>
      <c r="EG56" s="1321"/>
      <c r="EH56" s="1321"/>
      <c r="EI56" s="1321"/>
    </row>
    <row r="57" spans="1:139" s="180" customFormat="1" ht="12.75" customHeight="1" x14ac:dyDescent="0.2">
      <c r="A57" s="309"/>
      <c r="B57" s="225" t="s">
        <v>391</v>
      </c>
      <c r="C57" s="352">
        <v>0</v>
      </c>
      <c r="D57" s="352">
        <v>0.25</v>
      </c>
      <c r="E57" s="352">
        <v>0</v>
      </c>
      <c r="F57" s="352">
        <v>0.25</v>
      </c>
      <c r="G57" s="352">
        <v>0</v>
      </c>
      <c r="H57" s="352">
        <f>SUM(C57:G57)</f>
        <v>0.5</v>
      </c>
      <c r="I57" s="353"/>
      <c r="J57" s="353"/>
      <c r="K57" s="353"/>
      <c r="L57" s="526">
        <f>((C57*$C$10)+(D57*$D$10)+(E57*$E$10)+(F57*$F$10))</f>
        <v>24.724</v>
      </c>
      <c r="M57" s="291">
        <v>0</v>
      </c>
      <c r="N57" s="298">
        <v>1</v>
      </c>
      <c r="O57" s="471">
        <f>O56</f>
        <v>5.7</v>
      </c>
      <c r="P57" s="290">
        <f>(C57+D57+E57+F57)*O57</f>
        <v>2.85</v>
      </c>
      <c r="Q57" s="298">
        <f>(M57+N57)*O57</f>
        <v>5.7</v>
      </c>
      <c r="R57" s="526">
        <f>(L57+M57+N57)*O57</f>
        <v>146.6268</v>
      </c>
      <c r="S57" s="263" t="s">
        <v>200</v>
      </c>
      <c r="T57" s="292">
        <f t="shared" si="18"/>
        <v>5.7</v>
      </c>
      <c r="U57" s="293">
        <f t="shared" si="18"/>
        <v>2.85</v>
      </c>
      <c r="V57" s="122">
        <f t="shared" si="18"/>
        <v>5.7</v>
      </c>
      <c r="W57" s="293" t="str">
        <f t="shared" si="19"/>
        <v/>
      </c>
      <c r="X57" s="293" t="str">
        <f t="shared" si="19"/>
        <v/>
      </c>
      <c r="Y57" s="122" t="str">
        <f t="shared" si="19"/>
        <v/>
      </c>
      <c r="AG57" s="1321"/>
      <c r="AH57" s="1321"/>
      <c r="AI57" s="1321"/>
      <c r="AJ57" s="1321"/>
      <c r="AK57" s="1321"/>
      <c r="AL57" s="1321"/>
      <c r="AM57" s="1321"/>
      <c r="AN57" s="1321"/>
      <c r="AO57" s="1321"/>
      <c r="AP57" s="1321"/>
      <c r="AQ57" s="1321"/>
      <c r="AR57" s="1321"/>
      <c r="AS57" s="1321"/>
      <c r="AT57" s="1321"/>
      <c r="AU57" s="1321"/>
      <c r="AV57" s="1321"/>
      <c r="AW57" s="1321"/>
      <c r="AX57" s="1321"/>
      <c r="AY57" s="1321"/>
      <c r="AZ57" s="1321"/>
      <c r="BA57" s="1321"/>
      <c r="BB57" s="1321"/>
      <c r="BC57" s="1321"/>
      <c r="BD57" s="1321"/>
      <c r="BE57" s="1321"/>
      <c r="BF57" s="1321"/>
      <c r="BG57" s="1321"/>
      <c r="BH57" s="1321"/>
      <c r="BI57" s="1321"/>
      <c r="BJ57" s="1321"/>
      <c r="BK57" s="1321"/>
      <c r="BL57" s="1321"/>
      <c r="BM57" s="1321"/>
      <c r="BN57" s="1321"/>
      <c r="BO57" s="1321"/>
      <c r="BP57" s="1321"/>
      <c r="BQ57" s="1321"/>
      <c r="BR57" s="1321"/>
      <c r="BS57" s="1321"/>
      <c r="BT57" s="1321"/>
      <c r="BU57" s="1321"/>
      <c r="BV57" s="1321"/>
      <c r="BW57" s="1321"/>
      <c r="BX57" s="1321"/>
      <c r="BY57" s="1321"/>
      <c r="BZ57" s="1321"/>
      <c r="CA57" s="1321"/>
      <c r="CB57" s="1321"/>
      <c r="CC57" s="1321"/>
      <c r="CD57" s="1321"/>
      <c r="CE57" s="1321"/>
      <c r="CF57" s="1321"/>
      <c r="CG57" s="1321"/>
      <c r="CH57" s="1321"/>
      <c r="CI57" s="1321"/>
      <c r="CJ57" s="1321"/>
      <c r="CK57" s="1321"/>
      <c r="CL57" s="1321"/>
      <c r="CM57" s="1321"/>
      <c r="CN57" s="1321"/>
      <c r="CO57" s="1321"/>
      <c r="CP57" s="1321"/>
      <c r="CQ57" s="1321"/>
      <c r="CR57" s="1321"/>
      <c r="CS57" s="1321"/>
      <c r="CT57" s="1321"/>
      <c r="CU57" s="1321"/>
      <c r="CV57" s="1321"/>
      <c r="CW57" s="1321"/>
      <c r="CX57" s="1321"/>
      <c r="CY57" s="1321"/>
      <c r="CZ57" s="1321"/>
      <c r="DA57" s="1321"/>
      <c r="DB57" s="1321"/>
      <c r="DC57" s="1321"/>
      <c r="DD57" s="1321"/>
      <c r="DE57" s="1321"/>
      <c r="DF57" s="1321"/>
      <c r="DG57" s="1321"/>
      <c r="DH57" s="1321"/>
      <c r="DI57" s="1321"/>
      <c r="DJ57" s="1321"/>
      <c r="DK57" s="1321"/>
      <c r="DL57" s="1321"/>
      <c r="DM57" s="1321"/>
      <c r="DN57" s="1321"/>
      <c r="DO57" s="1321"/>
      <c r="DP57" s="1321"/>
      <c r="DQ57" s="1321"/>
      <c r="DR57" s="1321"/>
      <c r="DS57" s="1321"/>
      <c r="DT57" s="1321"/>
      <c r="DU57" s="1321"/>
      <c r="DV57" s="1321"/>
      <c r="DW57" s="1321"/>
      <c r="DX57" s="1321"/>
      <c r="DY57" s="1321"/>
      <c r="DZ57" s="1321"/>
      <c r="EA57" s="1321"/>
      <c r="EB57" s="1321"/>
      <c r="EC57" s="1321"/>
      <c r="ED57" s="1321"/>
      <c r="EE57" s="1321"/>
      <c r="EF57" s="1321"/>
      <c r="EG57" s="1321"/>
      <c r="EH57" s="1321"/>
      <c r="EI57" s="1321"/>
    </row>
    <row r="58" spans="1:139" s="180" customFormat="1" ht="24" customHeight="1" x14ac:dyDescent="0.2">
      <c r="A58" s="1356" t="s">
        <v>572</v>
      </c>
      <c r="B58" s="1357"/>
      <c r="C58" s="311"/>
      <c r="D58" s="311"/>
      <c r="E58" s="311"/>
      <c r="F58" s="311"/>
      <c r="G58" s="311"/>
      <c r="H58" s="311"/>
      <c r="I58" s="314"/>
      <c r="J58" s="314"/>
      <c r="K58" s="314"/>
      <c r="L58" s="534"/>
      <c r="M58" s="315"/>
      <c r="N58" s="291"/>
      <c r="O58" s="472"/>
      <c r="P58" s="317"/>
      <c r="Q58" s="317"/>
      <c r="R58" s="526"/>
      <c r="S58" s="193"/>
      <c r="T58" s="185"/>
      <c r="U58" s="240"/>
      <c r="W58" s="185"/>
      <c r="X58" s="185"/>
      <c r="AG58" s="1321"/>
      <c r="AH58" s="1321"/>
      <c r="AI58" s="1321"/>
      <c r="AJ58" s="1321"/>
      <c r="AK58" s="1321"/>
      <c r="AL58" s="1321"/>
      <c r="AM58" s="1321"/>
      <c r="AN58" s="1321"/>
      <c r="AO58" s="1321"/>
      <c r="AP58" s="1321"/>
      <c r="AQ58" s="1321"/>
      <c r="AR58" s="1321"/>
      <c r="AS58" s="1321"/>
      <c r="AT58" s="1321"/>
      <c r="AU58" s="1321"/>
      <c r="AV58" s="1321"/>
      <c r="AW58" s="1321"/>
      <c r="AX58" s="1321"/>
      <c r="AY58" s="1321"/>
      <c r="AZ58" s="1321"/>
      <c r="BA58" s="1321"/>
      <c r="BB58" s="1321"/>
      <c r="BC58" s="1321"/>
      <c r="BD58" s="1321"/>
      <c r="BE58" s="1321"/>
      <c r="BF58" s="1321"/>
      <c r="BG58" s="1321"/>
      <c r="BH58" s="1321"/>
      <c r="BI58" s="1321"/>
      <c r="BJ58" s="1321"/>
      <c r="BK58" s="1321"/>
      <c r="BL58" s="1321"/>
      <c r="BM58" s="1321"/>
      <c r="BN58" s="1321"/>
      <c r="BO58" s="1321"/>
      <c r="BP58" s="1321"/>
      <c r="BQ58" s="1321"/>
      <c r="BR58" s="1321"/>
      <c r="BS58" s="1321"/>
      <c r="BT58" s="1321"/>
      <c r="BU58" s="1321"/>
      <c r="BV58" s="1321"/>
      <c r="BW58" s="1321"/>
      <c r="BX58" s="1321"/>
      <c r="BY58" s="1321"/>
      <c r="BZ58" s="1321"/>
      <c r="CA58" s="1321"/>
      <c r="CB58" s="1321"/>
      <c r="CC58" s="1321"/>
      <c r="CD58" s="1321"/>
      <c r="CE58" s="1321"/>
      <c r="CF58" s="1321"/>
      <c r="CG58" s="1321"/>
      <c r="CH58" s="1321"/>
      <c r="CI58" s="1321"/>
      <c r="CJ58" s="1321"/>
      <c r="CK58" s="1321"/>
      <c r="CL58" s="1321"/>
      <c r="CM58" s="1321"/>
      <c r="CN58" s="1321"/>
      <c r="CO58" s="1321"/>
      <c r="CP58" s="1321"/>
      <c r="CQ58" s="1321"/>
      <c r="CR58" s="1321"/>
      <c r="CS58" s="1321"/>
      <c r="CT58" s="1321"/>
      <c r="CU58" s="1321"/>
      <c r="CV58" s="1321"/>
      <c r="CW58" s="1321"/>
      <c r="CX58" s="1321"/>
      <c r="CY58" s="1321"/>
      <c r="CZ58" s="1321"/>
      <c r="DA58" s="1321"/>
      <c r="DB58" s="1321"/>
      <c r="DC58" s="1321"/>
      <c r="DD58" s="1321"/>
      <c r="DE58" s="1321"/>
      <c r="DF58" s="1321"/>
      <c r="DG58" s="1321"/>
      <c r="DH58" s="1321"/>
      <c r="DI58" s="1321"/>
      <c r="DJ58" s="1321"/>
      <c r="DK58" s="1321"/>
      <c r="DL58" s="1321"/>
      <c r="DM58" s="1321"/>
      <c r="DN58" s="1321"/>
      <c r="DO58" s="1321"/>
      <c r="DP58" s="1321"/>
      <c r="DQ58" s="1321"/>
      <c r="DR58" s="1321"/>
      <c r="DS58" s="1321"/>
      <c r="DT58" s="1321"/>
      <c r="DU58" s="1321"/>
      <c r="DV58" s="1321"/>
      <c r="DW58" s="1321"/>
      <c r="DX58" s="1321"/>
      <c r="DY58" s="1321"/>
      <c r="DZ58" s="1321"/>
      <c r="EA58" s="1321"/>
      <c r="EB58" s="1321"/>
      <c r="EC58" s="1321"/>
      <c r="ED58" s="1321"/>
      <c r="EE58" s="1321"/>
      <c r="EF58" s="1321"/>
      <c r="EG58" s="1321"/>
      <c r="EH58" s="1321"/>
      <c r="EI58" s="1321"/>
    </row>
    <row r="59" spans="1:139" s="180" customFormat="1" ht="12.75" customHeight="1" x14ac:dyDescent="0.2">
      <c r="A59" s="221"/>
      <c r="B59" s="354" t="s">
        <v>392</v>
      </c>
      <c r="C59" s="257"/>
      <c r="D59" s="337"/>
      <c r="E59" s="337"/>
      <c r="F59" s="337"/>
      <c r="G59" s="337"/>
      <c r="H59" s="337"/>
      <c r="I59" s="355"/>
      <c r="J59" s="355"/>
      <c r="K59" s="355"/>
      <c r="L59" s="542"/>
      <c r="M59" s="356"/>
      <c r="N59" s="299"/>
      <c r="O59" s="473"/>
      <c r="P59" s="357"/>
      <c r="Q59" s="297"/>
      <c r="R59" s="544"/>
      <c r="S59" s="193"/>
      <c r="T59" s="185"/>
      <c r="U59" s="240"/>
      <c r="W59" s="185"/>
      <c r="X59" s="185"/>
      <c r="AG59" s="1321"/>
      <c r="AH59" s="1321"/>
      <c r="AI59" s="1321"/>
      <c r="AJ59" s="1321"/>
      <c r="AK59" s="1321"/>
      <c r="AL59" s="1321"/>
      <c r="AM59" s="1321"/>
      <c r="AN59" s="1321"/>
      <c r="AO59" s="1321"/>
      <c r="AP59" s="1321"/>
      <c r="AQ59" s="1321"/>
      <c r="AR59" s="1321"/>
      <c r="AS59" s="1321"/>
      <c r="AT59" s="1321"/>
      <c r="AU59" s="1321"/>
      <c r="AV59" s="1321"/>
      <c r="AW59" s="1321"/>
      <c r="AX59" s="1321"/>
      <c r="AY59" s="1321"/>
      <c r="AZ59" s="1321"/>
      <c r="BA59" s="1321"/>
      <c r="BB59" s="1321"/>
      <c r="BC59" s="1321"/>
      <c r="BD59" s="1321"/>
      <c r="BE59" s="1321"/>
      <c r="BF59" s="1321"/>
      <c r="BG59" s="1321"/>
      <c r="BH59" s="1321"/>
      <c r="BI59" s="1321"/>
      <c r="BJ59" s="1321"/>
      <c r="BK59" s="1321"/>
      <c r="BL59" s="1321"/>
      <c r="BM59" s="1321"/>
      <c r="BN59" s="1321"/>
      <c r="BO59" s="1321"/>
      <c r="BP59" s="1321"/>
      <c r="BQ59" s="1321"/>
      <c r="BR59" s="1321"/>
      <c r="BS59" s="1321"/>
      <c r="BT59" s="1321"/>
      <c r="BU59" s="1321"/>
      <c r="BV59" s="1321"/>
      <c r="BW59" s="1321"/>
      <c r="BX59" s="1321"/>
      <c r="BY59" s="1321"/>
      <c r="BZ59" s="1321"/>
      <c r="CA59" s="1321"/>
      <c r="CB59" s="1321"/>
      <c r="CC59" s="1321"/>
      <c r="CD59" s="1321"/>
      <c r="CE59" s="1321"/>
      <c r="CF59" s="1321"/>
      <c r="CG59" s="1321"/>
      <c r="CH59" s="1321"/>
      <c r="CI59" s="1321"/>
      <c r="CJ59" s="1321"/>
      <c r="CK59" s="1321"/>
      <c r="CL59" s="1321"/>
      <c r="CM59" s="1321"/>
      <c r="CN59" s="1321"/>
      <c r="CO59" s="1321"/>
      <c r="CP59" s="1321"/>
      <c r="CQ59" s="1321"/>
      <c r="CR59" s="1321"/>
      <c r="CS59" s="1321"/>
      <c r="CT59" s="1321"/>
      <c r="CU59" s="1321"/>
      <c r="CV59" s="1321"/>
      <c r="CW59" s="1321"/>
      <c r="CX59" s="1321"/>
      <c r="CY59" s="1321"/>
      <c r="CZ59" s="1321"/>
      <c r="DA59" s="1321"/>
      <c r="DB59" s="1321"/>
      <c r="DC59" s="1321"/>
      <c r="DD59" s="1321"/>
      <c r="DE59" s="1321"/>
      <c r="DF59" s="1321"/>
      <c r="DG59" s="1321"/>
      <c r="DH59" s="1321"/>
      <c r="DI59" s="1321"/>
      <c r="DJ59" s="1321"/>
      <c r="DK59" s="1321"/>
      <c r="DL59" s="1321"/>
      <c r="DM59" s="1321"/>
      <c r="DN59" s="1321"/>
      <c r="DO59" s="1321"/>
      <c r="DP59" s="1321"/>
      <c r="DQ59" s="1321"/>
      <c r="DR59" s="1321"/>
      <c r="DS59" s="1321"/>
      <c r="DT59" s="1321"/>
      <c r="DU59" s="1321"/>
      <c r="DV59" s="1321"/>
      <c r="DW59" s="1321"/>
      <c r="DX59" s="1321"/>
      <c r="DY59" s="1321"/>
      <c r="DZ59" s="1321"/>
      <c r="EA59" s="1321"/>
      <c r="EB59" s="1321"/>
      <c r="EC59" s="1321"/>
      <c r="ED59" s="1321"/>
      <c r="EE59" s="1321"/>
      <c r="EF59" s="1321"/>
      <c r="EG59" s="1321"/>
      <c r="EH59" s="1321"/>
      <c r="EI59" s="1321"/>
    </row>
    <row r="60" spans="1:139" s="180" customFormat="1" ht="12.75" customHeight="1" x14ac:dyDescent="0.2">
      <c r="A60" s="224"/>
      <c r="B60" s="225" t="s">
        <v>393</v>
      </c>
      <c r="C60" s="352">
        <v>0</v>
      </c>
      <c r="D60" s="352">
        <v>0.25</v>
      </c>
      <c r="E60" s="352">
        <v>0.25</v>
      </c>
      <c r="F60" s="352">
        <v>0</v>
      </c>
      <c r="G60" s="352">
        <v>0</v>
      </c>
      <c r="H60" s="352">
        <f>SUM(C60:G60)</f>
        <v>0.5</v>
      </c>
      <c r="I60" s="353"/>
      <c r="J60" s="353"/>
      <c r="K60" s="353"/>
      <c r="L60" s="526">
        <f>((C60*$C$10)+(D60*$D$10)+(E60*$E$10)+(F60*$F$10))</f>
        <v>30.731999999999999</v>
      </c>
      <c r="M60" s="291">
        <v>0</v>
      </c>
      <c r="N60" s="291">
        <v>0</v>
      </c>
      <c r="O60" s="471">
        <f>'Table 1'!L107</f>
        <v>34.199999999999996</v>
      </c>
      <c r="P60" s="290">
        <f>(C60+D60+E60+F60)*O60</f>
        <v>17.099999999999998</v>
      </c>
      <c r="Q60" s="291">
        <f>(M60+N60)*O60</f>
        <v>0</v>
      </c>
      <c r="R60" s="526">
        <f>(L60+M60+N60)*O60</f>
        <v>1051.0343999999998</v>
      </c>
      <c r="S60" s="300" t="s">
        <v>199</v>
      </c>
      <c r="T60" s="292" t="str">
        <f>IF($S60="RP",O60,"")</f>
        <v/>
      </c>
      <c r="U60" s="293" t="str">
        <f>IF($S60="RP",P60,"")</f>
        <v/>
      </c>
      <c r="V60" s="122" t="str">
        <f>IF($S60="RP",Q60,"")</f>
        <v/>
      </c>
      <c r="W60" s="293">
        <f>IF($S60="RK",O60,"")</f>
        <v>34.199999999999996</v>
      </c>
      <c r="X60" s="293">
        <f>IF($S60="RK",P60,"")</f>
        <v>17.099999999999998</v>
      </c>
      <c r="Y60" s="122">
        <f>IF($S60="RK",Q60,"")</f>
        <v>0</v>
      </c>
      <c r="AG60" s="1321"/>
      <c r="AH60" s="1321"/>
      <c r="AI60" s="1321"/>
      <c r="AJ60" s="1321"/>
      <c r="AK60" s="1321"/>
      <c r="AL60" s="1321"/>
      <c r="AM60" s="1321"/>
      <c r="AN60" s="1321"/>
      <c r="AO60" s="1321"/>
      <c r="AP60" s="1321"/>
      <c r="AQ60" s="1321"/>
      <c r="AR60" s="1321"/>
      <c r="AS60" s="1321"/>
      <c r="AT60" s="1321"/>
      <c r="AU60" s="1321"/>
      <c r="AV60" s="1321"/>
      <c r="AW60" s="1321"/>
      <c r="AX60" s="1321"/>
      <c r="AY60" s="1321"/>
      <c r="AZ60" s="1321"/>
      <c r="BA60" s="1321"/>
      <c r="BB60" s="1321"/>
      <c r="BC60" s="1321"/>
      <c r="BD60" s="1321"/>
      <c r="BE60" s="1321"/>
      <c r="BF60" s="1321"/>
      <c r="BG60" s="1321"/>
      <c r="BH60" s="1321"/>
      <c r="BI60" s="1321"/>
      <c r="BJ60" s="1321"/>
      <c r="BK60" s="1321"/>
      <c r="BL60" s="1321"/>
      <c r="BM60" s="1321"/>
      <c r="BN60" s="1321"/>
      <c r="BO60" s="1321"/>
      <c r="BP60" s="1321"/>
      <c r="BQ60" s="1321"/>
      <c r="BR60" s="1321"/>
      <c r="BS60" s="1321"/>
      <c r="BT60" s="1321"/>
      <c r="BU60" s="1321"/>
      <c r="BV60" s="1321"/>
      <c r="BW60" s="1321"/>
      <c r="BX60" s="1321"/>
      <c r="BY60" s="1321"/>
      <c r="BZ60" s="1321"/>
      <c r="CA60" s="1321"/>
      <c r="CB60" s="1321"/>
      <c r="CC60" s="1321"/>
      <c r="CD60" s="1321"/>
      <c r="CE60" s="1321"/>
      <c r="CF60" s="1321"/>
      <c r="CG60" s="1321"/>
      <c r="CH60" s="1321"/>
      <c r="CI60" s="1321"/>
      <c r="CJ60" s="1321"/>
      <c r="CK60" s="1321"/>
      <c r="CL60" s="1321"/>
      <c r="CM60" s="1321"/>
      <c r="CN60" s="1321"/>
      <c r="CO60" s="1321"/>
      <c r="CP60" s="1321"/>
      <c r="CQ60" s="1321"/>
      <c r="CR60" s="1321"/>
      <c r="CS60" s="1321"/>
      <c r="CT60" s="1321"/>
      <c r="CU60" s="1321"/>
      <c r="CV60" s="1321"/>
      <c r="CW60" s="1321"/>
      <c r="CX60" s="1321"/>
      <c r="CY60" s="1321"/>
      <c r="CZ60" s="1321"/>
      <c r="DA60" s="1321"/>
      <c r="DB60" s="1321"/>
      <c r="DC60" s="1321"/>
      <c r="DD60" s="1321"/>
      <c r="DE60" s="1321"/>
      <c r="DF60" s="1321"/>
      <c r="DG60" s="1321"/>
      <c r="DH60" s="1321"/>
      <c r="DI60" s="1321"/>
      <c r="DJ60" s="1321"/>
      <c r="DK60" s="1321"/>
      <c r="DL60" s="1321"/>
      <c r="DM60" s="1321"/>
      <c r="DN60" s="1321"/>
      <c r="DO60" s="1321"/>
      <c r="DP60" s="1321"/>
      <c r="DQ60" s="1321"/>
      <c r="DR60" s="1321"/>
      <c r="DS60" s="1321"/>
      <c r="DT60" s="1321"/>
      <c r="DU60" s="1321"/>
      <c r="DV60" s="1321"/>
      <c r="DW60" s="1321"/>
      <c r="DX60" s="1321"/>
      <c r="DY60" s="1321"/>
      <c r="DZ60" s="1321"/>
      <c r="EA60" s="1321"/>
      <c r="EB60" s="1321"/>
      <c r="EC60" s="1321"/>
      <c r="ED60" s="1321"/>
      <c r="EE60" s="1321"/>
      <c r="EF60" s="1321"/>
      <c r="EG60" s="1321"/>
      <c r="EH60" s="1321"/>
      <c r="EI60" s="1321"/>
    </row>
    <row r="61" spans="1:139" s="180" customFormat="1" ht="12.75" customHeight="1" x14ac:dyDescent="0.2">
      <c r="A61" s="221"/>
      <c r="B61" s="222" t="s">
        <v>394</v>
      </c>
      <c r="C61" s="337"/>
      <c r="D61" s="358"/>
      <c r="E61" s="358"/>
      <c r="F61" s="358"/>
      <c r="G61" s="358"/>
      <c r="H61" s="358"/>
      <c r="I61" s="359"/>
      <c r="J61" s="359"/>
      <c r="K61" s="359"/>
      <c r="L61" s="543"/>
      <c r="M61" s="206"/>
      <c r="N61" s="206"/>
      <c r="O61" s="474"/>
      <c r="P61" s="360"/>
      <c r="Q61" s="360"/>
      <c r="R61" s="543"/>
      <c r="S61" s="193"/>
      <c r="T61" s="239"/>
      <c r="U61" s="240"/>
      <c r="W61" s="185"/>
      <c r="X61" s="185"/>
      <c r="AG61" s="1321"/>
      <c r="AH61" s="1321"/>
      <c r="AI61" s="1321"/>
      <c r="AJ61" s="1321"/>
      <c r="AK61" s="1321"/>
      <c r="AL61" s="1321"/>
      <c r="AM61" s="1321"/>
      <c r="AN61" s="1321"/>
      <c r="AO61" s="1321"/>
      <c r="AP61" s="1321"/>
      <c r="AQ61" s="1321"/>
      <c r="AR61" s="1321"/>
      <c r="AS61" s="1321"/>
      <c r="AT61" s="1321"/>
      <c r="AU61" s="1321"/>
      <c r="AV61" s="1321"/>
      <c r="AW61" s="1321"/>
      <c r="AX61" s="1321"/>
      <c r="AY61" s="1321"/>
      <c r="AZ61" s="1321"/>
      <c r="BA61" s="1321"/>
      <c r="BB61" s="1321"/>
      <c r="BC61" s="1321"/>
      <c r="BD61" s="1321"/>
      <c r="BE61" s="1321"/>
      <c r="BF61" s="1321"/>
      <c r="BG61" s="1321"/>
      <c r="BH61" s="1321"/>
      <c r="BI61" s="1321"/>
      <c r="BJ61" s="1321"/>
      <c r="BK61" s="1321"/>
      <c r="BL61" s="1321"/>
      <c r="BM61" s="1321"/>
      <c r="BN61" s="1321"/>
      <c r="BO61" s="1321"/>
      <c r="BP61" s="1321"/>
      <c r="BQ61" s="1321"/>
      <c r="BR61" s="1321"/>
      <c r="BS61" s="1321"/>
      <c r="BT61" s="1321"/>
      <c r="BU61" s="1321"/>
      <c r="BV61" s="1321"/>
      <c r="BW61" s="1321"/>
      <c r="BX61" s="1321"/>
      <c r="BY61" s="1321"/>
      <c r="BZ61" s="1321"/>
      <c r="CA61" s="1321"/>
      <c r="CB61" s="1321"/>
      <c r="CC61" s="1321"/>
      <c r="CD61" s="1321"/>
      <c r="CE61" s="1321"/>
      <c r="CF61" s="1321"/>
      <c r="CG61" s="1321"/>
      <c r="CH61" s="1321"/>
      <c r="CI61" s="1321"/>
      <c r="CJ61" s="1321"/>
      <c r="CK61" s="1321"/>
      <c r="CL61" s="1321"/>
      <c r="CM61" s="1321"/>
      <c r="CN61" s="1321"/>
      <c r="CO61" s="1321"/>
      <c r="CP61" s="1321"/>
      <c r="CQ61" s="1321"/>
      <c r="CR61" s="1321"/>
      <c r="CS61" s="1321"/>
      <c r="CT61" s="1321"/>
      <c r="CU61" s="1321"/>
      <c r="CV61" s="1321"/>
      <c r="CW61" s="1321"/>
      <c r="CX61" s="1321"/>
      <c r="CY61" s="1321"/>
      <c r="CZ61" s="1321"/>
      <c r="DA61" s="1321"/>
      <c r="DB61" s="1321"/>
      <c r="DC61" s="1321"/>
      <c r="DD61" s="1321"/>
      <c r="DE61" s="1321"/>
      <c r="DF61" s="1321"/>
      <c r="DG61" s="1321"/>
      <c r="DH61" s="1321"/>
      <c r="DI61" s="1321"/>
      <c r="DJ61" s="1321"/>
      <c r="DK61" s="1321"/>
      <c r="DL61" s="1321"/>
      <c r="DM61" s="1321"/>
      <c r="DN61" s="1321"/>
      <c r="DO61" s="1321"/>
      <c r="DP61" s="1321"/>
      <c r="DQ61" s="1321"/>
      <c r="DR61" s="1321"/>
      <c r="DS61" s="1321"/>
      <c r="DT61" s="1321"/>
      <c r="DU61" s="1321"/>
      <c r="DV61" s="1321"/>
      <c r="DW61" s="1321"/>
      <c r="DX61" s="1321"/>
      <c r="DY61" s="1321"/>
      <c r="DZ61" s="1321"/>
      <c r="EA61" s="1321"/>
      <c r="EB61" s="1321"/>
      <c r="EC61" s="1321"/>
      <c r="ED61" s="1321"/>
      <c r="EE61" s="1321"/>
      <c r="EF61" s="1321"/>
      <c r="EG61" s="1321"/>
      <c r="EH61" s="1321"/>
      <c r="EI61" s="1321"/>
    </row>
    <row r="62" spans="1:139" s="180" customFormat="1" ht="12.75" customHeight="1" x14ac:dyDescent="0.2">
      <c r="A62" s="221"/>
      <c r="B62" s="222" t="s">
        <v>393</v>
      </c>
      <c r="C62" s="361">
        <v>0</v>
      </c>
      <c r="D62" s="361">
        <v>0.25</v>
      </c>
      <c r="E62" s="361">
        <v>0.25</v>
      </c>
      <c r="F62" s="361">
        <v>0</v>
      </c>
      <c r="G62" s="361">
        <v>0</v>
      </c>
      <c r="H62" s="361">
        <f>SUM(C62:G62)</f>
        <v>0.5</v>
      </c>
      <c r="I62" s="362"/>
      <c r="J62" s="362"/>
      <c r="K62" s="362"/>
      <c r="L62" s="544">
        <f>((C62*$C$10)+(D62*$D$10)+(E62*$E$10)+(F62*$F$10))</f>
        <v>30.731999999999999</v>
      </c>
      <c r="M62" s="299">
        <v>0</v>
      </c>
      <c r="N62" s="299">
        <v>0</v>
      </c>
      <c r="O62" s="524">
        <f>'Table 1'!L109</f>
        <v>3.42</v>
      </c>
      <c r="P62" s="297">
        <f>(C62+D62+E62+F62)*O62</f>
        <v>1.71</v>
      </c>
      <c r="Q62" s="291">
        <f>(M62+N62)*O62</f>
        <v>0</v>
      </c>
      <c r="R62" s="544">
        <f>(L62+M62+N62)*O62</f>
        <v>105.10343999999999</v>
      </c>
      <c r="S62" s="263" t="s">
        <v>199</v>
      </c>
      <c r="T62" s="292" t="str">
        <f t="shared" ref="T62:V65" si="20">IF($S62="RP",O62,"")</f>
        <v/>
      </c>
      <c r="U62" s="293" t="str">
        <f t="shared" si="20"/>
        <v/>
      </c>
      <c r="V62" s="122" t="str">
        <f t="shared" si="20"/>
        <v/>
      </c>
      <c r="W62" s="293">
        <f t="shared" ref="W62:Y65" si="21">IF($S62="RK",O62,"")</f>
        <v>3.42</v>
      </c>
      <c r="X62" s="293">
        <f t="shared" si="21"/>
        <v>1.71</v>
      </c>
      <c r="Y62" s="122">
        <f t="shared" si="21"/>
        <v>0</v>
      </c>
      <c r="AG62" s="1321"/>
      <c r="AH62" s="1321"/>
      <c r="AI62" s="1321"/>
      <c r="AJ62" s="1321"/>
      <c r="AK62" s="1321"/>
      <c r="AL62" s="1321"/>
      <c r="AM62" s="1321"/>
      <c r="AN62" s="1321"/>
      <c r="AO62" s="1321"/>
      <c r="AP62" s="1321"/>
      <c r="AQ62" s="1321"/>
      <c r="AR62" s="1321"/>
      <c r="AS62" s="1321"/>
      <c r="AT62" s="1321"/>
      <c r="AU62" s="1321"/>
      <c r="AV62" s="1321"/>
      <c r="AW62" s="1321"/>
      <c r="AX62" s="1321"/>
      <c r="AY62" s="1321"/>
      <c r="AZ62" s="1321"/>
      <c r="BA62" s="1321"/>
      <c r="BB62" s="1321"/>
      <c r="BC62" s="1321"/>
      <c r="BD62" s="1321"/>
      <c r="BE62" s="1321"/>
      <c r="BF62" s="1321"/>
      <c r="BG62" s="1321"/>
      <c r="BH62" s="1321"/>
      <c r="BI62" s="1321"/>
      <c r="BJ62" s="1321"/>
      <c r="BK62" s="1321"/>
      <c r="BL62" s="1321"/>
      <c r="BM62" s="1321"/>
      <c r="BN62" s="1321"/>
      <c r="BO62" s="1321"/>
      <c r="BP62" s="1321"/>
      <c r="BQ62" s="1321"/>
      <c r="BR62" s="1321"/>
      <c r="BS62" s="1321"/>
      <c r="BT62" s="1321"/>
      <c r="BU62" s="1321"/>
      <c r="BV62" s="1321"/>
      <c r="BW62" s="1321"/>
      <c r="BX62" s="1321"/>
      <c r="BY62" s="1321"/>
      <c r="BZ62" s="1321"/>
      <c r="CA62" s="1321"/>
      <c r="CB62" s="1321"/>
      <c r="CC62" s="1321"/>
      <c r="CD62" s="1321"/>
      <c r="CE62" s="1321"/>
      <c r="CF62" s="1321"/>
      <c r="CG62" s="1321"/>
      <c r="CH62" s="1321"/>
      <c r="CI62" s="1321"/>
      <c r="CJ62" s="1321"/>
      <c r="CK62" s="1321"/>
      <c r="CL62" s="1321"/>
      <c r="CM62" s="1321"/>
      <c r="CN62" s="1321"/>
      <c r="CO62" s="1321"/>
      <c r="CP62" s="1321"/>
      <c r="CQ62" s="1321"/>
      <c r="CR62" s="1321"/>
      <c r="CS62" s="1321"/>
      <c r="CT62" s="1321"/>
      <c r="CU62" s="1321"/>
      <c r="CV62" s="1321"/>
      <c r="CW62" s="1321"/>
      <c r="CX62" s="1321"/>
      <c r="CY62" s="1321"/>
      <c r="CZ62" s="1321"/>
      <c r="DA62" s="1321"/>
      <c r="DB62" s="1321"/>
      <c r="DC62" s="1321"/>
      <c r="DD62" s="1321"/>
      <c r="DE62" s="1321"/>
      <c r="DF62" s="1321"/>
      <c r="DG62" s="1321"/>
      <c r="DH62" s="1321"/>
      <c r="DI62" s="1321"/>
      <c r="DJ62" s="1321"/>
      <c r="DK62" s="1321"/>
      <c r="DL62" s="1321"/>
      <c r="DM62" s="1321"/>
      <c r="DN62" s="1321"/>
      <c r="DO62" s="1321"/>
      <c r="DP62" s="1321"/>
      <c r="DQ62" s="1321"/>
      <c r="DR62" s="1321"/>
      <c r="DS62" s="1321"/>
      <c r="DT62" s="1321"/>
      <c r="DU62" s="1321"/>
      <c r="DV62" s="1321"/>
      <c r="DW62" s="1321"/>
      <c r="DX62" s="1321"/>
      <c r="DY62" s="1321"/>
      <c r="DZ62" s="1321"/>
      <c r="EA62" s="1321"/>
      <c r="EB62" s="1321"/>
      <c r="EC62" s="1321"/>
      <c r="ED62" s="1321"/>
      <c r="EE62" s="1321"/>
      <c r="EF62" s="1321"/>
      <c r="EG62" s="1321"/>
      <c r="EH62" s="1321"/>
      <c r="EI62" s="1321"/>
    </row>
    <row r="63" spans="1:139" s="367" customFormat="1" ht="12.75" customHeight="1" x14ac:dyDescent="0.2">
      <c r="A63" s="309"/>
      <c r="B63" s="310" t="s">
        <v>395</v>
      </c>
      <c r="C63" s="363">
        <v>0</v>
      </c>
      <c r="D63" s="363">
        <v>5</v>
      </c>
      <c r="E63" s="363">
        <v>50</v>
      </c>
      <c r="F63" s="363">
        <v>0</v>
      </c>
      <c r="G63" s="363">
        <v>0</v>
      </c>
      <c r="H63" s="277">
        <f>SUM(C63:G63)</f>
        <v>55</v>
      </c>
      <c r="I63" s="364"/>
      <c r="J63" s="364"/>
      <c r="K63" s="364"/>
      <c r="L63" s="527">
        <f>((C63*$C$10)+(D63*$D$10)+(E63*$E$10)+(F63*$F$10))</f>
        <v>2971.2</v>
      </c>
      <c r="M63" s="365">
        <v>0</v>
      </c>
      <c r="N63" s="365">
        <v>0</v>
      </c>
      <c r="O63" s="467">
        <f>'Table 1'!L111</f>
        <v>34.199999999999996</v>
      </c>
      <c r="P63" s="366">
        <f>(C63+D63+E63+F63)*O63</f>
        <v>1880.9999999999998</v>
      </c>
      <c r="Q63" s="291">
        <f>(M63+N63)*O63</f>
        <v>0</v>
      </c>
      <c r="R63" s="365">
        <f>(L63+M63+N63)*O63</f>
        <v>101615.03999999998</v>
      </c>
      <c r="S63" s="263" t="s">
        <v>199</v>
      </c>
      <c r="T63" s="292" t="str">
        <f t="shared" si="20"/>
        <v/>
      </c>
      <c r="U63" s="293" t="str">
        <f t="shared" si="20"/>
        <v/>
      </c>
      <c r="V63" s="122" t="str">
        <f t="shared" si="20"/>
        <v/>
      </c>
      <c r="W63" s="293">
        <f t="shared" si="21"/>
        <v>34.199999999999996</v>
      </c>
      <c r="X63" s="293">
        <f t="shared" si="21"/>
        <v>1880.9999999999998</v>
      </c>
      <c r="Y63" s="122">
        <f t="shared" si="21"/>
        <v>0</v>
      </c>
      <c r="AG63" s="1321"/>
      <c r="AH63" s="1321"/>
      <c r="AI63" s="1321"/>
      <c r="AJ63" s="1321"/>
      <c r="AK63" s="1321"/>
      <c r="AL63" s="1321"/>
      <c r="AM63" s="1321"/>
      <c r="AN63" s="1321"/>
      <c r="AO63" s="1321"/>
      <c r="AP63" s="1321"/>
      <c r="AQ63" s="1321"/>
      <c r="AR63" s="1321"/>
      <c r="AS63" s="1321"/>
      <c r="AT63" s="1321"/>
      <c r="AU63" s="1321"/>
      <c r="AV63" s="1321"/>
      <c r="AW63" s="1321"/>
      <c r="AX63" s="1321"/>
      <c r="AY63" s="1321"/>
      <c r="AZ63" s="1321"/>
      <c r="BA63" s="1321"/>
      <c r="BB63" s="1321"/>
      <c r="BC63" s="1321"/>
      <c r="BD63" s="1321"/>
      <c r="BE63" s="1321"/>
      <c r="BF63" s="1321"/>
      <c r="BG63" s="1321"/>
      <c r="BH63" s="1321"/>
      <c r="BI63" s="1321"/>
      <c r="BJ63" s="1321"/>
      <c r="BK63" s="1321"/>
      <c r="BL63" s="1321"/>
      <c r="BM63" s="1321"/>
      <c r="BN63" s="1321"/>
      <c r="BO63" s="1321"/>
      <c r="BP63" s="1321"/>
      <c r="BQ63" s="1321"/>
      <c r="BR63" s="1321"/>
      <c r="BS63" s="1321"/>
      <c r="BT63" s="1321"/>
      <c r="BU63" s="1321"/>
      <c r="BV63" s="1321"/>
      <c r="BW63" s="1321"/>
      <c r="BX63" s="1321"/>
      <c r="BY63" s="1321"/>
      <c r="BZ63" s="1321"/>
      <c r="CA63" s="1321"/>
      <c r="CB63" s="1321"/>
      <c r="CC63" s="1321"/>
      <c r="CD63" s="1321"/>
      <c r="CE63" s="1321"/>
      <c r="CF63" s="1321"/>
      <c r="CG63" s="1321"/>
      <c r="CH63" s="1321"/>
      <c r="CI63" s="1321"/>
      <c r="CJ63" s="1321"/>
      <c r="CK63" s="1321"/>
      <c r="CL63" s="1321"/>
      <c r="CM63" s="1321"/>
      <c r="CN63" s="1321"/>
      <c r="CO63" s="1321"/>
      <c r="CP63" s="1321"/>
      <c r="CQ63" s="1321"/>
      <c r="CR63" s="1321"/>
      <c r="CS63" s="1321"/>
      <c r="CT63" s="1321"/>
      <c r="CU63" s="1321"/>
      <c r="CV63" s="1321"/>
      <c r="CW63" s="1321"/>
      <c r="CX63" s="1321"/>
      <c r="CY63" s="1321"/>
      <c r="CZ63" s="1321"/>
      <c r="DA63" s="1321"/>
      <c r="DB63" s="1321"/>
      <c r="DC63" s="1321"/>
      <c r="DD63" s="1321"/>
      <c r="DE63" s="1321"/>
      <c r="DF63" s="1321"/>
      <c r="DG63" s="1321"/>
      <c r="DH63" s="1321"/>
      <c r="DI63" s="1321"/>
      <c r="DJ63" s="1321"/>
      <c r="DK63" s="1321"/>
      <c r="DL63" s="1321"/>
      <c r="DM63" s="1321"/>
      <c r="DN63" s="1321"/>
      <c r="DO63" s="1321"/>
      <c r="DP63" s="1321"/>
      <c r="DQ63" s="1321"/>
      <c r="DR63" s="1321"/>
      <c r="DS63" s="1321"/>
      <c r="DT63" s="1321"/>
      <c r="DU63" s="1321"/>
      <c r="DV63" s="1321"/>
      <c r="DW63" s="1321"/>
      <c r="DX63" s="1321"/>
      <c r="DY63" s="1321"/>
      <c r="DZ63" s="1321"/>
      <c r="EA63" s="1321"/>
      <c r="EB63" s="1321"/>
      <c r="EC63" s="1321"/>
      <c r="ED63" s="1321"/>
      <c r="EE63" s="1321"/>
      <c r="EF63" s="1321"/>
      <c r="EG63" s="1321"/>
      <c r="EH63" s="1321"/>
      <c r="EI63" s="1321"/>
    </row>
    <row r="64" spans="1:139" s="367" customFormat="1" ht="12.75" customHeight="1" x14ac:dyDescent="0.2">
      <c r="A64" s="309"/>
      <c r="B64" s="310" t="s">
        <v>396</v>
      </c>
      <c r="C64" s="363">
        <v>0</v>
      </c>
      <c r="D64" s="363">
        <v>2</v>
      </c>
      <c r="E64" s="363">
        <v>10</v>
      </c>
      <c r="F64" s="363">
        <v>0</v>
      </c>
      <c r="G64" s="363">
        <v>0</v>
      </c>
      <c r="H64" s="277">
        <f>SUM(C64:G64)</f>
        <v>12</v>
      </c>
      <c r="I64" s="364"/>
      <c r="J64" s="364"/>
      <c r="K64" s="364"/>
      <c r="L64" s="527">
        <f>((C64*$C$10)+(D64*$D$10)+(E64*$E$10)+(F64*$F$10))</f>
        <v>664.8</v>
      </c>
      <c r="M64" s="365">
        <v>0</v>
      </c>
      <c r="N64" s="365">
        <v>0</v>
      </c>
      <c r="O64" s="467">
        <f>'Table 1'!L113</f>
        <v>20.52</v>
      </c>
      <c r="P64" s="366">
        <f>(C64+D64+E64+F64)*O64</f>
        <v>246.24</v>
      </c>
      <c r="Q64" s="291">
        <f>(M64+N64)*O64</f>
        <v>0</v>
      </c>
      <c r="R64" s="527">
        <f>(L64+M64+N64)*O64</f>
        <v>13641.695999999998</v>
      </c>
      <c r="S64" s="263" t="s">
        <v>199</v>
      </c>
      <c r="T64" s="292" t="str">
        <f t="shared" si="20"/>
        <v/>
      </c>
      <c r="U64" s="293" t="str">
        <f t="shared" si="20"/>
        <v/>
      </c>
      <c r="V64" s="122" t="str">
        <f t="shared" si="20"/>
        <v/>
      </c>
      <c r="W64" s="293">
        <f t="shared" si="21"/>
        <v>20.52</v>
      </c>
      <c r="X64" s="293">
        <f t="shared" si="21"/>
        <v>246.24</v>
      </c>
      <c r="Y64" s="122">
        <f t="shared" si="21"/>
        <v>0</v>
      </c>
      <c r="AG64" s="1321"/>
      <c r="AH64" s="1321"/>
      <c r="AI64" s="1321"/>
      <c r="AJ64" s="1321"/>
      <c r="AK64" s="1321"/>
      <c r="AL64" s="1321"/>
      <c r="AM64" s="1321"/>
      <c r="AN64" s="1321"/>
      <c r="AO64" s="1321"/>
      <c r="AP64" s="1321"/>
      <c r="AQ64" s="1321"/>
      <c r="AR64" s="1321"/>
      <c r="AS64" s="1321"/>
      <c r="AT64" s="1321"/>
      <c r="AU64" s="1321"/>
      <c r="AV64" s="1321"/>
      <c r="AW64" s="1321"/>
      <c r="AX64" s="1321"/>
      <c r="AY64" s="1321"/>
      <c r="AZ64" s="1321"/>
      <c r="BA64" s="1321"/>
      <c r="BB64" s="1321"/>
      <c r="BC64" s="1321"/>
      <c r="BD64" s="1321"/>
      <c r="BE64" s="1321"/>
      <c r="BF64" s="1321"/>
      <c r="BG64" s="1321"/>
      <c r="BH64" s="1321"/>
      <c r="BI64" s="1321"/>
      <c r="BJ64" s="1321"/>
      <c r="BK64" s="1321"/>
      <c r="BL64" s="1321"/>
      <c r="BM64" s="1321"/>
      <c r="BN64" s="1321"/>
      <c r="BO64" s="1321"/>
      <c r="BP64" s="1321"/>
      <c r="BQ64" s="1321"/>
      <c r="BR64" s="1321"/>
      <c r="BS64" s="1321"/>
      <c r="BT64" s="1321"/>
      <c r="BU64" s="1321"/>
      <c r="BV64" s="1321"/>
      <c r="BW64" s="1321"/>
      <c r="BX64" s="1321"/>
      <c r="BY64" s="1321"/>
      <c r="BZ64" s="1321"/>
      <c r="CA64" s="1321"/>
      <c r="CB64" s="1321"/>
      <c r="CC64" s="1321"/>
      <c r="CD64" s="1321"/>
      <c r="CE64" s="1321"/>
      <c r="CF64" s="1321"/>
      <c r="CG64" s="1321"/>
      <c r="CH64" s="1321"/>
      <c r="CI64" s="1321"/>
      <c r="CJ64" s="1321"/>
      <c r="CK64" s="1321"/>
      <c r="CL64" s="1321"/>
      <c r="CM64" s="1321"/>
      <c r="CN64" s="1321"/>
      <c r="CO64" s="1321"/>
      <c r="CP64" s="1321"/>
      <c r="CQ64" s="1321"/>
      <c r="CR64" s="1321"/>
      <c r="CS64" s="1321"/>
      <c r="CT64" s="1321"/>
      <c r="CU64" s="1321"/>
      <c r="CV64" s="1321"/>
      <c r="CW64" s="1321"/>
      <c r="CX64" s="1321"/>
      <c r="CY64" s="1321"/>
      <c r="CZ64" s="1321"/>
      <c r="DA64" s="1321"/>
      <c r="DB64" s="1321"/>
      <c r="DC64" s="1321"/>
      <c r="DD64" s="1321"/>
      <c r="DE64" s="1321"/>
      <c r="DF64" s="1321"/>
      <c r="DG64" s="1321"/>
      <c r="DH64" s="1321"/>
      <c r="DI64" s="1321"/>
      <c r="DJ64" s="1321"/>
      <c r="DK64" s="1321"/>
      <c r="DL64" s="1321"/>
      <c r="DM64" s="1321"/>
      <c r="DN64" s="1321"/>
      <c r="DO64" s="1321"/>
      <c r="DP64" s="1321"/>
      <c r="DQ64" s="1321"/>
      <c r="DR64" s="1321"/>
      <c r="DS64" s="1321"/>
      <c r="DT64" s="1321"/>
      <c r="DU64" s="1321"/>
      <c r="DV64" s="1321"/>
      <c r="DW64" s="1321"/>
      <c r="DX64" s="1321"/>
      <c r="DY64" s="1321"/>
      <c r="DZ64" s="1321"/>
      <c r="EA64" s="1321"/>
      <c r="EB64" s="1321"/>
      <c r="EC64" s="1321"/>
      <c r="ED64" s="1321"/>
      <c r="EE64" s="1321"/>
      <c r="EF64" s="1321"/>
      <c r="EG64" s="1321"/>
      <c r="EH64" s="1321"/>
      <c r="EI64" s="1321"/>
    </row>
    <row r="65" spans="1:139" s="180" customFormat="1" ht="12.75" customHeight="1" x14ac:dyDescent="0.2">
      <c r="A65" s="210"/>
      <c r="B65" s="310" t="s">
        <v>391</v>
      </c>
      <c r="C65" s="361">
        <v>0</v>
      </c>
      <c r="D65" s="361">
        <v>0.25</v>
      </c>
      <c r="E65" s="361">
        <v>0</v>
      </c>
      <c r="F65" s="361">
        <v>0.25</v>
      </c>
      <c r="G65" s="361">
        <v>0</v>
      </c>
      <c r="H65" s="361">
        <f>SUM(C65:G65)</f>
        <v>0.5</v>
      </c>
      <c r="I65" s="362"/>
      <c r="J65" s="362"/>
      <c r="K65" s="362"/>
      <c r="L65" s="544">
        <f>((C65*$C$10)+(D65*$D$10)+(E65*$E$10)+(F65*$F$10))</f>
        <v>24.724</v>
      </c>
      <c r="M65" s="299">
        <v>0</v>
      </c>
      <c r="N65" s="368">
        <v>20</v>
      </c>
      <c r="O65" s="524">
        <f>O60</f>
        <v>34.199999999999996</v>
      </c>
      <c r="P65" s="297">
        <f>(C65+D65+E65+F65)*O65</f>
        <v>17.099999999999998</v>
      </c>
      <c r="Q65" s="298">
        <f>(M65+N65)*O65</f>
        <v>683.99999999999989</v>
      </c>
      <c r="R65" s="544">
        <f>(L65+M65+N65)*O65</f>
        <v>1529.5608</v>
      </c>
      <c r="S65" s="263" t="s">
        <v>200</v>
      </c>
      <c r="T65" s="292">
        <f t="shared" si="20"/>
        <v>34.199999999999996</v>
      </c>
      <c r="U65" s="293">
        <f t="shared" si="20"/>
        <v>17.099999999999998</v>
      </c>
      <c r="V65" s="122">
        <f t="shared" si="20"/>
        <v>683.99999999999989</v>
      </c>
      <c r="W65" s="293" t="str">
        <f t="shared" si="21"/>
        <v/>
      </c>
      <c r="X65" s="293" t="str">
        <f t="shared" si="21"/>
        <v/>
      </c>
      <c r="Y65" s="122" t="str">
        <f t="shared" si="21"/>
        <v/>
      </c>
      <c r="AG65" s="1321"/>
      <c r="AH65" s="1321"/>
      <c r="AI65" s="1321"/>
      <c r="AJ65" s="1321"/>
      <c r="AK65" s="1321"/>
      <c r="AL65" s="1321"/>
      <c r="AM65" s="1321"/>
      <c r="AN65" s="1321"/>
      <c r="AO65" s="1321"/>
      <c r="AP65" s="1321"/>
      <c r="AQ65" s="1321"/>
      <c r="AR65" s="1321"/>
      <c r="AS65" s="1321"/>
      <c r="AT65" s="1321"/>
      <c r="AU65" s="1321"/>
      <c r="AV65" s="1321"/>
      <c r="AW65" s="1321"/>
      <c r="AX65" s="1321"/>
      <c r="AY65" s="1321"/>
      <c r="AZ65" s="1321"/>
      <c r="BA65" s="1321"/>
      <c r="BB65" s="1321"/>
      <c r="BC65" s="1321"/>
      <c r="BD65" s="1321"/>
      <c r="BE65" s="1321"/>
      <c r="BF65" s="1321"/>
      <c r="BG65" s="1321"/>
      <c r="BH65" s="1321"/>
      <c r="BI65" s="1321"/>
      <c r="BJ65" s="1321"/>
      <c r="BK65" s="1321"/>
      <c r="BL65" s="1321"/>
      <c r="BM65" s="1321"/>
      <c r="BN65" s="1321"/>
      <c r="BO65" s="1321"/>
      <c r="BP65" s="1321"/>
      <c r="BQ65" s="1321"/>
      <c r="BR65" s="1321"/>
      <c r="BS65" s="1321"/>
      <c r="BT65" s="1321"/>
      <c r="BU65" s="1321"/>
      <c r="BV65" s="1321"/>
      <c r="BW65" s="1321"/>
      <c r="BX65" s="1321"/>
      <c r="BY65" s="1321"/>
      <c r="BZ65" s="1321"/>
      <c r="CA65" s="1321"/>
      <c r="CB65" s="1321"/>
      <c r="CC65" s="1321"/>
      <c r="CD65" s="1321"/>
      <c r="CE65" s="1321"/>
      <c r="CF65" s="1321"/>
      <c r="CG65" s="1321"/>
      <c r="CH65" s="1321"/>
      <c r="CI65" s="1321"/>
      <c r="CJ65" s="1321"/>
      <c r="CK65" s="1321"/>
      <c r="CL65" s="1321"/>
      <c r="CM65" s="1321"/>
      <c r="CN65" s="1321"/>
      <c r="CO65" s="1321"/>
      <c r="CP65" s="1321"/>
      <c r="CQ65" s="1321"/>
      <c r="CR65" s="1321"/>
      <c r="CS65" s="1321"/>
      <c r="CT65" s="1321"/>
      <c r="CU65" s="1321"/>
      <c r="CV65" s="1321"/>
      <c r="CW65" s="1321"/>
      <c r="CX65" s="1321"/>
      <c r="CY65" s="1321"/>
      <c r="CZ65" s="1321"/>
      <c r="DA65" s="1321"/>
      <c r="DB65" s="1321"/>
      <c r="DC65" s="1321"/>
      <c r="DD65" s="1321"/>
      <c r="DE65" s="1321"/>
      <c r="DF65" s="1321"/>
      <c r="DG65" s="1321"/>
      <c r="DH65" s="1321"/>
      <c r="DI65" s="1321"/>
      <c r="DJ65" s="1321"/>
      <c r="DK65" s="1321"/>
      <c r="DL65" s="1321"/>
      <c r="DM65" s="1321"/>
      <c r="DN65" s="1321"/>
      <c r="DO65" s="1321"/>
      <c r="DP65" s="1321"/>
      <c r="DQ65" s="1321"/>
      <c r="DR65" s="1321"/>
      <c r="DS65" s="1321"/>
      <c r="DT65" s="1321"/>
      <c r="DU65" s="1321"/>
      <c r="DV65" s="1321"/>
      <c r="DW65" s="1321"/>
      <c r="DX65" s="1321"/>
      <c r="DY65" s="1321"/>
      <c r="DZ65" s="1321"/>
      <c r="EA65" s="1321"/>
      <c r="EB65" s="1321"/>
      <c r="EC65" s="1321"/>
      <c r="ED65" s="1321"/>
      <c r="EE65" s="1321"/>
      <c r="EF65" s="1321"/>
      <c r="EG65" s="1321"/>
      <c r="EH65" s="1321"/>
      <c r="EI65" s="1321"/>
    </row>
    <row r="66" spans="1:139" s="180" customFormat="1" ht="12.75" customHeight="1" x14ac:dyDescent="0.2">
      <c r="A66" s="479" t="s">
        <v>574</v>
      </c>
      <c r="B66" s="480"/>
      <c r="C66" s="280"/>
      <c r="D66" s="280"/>
      <c r="E66" s="280"/>
      <c r="F66" s="280"/>
      <c r="G66" s="280"/>
      <c r="H66" s="280"/>
      <c r="I66" s="281"/>
      <c r="J66" s="281"/>
      <c r="K66" s="281"/>
      <c r="L66" s="535"/>
      <c r="M66" s="282"/>
      <c r="N66" s="283"/>
      <c r="O66" s="402"/>
      <c r="P66" s="284"/>
      <c r="Q66" s="284"/>
      <c r="R66" s="562"/>
      <c r="S66" s="321"/>
      <c r="T66" s="185"/>
      <c r="U66" s="240"/>
      <c r="W66" s="185"/>
      <c r="X66" s="185"/>
      <c r="AG66" s="1321"/>
      <c r="AH66" s="1321"/>
      <c r="AI66" s="1321"/>
      <c r="AJ66" s="1321"/>
      <c r="AK66" s="1321"/>
      <c r="AL66" s="1321"/>
      <c r="AM66" s="1321"/>
      <c r="AN66" s="1321"/>
      <c r="AO66" s="1321"/>
      <c r="AP66" s="1321"/>
      <c r="AQ66" s="1321"/>
      <c r="AR66" s="1321"/>
      <c r="AS66" s="1321"/>
      <c r="AT66" s="1321"/>
      <c r="AU66" s="1321"/>
      <c r="AV66" s="1321"/>
      <c r="AW66" s="1321"/>
      <c r="AX66" s="1321"/>
      <c r="AY66" s="1321"/>
      <c r="AZ66" s="1321"/>
      <c r="BA66" s="1321"/>
      <c r="BB66" s="1321"/>
      <c r="BC66" s="1321"/>
      <c r="BD66" s="1321"/>
      <c r="BE66" s="1321"/>
      <c r="BF66" s="1321"/>
      <c r="BG66" s="1321"/>
      <c r="BH66" s="1321"/>
      <c r="BI66" s="1321"/>
      <c r="BJ66" s="1321"/>
      <c r="BK66" s="1321"/>
      <c r="BL66" s="1321"/>
      <c r="BM66" s="1321"/>
      <c r="BN66" s="1321"/>
      <c r="BO66" s="1321"/>
      <c r="BP66" s="1321"/>
      <c r="BQ66" s="1321"/>
      <c r="BR66" s="1321"/>
      <c r="BS66" s="1321"/>
      <c r="BT66" s="1321"/>
      <c r="BU66" s="1321"/>
      <c r="BV66" s="1321"/>
      <c r="BW66" s="1321"/>
      <c r="BX66" s="1321"/>
      <c r="BY66" s="1321"/>
      <c r="BZ66" s="1321"/>
      <c r="CA66" s="1321"/>
      <c r="CB66" s="1321"/>
      <c r="CC66" s="1321"/>
      <c r="CD66" s="1321"/>
      <c r="CE66" s="1321"/>
      <c r="CF66" s="1321"/>
      <c r="CG66" s="1321"/>
      <c r="CH66" s="1321"/>
      <c r="CI66" s="1321"/>
      <c r="CJ66" s="1321"/>
      <c r="CK66" s="1321"/>
      <c r="CL66" s="1321"/>
      <c r="CM66" s="1321"/>
      <c r="CN66" s="1321"/>
      <c r="CO66" s="1321"/>
      <c r="CP66" s="1321"/>
      <c r="CQ66" s="1321"/>
      <c r="CR66" s="1321"/>
      <c r="CS66" s="1321"/>
      <c r="CT66" s="1321"/>
      <c r="CU66" s="1321"/>
      <c r="CV66" s="1321"/>
      <c r="CW66" s="1321"/>
      <c r="CX66" s="1321"/>
      <c r="CY66" s="1321"/>
      <c r="CZ66" s="1321"/>
      <c r="DA66" s="1321"/>
      <c r="DB66" s="1321"/>
      <c r="DC66" s="1321"/>
      <c r="DD66" s="1321"/>
      <c r="DE66" s="1321"/>
      <c r="DF66" s="1321"/>
      <c r="DG66" s="1321"/>
      <c r="DH66" s="1321"/>
      <c r="DI66" s="1321"/>
      <c r="DJ66" s="1321"/>
      <c r="DK66" s="1321"/>
      <c r="DL66" s="1321"/>
      <c r="DM66" s="1321"/>
      <c r="DN66" s="1321"/>
      <c r="DO66" s="1321"/>
      <c r="DP66" s="1321"/>
      <c r="DQ66" s="1321"/>
      <c r="DR66" s="1321"/>
      <c r="DS66" s="1321"/>
      <c r="DT66" s="1321"/>
      <c r="DU66" s="1321"/>
      <c r="DV66" s="1321"/>
      <c r="DW66" s="1321"/>
      <c r="DX66" s="1321"/>
      <c r="DY66" s="1321"/>
      <c r="DZ66" s="1321"/>
      <c r="EA66" s="1321"/>
      <c r="EB66" s="1321"/>
      <c r="EC66" s="1321"/>
      <c r="ED66" s="1321"/>
      <c r="EE66" s="1321"/>
      <c r="EF66" s="1321"/>
      <c r="EG66" s="1321"/>
      <c r="EH66" s="1321"/>
      <c r="EI66" s="1321"/>
    </row>
    <row r="67" spans="1:139" s="180" customFormat="1" ht="12.75" customHeight="1" x14ac:dyDescent="0.2">
      <c r="A67" s="325"/>
      <c r="B67" s="286" t="s">
        <v>397</v>
      </c>
      <c r="C67" s="287">
        <v>0</v>
      </c>
      <c r="D67" s="287">
        <v>3</v>
      </c>
      <c r="E67" s="287">
        <v>40</v>
      </c>
      <c r="F67" s="287">
        <v>0</v>
      </c>
      <c r="G67" s="287">
        <v>0</v>
      </c>
      <c r="H67" s="287">
        <f>SUM(C67:G67)</f>
        <v>43</v>
      </c>
      <c r="I67" s="288"/>
      <c r="J67" s="288"/>
      <c r="K67" s="288"/>
      <c r="L67" s="530">
        <f>((C67*$C$10)+(D67*$D$10)+(E67*$E$10)+(F67*$F$10))</f>
        <v>2306.3999999999996</v>
      </c>
      <c r="M67" s="289">
        <v>0</v>
      </c>
      <c r="N67" s="272">
        <v>0</v>
      </c>
      <c r="O67" s="333">
        <f>'Table 1'!L115</f>
        <v>57</v>
      </c>
      <c r="P67" s="290">
        <f>(C67+D67+E67+F67)*O67</f>
        <v>2451</v>
      </c>
      <c r="Q67" s="291">
        <f>(M67+N67)*O67</f>
        <v>0</v>
      </c>
      <c r="R67" s="291">
        <f>(L67+M67+N67)*O67</f>
        <v>131464.79999999999</v>
      </c>
      <c r="S67" s="263" t="s">
        <v>199</v>
      </c>
      <c r="T67" s="292" t="str">
        <f>IF($S67="RP",O67,"")</f>
        <v/>
      </c>
      <c r="U67" s="293" t="str">
        <f>IF($S67="RP",P67,"")</f>
        <v/>
      </c>
      <c r="V67" s="122" t="str">
        <f>IF($S67="RP",Q67,"")</f>
        <v/>
      </c>
      <c r="W67" s="293">
        <f>IF($S67="RK",O67,"")</f>
        <v>57</v>
      </c>
      <c r="X67" s="293">
        <f>IF($S67="RK",P67,"")</f>
        <v>2451</v>
      </c>
      <c r="Y67" s="122">
        <f>IF($S67="RK",Q67,"")</f>
        <v>0</v>
      </c>
      <c r="AG67" s="1321"/>
      <c r="AH67" s="1321"/>
      <c r="AI67" s="1321"/>
      <c r="AJ67" s="1321"/>
      <c r="AK67" s="1321"/>
      <c r="AL67" s="1321"/>
      <c r="AM67" s="1321"/>
      <c r="AN67" s="1321"/>
      <c r="AO67" s="1321"/>
      <c r="AP67" s="1321"/>
      <c r="AQ67" s="1321"/>
      <c r="AR67" s="1321"/>
      <c r="AS67" s="1321"/>
      <c r="AT67" s="1321"/>
      <c r="AU67" s="1321"/>
      <c r="AV67" s="1321"/>
      <c r="AW67" s="1321"/>
      <c r="AX67" s="1321"/>
      <c r="AY67" s="1321"/>
      <c r="AZ67" s="1321"/>
      <c r="BA67" s="1321"/>
      <c r="BB67" s="1321"/>
      <c r="BC67" s="1321"/>
      <c r="BD67" s="1321"/>
      <c r="BE67" s="1321"/>
      <c r="BF67" s="1321"/>
      <c r="BG67" s="1321"/>
      <c r="BH67" s="1321"/>
      <c r="BI67" s="1321"/>
      <c r="BJ67" s="1321"/>
      <c r="BK67" s="1321"/>
      <c r="BL67" s="1321"/>
      <c r="BM67" s="1321"/>
      <c r="BN67" s="1321"/>
      <c r="BO67" s="1321"/>
      <c r="BP67" s="1321"/>
      <c r="BQ67" s="1321"/>
      <c r="BR67" s="1321"/>
      <c r="BS67" s="1321"/>
      <c r="BT67" s="1321"/>
      <c r="BU67" s="1321"/>
      <c r="BV67" s="1321"/>
      <c r="BW67" s="1321"/>
      <c r="BX67" s="1321"/>
      <c r="BY67" s="1321"/>
      <c r="BZ67" s="1321"/>
      <c r="CA67" s="1321"/>
      <c r="CB67" s="1321"/>
      <c r="CC67" s="1321"/>
      <c r="CD67" s="1321"/>
      <c r="CE67" s="1321"/>
      <c r="CF67" s="1321"/>
      <c r="CG67" s="1321"/>
      <c r="CH67" s="1321"/>
      <c r="CI67" s="1321"/>
      <c r="CJ67" s="1321"/>
      <c r="CK67" s="1321"/>
      <c r="CL67" s="1321"/>
      <c r="CM67" s="1321"/>
      <c r="CN67" s="1321"/>
      <c r="CO67" s="1321"/>
      <c r="CP67" s="1321"/>
      <c r="CQ67" s="1321"/>
      <c r="CR67" s="1321"/>
      <c r="CS67" s="1321"/>
      <c r="CT67" s="1321"/>
      <c r="CU67" s="1321"/>
      <c r="CV67" s="1321"/>
      <c r="CW67" s="1321"/>
      <c r="CX67" s="1321"/>
      <c r="CY67" s="1321"/>
      <c r="CZ67" s="1321"/>
      <c r="DA67" s="1321"/>
      <c r="DB67" s="1321"/>
      <c r="DC67" s="1321"/>
      <c r="DD67" s="1321"/>
      <c r="DE67" s="1321"/>
      <c r="DF67" s="1321"/>
      <c r="DG67" s="1321"/>
      <c r="DH67" s="1321"/>
      <c r="DI67" s="1321"/>
      <c r="DJ67" s="1321"/>
      <c r="DK67" s="1321"/>
      <c r="DL67" s="1321"/>
      <c r="DM67" s="1321"/>
      <c r="DN67" s="1321"/>
      <c r="DO67" s="1321"/>
      <c r="DP67" s="1321"/>
      <c r="DQ67" s="1321"/>
      <c r="DR67" s="1321"/>
      <c r="DS67" s="1321"/>
      <c r="DT67" s="1321"/>
      <c r="DU67" s="1321"/>
      <c r="DV67" s="1321"/>
      <c r="DW67" s="1321"/>
      <c r="DX67" s="1321"/>
      <c r="DY67" s="1321"/>
      <c r="DZ67" s="1321"/>
      <c r="EA67" s="1321"/>
      <c r="EB67" s="1321"/>
      <c r="EC67" s="1321"/>
      <c r="ED67" s="1321"/>
      <c r="EE67" s="1321"/>
      <c r="EF67" s="1321"/>
      <c r="EG67" s="1321"/>
      <c r="EH67" s="1321"/>
      <c r="EI67" s="1321"/>
    </row>
    <row r="68" spans="1:139" s="180" customFormat="1" ht="12.75" customHeight="1" x14ac:dyDescent="0.2">
      <c r="A68" s="329"/>
      <c r="B68" s="330" t="s">
        <v>398</v>
      </c>
      <c r="C68" s="294"/>
      <c r="D68" s="294"/>
      <c r="E68" s="294"/>
      <c r="F68" s="294"/>
      <c r="G68" s="337"/>
      <c r="H68" s="337"/>
      <c r="I68" s="355"/>
      <c r="J68" s="355"/>
      <c r="K68" s="355"/>
      <c r="L68" s="542"/>
      <c r="M68" s="356"/>
      <c r="N68" s="356"/>
      <c r="O68" s="342"/>
      <c r="P68" s="357"/>
      <c r="Q68" s="357"/>
      <c r="R68" s="542"/>
      <c r="S68" s="193"/>
      <c r="T68" s="185"/>
      <c r="U68" s="240"/>
      <c r="W68" s="185"/>
      <c r="X68" s="185"/>
      <c r="AG68" s="1321"/>
      <c r="AH68" s="1321"/>
      <c r="AI68" s="1321"/>
      <c r="AJ68" s="1321"/>
      <c r="AK68" s="1321"/>
      <c r="AL68" s="1321"/>
      <c r="AM68" s="1321"/>
      <c r="AN68" s="1321"/>
      <c r="AO68" s="1321"/>
      <c r="AP68" s="1321"/>
      <c r="AQ68" s="1321"/>
      <c r="AR68" s="1321"/>
      <c r="AS68" s="1321"/>
      <c r="AT68" s="1321"/>
      <c r="AU68" s="1321"/>
      <c r="AV68" s="1321"/>
      <c r="AW68" s="1321"/>
      <c r="AX68" s="1321"/>
      <c r="AY68" s="1321"/>
      <c r="AZ68" s="1321"/>
      <c r="BA68" s="1321"/>
      <c r="BB68" s="1321"/>
      <c r="BC68" s="1321"/>
      <c r="BD68" s="1321"/>
      <c r="BE68" s="1321"/>
      <c r="BF68" s="1321"/>
      <c r="BG68" s="1321"/>
      <c r="BH68" s="1321"/>
      <c r="BI68" s="1321"/>
      <c r="BJ68" s="1321"/>
      <c r="BK68" s="1321"/>
      <c r="BL68" s="1321"/>
      <c r="BM68" s="1321"/>
      <c r="BN68" s="1321"/>
      <c r="BO68" s="1321"/>
      <c r="BP68" s="1321"/>
      <c r="BQ68" s="1321"/>
      <c r="BR68" s="1321"/>
      <c r="BS68" s="1321"/>
      <c r="BT68" s="1321"/>
      <c r="BU68" s="1321"/>
      <c r="BV68" s="1321"/>
      <c r="BW68" s="1321"/>
      <c r="BX68" s="1321"/>
      <c r="BY68" s="1321"/>
      <c r="BZ68" s="1321"/>
      <c r="CA68" s="1321"/>
      <c r="CB68" s="1321"/>
      <c r="CC68" s="1321"/>
      <c r="CD68" s="1321"/>
      <c r="CE68" s="1321"/>
      <c r="CF68" s="1321"/>
      <c r="CG68" s="1321"/>
      <c r="CH68" s="1321"/>
      <c r="CI68" s="1321"/>
      <c r="CJ68" s="1321"/>
      <c r="CK68" s="1321"/>
      <c r="CL68" s="1321"/>
      <c r="CM68" s="1321"/>
      <c r="CN68" s="1321"/>
      <c r="CO68" s="1321"/>
      <c r="CP68" s="1321"/>
      <c r="CQ68" s="1321"/>
      <c r="CR68" s="1321"/>
      <c r="CS68" s="1321"/>
      <c r="CT68" s="1321"/>
      <c r="CU68" s="1321"/>
      <c r="CV68" s="1321"/>
      <c r="CW68" s="1321"/>
      <c r="CX68" s="1321"/>
      <c r="CY68" s="1321"/>
      <c r="CZ68" s="1321"/>
      <c r="DA68" s="1321"/>
      <c r="DB68" s="1321"/>
      <c r="DC68" s="1321"/>
      <c r="DD68" s="1321"/>
      <c r="DE68" s="1321"/>
      <c r="DF68" s="1321"/>
      <c r="DG68" s="1321"/>
      <c r="DH68" s="1321"/>
      <c r="DI68" s="1321"/>
      <c r="DJ68" s="1321"/>
      <c r="DK68" s="1321"/>
      <c r="DL68" s="1321"/>
      <c r="DM68" s="1321"/>
      <c r="DN68" s="1321"/>
      <c r="DO68" s="1321"/>
      <c r="DP68" s="1321"/>
      <c r="DQ68" s="1321"/>
      <c r="DR68" s="1321"/>
      <c r="DS68" s="1321"/>
      <c r="DT68" s="1321"/>
      <c r="DU68" s="1321"/>
      <c r="DV68" s="1321"/>
      <c r="DW68" s="1321"/>
      <c r="DX68" s="1321"/>
      <c r="DY68" s="1321"/>
      <c r="DZ68" s="1321"/>
      <c r="EA68" s="1321"/>
      <c r="EB68" s="1321"/>
      <c r="EC68" s="1321"/>
      <c r="ED68" s="1321"/>
      <c r="EE68" s="1321"/>
      <c r="EF68" s="1321"/>
      <c r="EG68" s="1321"/>
      <c r="EH68" s="1321"/>
      <c r="EI68" s="1321"/>
    </row>
    <row r="69" spans="1:139" s="265" customFormat="1" ht="12.75" customHeight="1" x14ac:dyDescent="0.2">
      <c r="A69" s="285"/>
      <c r="B69" s="225" t="s">
        <v>399</v>
      </c>
      <c r="C69" s="275">
        <v>0</v>
      </c>
      <c r="D69" s="275">
        <v>0.25</v>
      </c>
      <c r="E69" s="275">
        <v>4</v>
      </c>
      <c r="F69" s="275">
        <v>0</v>
      </c>
      <c r="G69" s="311">
        <v>0</v>
      </c>
      <c r="H69" s="258">
        <f>SUM(C69:G69)</f>
        <v>4.25</v>
      </c>
      <c r="I69" s="259"/>
      <c r="J69" s="259"/>
      <c r="K69" s="259"/>
      <c r="L69" s="545">
        <f>((C69*$C$10)+(D69*$D$10)+(E69*$E$10)+(F69*$F$10))</f>
        <v>227.11199999999997</v>
      </c>
      <c r="M69" s="260">
        <v>0</v>
      </c>
      <c r="N69" s="261">
        <v>0</v>
      </c>
      <c r="O69" s="333">
        <f>'Table 1'!L117</f>
        <v>5.7</v>
      </c>
      <c r="P69" s="369">
        <f>(C69+D69+E69+F69)*O69</f>
        <v>24.225000000000001</v>
      </c>
      <c r="Q69" s="291">
        <f>(M69+N69)*O69</f>
        <v>0</v>
      </c>
      <c r="R69" s="559">
        <f>(L69+M69+N69)*O69</f>
        <v>1294.5383999999999</v>
      </c>
      <c r="S69" s="263" t="s">
        <v>199</v>
      </c>
      <c r="T69" s="292" t="str">
        <f t="shared" ref="T69:V70" si="22">IF($S69="RP",O69,"")</f>
        <v/>
      </c>
      <c r="U69" s="293" t="str">
        <f t="shared" si="22"/>
        <v/>
      </c>
      <c r="V69" s="122" t="str">
        <f t="shared" si="22"/>
        <v/>
      </c>
      <c r="W69" s="293">
        <f t="shared" ref="W69:Y70" si="23">IF($S69="RK",O69,"")</f>
        <v>5.7</v>
      </c>
      <c r="X69" s="293">
        <f t="shared" si="23"/>
        <v>24.225000000000001</v>
      </c>
      <c r="Y69" s="122">
        <f t="shared" si="23"/>
        <v>0</v>
      </c>
      <c r="AG69" s="1321"/>
      <c r="AH69" s="1321"/>
      <c r="AI69" s="1321"/>
      <c r="AJ69" s="1321"/>
      <c r="AK69" s="1321"/>
      <c r="AL69" s="1321"/>
      <c r="AM69" s="1321"/>
      <c r="AN69" s="1321"/>
      <c r="AO69" s="1321"/>
      <c r="AP69" s="1321"/>
      <c r="AQ69" s="1321"/>
      <c r="AR69" s="1321"/>
      <c r="AS69" s="1321"/>
      <c r="AT69" s="1321"/>
      <c r="AU69" s="1321"/>
      <c r="AV69" s="1321"/>
      <c r="AW69" s="1321"/>
      <c r="AX69" s="1321"/>
      <c r="AY69" s="1321"/>
      <c r="AZ69" s="1321"/>
      <c r="BA69" s="1321"/>
      <c r="BB69" s="1321"/>
      <c r="BC69" s="1321"/>
      <c r="BD69" s="1321"/>
      <c r="BE69" s="1321"/>
      <c r="BF69" s="1321"/>
      <c r="BG69" s="1321"/>
      <c r="BH69" s="1321"/>
      <c r="BI69" s="1321"/>
      <c r="BJ69" s="1321"/>
      <c r="BK69" s="1321"/>
      <c r="BL69" s="1321"/>
      <c r="BM69" s="1321"/>
      <c r="BN69" s="1321"/>
      <c r="BO69" s="1321"/>
      <c r="BP69" s="1321"/>
      <c r="BQ69" s="1321"/>
      <c r="BR69" s="1321"/>
      <c r="BS69" s="1321"/>
      <c r="BT69" s="1321"/>
      <c r="BU69" s="1321"/>
      <c r="BV69" s="1321"/>
      <c r="BW69" s="1321"/>
      <c r="BX69" s="1321"/>
      <c r="BY69" s="1321"/>
      <c r="BZ69" s="1321"/>
      <c r="CA69" s="1321"/>
      <c r="CB69" s="1321"/>
      <c r="CC69" s="1321"/>
      <c r="CD69" s="1321"/>
      <c r="CE69" s="1321"/>
      <c r="CF69" s="1321"/>
      <c r="CG69" s="1321"/>
      <c r="CH69" s="1321"/>
      <c r="CI69" s="1321"/>
      <c r="CJ69" s="1321"/>
      <c r="CK69" s="1321"/>
      <c r="CL69" s="1321"/>
      <c r="CM69" s="1321"/>
      <c r="CN69" s="1321"/>
      <c r="CO69" s="1321"/>
      <c r="CP69" s="1321"/>
      <c r="CQ69" s="1321"/>
      <c r="CR69" s="1321"/>
      <c r="CS69" s="1321"/>
      <c r="CT69" s="1321"/>
      <c r="CU69" s="1321"/>
      <c r="CV69" s="1321"/>
      <c r="CW69" s="1321"/>
      <c r="CX69" s="1321"/>
      <c r="CY69" s="1321"/>
      <c r="CZ69" s="1321"/>
      <c r="DA69" s="1321"/>
      <c r="DB69" s="1321"/>
      <c r="DC69" s="1321"/>
      <c r="DD69" s="1321"/>
      <c r="DE69" s="1321"/>
      <c r="DF69" s="1321"/>
      <c r="DG69" s="1321"/>
      <c r="DH69" s="1321"/>
      <c r="DI69" s="1321"/>
      <c r="DJ69" s="1321"/>
      <c r="DK69" s="1321"/>
      <c r="DL69" s="1321"/>
      <c r="DM69" s="1321"/>
      <c r="DN69" s="1321"/>
      <c r="DO69" s="1321"/>
      <c r="DP69" s="1321"/>
      <c r="DQ69" s="1321"/>
      <c r="DR69" s="1321"/>
      <c r="DS69" s="1321"/>
      <c r="DT69" s="1321"/>
      <c r="DU69" s="1321"/>
      <c r="DV69" s="1321"/>
      <c r="DW69" s="1321"/>
      <c r="DX69" s="1321"/>
      <c r="DY69" s="1321"/>
      <c r="DZ69" s="1321"/>
      <c r="EA69" s="1321"/>
      <c r="EB69" s="1321"/>
      <c r="EC69" s="1321"/>
      <c r="ED69" s="1321"/>
      <c r="EE69" s="1321"/>
      <c r="EF69" s="1321"/>
      <c r="EG69" s="1321"/>
      <c r="EH69" s="1321"/>
      <c r="EI69" s="1321"/>
    </row>
    <row r="70" spans="1:139" s="180" customFormat="1" ht="12.75" customHeight="1" x14ac:dyDescent="0.2">
      <c r="A70" s="207"/>
      <c r="B70" s="211" t="s">
        <v>400</v>
      </c>
      <c r="C70" s="256">
        <v>0</v>
      </c>
      <c r="D70" s="256">
        <v>0.25</v>
      </c>
      <c r="E70" s="256">
        <v>0</v>
      </c>
      <c r="F70" s="256">
        <v>0.25</v>
      </c>
      <c r="G70" s="257">
        <v>0</v>
      </c>
      <c r="H70" s="249">
        <f>SUM(C70:G70)</f>
        <v>0.5</v>
      </c>
      <c r="I70" s="250"/>
      <c r="J70" s="250"/>
      <c r="K70" s="250"/>
      <c r="L70" s="533">
        <f>((C70*$C$10)+(D70*$D$10)+(E70*$E$10)+(F70*$F$10))</f>
        <v>24.724</v>
      </c>
      <c r="M70" s="251">
        <v>0</v>
      </c>
      <c r="N70" s="252">
        <v>0</v>
      </c>
      <c r="O70" s="334">
        <f>O69</f>
        <v>5.7</v>
      </c>
      <c r="P70" s="312">
        <f>(C70+D70+E70+F70)*O70</f>
        <v>2.85</v>
      </c>
      <c r="Q70" s="291">
        <f>(M70+N70)*O70</f>
        <v>0</v>
      </c>
      <c r="R70" s="559">
        <f>(L70+M70+N70)*O70</f>
        <v>140.92680000000001</v>
      </c>
      <c r="S70" s="263" t="s">
        <v>200</v>
      </c>
      <c r="T70" s="292">
        <f t="shared" si="22"/>
        <v>5.7</v>
      </c>
      <c r="U70" s="293">
        <f t="shared" si="22"/>
        <v>2.85</v>
      </c>
      <c r="V70" s="122">
        <f t="shared" si="22"/>
        <v>0</v>
      </c>
      <c r="W70" s="293" t="str">
        <f t="shared" si="23"/>
        <v/>
      </c>
      <c r="X70" s="293" t="str">
        <f t="shared" si="23"/>
        <v/>
      </c>
      <c r="Y70" s="122" t="str">
        <f t="shared" si="23"/>
        <v/>
      </c>
      <c r="AG70" s="1321"/>
      <c r="AH70" s="1321"/>
      <c r="AI70" s="1321"/>
      <c r="AJ70" s="1321"/>
      <c r="AK70" s="1321"/>
      <c r="AL70" s="1321"/>
      <c r="AM70" s="1321"/>
      <c r="AN70" s="1321"/>
      <c r="AO70" s="1321"/>
      <c r="AP70" s="1321"/>
      <c r="AQ70" s="1321"/>
      <c r="AR70" s="1321"/>
      <c r="AS70" s="1321"/>
      <c r="AT70" s="1321"/>
      <c r="AU70" s="1321"/>
      <c r="AV70" s="1321"/>
      <c r="AW70" s="1321"/>
      <c r="AX70" s="1321"/>
      <c r="AY70" s="1321"/>
      <c r="AZ70" s="1321"/>
      <c r="BA70" s="1321"/>
      <c r="BB70" s="1321"/>
      <c r="BC70" s="1321"/>
      <c r="BD70" s="1321"/>
      <c r="BE70" s="1321"/>
      <c r="BF70" s="1321"/>
      <c r="BG70" s="1321"/>
      <c r="BH70" s="1321"/>
      <c r="BI70" s="1321"/>
      <c r="BJ70" s="1321"/>
      <c r="BK70" s="1321"/>
      <c r="BL70" s="1321"/>
      <c r="BM70" s="1321"/>
      <c r="BN70" s="1321"/>
      <c r="BO70" s="1321"/>
      <c r="BP70" s="1321"/>
      <c r="BQ70" s="1321"/>
      <c r="BR70" s="1321"/>
      <c r="BS70" s="1321"/>
      <c r="BT70" s="1321"/>
      <c r="BU70" s="1321"/>
      <c r="BV70" s="1321"/>
      <c r="BW70" s="1321"/>
      <c r="BX70" s="1321"/>
      <c r="BY70" s="1321"/>
      <c r="BZ70" s="1321"/>
      <c r="CA70" s="1321"/>
      <c r="CB70" s="1321"/>
      <c r="CC70" s="1321"/>
      <c r="CD70" s="1321"/>
      <c r="CE70" s="1321"/>
      <c r="CF70" s="1321"/>
      <c r="CG70" s="1321"/>
      <c r="CH70" s="1321"/>
      <c r="CI70" s="1321"/>
      <c r="CJ70" s="1321"/>
      <c r="CK70" s="1321"/>
      <c r="CL70" s="1321"/>
      <c r="CM70" s="1321"/>
      <c r="CN70" s="1321"/>
      <c r="CO70" s="1321"/>
      <c r="CP70" s="1321"/>
      <c r="CQ70" s="1321"/>
      <c r="CR70" s="1321"/>
      <c r="CS70" s="1321"/>
      <c r="CT70" s="1321"/>
      <c r="CU70" s="1321"/>
      <c r="CV70" s="1321"/>
      <c r="CW70" s="1321"/>
      <c r="CX70" s="1321"/>
      <c r="CY70" s="1321"/>
      <c r="CZ70" s="1321"/>
      <c r="DA70" s="1321"/>
      <c r="DB70" s="1321"/>
      <c r="DC70" s="1321"/>
      <c r="DD70" s="1321"/>
      <c r="DE70" s="1321"/>
      <c r="DF70" s="1321"/>
      <c r="DG70" s="1321"/>
      <c r="DH70" s="1321"/>
      <c r="DI70" s="1321"/>
      <c r="DJ70" s="1321"/>
      <c r="DK70" s="1321"/>
      <c r="DL70" s="1321"/>
      <c r="DM70" s="1321"/>
      <c r="DN70" s="1321"/>
      <c r="DO70" s="1321"/>
      <c r="DP70" s="1321"/>
      <c r="DQ70" s="1321"/>
      <c r="DR70" s="1321"/>
      <c r="DS70" s="1321"/>
      <c r="DT70" s="1321"/>
      <c r="DU70" s="1321"/>
      <c r="DV70" s="1321"/>
      <c r="DW70" s="1321"/>
      <c r="DX70" s="1321"/>
      <c r="DY70" s="1321"/>
      <c r="DZ70" s="1321"/>
      <c r="EA70" s="1321"/>
      <c r="EB70" s="1321"/>
      <c r="EC70" s="1321"/>
      <c r="ED70" s="1321"/>
      <c r="EE70" s="1321"/>
      <c r="EF70" s="1321"/>
      <c r="EG70" s="1321"/>
      <c r="EH70" s="1321"/>
      <c r="EI70" s="1321"/>
    </row>
    <row r="71" spans="1:139" s="180" customFormat="1" ht="12.75" customHeight="1" x14ac:dyDescent="0.2">
      <c r="A71" s="479" t="s">
        <v>731</v>
      </c>
      <c r="B71" s="480"/>
      <c r="C71" s="280"/>
      <c r="D71" s="280"/>
      <c r="E71" s="280"/>
      <c r="F71" s="280"/>
      <c r="G71" s="280"/>
      <c r="H71" s="280"/>
      <c r="I71" s="281"/>
      <c r="J71" s="281"/>
      <c r="K71" s="281"/>
      <c r="L71" s="535"/>
      <c r="M71" s="282"/>
      <c r="N71" s="283"/>
      <c r="O71" s="402"/>
      <c r="P71" s="284"/>
      <c r="Q71" s="284"/>
      <c r="R71" s="562"/>
      <c r="S71" s="193"/>
      <c r="T71" s="185"/>
      <c r="U71" s="240"/>
      <c r="W71" s="185"/>
      <c r="X71" s="185"/>
      <c r="AG71" s="1321"/>
      <c r="AH71" s="1321"/>
      <c r="AI71" s="1321"/>
      <c r="AJ71" s="1321"/>
      <c r="AK71" s="1321"/>
      <c r="AL71" s="1321"/>
      <c r="AM71" s="1321"/>
      <c r="AN71" s="1321"/>
      <c r="AO71" s="1321"/>
      <c r="AP71" s="1321"/>
      <c r="AQ71" s="1321"/>
      <c r="AR71" s="1321"/>
      <c r="AS71" s="1321"/>
      <c r="AT71" s="1321"/>
      <c r="AU71" s="1321"/>
      <c r="AV71" s="1321"/>
      <c r="AW71" s="1321"/>
      <c r="AX71" s="1321"/>
      <c r="AY71" s="1321"/>
      <c r="AZ71" s="1321"/>
      <c r="BA71" s="1321"/>
      <c r="BB71" s="1321"/>
      <c r="BC71" s="1321"/>
      <c r="BD71" s="1321"/>
      <c r="BE71" s="1321"/>
      <c r="BF71" s="1321"/>
      <c r="BG71" s="1321"/>
      <c r="BH71" s="1321"/>
      <c r="BI71" s="1321"/>
      <c r="BJ71" s="1321"/>
      <c r="BK71" s="1321"/>
      <c r="BL71" s="1321"/>
      <c r="BM71" s="1321"/>
      <c r="BN71" s="1321"/>
      <c r="BO71" s="1321"/>
      <c r="BP71" s="1321"/>
      <c r="BQ71" s="1321"/>
      <c r="BR71" s="1321"/>
      <c r="BS71" s="1321"/>
      <c r="BT71" s="1321"/>
      <c r="BU71" s="1321"/>
      <c r="BV71" s="1321"/>
      <c r="BW71" s="1321"/>
      <c r="BX71" s="1321"/>
      <c r="BY71" s="1321"/>
      <c r="BZ71" s="1321"/>
      <c r="CA71" s="1321"/>
      <c r="CB71" s="1321"/>
      <c r="CC71" s="1321"/>
      <c r="CD71" s="1321"/>
      <c r="CE71" s="1321"/>
      <c r="CF71" s="1321"/>
      <c r="CG71" s="1321"/>
      <c r="CH71" s="1321"/>
      <c r="CI71" s="1321"/>
      <c r="CJ71" s="1321"/>
      <c r="CK71" s="1321"/>
      <c r="CL71" s="1321"/>
      <c r="CM71" s="1321"/>
      <c r="CN71" s="1321"/>
      <c r="CO71" s="1321"/>
      <c r="CP71" s="1321"/>
      <c r="CQ71" s="1321"/>
      <c r="CR71" s="1321"/>
      <c r="CS71" s="1321"/>
      <c r="CT71" s="1321"/>
      <c r="CU71" s="1321"/>
      <c r="CV71" s="1321"/>
      <c r="CW71" s="1321"/>
      <c r="CX71" s="1321"/>
      <c r="CY71" s="1321"/>
      <c r="CZ71" s="1321"/>
      <c r="DA71" s="1321"/>
      <c r="DB71" s="1321"/>
      <c r="DC71" s="1321"/>
      <c r="DD71" s="1321"/>
      <c r="DE71" s="1321"/>
      <c r="DF71" s="1321"/>
      <c r="DG71" s="1321"/>
      <c r="DH71" s="1321"/>
      <c r="DI71" s="1321"/>
      <c r="DJ71" s="1321"/>
      <c r="DK71" s="1321"/>
      <c r="DL71" s="1321"/>
      <c r="DM71" s="1321"/>
      <c r="DN71" s="1321"/>
      <c r="DO71" s="1321"/>
      <c r="DP71" s="1321"/>
      <c r="DQ71" s="1321"/>
      <c r="DR71" s="1321"/>
      <c r="DS71" s="1321"/>
      <c r="DT71" s="1321"/>
      <c r="DU71" s="1321"/>
      <c r="DV71" s="1321"/>
      <c r="DW71" s="1321"/>
      <c r="DX71" s="1321"/>
      <c r="DY71" s="1321"/>
      <c r="DZ71" s="1321"/>
      <c r="EA71" s="1321"/>
      <c r="EB71" s="1321"/>
      <c r="EC71" s="1321"/>
      <c r="ED71" s="1321"/>
      <c r="EE71" s="1321"/>
      <c r="EF71" s="1321"/>
      <c r="EG71" s="1321"/>
      <c r="EH71" s="1321"/>
      <c r="EI71" s="1321"/>
    </row>
    <row r="72" spans="1:139" s="180" customFormat="1" ht="12.75" customHeight="1" x14ac:dyDescent="0.2">
      <c r="A72" s="451"/>
      <c r="B72" s="653" t="s">
        <v>705</v>
      </c>
      <c r="C72" s="337"/>
      <c r="D72" s="337"/>
      <c r="E72" s="337"/>
      <c r="F72" s="337"/>
      <c r="G72" s="337"/>
      <c r="H72" s="337"/>
      <c r="I72" s="355"/>
      <c r="J72" s="355"/>
      <c r="K72" s="355"/>
      <c r="L72" s="542"/>
      <c r="M72" s="356"/>
      <c r="N72" s="356"/>
      <c r="O72" s="614"/>
      <c r="P72" s="357"/>
      <c r="Q72" s="356"/>
      <c r="R72" s="542"/>
      <c r="S72" s="300"/>
      <c r="T72" s="292"/>
      <c r="U72" s="293"/>
      <c r="V72" s="122"/>
      <c r="W72" s="293"/>
      <c r="X72" s="293"/>
      <c r="Y72" s="122"/>
      <c r="AG72" s="1321"/>
      <c r="AH72" s="1321"/>
      <c r="AI72" s="1321"/>
      <c r="AJ72" s="1321"/>
      <c r="AK72" s="1321"/>
      <c r="AL72" s="1321"/>
      <c r="AM72" s="1321"/>
      <c r="AN72" s="1321"/>
      <c r="AO72" s="1321"/>
      <c r="AP72" s="1321"/>
      <c r="AQ72" s="1321"/>
      <c r="AR72" s="1321"/>
      <c r="AS72" s="1321"/>
      <c r="AT72" s="1321"/>
      <c r="AU72" s="1321"/>
      <c r="AV72" s="1321"/>
      <c r="AW72" s="1321"/>
      <c r="AX72" s="1321"/>
      <c r="AY72" s="1321"/>
      <c r="AZ72" s="1321"/>
      <c r="BA72" s="1321"/>
      <c r="BB72" s="1321"/>
      <c r="BC72" s="1321"/>
      <c r="BD72" s="1321"/>
      <c r="BE72" s="1321"/>
      <c r="BF72" s="1321"/>
      <c r="BG72" s="1321"/>
      <c r="BH72" s="1321"/>
      <c r="BI72" s="1321"/>
      <c r="BJ72" s="1321"/>
      <c r="BK72" s="1321"/>
      <c r="BL72" s="1321"/>
      <c r="BM72" s="1321"/>
      <c r="BN72" s="1321"/>
      <c r="BO72" s="1321"/>
      <c r="BP72" s="1321"/>
      <c r="BQ72" s="1321"/>
      <c r="BR72" s="1321"/>
      <c r="BS72" s="1321"/>
      <c r="BT72" s="1321"/>
      <c r="BU72" s="1321"/>
      <c r="BV72" s="1321"/>
      <c r="BW72" s="1321"/>
      <c r="BX72" s="1321"/>
      <c r="BY72" s="1321"/>
      <c r="BZ72" s="1321"/>
      <c r="CA72" s="1321"/>
      <c r="CB72" s="1321"/>
      <c r="CC72" s="1321"/>
      <c r="CD72" s="1321"/>
      <c r="CE72" s="1321"/>
      <c r="CF72" s="1321"/>
      <c r="CG72" s="1321"/>
      <c r="CH72" s="1321"/>
      <c r="CI72" s="1321"/>
      <c r="CJ72" s="1321"/>
      <c r="CK72" s="1321"/>
      <c r="CL72" s="1321"/>
      <c r="CM72" s="1321"/>
      <c r="CN72" s="1321"/>
      <c r="CO72" s="1321"/>
      <c r="CP72" s="1321"/>
      <c r="CQ72" s="1321"/>
      <c r="CR72" s="1321"/>
      <c r="CS72" s="1321"/>
      <c r="CT72" s="1321"/>
      <c r="CU72" s="1321"/>
      <c r="CV72" s="1321"/>
      <c r="CW72" s="1321"/>
      <c r="CX72" s="1321"/>
      <c r="CY72" s="1321"/>
      <c r="CZ72" s="1321"/>
      <c r="DA72" s="1321"/>
      <c r="DB72" s="1321"/>
      <c r="DC72" s="1321"/>
      <c r="DD72" s="1321"/>
      <c r="DE72" s="1321"/>
      <c r="DF72" s="1321"/>
      <c r="DG72" s="1321"/>
      <c r="DH72" s="1321"/>
      <c r="DI72" s="1321"/>
      <c r="DJ72" s="1321"/>
      <c r="DK72" s="1321"/>
      <c r="DL72" s="1321"/>
      <c r="DM72" s="1321"/>
      <c r="DN72" s="1321"/>
      <c r="DO72" s="1321"/>
      <c r="DP72" s="1321"/>
      <c r="DQ72" s="1321"/>
      <c r="DR72" s="1321"/>
      <c r="DS72" s="1321"/>
      <c r="DT72" s="1321"/>
      <c r="DU72" s="1321"/>
      <c r="DV72" s="1321"/>
      <c r="DW72" s="1321"/>
      <c r="DX72" s="1321"/>
      <c r="DY72" s="1321"/>
      <c r="DZ72" s="1321"/>
      <c r="EA72" s="1321"/>
      <c r="EB72" s="1321"/>
      <c r="EC72" s="1321"/>
      <c r="ED72" s="1321"/>
      <c r="EE72" s="1321"/>
      <c r="EF72" s="1321"/>
      <c r="EG72" s="1321"/>
      <c r="EH72" s="1321"/>
      <c r="EI72" s="1321"/>
    </row>
    <row r="73" spans="1:139" s="180" customFormat="1" ht="12.75" customHeight="1" x14ac:dyDescent="0.2">
      <c r="A73" s="178"/>
      <c r="B73" s="654" t="s">
        <v>706</v>
      </c>
      <c r="C73" s="256"/>
      <c r="D73" s="256"/>
      <c r="E73" s="256"/>
      <c r="F73" s="256"/>
      <c r="G73" s="256"/>
      <c r="H73" s="256"/>
      <c r="I73" s="274"/>
      <c r="J73" s="274"/>
      <c r="K73" s="274"/>
      <c r="L73" s="554"/>
      <c r="M73" s="245"/>
      <c r="N73" s="245"/>
      <c r="O73" s="615"/>
      <c r="P73" s="378"/>
      <c r="Q73" s="245"/>
      <c r="R73" s="554"/>
      <c r="S73" s="263"/>
      <c r="T73" s="292"/>
      <c r="U73" s="293"/>
      <c r="V73" s="122"/>
      <c r="W73" s="293"/>
      <c r="X73" s="293"/>
      <c r="Y73" s="122"/>
      <c r="AG73" s="1321"/>
      <c r="AH73" s="1321"/>
      <c r="AI73" s="1321"/>
      <c r="AJ73" s="1321"/>
      <c r="AK73" s="1321"/>
      <c r="AL73" s="1321"/>
      <c r="AM73" s="1321"/>
      <c r="AN73" s="1321"/>
      <c r="AO73" s="1321"/>
      <c r="AP73" s="1321"/>
      <c r="AQ73" s="1321"/>
      <c r="AR73" s="1321"/>
      <c r="AS73" s="1321"/>
      <c r="AT73" s="1321"/>
      <c r="AU73" s="1321"/>
      <c r="AV73" s="1321"/>
      <c r="AW73" s="1321"/>
      <c r="AX73" s="1321"/>
      <c r="AY73" s="1321"/>
      <c r="AZ73" s="1321"/>
      <c r="BA73" s="1321"/>
      <c r="BB73" s="1321"/>
      <c r="BC73" s="1321"/>
      <c r="BD73" s="1321"/>
      <c r="BE73" s="1321"/>
      <c r="BF73" s="1321"/>
      <c r="BG73" s="1321"/>
      <c r="BH73" s="1321"/>
      <c r="BI73" s="1321"/>
      <c r="BJ73" s="1321"/>
      <c r="BK73" s="1321"/>
      <c r="BL73" s="1321"/>
      <c r="BM73" s="1321"/>
      <c r="BN73" s="1321"/>
      <c r="BO73" s="1321"/>
      <c r="BP73" s="1321"/>
      <c r="BQ73" s="1321"/>
      <c r="BR73" s="1321"/>
      <c r="BS73" s="1321"/>
      <c r="BT73" s="1321"/>
      <c r="BU73" s="1321"/>
      <c r="BV73" s="1321"/>
      <c r="BW73" s="1321"/>
      <c r="BX73" s="1321"/>
      <c r="BY73" s="1321"/>
      <c r="BZ73" s="1321"/>
      <c r="CA73" s="1321"/>
      <c r="CB73" s="1321"/>
      <c r="CC73" s="1321"/>
      <c r="CD73" s="1321"/>
      <c r="CE73" s="1321"/>
      <c r="CF73" s="1321"/>
      <c r="CG73" s="1321"/>
      <c r="CH73" s="1321"/>
      <c r="CI73" s="1321"/>
      <c r="CJ73" s="1321"/>
      <c r="CK73" s="1321"/>
      <c r="CL73" s="1321"/>
      <c r="CM73" s="1321"/>
      <c r="CN73" s="1321"/>
      <c r="CO73" s="1321"/>
      <c r="CP73" s="1321"/>
      <c r="CQ73" s="1321"/>
      <c r="CR73" s="1321"/>
      <c r="CS73" s="1321"/>
      <c r="CT73" s="1321"/>
      <c r="CU73" s="1321"/>
      <c r="CV73" s="1321"/>
      <c r="CW73" s="1321"/>
      <c r="CX73" s="1321"/>
      <c r="CY73" s="1321"/>
      <c r="CZ73" s="1321"/>
      <c r="DA73" s="1321"/>
      <c r="DB73" s="1321"/>
      <c r="DC73" s="1321"/>
      <c r="DD73" s="1321"/>
      <c r="DE73" s="1321"/>
      <c r="DF73" s="1321"/>
      <c r="DG73" s="1321"/>
      <c r="DH73" s="1321"/>
      <c r="DI73" s="1321"/>
      <c r="DJ73" s="1321"/>
      <c r="DK73" s="1321"/>
      <c r="DL73" s="1321"/>
      <c r="DM73" s="1321"/>
      <c r="DN73" s="1321"/>
      <c r="DO73" s="1321"/>
      <c r="DP73" s="1321"/>
      <c r="DQ73" s="1321"/>
      <c r="DR73" s="1321"/>
      <c r="DS73" s="1321"/>
      <c r="DT73" s="1321"/>
      <c r="DU73" s="1321"/>
      <c r="DV73" s="1321"/>
      <c r="DW73" s="1321"/>
      <c r="DX73" s="1321"/>
      <c r="DY73" s="1321"/>
      <c r="DZ73" s="1321"/>
      <c r="EA73" s="1321"/>
      <c r="EB73" s="1321"/>
      <c r="EC73" s="1321"/>
      <c r="ED73" s="1321"/>
      <c r="EE73" s="1321"/>
      <c r="EF73" s="1321"/>
      <c r="EG73" s="1321"/>
      <c r="EH73" s="1321"/>
      <c r="EI73" s="1321"/>
    </row>
    <row r="74" spans="1:139" s="180" customFormat="1" ht="12.75" customHeight="1" x14ac:dyDescent="0.2">
      <c r="A74" s="656"/>
      <c r="B74" s="655" t="s">
        <v>402</v>
      </c>
      <c r="C74" s="275">
        <v>0</v>
      </c>
      <c r="D74" s="643">
        <v>4</v>
      </c>
      <c r="E74" s="643">
        <v>16</v>
      </c>
      <c r="F74" s="643">
        <v>0</v>
      </c>
      <c r="G74" s="275">
        <v>0</v>
      </c>
      <c r="H74" s="275">
        <f>SUM(C74:G74)</f>
        <v>20</v>
      </c>
      <c r="I74" s="331"/>
      <c r="J74" s="331"/>
      <c r="K74" s="331"/>
      <c r="L74" s="538">
        <f>((C74*$C$10)+(D74*$D$10)+(E74*$E$10)+(F74*$F$10))</f>
        <v>1120.1279999999999</v>
      </c>
      <c r="M74" s="272">
        <v>0</v>
      </c>
      <c r="N74" s="272">
        <v>0</v>
      </c>
      <c r="O74" s="616">
        <f>'Table 1'!L120</f>
        <v>5.7</v>
      </c>
      <c r="P74" s="332">
        <f>(C74+D74+E74+F74)*O74</f>
        <v>114</v>
      </c>
      <c r="Q74" s="272">
        <f>(M74+N74)*O74</f>
        <v>0</v>
      </c>
      <c r="R74" s="538">
        <f>(L74+M74+N74)*O74</f>
        <v>6384.7295999999997</v>
      </c>
      <c r="S74" s="300" t="s">
        <v>199</v>
      </c>
      <c r="T74" s="292" t="str">
        <f t="shared" ref="T74" si="24">IF($S74="RP",O74,"")</f>
        <v/>
      </c>
      <c r="U74" s="293" t="str">
        <f t="shared" ref="U74" si="25">IF($S74="RP",P74,"")</f>
        <v/>
      </c>
      <c r="V74" s="122" t="str">
        <f t="shared" ref="V74" si="26">IF($S74="RP",Q74,"")</f>
        <v/>
      </c>
      <c r="W74" s="293">
        <f t="shared" ref="W74" si="27">IF($S74="RK",O74,"")</f>
        <v>5.7</v>
      </c>
      <c r="X74" s="293">
        <f t="shared" ref="X74" si="28">IF($S74="RK",P74,"")</f>
        <v>114</v>
      </c>
      <c r="Y74" s="122">
        <f t="shared" ref="Y74" si="29">IF($S74="RK",Q74,"")</f>
        <v>0</v>
      </c>
      <c r="AG74" s="1321"/>
      <c r="AH74" s="1321"/>
      <c r="AI74" s="1321"/>
      <c r="AJ74" s="1321"/>
      <c r="AK74" s="1321"/>
      <c r="AL74" s="1321"/>
      <c r="AM74" s="1321"/>
      <c r="AN74" s="1321"/>
      <c r="AO74" s="1321"/>
      <c r="AP74" s="1321"/>
      <c r="AQ74" s="1321"/>
      <c r="AR74" s="1321"/>
      <c r="AS74" s="1321"/>
      <c r="AT74" s="1321"/>
      <c r="AU74" s="1321"/>
      <c r="AV74" s="1321"/>
      <c r="AW74" s="1321"/>
      <c r="AX74" s="1321"/>
      <c r="AY74" s="1321"/>
      <c r="AZ74" s="1321"/>
      <c r="BA74" s="1321"/>
      <c r="BB74" s="1321"/>
      <c r="BC74" s="1321"/>
      <c r="BD74" s="1321"/>
      <c r="BE74" s="1321"/>
      <c r="BF74" s="1321"/>
      <c r="BG74" s="1321"/>
      <c r="BH74" s="1321"/>
      <c r="BI74" s="1321"/>
      <c r="BJ74" s="1321"/>
      <c r="BK74" s="1321"/>
      <c r="BL74" s="1321"/>
      <c r="BM74" s="1321"/>
      <c r="BN74" s="1321"/>
      <c r="BO74" s="1321"/>
      <c r="BP74" s="1321"/>
      <c r="BQ74" s="1321"/>
      <c r="BR74" s="1321"/>
      <c r="BS74" s="1321"/>
      <c r="BT74" s="1321"/>
      <c r="BU74" s="1321"/>
      <c r="BV74" s="1321"/>
      <c r="BW74" s="1321"/>
      <c r="BX74" s="1321"/>
      <c r="BY74" s="1321"/>
      <c r="BZ74" s="1321"/>
      <c r="CA74" s="1321"/>
      <c r="CB74" s="1321"/>
      <c r="CC74" s="1321"/>
      <c r="CD74" s="1321"/>
      <c r="CE74" s="1321"/>
      <c r="CF74" s="1321"/>
      <c r="CG74" s="1321"/>
      <c r="CH74" s="1321"/>
      <c r="CI74" s="1321"/>
      <c r="CJ74" s="1321"/>
      <c r="CK74" s="1321"/>
      <c r="CL74" s="1321"/>
      <c r="CM74" s="1321"/>
      <c r="CN74" s="1321"/>
      <c r="CO74" s="1321"/>
      <c r="CP74" s="1321"/>
      <c r="CQ74" s="1321"/>
      <c r="CR74" s="1321"/>
      <c r="CS74" s="1321"/>
      <c r="CT74" s="1321"/>
      <c r="CU74" s="1321"/>
      <c r="CV74" s="1321"/>
      <c r="CW74" s="1321"/>
      <c r="CX74" s="1321"/>
      <c r="CY74" s="1321"/>
      <c r="CZ74" s="1321"/>
      <c r="DA74" s="1321"/>
      <c r="DB74" s="1321"/>
      <c r="DC74" s="1321"/>
      <c r="DD74" s="1321"/>
      <c r="DE74" s="1321"/>
      <c r="DF74" s="1321"/>
      <c r="DG74" s="1321"/>
      <c r="DH74" s="1321"/>
      <c r="DI74" s="1321"/>
      <c r="DJ74" s="1321"/>
      <c r="DK74" s="1321"/>
      <c r="DL74" s="1321"/>
      <c r="DM74" s="1321"/>
      <c r="DN74" s="1321"/>
      <c r="DO74" s="1321"/>
      <c r="DP74" s="1321"/>
      <c r="DQ74" s="1321"/>
      <c r="DR74" s="1321"/>
      <c r="DS74" s="1321"/>
      <c r="DT74" s="1321"/>
      <c r="DU74" s="1321"/>
      <c r="DV74" s="1321"/>
      <c r="DW74" s="1321"/>
      <c r="DX74" s="1321"/>
      <c r="DY74" s="1321"/>
      <c r="DZ74" s="1321"/>
      <c r="EA74" s="1321"/>
      <c r="EB74" s="1321"/>
      <c r="EC74" s="1321"/>
      <c r="ED74" s="1321"/>
      <c r="EE74" s="1321"/>
      <c r="EF74" s="1321"/>
      <c r="EG74" s="1321"/>
      <c r="EH74" s="1321"/>
      <c r="EI74" s="1321"/>
    </row>
    <row r="75" spans="1:139" s="180" customFormat="1" ht="12.75" customHeight="1" x14ac:dyDescent="0.2">
      <c r="A75" s="273"/>
      <c r="B75" s="211" t="s">
        <v>401</v>
      </c>
      <c r="C75" s="256">
        <v>0</v>
      </c>
      <c r="D75" s="256">
        <v>0.25</v>
      </c>
      <c r="E75" s="256">
        <v>0</v>
      </c>
      <c r="F75" s="256">
        <v>0.25</v>
      </c>
      <c r="G75" s="257">
        <v>0</v>
      </c>
      <c r="H75" s="249">
        <f>SUM(C75:G75)</f>
        <v>0.5</v>
      </c>
      <c r="I75" s="250"/>
      <c r="J75" s="250"/>
      <c r="K75" s="250"/>
      <c r="L75" s="533">
        <f>((C75*$C$10)+(D75*$D$10)+(E75*$E$10)+(F75*$F$10))</f>
        <v>24.724</v>
      </c>
      <c r="M75" s="251">
        <v>0</v>
      </c>
      <c r="N75" s="252">
        <v>0</v>
      </c>
      <c r="O75" s="334">
        <f>O74</f>
        <v>5.7</v>
      </c>
      <c r="P75" s="312">
        <f>(C75+D75+E75+F75)*O75</f>
        <v>2.85</v>
      </c>
      <c r="Q75" s="291">
        <f>(M75+N75)*O75</f>
        <v>0</v>
      </c>
      <c r="R75" s="559">
        <f>(L75+M75+N75)*O75</f>
        <v>140.92680000000001</v>
      </c>
      <c r="S75" s="263" t="s">
        <v>200</v>
      </c>
      <c r="T75" s="292">
        <f t="shared" ref="T75:V75" si="30">IF($S75="RP",O75,"")</f>
        <v>5.7</v>
      </c>
      <c r="U75" s="293">
        <f t="shared" si="30"/>
        <v>2.85</v>
      </c>
      <c r="V75" s="122">
        <f t="shared" si="30"/>
        <v>0</v>
      </c>
      <c r="W75" s="293" t="str">
        <f t="shared" ref="W75:Y75" si="31">IF($S75="RK",O75,"")</f>
        <v/>
      </c>
      <c r="X75" s="293" t="str">
        <f t="shared" si="31"/>
        <v/>
      </c>
      <c r="Y75" s="122" t="str">
        <f t="shared" si="31"/>
        <v/>
      </c>
      <c r="AG75" s="1321"/>
      <c r="AH75" s="1321"/>
      <c r="AI75" s="1321"/>
      <c r="AJ75" s="1321"/>
      <c r="AK75" s="1321"/>
      <c r="AL75" s="1321"/>
      <c r="AM75" s="1321"/>
      <c r="AN75" s="1321"/>
      <c r="AO75" s="1321"/>
      <c r="AP75" s="1321"/>
      <c r="AQ75" s="1321"/>
      <c r="AR75" s="1321"/>
      <c r="AS75" s="1321"/>
      <c r="AT75" s="1321"/>
      <c r="AU75" s="1321"/>
      <c r="AV75" s="1321"/>
      <c r="AW75" s="1321"/>
      <c r="AX75" s="1321"/>
      <c r="AY75" s="1321"/>
      <c r="AZ75" s="1321"/>
      <c r="BA75" s="1321"/>
      <c r="BB75" s="1321"/>
      <c r="BC75" s="1321"/>
      <c r="BD75" s="1321"/>
      <c r="BE75" s="1321"/>
      <c r="BF75" s="1321"/>
      <c r="BG75" s="1321"/>
      <c r="BH75" s="1321"/>
      <c r="BI75" s="1321"/>
      <c r="BJ75" s="1321"/>
      <c r="BK75" s="1321"/>
      <c r="BL75" s="1321"/>
      <c r="BM75" s="1321"/>
      <c r="BN75" s="1321"/>
      <c r="BO75" s="1321"/>
      <c r="BP75" s="1321"/>
      <c r="BQ75" s="1321"/>
      <c r="BR75" s="1321"/>
      <c r="BS75" s="1321"/>
      <c r="BT75" s="1321"/>
      <c r="BU75" s="1321"/>
      <c r="BV75" s="1321"/>
      <c r="BW75" s="1321"/>
      <c r="BX75" s="1321"/>
      <c r="BY75" s="1321"/>
      <c r="BZ75" s="1321"/>
      <c r="CA75" s="1321"/>
      <c r="CB75" s="1321"/>
      <c r="CC75" s="1321"/>
      <c r="CD75" s="1321"/>
      <c r="CE75" s="1321"/>
      <c r="CF75" s="1321"/>
      <c r="CG75" s="1321"/>
      <c r="CH75" s="1321"/>
      <c r="CI75" s="1321"/>
      <c r="CJ75" s="1321"/>
      <c r="CK75" s="1321"/>
      <c r="CL75" s="1321"/>
      <c r="CM75" s="1321"/>
      <c r="CN75" s="1321"/>
      <c r="CO75" s="1321"/>
      <c r="CP75" s="1321"/>
      <c r="CQ75" s="1321"/>
      <c r="CR75" s="1321"/>
      <c r="CS75" s="1321"/>
      <c r="CT75" s="1321"/>
      <c r="CU75" s="1321"/>
      <c r="CV75" s="1321"/>
      <c r="CW75" s="1321"/>
      <c r="CX75" s="1321"/>
      <c r="CY75" s="1321"/>
      <c r="CZ75" s="1321"/>
      <c r="DA75" s="1321"/>
      <c r="DB75" s="1321"/>
      <c r="DC75" s="1321"/>
      <c r="DD75" s="1321"/>
      <c r="DE75" s="1321"/>
      <c r="DF75" s="1321"/>
      <c r="DG75" s="1321"/>
      <c r="DH75" s="1321"/>
      <c r="DI75" s="1321"/>
      <c r="DJ75" s="1321"/>
      <c r="DK75" s="1321"/>
      <c r="DL75" s="1321"/>
      <c r="DM75" s="1321"/>
      <c r="DN75" s="1321"/>
      <c r="DO75" s="1321"/>
      <c r="DP75" s="1321"/>
      <c r="DQ75" s="1321"/>
      <c r="DR75" s="1321"/>
      <c r="DS75" s="1321"/>
      <c r="DT75" s="1321"/>
      <c r="DU75" s="1321"/>
      <c r="DV75" s="1321"/>
      <c r="DW75" s="1321"/>
      <c r="DX75" s="1321"/>
      <c r="DY75" s="1321"/>
      <c r="DZ75" s="1321"/>
      <c r="EA75" s="1321"/>
      <c r="EB75" s="1321"/>
      <c r="EC75" s="1321"/>
      <c r="ED75" s="1321"/>
      <c r="EE75" s="1321"/>
      <c r="EF75" s="1321"/>
      <c r="EG75" s="1321"/>
      <c r="EH75" s="1321"/>
      <c r="EI75" s="1321"/>
    </row>
    <row r="76" spans="1:139" s="180" customFormat="1" ht="23.15" customHeight="1" x14ac:dyDescent="0.2">
      <c r="A76" s="1354" t="s">
        <v>576</v>
      </c>
      <c r="B76" s="1355"/>
      <c r="C76" s="280"/>
      <c r="D76" s="280"/>
      <c r="E76" s="280"/>
      <c r="F76" s="280"/>
      <c r="G76" s="280"/>
      <c r="H76" s="280"/>
      <c r="I76" s="281"/>
      <c r="J76" s="281"/>
      <c r="K76" s="281"/>
      <c r="L76" s="535"/>
      <c r="M76" s="282"/>
      <c r="N76" s="283"/>
      <c r="O76" s="402"/>
      <c r="P76" s="284"/>
      <c r="Q76" s="284"/>
      <c r="R76" s="562"/>
      <c r="S76" s="193"/>
      <c r="T76" s="185"/>
      <c r="U76" s="240"/>
      <c r="W76" s="185"/>
      <c r="X76" s="185"/>
      <c r="AG76" s="1321"/>
      <c r="AH76" s="1321"/>
      <c r="AI76" s="1321"/>
      <c r="AJ76" s="1321"/>
      <c r="AK76" s="1321"/>
      <c r="AL76" s="1321"/>
      <c r="AM76" s="1321"/>
      <c r="AN76" s="1321"/>
      <c r="AO76" s="1321"/>
      <c r="AP76" s="1321"/>
      <c r="AQ76" s="1321"/>
      <c r="AR76" s="1321"/>
      <c r="AS76" s="1321"/>
      <c r="AT76" s="1321"/>
      <c r="AU76" s="1321"/>
      <c r="AV76" s="1321"/>
      <c r="AW76" s="1321"/>
      <c r="AX76" s="1321"/>
      <c r="AY76" s="1321"/>
      <c r="AZ76" s="1321"/>
      <c r="BA76" s="1321"/>
      <c r="BB76" s="1321"/>
      <c r="BC76" s="1321"/>
      <c r="BD76" s="1321"/>
      <c r="BE76" s="1321"/>
      <c r="BF76" s="1321"/>
      <c r="BG76" s="1321"/>
      <c r="BH76" s="1321"/>
      <c r="BI76" s="1321"/>
      <c r="BJ76" s="1321"/>
      <c r="BK76" s="1321"/>
      <c r="BL76" s="1321"/>
      <c r="BM76" s="1321"/>
      <c r="BN76" s="1321"/>
      <c r="BO76" s="1321"/>
      <c r="BP76" s="1321"/>
      <c r="BQ76" s="1321"/>
      <c r="BR76" s="1321"/>
      <c r="BS76" s="1321"/>
      <c r="BT76" s="1321"/>
      <c r="BU76" s="1321"/>
      <c r="BV76" s="1321"/>
      <c r="BW76" s="1321"/>
      <c r="BX76" s="1321"/>
      <c r="BY76" s="1321"/>
      <c r="BZ76" s="1321"/>
      <c r="CA76" s="1321"/>
      <c r="CB76" s="1321"/>
      <c r="CC76" s="1321"/>
      <c r="CD76" s="1321"/>
      <c r="CE76" s="1321"/>
      <c r="CF76" s="1321"/>
      <c r="CG76" s="1321"/>
      <c r="CH76" s="1321"/>
      <c r="CI76" s="1321"/>
      <c r="CJ76" s="1321"/>
      <c r="CK76" s="1321"/>
      <c r="CL76" s="1321"/>
      <c r="CM76" s="1321"/>
      <c r="CN76" s="1321"/>
      <c r="CO76" s="1321"/>
      <c r="CP76" s="1321"/>
      <c r="CQ76" s="1321"/>
      <c r="CR76" s="1321"/>
      <c r="CS76" s="1321"/>
      <c r="CT76" s="1321"/>
      <c r="CU76" s="1321"/>
      <c r="CV76" s="1321"/>
      <c r="CW76" s="1321"/>
      <c r="CX76" s="1321"/>
      <c r="CY76" s="1321"/>
      <c r="CZ76" s="1321"/>
      <c r="DA76" s="1321"/>
      <c r="DB76" s="1321"/>
      <c r="DC76" s="1321"/>
      <c r="DD76" s="1321"/>
      <c r="DE76" s="1321"/>
      <c r="DF76" s="1321"/>
      <c r="DG76" s="1321"/>
      <c r="DH76" s="1321"/>
      <c r="DI76" s="1321"/>
      <c r="DJ76" s="1321"/>
      <c r="DK76" s="1321"/>
      <c r="DL76" s="1321"/>
      <c r="DM76" s="1321"/>
      <c r="DN76" s="1321"/>
      <c r="DO76" s="1321"/>
      <c r="DP76" s="1321"/>
      <c r="DQ76" s="1321"/>
      <c r="DR76" s="1321"/>
      <c r="DS76" s="1321"/>
      <c r="DT76" s="1321"/>
      <c r="DU76" s="1321"/>
      <c r="DV76" s="1321"/>
      <c r="DW76" s="1321"/>
      <c r="DX76" s="1321"/>
      <c r="DY76" s="1321"/>
      <c r="DZ76" s="1321"/>
      <c r="EA76" s="1321"/>
      <c r="EB76" s="1321"/>
      <c r="EC76" s="1321"/>
      <c r="ED76" s="1321"/>
      <c r="EE76" s="1321"/>
      <c r="EF76" s="1321"/>
      <c r="EG76" s="1321"/>
      <c r="EH76" s="1321"/>
      <c r="EI76" s="1321"/>
    </row>
    <row r="77" spans="1:139" s="180" customFormat="1" ht="12.75" customHeight="1" x14ac:dyDescent="0.2">
      <c r="A77" s="379"/>
      <c r="B77" s="380" t="s">
        <v>403</v>
      </c>
      <c r="C77" s="381"/>
      <c r="D77" s="382"/>
      <c r="E77" s="382"/>
      <c r="F77" s="382"/>
      <c r="G77" s="382"/>
      <c r="H77" s="382"/>
      <c r="I77" s="383"/>
      <c r="J77" s="383"/>
      <c r="K77" s="383"/>
      <c r="L77" s="548"/>
      <c r="M77" s="384"/>
      <c r="N77" s="384"/>
      <c r="O77" s="342"/>
      <c r="P77" s="385"/>
      <c r="Q77" s="386"/>
      <c r="R77" s="566"/>
      <c r="S77" s="387"/>
      <c r="T77" s="388"/>
      <c r="U77" s="389"/>
      <c r="V77" s="346"/>
      <c r="W77" s="388"/>
      <c r="X77" s="388"/>
      <c r="Y77" s="346"/>
      <c r="AG77" s="1321"/>
      <c r="AH77" s="1321"/>
      <c r="AI77" s="1321"/>
      <c r="AJ77" s="1321"/>
      <c r="AK77" s="1321"/>
      <c r="AL77" s="1321"/>
      <c r="AM77" s="1321"/>
      <c r="AN77" s="1321"/>
      <c r="AO77" s="1321"/>
      <c r="AP77" s="1321"/>
      <c r="AQ77" s="1321"/>
      <c r="AR77" s="1321"/>
      <c r="AS77" s="1321"/>
      <c r="AT77" s="1321"/>
      <c r="AU77" s="1321"/>
      <c r="AV77" s="1321"/>
      <c r="AW77" s="1321"/>
      <c r="AX77" s="1321"/>
      <c r="AY77" s="1321"/>
      <c r="AZ77" s="1321"/>
      <c r="BA77" s="1321"/>
      <c r="BB77" s="1321"/>
      <c r="BC77" s="1321"/>
      <c r="BD77" s="1321"/>
      <c r="BE77" s="1321"/>
      <c r="BF77" s="1321"/>
      <c r="BG77" s="1321"/>
      <c r="BH77" s="1321"/>
      <c r="BI77" s="1321"/>
      <c r="BJ77" s="1321"/>
      <c r="BK77" s="1321"/>
      <c r="BL77" s="1321"/>
      <c r="BM77" s="1321"/>
      <c r="BN77" s="1321"/>
      <c r="BO77" s="1321"/>
      <c r="BP77" s="1321"/>
      <c r="BQ77" s="1321"/>
      <c r="BR77" s="1321"/>
      <c r="BS77" s="1321"/>
      <c r="BT77" s="1321"/>
      <c r="BU77" s="1321"/>
      <c r="BV77" s="1321"/>
      <c r="BW77" s="1321"/>
      <c r="BX77" s="1321"/>
      <c r="BY77" s="1321"/>
      <c r="BZ77" s="1321"/>
      <c r="CA77" s="1321"/>
      <c r="CB77" s="1321"/>
      <c r="CC77" s="1321"/>
      <c r="CD77" s="1321"/>
      <c r="CE77" s="1321"/>
      <c r="CF77" s="1321"/>
      <c r="CG77" s="1321"/>
      <c r="CH77" s="1321"/>
      <c r="CI77" s="1321"/>
      <c r="CJ77" s="1321"/>
      <c r="CK77" s="1321"/>
      <c r="CL77" s="1321"/>
      <c r="CM77" s="1321"/>
      <c r="CN77" s="1321"/>
      <c r="CO77" s="1321"/>
      <c r="CP77" s="1321"/>
      <c r="CQ77" s="1321"/>
      <c r="CR77" s="1321"/>
      <c r="CS77" s="1321"/>
      <c r="CT77" s="1321"/>
      <c r="CU77" s="1321"/>
      <c r="CV77" s="1321"/>
      <c r="CW77" s="1321"/>
      <c r="CX77" s="1321"/>
      <c r="CY77" s="1321"/>
      <c r="CZ77" s="1321"/>
      <c r="DA77" s="1321"/>
      <c r="DB77" s="1321"/>
      <c r="DC77" s="1321"/>
      <c r="DD77" s="1321"/>
      <c r="DE77" s="1321"/>
      <c r="DF77" s="1321"/>
      <c r="DG77" s="1321"/>
      <c r="DH77" s="1321"/>
      <c r="DI77" s="1321"/>
      <c r="DJ77" s="1321"/>
      <c r="DK77" s="1321"/>
      <c r="DL77" s="1321"/>
      <c r="DM77" s="1321"/>
      <c r="DN77" s="1321"/>
      <c r="DO77" s="1321"/>
      <c r="DP77" s="1321"/>
      <c r="DQ77" s="1321"/>
      <c r="DR77" s="1321"/>
      <c r="DS77" s="1321"/>
      <c r="DT77" s="1321"/>
      <c r="DU77" s="1321"/>
      <c r="DV77" s="1321"/>
      <c r="DW77" s="1321"/>
      <c r="DX77" s="1321"/>
      <c r="DY77" s="1321"/>
      <c r="DZ77" s="1321"/>
      <c r="EA77" s="1321"/>
      <c r="EB77" s="1321"/>
      <c r="EC77" s="1321"/>
      <c r="ED77" s="1321"/>
      <c r="EE77" s="1321"/>
      <c r="EF77" s="1321"/>
      <c r="EG77" s="1321"/>
      <c r="EH77" s="1321"/>
      <c r="EI77" s="1321"/>
    </row>
    <row r="78" spans="1:139" s="180" customFormat="1" ht="12.75" customHeight="1" x14ac:dyDescent="0.2">
      <c r="A78" s="379"/>
      <c r="B78" s="390" t="s">
        <v>404</v>
      </c>
      <c r="C78" s="381"/>
      <c r="D78" s="391"/>
      <c r="E78" s="391"/>
      <c r="F78" s="391"/>
      <c r="G78" s="391"/>
      <c r="H78" s="391"/>
      <c r="I78" s="392"/>
      <c r="J78" s="392"/>
      <c r="K78" s="392"/>
      <c r="L78" s="549"/>
      <c r="M78" s="393"/>
      <c r="N78" s="393"/>
      <c r="O78" s="334"/>
      <c r="P78" s="394"/>
      <c r="Q78" s="386"/>
      <c r="R78" s="566"/>
      <c r="S78" s="321"/>
      <c r="T78" s="266"/>
      <c r="U78" s="264"/>
      <c r="V78" s="265"/>
      <c r="W78" s="266"/>
      <c r="X78" s="266"/>
      <c r="Y78" s="265"/>
      <c r="AG78" s="1321"/>
      <c r="AH78" s="1321"/>
      <c r="AI78" s="1321"/>
      <c r="AJ78" s="1321"/>
      <c r="AK78" s="1321"/>
      <c r="AL78" s="1321"/>
      <c r="AM78" s="1321"/>
      <c r="AN78" s="1321"/>
      <c r="AO78" s="1321"/>
      <c r="AP78" s="1321"/>
      <c r="AQ78" s="1321"/>
      <c r="AR78" s="1321"/>
      <c r="AS78" s="1321"/>
      <c r="AT78" s="1321"/>
      <c r="AU78" s="1321"/>
      <c r="AV78" s="1321"/>
      <c r="AW78" s="1321"/>
      <c r="AX78" s="1321"/>
      <c r="AY78" s="1321"/>
      <c r="AZ78" s="1321"/>
      <c r="BA78" s="1321"/>
      <c r="BB78" s="1321"/>
      <c r="BC78" s="1321"/>
      <c r="BD78" s="1321"/>
      <c r="BE78" s="1321"/>
      <c r="BF78" s="1321"/>
      <c r="BG78" s="1321"/>
      <c r="BH78" s="1321"/>
      <c r="BI78" s="1321"/>
      <c r="BJ78" s="1321"/>
      <c r="BK78" s="1321"/>
      <c r="BL78" s="1321"/>
      <c r="BM78" s="1321"/>
      <c r="BN78" s="1321"/>
      <c r="BO78" s="1321"/>
      <c r="BP78" s="1321"/>
      <c r="BQ78" s="1321"/>
      <c r="BR78" s="1321"/>
      <c r="BS78" s="1321"/>
      <c r="BT78" s="1321"/>
      <c r="BU78" s="1321"/>
      <c r="BV78" s="1321"/>
      <c r="BW78" s="1321"/>
      <c r="BX78" s="1321"/>
      <c r="BY78" s="1321"/>
      <c r="BZ78" s="1321"/>
      <c r="CA78" s="1321"/>
      <c r="CB78" s="1321"/>
      <c r="CC78" s="1321"/>
      <c r="CD78" s="1321"/>
      <c r="CE78" s="1321"/>
      <c r="CF78" s="1321"/>
      <c r="CG78" s="1321"/>
      <c r="CH78" s="1321"/>
      <c r="CI78" s="1321"/>
      <c r="CJ78" s="1321"/>
      <c r="CK78" s="1321"/>
      <c r="CL78" s="1321"/>
      <c r="CM78" s="1321"/>
      <c r="CN78" s="1321"/>
      <c r="CO78" s="1321"/>
      <c r="CP78" s="1321"/>
      <c r="CQ78" s="1321"/>
      <c r="CR78" s="1321"/>
      <c r="CS78" s="1321"/>
      <c r="CT78" s="1321"/>
      <c r="CU78" s="1321"/>
      <c r="CV78" s="1321"/>
      <c r="CW78" s="1321"/>
      <c r="CX78" s="1321"/>
      <c r="CY78" s="1321"/>
      <c r="CZ78" s="1321"/>
      <c r="DA78" s="1321"/>
      <c r="DB78" s="1321"/>
      <c r="DC78" s="1321"/>
      <c r="DD78" s="1321"/>
      <c r="DE78" s="1321"/>
      <c r="DF78" s="1321"/>
      <c r="DG78" s="1321"/>
      <c r="DH78" s="1321"/>
      <c r="DI78" s="1321"/>
      <c r="DJ78" s="1321"/>
      <c r="DK78" s="1321"/>
      <c r="DL78" s="1321"/>
      <c r="DM78" s="1321"/>
      <c r="DN78" s="1321"/>
      <c r="DO78" s="1321"/>
      <c r="DP78" s="1321"/>
      <c r="DQ78" s="1321"/>
      <c r="DR78" s="1321"/>
      <c r="DS78" s="1321"/>
      <c r="DT78" s="1321"/>
      <c r="DU78" s="1321"/>
      <c r="DV78" s="1321"/>
      <c r="DW78" s="1321"/>
      <c r="DX78" s="1321"/>
      <c r="DY78" s="1321"/>
      <c r="DZ78" s="1321"/>
      <c r="EA78" s="1321"/>
      <c r="EB78" s="1321"/>
      <c r="EC78" s="1321"/>
      <c r="ED78" s="1321"/>
      <c r="EE78" s="1321"/>
      <c r="EF78" s="1321"/>
      <c r="EG78" s="1321"/>
      <c r="EH78" s="1321"/>
      <c r="EI78" s="1321"/>
    </row>
    <row r="79" spans="1:139" s="265" customFormat="1" ht="12.75" customHeight="1" x14ac:dyDescent="0.2">
      <c r="A79" s="285"/>
      <c r="B79" s="225" t="s">
        <v>405</v>
      </c>
      <c r="C79" s="311">
        <v>0</v>
      </c>
      <c r="D79" s="395">
        <v>0.5</v>
      </c>
      <c r="E79" s="395">
        <v>10</v>
      </c>
      <c r="F79" s="395">
        <v>0</v>
      </c>
      <c r="G79" s="395">
        <v>0</v>
      </c>
      <c r="H79" s="258">
        <f>SUM(C79:G79)</f>
        <v>10.5</v>
      </c>
      <c r="I79" s="259"/>
      <c r="J79" s="259"/>
      <c r="K79" s="259"/>
      <c r="L79" s="545">
        <f>((C79*$C$10)+(D79*$D$10)+(E79*$E$10)+(F79*$F$10))</f>
        <v>558.95999999999992</v>
      </c>
      <c r="M79" s="260">
        <v>0</v>
      </c>
      <c r="N79" s="261">
        <v>0</v>
      </c>
      <c r="O79" s="316">
        <f>'Table 1'!L127</f>
        <v>5.7</v>
      </c>
      <c r="P79" s="369">
        <f>(C79+D79+E79+F79)*O79</f>
        <v>59.85</v>
      </c>
      <c r="Q79" s="291">
        <f>(M79+N79)*O79</f>
        <v>0</v>
      </c>
      <c r="R79" s="559">
        <f>(L79+M79+N79)*O79</f>
        <v>3186.0719999999997</v>
      </c>
      <c r="S79" s="263" t="s">
        <v>199</v>
      </c>
      <c r="T79" s="292" t="str">
        <f>IF($S79="RP",O79,"")</f>
        <v/>
      </c>
      <c r="U79" s="293" t="str">
        <f>IF($S79="RP",P79,"")</f>
        <v/>
      </c>
      <c r="V79" s="122" t="str">
        <f>IF($S79="RP",Q79,"")</f>
        <v/>
      </c>
      <c r="W79" s="293">
        <f>IF($S79="RK",O79,"")</f>
        <v>5.7</v>
      </c>
      <c r="X79" s="293">
        <f>IF($S79="RK",P79,"")</f>
        <v>59.85</v>
      </c>
      <c r="Y79" s="122">
        <f>IF($S79="RK",Q79,"")</f>
        <v>0</v>
      </c>
      <c r="AG79" s="1321"/>
      <c r="AH79" s="1321"/>
      <c r="AI79" s="1321"/>
      <c r="AJ79" s="1321"/>
      <c r="AK79" s="1321"/>
      <c r="AL79" s="1321"/>
      <c r="AM79" s="1321"/>
      <c r="AN79" s="1321"/>
      <c r="AO79" s="1321"/>
      <c r="AP79" s="1321"/>
      <c r="AQ79" s="1321"/>
      <c r="AR79" s="1321"/>
      <c r="AS79" s="1321"/>
      <c r="AT79" s="1321"/>
      <c r="AU79" s="1321"/>
      <c r="AV79" s="1321"/>
      <c r="AW79" s="1321"/>
      <c r="AX79" s="1321"/>
      <c r="AY79" s="1321"/>
      <c r="AZ79" s="1321"/>
      <c r="BA79" s="1321"/>
      <c r="BB79" s="1321"/>
      <c r="BC79" s="1321"/>
      <c r="BD79" s="1321"/>
      <c r="BE79" s="1321"/>
      <c r="BF79" s="1321"/>
      <c r="BG79" s="1321"/>
      <c r="BH79" s="1321"/>
      <c r="BI79" s="1321"/>
      <c r="BJ79" s="1321"/>
      <c r="BK79" s="1321"/>
      <c r="BL79" s="1321"/>
      <c r="BM79" s="1321"/>
      <c r="BN79" s="1321"/>
      <c r="BO79" s="1321"/>
      <c r="BP79" s="1321"/>
      <c r="BQ79" s="1321"/>
      <c r="BR79" s="1321"/>
      <c r="BS79" s="1321"/>
      <c r="BT79" s="1321"/>
      <c r="BU79" s="1321"/>
      <c r="BV79" s="1321"/>
      <c r="BW79" s="1321"/>
      <c r="BX79" s="1321"/>
      <c r="BY79" s="1321"/>
      <c r="BZ79" s="1321"/>
      <c r="CA79" s="1321"/>
      <c r="CB79" s="1321"/>
      <c r="CC79" s="1321"/>
      <c r="CD79" s="1321"/>
      <c r="CE79" s="1321"/>
      <c r="CF79" s="1321"/>
      <c r="CG79" s="1321"/>
      <c r="CH79" s="1321"/>
      <c r="CI79" s="1321"/>
      <c r="CJ79" s="1321"/>
      <c r="CK79" s="1321"/>
      <c r="CL79" s="1321"/>
      <c r="CM79" s="1321"/>
      <c r="CN79" s="1321"/>
      <c r="CO79" s="1321"/>
      <c r="CP79" s="1321"/>
      <c r="CQ79" s="1321"/>
      <c r="CR79" s="1321"/>
      <c r="CS79" s="1321"/>
      <c r="CT79" s="1321"/>
      <c r="CU79" s="1321"/>
      <c r="CV79" s="1321"/>
      <c r="CW79" s="1321"/>
      <c r="CX79" s="1321"/>
      <c r="CY79" s="1321"/>
      <c r="CZ79" s="1321"/>
      <c r="DA79" s="1321"/>
      <c r="DB79" s="1321"/>
      <c r="DC79" s="1321"/>
      <c r="DD79" s="1321"/>
      <c r="DE79" s="1321"/>
      <c r="DF79" s="1321"/>
      <c r="DG79" s="1321"/>
      <c r="DH79" s="1321"/>
      <c r="DI79" s="1321"/>
      <c r="DJ79" s="1321"/>
      <c r="DK79" s="1321"/>
      <c r="DL79" s="1321"/>
      <c r="DM79" s="1321"/>
      <c r="DN79" s="1321"/>
      <c r="DO79" s="1321"/>
      <c r="DP79" s="1321"/>
      <c r="DQ79" s="1321"/>
      <c r="DR79" s="1321"/>
      <c r="DS79" s="1321"/>
      <c r="DT79" s="1321"/>
      <c r="DU79" s="1321"/>
      <c r="DV79" s="1321"/>
      <c r="DW79" s="1321"/>
      <c r="DX79" s="1321"/>
      <c r="DY79" s="1321"/>
      <c r="DZ79" s="1321"/>
      <c r="EA79" s="1321"/>
      <c r="EB79" s="1321"/>
      <c r="EC79" s="1321"/>
      <c r="ED79" s="1321"/>
      <c r="EE79" s="1321"/>
      <c r="EF79" s="1321"/>
      <c r="EG79" s="1321"/>
      <c r="EH79" s="1321"/>
      <c r="EI79" s="1321"/>
    </row>
    <row r="80" spans="1:139" s="180" customFormat="1" ht="12.75" customHeight="1" x14ac:dyDescent="0.2">
      <c r="A80" s="329"/>
      <c r="B80" s="222" t="s">
        <v>406</v>
      </c>
      <c r="C80" s="257"/>
      <c r="D80" s="396"/>
      <c r="E80" s="396"/>
      <c r="F80" s="396"/>
      <c r="G80" s="396"/>
      <c r="H80" s="396"/>
      <c r="I80" s="397"/>
      <c r="J80" s="397"/>
      <c r="K80" s="397"/>
      <c r="L80" s="550"/>
      <c r="M80" s="398"/>
      <c r="N80" s="270"/>
      <c r="O80" s="599"/>
      <c r="P80" s="374"/>
      <c r="Q80" s="374"/>
      <c r="R80" s="565"/>
      <c r="S80" s="193"/>
      <c r="T80" s="185"/>
      <c r="U80" s="240"/>
      <c r="W80" s="185"/>
      <c r="X80" s="185"/>
      <c r="AG80" s="1321"/>
      <c r="AH80" s="1321"/>
      <c r="AI80" s="1321"/>
      <c r="AJ80" s="1321"/>
      <c r="AK80" s="1321"/>
      <c r="AL80" s="1321"/>
      <c r="AM80" s="1321"/>
      <c r="AN80" s="1321"/>
      <c r="AO80" s="1321"/>
      <c r="AP80" s="1321"/>
      <c r="AQ80" s="1321"/>
      <c r="AR80" s="1321"/>
      <c r="AS80" s="1321"/>
      <c r="AT80" s="1321"/>
      <c r="AU80" s="1321"/>
      <c r="AV80" s="1321"/>
      <c r="AW80" s="1321"/>
      <c r="AX80" s="1321"/>
      <c r="AY80" s="1321"/>
      <c r="AZ80" s="1321"/>
      <c r="BA80" s="1321"/>
      <c r="BB80" s="1321"/>
      <c r="BC80" s="1321"/>
      <c r="BD80" s="1321"/>
      <c r="BE80" s="1321"/>
      <c r="BF80" s="1321"/>
      <c r="BG80" s="1321"/>
      <c r="BH80" s="1321"/>
      <c r="BI80" s="1321"/>
      <c r="BJ80" s="1321"/>
      <c r="BK80" s="1321"/>
      <c r="BL80" s="1321"/>
      <c r="BM80" s="1321"/>
      <c r="BN80" s="1321"/>
      <c r="BO80" s="1321"/>
      <c r="BP80" s="1321"/>
      <c r="BQ80" s="1321"/>
      <c r="BR80" s="1321"/>
      <c r="BS80" s="1321"/>
      <c r="BT80" s="1321"/>
      <c r="BU80" s="1321"/>
      <c r="BV80" s="1321"/>
      <c r="BW80" s="1321"/>
      <c r="BX80" s="1321"/>
      <c r="BY80" s="1321"/>
      <c r="BZ80" s="1321"/>
      <c r="CA80" s="1321"/>
      <c r="CB80" s="1321"/>
      <c r="CC80" s="1321"/>
      <c r="CD80" s="1321"/>
      <c r="CE80" s="1321"/>
      <c r="CF80" s="1321"/>
      <c r="CG80" s="1321"/>
      <c r="CH80" s="1321"/>
      <c r="CI80" s="1321"/>
      <c r="CJ80" s="1321"/>
      <c r="CK80" s="1321"/>
      <c r="CL80" s="1321"/>
      <c r="CM80" s="1321"/>
      <c r="CN80" s="1321"/>
      <c r="CO80" s="1321"/>
      <c r="CP80" s="1321"/>
      <c r="CQ80" s="1321"/>
      <c r="CR80" s="1321"/>
      <c r="CS80" s="1321"/>
      <c r="CT80" s="1321"/>
      <c r="CU80" s="1321"/>
      <c r="CV80" s="1321"/>
      <c r="CW80" s="1321"/>
      <c r="CX80" s="1321"/>
      <c r="CY80" s="1321"/>
      <c r="CZ80" s="1321"/>
      <c r="DA80" s="1321"/>
      <c r="DB80" s="1321"/>
      <c r="DC80" s="1321"/>
      <c r="DD80" s="1321"/>
      <c r="DE80" s="1321"/>
      <c r="DF80" s="1321"/>
      <c r="DG80" s="1321"/>
      <c r="DH80" s="1321"/>
      <c r="DI80" s="1321"/>
      <c r="DJ80" s="1321"/>
      <c r="DK80" s="1321"/>
      <c r="DL80" s="1321"/>
      <c r="DM80" s="1321"/>
      <c r="DN80" s="1321"/>
      <c r="DO80" s="1321"/>
      <c r="DP80" s="1321"/>
      <c r="DQ80" s="1321"/>
      <c r="DR80" s="1321"/>
      <c r="DS80" s="1321"/>
      <c r="DT80" s="1321"/>
      <c r="DU80" s="1321"/>
      <c r="DV80" s="1321"/>
      <c r="DW80" s="1321"/>
      <c r="DX80" s="1321"/>
      <c r="DY80" s="1321"/>
      <c r="DZ80" s="1321"/>
      <c r="EA80" s="1321"/>
      <c r="EB80" s="1321"/>
      <c r="EC80" s="1321"/>
      <c r="ED80" s="1321"/>
      <c r="EE80" s="1321"/>
      <c r="EF80" s="1321"/>
      <c r="EG80" s="1321"/>
      <c r="EH80" s="1321"/>
      <c r="EI80" s="1321"/>
    </row>
    <row r="81" spans="1:139" s="265" customFormat="1" ht="12.75" customHeight="1" x14ac:dyDescent="0.2">
      <c r="A81" s="285"/>
      <c r="B81" s="225" t="s">
        <v>407</v>
      </c>
      <c r="C81" s="311">
        <v>0</v>
      </c>
      <c r="D81" s="395">
        <v>1</v>
      </c>
      <c r="E81" s="395">
        <v>10</v>
      </c>
      <c r="F81" s="395">
        <v>0</v>
      </c>
      <c r="G81" s="395">
        <v>0</v>
      </c>
      <c r="H81" s="258">
        <f>SUM(C81:G81)</f>
        <v>11</v>
      </c>
      <c r="I81" s="259"/>
      <c r="J81" s="259"/>
      <c r="K81" s="259"/>
      <c r="L81" s="545">
        <f>((C81*$C$10)+(D81*$D$10)+(E81*$E$10)+(F81*$F$10))</f>
        <v>594.24</v>
      </c>
      <c r="M81" s="260">
        <v>0</v>
      </c>
      <c r="N81" s="261">
        <v>0</v>
      </c>
      <c r="O81" s="316">
        <f>'Table 1'!L128</f>
        <v>0</v>
      </c>
      <c r="P81" s="369">
        <f>(C81+D81+E81+F81)*O81</f>
        <v>0</v>
      </c>
      <c r="Q81" s="291">
        <f>(M81+N81)*O81</f>
        <v>0</v>
      </c>
      <c r="R81" s="261">
        <f>(L81+M81+N81)*O81</f>
        <v>0</v>
      </c>
      <c r="S81" s="263" t="s">
        <v>199</v>
      </c>
      <c r="T81" s="292" t="str">
        <f>IF($S81="RP",O81,"")</f>
        <v/>
      </c>
      <c r="U81" s="293" t="str">
        <f>IF($S81="RP",P81,"")</f>
        <v/>
      </c>
      <c r="V81" s="122" t="str">
        <f>IF($S81="RP",Q81,"")</f>
        <v/>
      </c>
      <c r="W81" s="293">
        <f>IF($S81="RK",O81,"")</f>
        <v>0</v>
      </c>
      <c r="X81" s="293">
        <f>IF($S81="RK",P81,"")</f>
        <v>0</v>
      </c>
      <c r="Y81" s="122">
        <f>IF($S81="RK",Q81,"")</f>
        <v>0</v>
      </c>
      <c r="AG81" s="1321"/>
      <c r="AH81" s="1321"/>
      <c r="AI81" s="1321"/>
      <c r="AJ81" s="1321"/>
      <c r="AK81" s="1321"/>
      <c r="AL81" s="1321"/>
      <c r="AM81" s="1321"/>
      <c r="AN81" s="1321"/>
      <c r="AO81" s="1321"/>
      <c r="AP81" s="1321"/>
      <c r="AQ81" s="1321"/>
      <c r="AR81" s="1321"/>
      <c r="AS81" s="1321"/>
      <c r="AT81" s="1321"/>
      <c r="AU81" s="1321"/>
      <c r="AV81" s="1321"/>
      <c r="AW81" s="1321"/>
      <c r="AX81" s="1321"/>
      <c r="AY81" s="1321"/>
      <c r="AZ81" s="1321"/>
      <c r="BA81" s="1321"/>
      <c r="BB81" s="1321"/>
      <c r="BC81" s="1321"/>
      <c r="BD81" s="1321"/>
      <c r="BE81" s="1321"/>
      <c r="BF81" s="1321"/>
      <c r="BG81" s="1321"/>
      <c r="BH81" s="1321"/>
      <c r="BI81" s="1321"/>
      <c r="BJ81" s="1321"/>
      <c r="BK81" s="1321"/>
      <c r="BL81" s="1321"/>
      <c r="BM81" s="1321"/>
      <c r="BN81" s="1321"/>
      <c r="BO81" s="1321"/>
      <c r="BP81" s="1321"/>
      <c r="BQ81" s="1321"/>
      <c r="BR81" s="1321"/>
      <c r="BS81" s="1321"/>
      <c r="BT81" s="1321"/>
      <c r="BU81" s="1321"/>
      <c r="BV81" s="1321"/>
      <c r="BW81" s="1321"/>
      <c r="BX81" s="1321"/>
      <c r="BY81" s="1321"/>
      <c r="BZ81" s="1321"/>
      <c r="CA81" s="1321"/>
      <c r="CB81" s="1321"/>
      <c r="CC81" s="1321"/>
      <c r="CD81" s="1321"/>
      <c r="CE81" s="1321"/>
      <c r="CF81" s="1321"/>
      <c r="CG81" s="1321"/>
      <c r="CH81" s="1321"/>
      <c r="CI81" s="1321"/>
      <c r="CJ81" s="1321"/>
      <c r="CK81" s="1321"/>
      <c r="CL81" s="1321"/>
      <c r="CM81" s="1321"/>
      <c r="CN81" s="1321"/>
      <c r="CO81" s="1321"/>
      <c r="CP81" s="1321"/>
      <c r="CQ81" s="1321"/>
      <c r="CR81" s="1321"/>
      <c r="CS81" s="1321"/>
      <c r="CT81" s="1321"/>
      <c r="CU81" s="1321"/>
      <c r="CV81" s="1321"/>
      <c r="CW81" s="1321"/>
      <c r="CX81" s="1321"/>
      <c r="CY81" s="1321"/>
      <c r="CZ81" s="1321"/>
      <c r="DA81" s="1321"/>
      <c r="DB81" s="1321"/>
      <c r="DC81" s="1321"/>
      <c r="DD81" s="1321"/>
      <c r="DE81" s="1321"/>
      <c r="DF81" s="1321"/>
      <c r="DG81" s="1321"/>
      <c r="DH81" s="1321"/>
      <c r="DI81" s="1321"/>
      <c r="DJ81" s="1321"/>
      <c r="DK81" s="1321"/>
      <c r="DL81" s="1321"/>
      <c r="DM81" s="1321"/>
      <c r="DN81" s="1321"/>
      <c r="DO81" s="1321"/>
      <c r="DP81" s="1321"/>
      <c r="DQ81" s="1321"/>
      <c r="DR81" s="1321"/>
      <c r="DS81" s="1321"/>
      <c r="DT81" s="1321"/>
      <c r="DU81" s="1321"/>
      <c r="DV81" s="1321"/>
      <c r="DW81" s="1321"/>
      <c r="DX81" s="1321"/>
      <c r="DY81" s="1321"/>
      <c r="DZ81" s="1321"/>
      <c r="EA81" s="1321"/>
      <c r="EB81" s="1321"/>
      <c r="EC81" s="1321"/>
      <c r="ED81" s="1321"/>
      <c r="EE81" s="1321"/>
      <c r="EF81" s="1321"/>
      <c r="EG81" s="1321"/>
      <c r="EH81" s="1321"/>
      <c r="EI81" s="1321"/>
    </row>
    <row r="82" spans="1:139" s="180" customFormat="1" ht="12.75" customHeight="1" x14ac:dyDescent="0.2">
      <c r="A82" s="329"/>
      <c r="B82" s="222" t="s">
        <v>408</v>
      </c>
      <c r="C82" s="257"/>
      <c r="D82" s="396"/>
      <c r="E82" s="396"/>
      <c r="F82" s="396"/>
      <c r="G82" s="396"/>
      <c r="H82" s="396"/>
      <c r="I82" s="397"/>
      <c r="J82" s="397"/>
      <c r="K82" s="397"/>
      <c r="L82" s="550"/>
      <c r="M82" s="398"/>
      <c r="N82" s="270"/>
      <c r="O82" s="399"/>
      <c r="P82" s="374"/>
      <c r="Q82" s="374"/>
      <c r="R82" s="565"/>
      <c r="S82" s="193"/>
      <c r="T82" s="185"/>
      <c r="U82" s="240"/>
      <c r="W82" s="185"/>
      <c r="X82" s="185"/>
      <c r="AG82" s="1321"/>
      <c r="AH82" s="1321"/>
      <c r="AI82" s="1321"/>
      <c r="AJ82" s="1321"/>
      <c r="AK82" s="1321"/>
      <c r="AL82" s="1321"/>
      <c r="AM82" s="1321"/>
      <c r="AN82" s="1321"/>
      <c r="AO82" s="1321"/>
      <c r="AP82" s="1321"/>
      <c r="AQ82" s="1321"/>
      <c r="AR82" s="1321"/>
      <c r="AS82" s="1321"/>
      <c r="AT82" s="1321"/>
      <c r="AU82" s="1321"/>
      <c r="AV82" s="1321"/>
      <c r="AW82" s="1321"/>
      <c r="AX82" s="1321"/>
      <c r="AY82" s="1321"/>
      <c r="AZ82" s="1321"/>
      <c r="BA82" s="1321"/>
      <c r="BB82" s="1321"/>
      <c r="BC82" s="1321"/>
      <c r="BD82" s="1321"/>
      <c r="BE82" s="1321"/>
      <c r="BF82" s="1321"/>
      <c r="BG82" s="1321"/>
      <c r="BH82" s="1321"/>
      <c r="BI82" s="1321"/>
      <c r="BJ82" s="1321"/>
      <c r="BK82" s="1321"/>
      <c r="BL82" s="1321"/>
      <c r="BM82" s="1321"/>
      <c r="BN82" s="1321"/>
      <c r="BO82" s="1321"/>
      <c r="BP82" s="1321"/>
      <c r="BQ82" s="1321"/>
      <c r="BR82" s="1321"/>
      <c r="BS82" s="1321"/>
      <c r="BT82" s="1321"/>
      <c r="BU82" s="1321"/>
      <c r="BV82" s="1321"/>
      <c r="BW82" s="1321"/>
      <c r="BX82" s="1321"/>
      <c r="BY82" s="1321"/>
      <c r="BZ82" s="1321"/>
      <c r="CA82" s="1321"/>
      <c r="CB82" s="1321"/>
      <c r="CC82" s="1321"/>
      <c r="CD82" s="1321"/>
      <c r="CE82" s="1321"/>
      <c r="CF82" s="1321"/>
      <c r="CG82" s="1321"/>
      <c r="CH82" s="1321"/>
      <c r="CI82" s="1321"/>
      <c r="CJ82" s="1321"/>
      <c r="CK82" s="1321"/>
      <c r="CL82" s="1321"/>
      <c r="CM82" s="1321"/>
      <c r="CN82" s="1321"/>
      <c r="CO82" s="1321"/>
      <c r="CP82" s="1321"/>
      <c r="CQ82" s="1321"/>
      <c r="CR82" s="1321"/>
      <c r="CS82" s="1321"/>
      <c r="CT82" s="1321"/>
      <c r="CU82" s="1321"/>
      <c r="CV82" s="1321"/>
      <c r="CW82" s="1321"/>
      <c r="CX82" s="1321"/>
      <c r="CY82" s="1321"/>
      <c r="CZ82" s="1321"/>
      <c r="DA82" s="1321"/>
      <c r="DB82" s="1321"/>
      <c r="DC82" s="1321"/>
      <c r="DD82" s="1321"/>
      <c r="DE82" s="1321"/>
      <c r="DF82" s="1321"/>
      <c r="DG82" s="1321"/>
      <c r="DH82" s="1321"/>
      <c r="DI82" s="1321"/>
      <c r="DJ82" s="1321"/>
      <c r="DK82" s="1321"/>
      <c r="DL82" s="1321"/>
      <c r="DM82" s="1321"/>
      <c r="DN82" s="1321"/>
      <c r="DO82" s="1321"/>
      <c r="DP82" s="1321"/>
      <c r="DQ82" s="1321"/>
      <c r="DR82" s="1321"/>
      <c r="DS82" s="1321"/>
      <c r="DT82" s="1321"/>
      <c r="DU82" s="1321"/>
      <c r="DV82" s="1321"/>
      <c r="DW82" s="1321"/>
      <c r="DX82" s="1321"/>
      <c r="DY82" s="1321"/>
      <c r="DZ82" s="1321"/>
      <c r="EA82" s="1321"/>
      <c r="EB82" s="1321"/>
      <c r="EC82" s="1321"/>
      <c r="ED82" s="1321"/>
      <c r="EE82" s="1321"/>
      <c r="EF82" s="1321"/>
      <c r="EG82" s="1321"/>
      <c r="EH82" s="1321"/>
      <c r="EI82" s="1321"/>
    </row>
    <row r="83" spans="1:139" s="265" customFormat="1" ht="12.75" customHeight="1" x14ac:dyDescent="0.2">
      <c r="A83" s="285"/>
      <c r="B83" s="225" t="s">
        <v>409</v>
      </c>
      <c r="C83" s="311">
        <v>0</v>
      </c>
      <c r="D83" s="395">
        <v>0.25</v>
      </c>
      <c r="E83" s="395">
        <v>0</v>
      </c>
      <c r="F83" s="395">
        <v>0.25</v>
      </c>
      <c r="G83" s="395">
        <v>0</v>
      </c>
      <c r="H83" s="258">
        <f>SUM(C83:G83)</f>
        <v>0.5</v>
      </c>
      <c r="I83" s="259"/>
      <c r="J83" s="259"/>
      <c r="K83" s="259"/>
      <c r="L83" s="545">
        <f>((C83*$C$10)+(D83*$D$10)+(E83*$E$10)+(F83*$F$10))</f>
        <v>24.724</v>
      </c>
      <c r="M83" s="260">
        <v>0</v>
      </c>
      <c r="N83" s="255">
        <v>1</v>
      </c>
      <c r="O83" s="316">
        <f>O79</f>
        <v>5.7</v>
      </c>
      <c r="P83" s="262">
        <f>(C83+D83+E83+F83)*O83</f>
        <v>2.85</v>
      </c>
      <c r="Q83" s="298">
        <f>(M83+N83)*O83</f>
        <v>5.7</v>
      </c>
      <c r="R83" s="559">
        <f>(L83+M83+N83)*O83</f>
        <v>146.6268</v>
      </c>
      <c r="S83" s="263" t="s">
        <v>200</v>
      </c>
      <c r="T83" s="292">
        <f>IF($S83="RP",O83,"")</f>
        <v>5.7</v>
      </c>
      <c r="U83" s="293">
        <f>IF($S83="RP",P83,"")</f>
        <v>2.85</v>
      </c>
      <c r="V83" s="122">
        <f>IF($S83="RP",Q83,"")</f>
        <v>5.7</v>
      </c>
      <c r="W83" s="293" t="str">
        <f>IF($S83="RK",O83,"")</f>
        <v/>
      </c>
      <c r="X83" s="293" t="str">
        <f>IF($S83="RK",P83,"")</f>
        <v/>
      </c>
      <c r="Y83" s="122" t="str">
        <f>IF($S83="RK",Q83,"")</f>
        <v/>
      </c>
      <c r="AG83" s="1321"/>
      <c r="AH83" s="1321"/>
      <c r="AI83" s="1321"/>
      <c r="AJ83" s="1321"/>
      <c r="AK83" s="1321"/>
      <c r="AL83" s="1321"/>
      <c r="AM83" s="1321"/>
      <c r="AN83" s="1321"/>
      <c r="AO83" s="1321"/>
      <c r="AP83" s="1321"/>
      <c r="AQ83" s="1321"/>
      <c r="AR83" s="1321"/>
      <c r="AS83" s="1321"/>
      <c r="AT83" s="1321"/>
      <c r="AU83" s="1321"/>
      <c r="AV83" s="1321"/>
      <c r="AW83" s="1321"/>
      <c r="AX83" s="1321"/>
      <c r="AY83" s="1321"/>
      <c r="AZ83" s="1321"/>
      <c r="BA83" s="1321"/>
      <c r="BB83" s="1321"/>
      <c r="BC83" s="1321"/>
      <c r="BD83" s="1321"/>
      <c r="BE83" s="1321"/>
      <c r="BF83" s="1321"/>
      <c r="BG83" s="1321"/>
      <c r="BH83" s="1321"/>
      <c r="BI83" s="1321"/>
      <c r="BJ83" s="1321"/>
      <c r="BK83" s="1321"/>
      <c r="BL83" s="1321"/>
      <c r="BM83" s="1321"/>
      <c r="BN83" s="1321"/>
      <c r="BO83" s="1321"/>
      <c r="BP83" s="1321"/>
      <c r="BQ83" s="1321"/>
      <c r="BR83" s="1321"/>
      <c r="BS83" s="1321"/>
      <c r="BT83" s="1321"/>
      <c r="BU83" s="1321"/>
      <c r="BV83" s="1321"/>
      <c r="BW83" s="1321"/>
      <c r="BX83" s="1321"/>
      <c r="BY83" s="1321"/>
      <c r="BZ83" s="1321"/>
      <c r="CA83" s="1321"/>
      <c r="CB83" s="1321"/>
      <c r="CC83" s="1321"/>
      <c r="CD83" s="1321"/>
      <c r="CE83" s="1321"/>
      <c r="CF83" s="1321"/>
      <c r="CG83" s="1321"/>
      <c r="CH83" s="1321"/>
      <c r="CI83" s="1321"/>
      <c r="CJ83" s="1321"/>
      <c r="CK83" s="1321"/>
      <c r="CL83" s="1321"/>
      <c r="CM83" s="1321"/>
      <c r="CN83" s="1321"/>
      <c r="CO83" s="1321"/>
      <c r="CP83" s="1321"/>
      <c r="CQ83" s="1321"/>
      <c r="CR83" s="1321"/>
      <c r="CS83" s="1321"/>
      <c r="CT83" s="1321"/>
      <c r="CU83" s="1321"/>
      <c r="CV83" s="1321"/>
      <c r="CW83" s="1321"/>
      <c r="CX83" s="1321"/>
      <c r="CY83" s="1321"/>
      <c r="CZ83" s="1321"/>
      <c r="DA83" s="1321"/>
      <c r="DB83" s="1321"/>
      <c r="DC83" s="1321"/>
      <c r="DD83" s="1321"/>
      <c r="DE83" s="1321"/>
      <c r="DF83" s="1321"/>
      <c r="DG83" s="1321"/>
      <c r="DH83" s="1321"/>
      <c r="DI83" s="1321"/>
      <c r="DJ83" s="1321"/>
      <c r="DK83" s="1321"/>
      <c r="DL83" s="1321"/>
      <c r="DM83" s="1321"/>
      <c r="DN83" s="1321"/>
      <c r="DO83" s="1321"/>
      <c r="DP83" s="1321"/>
      <c r="DQ83" s="1321"/>
      <c r="DR83" s="1321"/>
      <c r="DS83" s="1321"/>
      <c r="DT83" s="1321"/>
      <c r="DU83" s="1321"/>
      <c r="DV83" s="1321"/>
      <c r="DW83" s="1321"/>
      <c r="DX83" s="1321"/>
      <c r="DY83" s="1321"/>
      <c r="DZ83" s="1321"/>
      <c r="EA83" s="1321"/>
      <c r="EB83" s="1321"/>
      <c r="EC83" s="1321"/>
      <c r="ED83" s="1321"/>
      <c r="EE83" s="1321"/>
      <c r="EF83" s="1321"/>
      <c r="EG83" s="1321"/>
      <c r="EH83" s="1321"/>
      <c r="EI83" s="1321"/>
    </row>
    <row r="84" spans="1:139" s="180" customFormat="1" ht="12.75" customHeight="1" x14ac:dyDescent="0.2">
      <c r="A84" s="329"/>
      <c r="B84" s="222" t="s">
        <v>410</v>
      </c>
      <c r="C84" s="257"/>
      <c r="D84" s="396"/>
      <c r="E84" s="396"/>
      <c r="F84" s="396"/>
      <c r="G84" s="396"/>
      <c r="H84" s="396"/>
      <c r="I84" s="397"/>
      <c r="J84" s="397"/>
      <c r="K84" s="397"/>
      <c r="L84" s="550"/>
      <c r="M84" s="398"/>
      <c r="N84" s="271"/>
      <c r="O84" s="599"/>
      <c r="P84" s="254"/>
      <c r="Q84" s="254"/>
      <c r="R84" s="565"/>
      <c r="S84" s="193"/>
      <c r="T84" s="185"/>
      <c r="U84" s="240"/>
      <c r="W84" s="185"/>
      <c r="X84" s="185"/>
      <c r="AG84" s="1321"/>
      <c r="AH84" s="1321"/>
      <c r="AI84" s="1321"/>
      <c r="AJ84" s="1321"/>
      <c r="AK84" s="1321"/>
      <c r="AL84" s="1321"/>
      <c r="AM84" s="1321"/>
      <c r="AN84" s="1321"/>
      <c r="AO84" s="1321"/>
      <c r="AP84" s="1321"/>
      <c r="AQ84" s="1321"/>
      <c r="AR84" s="1321"/>
      <c r="AS84" s="1321"/>
      <c r="AT84" s="1321"/>
      <c r="AU84" s="1321"/>
      <c r="AV84" s="1321"/>
      <c r="AW84" s="1321"/>
      <c r="AX84" s="1321"/>
      <c r="AY84" s="1321"/>
      <c r="AZ84" s="1321"/>
      <c r="BA84" s="1321"/>
      <c r="BB84" s="1321"/>
      <c r="BC84" s="1321"/>
      <c r="BD84" s="1321"/>
      <c r="BE84" s="1321"/>
      <c r="BF84" s="1321"/>
      <c r="BG84" s="1321"/>
      <c r="BH84" s="1321"/>
      <c r="BI84" s="1321"/>
      <c r="BJ84" s="1321"/>
      <c r="BK84" s="1321"/>
      <c r="BL84" s="1321"/>
      <c r="BM84" s="1321"/>
      <c r="BN84" s="1321"/>
      <c r="BO84" s="1321"/>
      <c r="BP84" s="1321"/>
      <c r="BQ84" s="1321"/>
      <c r="BR84" s="1321"/>
      <c r="BS84" s="1321"/>
      <c r="BT84" s="1321"/>
      <c r="BU84" s="1321"/>
      <c r="BV84" s="1321"/>
      <c r="BW84" s="1321"/>
      <c r="BX84" s="1321"/>
      <c r="BY84" s="1321"/>
      <c r="BZ84" s="1321"/>
      <c r="CA84" s="1321"/>
      <c r="CB84" s="1321"/>
      <c r="CC84" s="1321"/>
      <c r="CD84" s="1321"/>
      <c r="CE84" s="1321"/>
      <c r="CF84" s="1321"/>
      <c r="CG84" s="1321"/>
      <c r="CH84" s="1321"/>
      <c r="CI84" s="1321"/>
      <c r="CJ84" s="1321"/>
      <c r="CK84" s="1321"/>
      <c r="CL84" s="1321"/>
      <c r="CM84" s="1321"/>
      <c r="CN84" s="1321"/>
      <c r="CO84" s="1321"/>
      <c r="CP84" s="1321"/>
      <c r="CQ84" s="1321"/>
      <c r="CR84" s="1321"/>
      <c r="CS84" s="1321"/>
      <c r="CT84" s="1321"/>
      <c r="CU84" s="1321"/>
      <c r="CV84" s="1321"/>
      <c r="CW84" s="1321"/>
      <c r="CX84" s="1321"/>
      <c r="CY84" s="1321"/>
      <c r="CZ84" s="1321"/>
      <c r="DA84" s="1321"/>
      <c r="DB84" s="1321"/>
      <c r="DC84" s="1321"/>
      <c r="DD84" s="1321"/>
      <c r="DE84" s="1321"/>
      <c r="DF84" s="1321"/>
      <c r="DG84" s="1321"/>
      <c r="DH84" s="1321"/>
      <c r="DI84" s="1321"/>
      <c r="DJ84" s="1321"/>
      <c r="DK84" s="1321"/>
      <c r="DL84" s="1321"/>
      <c r="DM84" s="1321"/>
      <c r="DN84" s="1321"/>
      <c r="DO84" s="1321"/>
      <c r="DP84" s="1321"/>
      <c r="DQ84" s="1321"/>
      <c r="DR84" s="1321"/>
      <c r="DS84" s="1321"/>
      <c r="DT84" s="1321"/>
      <c r="DU84" s="1321"/>
      <c r="DV84" s="1321"/>
      <c r="DW84" s="1321"/>
      <c r="DX84" s="1321"/>
      <c r="DY84" s="1321"/>
      <c r="DZ84" s="1321"/>
      <c r="EA84" s="1321"/>
      <c r="EB84" s="1321"/>
      <c r="EC84" s="1321"/>
      <c r="ED84" s="1321"/>
      <c r="EE84" s="1321"/>
      <c r="EF84" s="1321"/>
      <c r="EG84" s="1321"/>
      <c r="EH84" s="1321"/>
      <c r="EI84" s="1321"/>
    </row>
    <row r="85" spans="1:139" s="180" customFormat="1" ht="12.75" customHeight="1" x14ac:dyDescent="0.2">
      <c r="A85" s="329"/>
      <c r="B85" s="225" t="s">
        <v>411</v>
      </c>
      <c r="C85" s="311">
        <v>0</v>
      </c>
      <c r="D85" s="395">
        <v>0.25</v>
      </c>
      <c r="E85" s="395">
        <v>0</v>
      </c>
      <c r="F85" s="395">
        <v>0.25</v>
      </c>
      <c r="G85" s="395">
        <v>0</v>
      </c>
      <c r="H85" s="258">
        <f>SUM(C85:G85)</f>
        <v>0.5</v>
      </c>
      <c r="I85" s="259"/>
      <c r="J85" s="259"/>
      <c r="K85" s="259"/>
      <c r="L85" s="545">
        <f>((C85*$C$10)+(D85*$D$10)+(E85*$E$10)+(F85*$F$10))</f>
        <v>24.724</v>
      </c>
      <c r="M85" s="260">
        <v>0</v>
      </c>
      <c r="N85" s="255">
        <v>1</v>
      </c>
      <c r="O85" s="316">
        <f>O81</f>
        <v>0</v>
      </c>
      <c r="P85" s="262">
        <f>(C85+D85+E85+F85)*O85</f>
        <v>0</v>
      </c>
      <c r="Q85" s="298">
        <f>(M85+N85)*O85</f>
        <v>0</v>
      </c>
      <c r="R85" s="261">
        <f>(L85+M85+N85)*O85</f>
        <v>0</v>
      </c>
      <c r="S85" s="263" t="s">
        <v>200</v>
      </c>
      <c r="T85" s="292">
        <f>IF($S85="RP",O85,"")</f>
        <v>0</v>
      </c>
      <c r="U85" s="293">
        <f>IF($S85="RP",P85,"")</f>
        <v>0</v>
      </c>
      <c r="V85" s="122">
        <f>IF($S85="RP",Q85,"")</f>
        <v>0</v>
      </c>
      <c r="W85" s="293" t="str">
        <f>IF($S85="RK",O85,"")</f>
        <v/>
      </c>
      <c r="X85" s="293" t="str">
        <f>IF($S85="RK",P85,"")</f>
        <v/>
      </c>
      <c r="Y85" s="122" t="str">
        <f>IF($S85="RK",Q85,"")</f>
        <v/>
      </c>
      <c r="AG85" s="1321"/>
      <c r="AH85" s="1321"/>
      <c r="AI85" s="1321"/>
      <c r="AJ85" s="1321"/>
      <c r="AK85" s="1321"/>
      <c r="AL85" s="1321"/>
      <c r="AM85" s="1321"/>
      <c r="AN85" s="1321"/>
      <c r="AO85" s="1321"/>
      <c r="AP85" s="1321"/>
      <c r="AQ85" s="1321"/>
      <c r="AR85" s="1321"/>
      <c r="AS85" s="1321"/>
      <c r="AT85" s="1321"/>
      <c r="AU85" s="1321"/>
      <c r="AV85" s="1321"/>
      <c r="AW85" s="1321"/>
      <c r="AX85" s="1321"/>
      <c r="AY85" s="1321"/>
      <c r="AZ85" s="1321"/>
      <c r="BA85" s="1321"/>
      <c r="BB85" s="1321"/>
      <c r="BC85" s="1321"/>
      <c r="BD85" s="1321"/>
      <c r="BE85" s="1321"/>
      <c r="BF85" s="1321"/>
      <c r="BG85" s="1321"/>
      <c r="BH85" s="1321"/>
      <c r="BI85" s="1321"/>
      <c r="BJ85" s="1321"/>
      <c r="BK85" s="1321"/>
      <c r="BL85" s="1321"/>
      <c r="BM85" s="1321"/>
      <c r="BN85" s="1321"/>
      <c r="BO85" s="1321"/>
      <c r="BP85" s="1321"/>
      <c r="BQ85" s="1321"/>
      <c r="BR85" s="1321"/>
      <c r="BS85" s="1321"/>
      <c r="BT85" s="1321"/>
      <c r="BU85" s="1321"/>
      <c r="BV85" s="1321"/>
      <c r="BW85" s="1321"/>
      <c r="BX85" s="1321"/>
      <c r="BY85" s="1321"/>
      <c r="BZ85" s="1321"/>
      <c r="CA85" s="1321"/>
      <c r="CB85" s="1321"/>
      <c r="CC85" s="1321"/>
      <c r="CD85" s="1321"/>
      <c r="CE85" s="1321"/>
      <c r="CF85" s="1321"/>
      <c r="CG85" s="1321"/>
      <c r="CH85" s="1321"/>
      <c r="CI85" s="1321"/>
      <c r="CJ85" s="1321"/>
      <c r="CK85" s="1321"/>
      <c r="CL85" s="1321"/>
      <c r="CM85" s="1321"/>
      <c r="CN85" s="1321"/>
      <c r="CO85" s="1321"/>
      <c r="CP85" s="1321"/>
      <c r="CQ85" s="1321"/>
      <c r="CR85" s="1321"/>
      <c r="CS85" s="1321"/>
      <c r="CT85" s="1321"/>
      <c r="CU85" s="1321"/>
      <c r="CV85" s="1321"/>
      <c r="CW85" s="1321"/>
      <c r="CX85" s="1321"/>
      <c r="CY85" s="1321"/>
      <c r="CZ85" s="1321"/>
      <c r="DA85" s="1321"/>
      <c r="DB85" s="1321"/>
      <c r="DC85" s="1321"/>
      <c r="DD85" s="1321"/>
      <c r="DE85" s="1321"/>
      <c r="DF85" s="1321"/>
      <c r="DG85" s="1321"/>
      <c r="DH85" s="1321"/>
      <c r="DI85" s="1321"/>
      <c r="DJ85" s="1321"/>
      <c r="DK85" s="1321"/>
      <c r="DL85" s="1321"/>
      <c r="DM85" s="1321"/>
      <c r="DN85" s="1321"/>
      <c r="DO85" s="1321"/>
      <c r="DP85" s="1321"/>
      <c r="DQ85" s="1321"/>
      <c r="DR85" s="1321"/>
      <c r="DS85" s="1321"/>
      <c r="DT85" s="1321"/>
      <c r="DU85" s="1321"/>
      <c r="DV85" s="1321"/>
      <c r="DW85" s="1321"/>
      <c r="DX85" s="1321"/>
      <c r="DY85" s="1321"/>
      <c r="DZ85" s="1321"/>
      <c r="EA85" s="1321"/>
      <c r="EB85" s="1321"/>
      <c r="EC85" s="1321"/>
      <c r="ED85" s="1321"/>
      <c r="EE85" s="1321"/>
      <c r="EF85" s="1321"/>
      <c r="EG85" s="1321"/>
      <c r="EH85" s="1321"/>
      <c r="EI85" s="1321"/>
    </row>
    <row r="86" spans="1:139" ht="12.75" customHeight="1" x14ac:dyDescent="0.2">
      <c r="A86" s="479" t="s">
        <v>579</v>
      </c>
      <c r="B86" s="480"/>
      <c r="C86" s="516"/>
      <c r="D86" s="516"/>
      <c r="E86" s="516"/>
      <c r="F86" s="516"/>
      <c r="G86" s="516"/>
      <c r="H86" s="516"/>
      <c r="I86" s="517"/>
      <c r="J86" s="517"/>
      <c r="K86" s="517"/>
      <c r="L86" s="631"/>
      <c r="M86" s="518"/>
      <c r="N86" s="242"/>
      <c r="O86" s="402"/>
      <c r="P86" s="241"/>
      <c r="Q86" s="241"/>
      <c r="R86" s="242"/>
      <c r="S86" s="519"/>
      <c r="T86" s="521"/>
      <c r="U86" s="520"/>
      <c r="W86" s="521"/>
      <c r="X86" s="521"/>
    </row>
    <row r="87" spans="1:139" s="180" customFormat="1" ht="12.75" customHeight="1" x14ac:dyDescent="0.2">
      <c r="A87" s="221"/>
      <c r="B87" s="403" t="s">
        <v>412</v>
      </c>
      <c r="C87" s="396"/>
      <c r="D87" s="396"/>
      <c r="E87" s="396"/>
      <c r="F87" s="396"/>
      <c r="G87" s="396"/>
      <c r="H87" s="396"/>
      <c r="I87" s="397"/>
      <c r="J87" s="397"/>
      <c r="K87" s="397"/>
      <c r="L87" s="550"/>
      <c r="M87" s="398"/>
      <c r="N87" s="270"/>
      <c r="O87" s="599"/>
      <c r="P87" s="374"/>
      <c r="Q87" s="374"/>
      <c r="R87" s="270"/>
      <c r="S87" s="193"/>
      <c r="T87" s="185"/>
      <c r="U87" s="240"/>
      <c r="W87" s="185"/>
      <c r="X87" s="185"/>
      <c r="AG87" s="1321"/>
      <c r="AH87" s="1321"/>
      <c r="AI87" s="1321"/>
      <c r="AJ87" s="1321"/>
      <c r="AK87" s="1321"/>
      <c r="AL87" s="1321"/>
      <c r="AM87" s="1321"/>
      <c r="AN87" s="1321"/>
      <c r="AO87" s="1321"/>
      <c r="AP87" s="1321"/>
      <c r="AQ87" s="1321"/>
      <c r="AR87" s="1321"/>
      <c r="AS87" s="1321"/>
      <c r="AT87" s="1321"/>
      <c r="AU87" s="1321"/>
      <c r="AV87" s="1321"/>
      <c r="AW87" s="1321"/>
      <c r="AX87" s="1321"/>
      <c r="AY87" s="1321"/>
      <c r="AZ87" s="1321"/>
      <c r="BA87" s="1321"/>
      <c r="BB87" s="1321"/>
      <c r="BC87" s="1321"/>
      <c r="BD87" s="1321"/>
      <c r="BE87" s="1321"/>
      <c r="BF87" s="1321"/>
      <c r="BG87" s="1321"/>
      <c r="BH87" s="1321"/>
      <c r="BI87" s="1321"/>
      <c r="BJ87" s="1321"/>
      <c r="BK87" s="1321"/>
      <c r="BL87" s="1321"/>
      <c r="BM87" s="1321"/>
      <c r="BN87" s="1321"/>
      <c r="BO87" s="1321"/>
      <c r="BP87" s="1321"/>
      <c r="BQ87" s="1321"/>
      <c r="BR87" s="1321"/>
      <c r="BS87" s="1321"/>
      <c r="BT87" s="1321"/>
      <c r="BU87" s="1321"/>
      <c r="BV87" s="1321"/>
      <c r="BW87" s="1321"/>
      <c r="BX87" s="1321"/>
      <c r="BY87" s="1321"/>
      <c r="BZ87" s="1321"/>
      <c r="CA87" s="1321"/>
      <c r="CB87" s="1321"/>
      <c r="CC87" s="1321"/>
      <c r="CD87" s="1321"/>
      <c r="CE87" s="1321"/>
      <c r="CF87" s="1321"/>
      <c r="CG87" s="1321"/>
      <c r="CH87" s="1321"/>
      <c r="CI87" s="1321"/>
      <c r="CJ87" s="1321"/>
      <c r="CK87" s="1321"/>
      <c r="CL87" s="1321"/>
      <c r="CM87" s="1321"/>
      <c r="CN87" s="1321"/>
      <c r="CO87" s="1321"/>
      <c r="CP87" s="1321"/>
      <c r="CQ87" s="1321"/>
      <c r="CR87" s="1321"/>
      <c r="CS87" s="1321"/>
      <c r="CT87" s="1321"/>
      <c r="CU87" s="1321"/>
      <c r="CV87" s="1321"/>
      <c r="CW87" s="1321"/>
      <c r="CX87" s="1321"/>
      <c r="CY87" s="1321"/>
      <c r="CZ87" s="1321"/>
      <c r="DA87" s="1321"/>
      <c r="DB87" s="1321"/>
      <c r="DC87" s="1321"/>
      <c r="DD87" s="1321"/>
      <c r="DE87" s="1321"/>
      <c r="DF87" s="1321"/>
      <c r="DG87" s="1321"/>
      <c r="DH87" s="1321"/>
      <c r="DI87" s="1321"/>
      <c r="DJ87" s="1321"/>
      <c r="DK87" s="1321"/>
      <c r="DL87" s="1321"/>
      <c r="DM87" s="1321"/>
      <c r="DN87" s="1321"/>
      <c r="DO87" s="1321"/>
      <c r="DP87" s="1321"/>
      <c r="DQ87" s="1321"/>
      <c r="DR87" s="1321"/>
      <c r="DS87" s="1321"/>
      <c r="DT87" s="1321"/>
      <c r="DU87" s="1321"/>
      <c r="DV87" s="1321"/>
      <c r="DW87" s="1321"/>
      <c r="DX87" s="1321"/>
      <c r="DY87" s="1321"/>
      <c r="DZ87" s="1321"/>
      <c r="EA87" s="1321"/>
      <c r="EB87" s="1321"/>
      <c r="EC87" s="1321"/>
      <c r="ED87" s="1321"/>
      <c r="EE87" s="1321"/>
      <c r="EF87" s="1321"/>
      <c r="EG87" s="1321"/>
      <c r="EH87" s="1321"/>
      <c r="EI87" s="1321"/>
    </row>
    <row r="88" spans="1:139" s="180" customFormat="1" ht="12.75" customHeight="1" x14ac:dyDescent="0.2">
      <c r="A88" s="224"/>
      <c r="B88" s="404" t="s">
        <v>413</v>
      </c>
      <c r="C88" s="318">
        <v>0</v>
      </c>
      <c r="D88" s="318">
        <v>0.5</v>
      </c>
      <c r="E88" s="318">
        <v>2</v>
      </c>
      <c r="F88" s="318">
        <v>0</v>
      </c>
      <c r="G88" s="318">
        <v>0</v>
      </c>
      <c r="H88" s="249">
        <f>SUM(C88:G88)</f>
        <v>2.5</v>
      </c>
      <c r="I88" s="250"/>
      <c r="J88" s="250"/>
      <c r="K88" s="250"/>
      <c r="L88" s="533">
        <f>((C88*$C$10)+(D88*$D$10)+(E88*$E$10)+(F88*$F$10))</f>
        <v>140.01599999999999</v>
      </c>
      <c r="M88" s="251">
        <v>0</v>
      </c>
      <c r="N88" s="252">
        <v>0</v>
      </c>
      <c r="O88" s="600">
        <f>'Table 1'!L131</f>
        <v>0</v>
      </c>
      <c r="P88" s="312">
        <f>(C88+D88+E88+F88)*O88</f>
        <v>0</v>
      </c>
      <c r="Q88" s="291">
        <f>(M88+N88)*O88</f>
        <v>0</v>
      </c>
      <c r="R88" s="261">
        <f>(L88+M88+N88)*O88</f>
        <v>0</v>
      </c>
      <c r="S88" s="300" t="s">
        <v>199</v>
      </c>
      <c r="T88" s="292" t="str">
        <f>IF($S88="RP",O88,"")</f>
        <v/>
      </c>
      <c r="U88" s="293" t="str">
        <f>IF($S88="RP",P88,"")</f>
        <v/>
      </c>
      <c r="V88" s="122" t="str">
        <f>IF($S88="RP",Q88,"")</f>
        <v/>
      </c>
      <c r="W88" s="293">
        <f>IF($S88="RK",O88,"")</f>
        <v>0</v>
      </c>
      <c r="X88" s="293">
        <f>IF($S88="RK",P88,"")</f>
        <v>0</v>
      </c>
      <c r="Y88" s="122">
        <f>IF($S88="RK",Q88,"")</f>
        <v>0</v>
      </c>
      <c r="AG88" s="1321"/>
      <c r="AH88" s="1321"/>
      <c r="AI88" s="1321"/>
      <c r="AJ88" s="1321"/>
      <c r="AK88" s="1321"/>
      <c r="AL88" s="1321"/>
      <c r="AM88" s="1321"/>
      <c r="AN88" s="1321"/>
      <c r="AO88" s="1321"/>
      <c r="AP88" s="1321"/>
      <c r="AQ88" s="1321"/>
      <c r="AR88" s="1321"/>
      <c r="AS88" s="1321"/>
      <c r="AT88" s="1321"/>
      <c r="AU88" s="1321"/>
      <c r="AV88" s="1321"/>
      <c r="AW88" s="1321"/>
      <c r="AX88" s="1321"/>
      <c r="AY88" s="1321"/>
      <c r="AZ88" s="1321"/>
      <c r="BA88" s="1321"/>
      <c r="BB88" s="1321"/>
      <c r="BC88" s="1321"/>
      <c r="BD88" s="1321"/>
      <c r="BE88" s="1321"/>
      <c r="BF88" s="1321"/>
      <c r="BG88" s="1321"/>
      <c r="BH88" s="1321"/>
      <c r="BI88" s="1321"/>
      <c r="BJ88" s="1321"/>
      <c r="BK88" s="1321"/>
      <c r="BL88" s="1321"/>
      <c r="BM88" s="1321"/>
      <c r="BN88" s="1321"/>
      <c r="BO88" s="1321"/>
      <c r="BP88" s="1321"/>
      <c r="BQ88" s="1321"/>
      <c r="BR88" s="1321"/>
      <c r="BS88" s="1321"/>
      <c r="BT88" s="1321"/>
      <c r="BU88" s="1321"/>
      <c r="BV88" s="1321"/>
      <c r="BW88" s="1321"/>
      <c r="BX88" s="1321"/>
      <c r="BY88" s="1321"/>
      <c r="BZ88" s="1321"/>
      <c r="CA88" s="1321"/>
      <c r="CB88" s="1321"/>
      <c r="CC88" s="1321"/>
      <c r="CD88" s="1321"/>
      <c r="CE88" s="1321"/>
      <c r="CF88" s="1321"/>
      <c r="CG88" s="1321"/>
      <c r="CH88" s="1321"/>
      <c r="CI88" s="1321"/>
      <c r="CJ88" s="1321"/>
      <c r="CK88" s="1321"/>
      <c r="CL88" s="1321"/>
      <c r="CM88" s="1321"/>
      <c r="CN88" s="1321"/>
      <c r="CO88" s="1321"/>
      <c r="CP88" s="1321"/>
      <c r="CQ88" s="1321"/>
      <c r="CR88" s="1321"/>
      <c r="CS88" s="1321"/>
      <c r="CT88" s="1321"/>
      <c r="CU88" s="1321"/>
      <c r="CV88" s="1321"/>
      <c r="CW88" s="1321"/>
      <c r="CX88" s="1321"/>
      <c r="CY88" s="1321"/>
      <c r="CZ88" s="1321"/>
      <c r="DA88" s="1321"/>
      <c r="DB88" s="1321"/>
      <c r="DC88" s="1321"/>
      <c r="DD88" s="1321"/>
      <c r="DE88" s="1321"/>
      <c r="DF88" s="1321"/>
      <c r="DG88" s="1321"/>
      <c r="DH88" s="1321"/>
      <c r="DI88" s="1321"/>
      <c r="DJ88" s="1321"/>
      <c r="DK88" s="1321"/>
      <c r="DL88" s="1321"/>
      <c r="DM88" s="1321"/>
      <c r="DN88" s="1321"/>
      <c r="DO88" s="1321"/>
      <c r="DP88" s="1321"/>
      <c r="DQ88" s="1321"/>
      <c r="DR88" s="1321"/>
      <c r="DS88" s="1321"/>
      <c r="DT88" s="1321"/>
      <c r="DU88" s="1321"/>
      <c r="DV88" s="1321"/>
      <c r="DW88" s="1321"/>
      <c r="DX88" s="1321"/>
      <c r="DY88" s="1321"/>
      <c r="DZ88" s="1321"/>
      <c r="EA88" s="1321"/>
      <c r="EB88" s="1321"/>
      <c r="EC88" s="1321"/>
      <c r="ED88" s="1321"/>
      <c r="EE88" s="1321"/>
      <c r="EF88" s="1321"/>
      <c r="EG88" s="1321"/>
      <c r="EH88" s="1321"/>
      <c r="EI88" s="1321"/>
    </row>
    <row r="89" spans="1:139" s="180" customFormat="1" ht="12.75" customHeight="1" x14ac:dyDescent="0.2">
      <c r="A89" s="221"/>
      <c r="B89" s="403" t="s">
        <v>412</v>
      </c>
      <c r="C89" s="396"/>
      <c r="D89" s="396"/>
      <c r="E89" s="396"/>
      <c r="F89" s="396"/>
      <c r="G89" s="396"/>
      <c r="H89" s="396"/>
      <c r="I89" s="397"/>
      <c r="J89" s="397"/>
      <c r="K89" s="397"/>
      <c r="L89" s="550"/>
      <c r="M89" s="398"/>
      <c r="N89" s="270"/>
      <c r="O89" s="601"/>
      <c r="P89" s="374"/>
      <c r="Q89" s="374"/>
      <c r="R89" s="270"/>
      <c r="S89" s="193"/>
      <c r="T89" s="185"/>
      <c r="U89" s="240"/>
      <c r="W89" s="185"/>
      <c r="X89" s="185"/>
      <c r="AG89" s="1321"/>
      <c r="AH89" s="1321"/>
      <c r="AI89" s="1321"/>
      <c r="AJ89" s="1321"/>
      <c r="AK89" s="1321"/>
      <c r="AL89" s="1321"/>
      <c r="AM89" s="1321"/>
      <c r="AN89" s="1321"/>
      <c r="AO89" s="1321"/>
      <c r="AP89" s="1321"/>
      <c r="AQ89" s="1321"/>
      <c r="AR89" s="1321"/>
      <c r="AS89" s="1321"/>
      <c r="AT89" s="1321"/>
      <c r="AU89" s="1321"/>
      <c r="AV89" s="1321"/>
      <c r="AW89" s="1321"/>
      <c r="AX89" s="1321"/>
      <c r="AY89" s="1321"/>
      <c r="AZ89" s="1321"/>
      <c r="BA89" s="1321"/>
      <c r="BB89" s="1321"/>
      <c r="BC89" s="1321"/>
      <c r="BD89" s="1321"/>
      <c r="BE89" s="1321"/>
      <c r="BF89" s="1321"/>
      <c r="BG89" s="1321"/>
      <c r="BH89" s="1321"/>
      <c r="BI89" s="1321"/>
      <c r="BJ89" s="1321"/>
      <c r="BK89" s="1321"/>
      <c r="BL89" s="1321"/>
      <c r="BM89" s="1321"/>
      <c r="BN89" s="1321"/>
      <c r="BO89" s="1321"/>
      <c r="BP89" s="1321"/>
      <c r="BQ89" s="1321"/>
      <c r="BR89" s="1321"/>
      <c r="BS89" s="1321"/>
      <c r="BT89" s="1321"/>
      <c r="BU89" s="1321"/>
      <c r="BV89" s="1321"/>
      <c r="BW89" s="1321"/>
      <c r="BX89" s="1321"/>
      <c r="BY89" s="1321"/>
      <c r="BZ89" s="1321"/>
      <c r="CA89" s="1321"/>
      <c r="CB89" s="1321"/>
      <c r="CC89" s="1321"/>
      <c r="CD89" s="1321"/>
      <c r="CE89" s="1321"/>
      <c r="CF89" s="1321"/>
      <c r="CG89" s="1321"/>
      <c r="CH89" s="1321"/>
      <c r="CI89" s="1321"/>
      <c r="CJ89" s="1321"/>
      <c r="CK89" s="1321"/>
      <c r="CL89" s="1321"/>
      <c r="CM89" s="1321"/>
      <c r="CN89" s="1321"/>
      <c r="CO89" s="1321"/>
      <c r="CP89" s="1321"/>
      <c r="CQ89" s="1321"/>
      <c r="CR89" s="1321"/>
      <c r="CS89" s="1321"/>
      <c r="CT89" s="1321"/>
      <c r="CU89" s="1321"/>
      <c r="CV89" s="1321"/>
      <c r="CW89" s="1321"/>
      <c r="CX89" s="1321"/>
      <c r="CY89" s="1321"/>
      <c r="CZ89" s="1321"/>
      <c r="DA89" s="1321"/>
      <c r="DB89" s="1321"/>
      <c r="DC89" s="1321"/>
      <c r="DD89" s="1321"/>
      <c r="DE89" s="1321"/>
      <c r="DF89" s="1321"/>
      <c r="DG89" s="1321"/>
      <c r="DH89" s="1321"/>
      <c r="DI89" s="1321"/>
      <c r="DJ89" s="1321"/>
      <c r="DK89" s="1321"/>
      <c r="DL89" s="1321"/>
      <c r="DM89" s="1321"/>
      <c r="DN89" s="1321"/>
      <c r="DO89" s="1321"/>
      <c r="DP89" s="1321"/>
      <c r="DQ89" s="1321"/>
      <c r="DR89" s="1321"/>
      <c r="DS89" s="1321"/>
      <c r="DT89" s="1321"/>
      <c r="DU89" s="1321"/>
      <c r="DV89" s="1321"/>
      <c r="DW89" s="1321"/>
      <c r="DX89" s="1321"/>
      <c r="DY89" s="1321"/>
      <c r="DZ89" s="1321"/>
      <c r="EA89" s="1321"/>
      <c r="EB89" s="1321"/>
      <c r="EC89" s="1321"/>
      <c r="ED89" s="1321"/>
      <c r="EE89" s="1321"/>
      <c r="EF89" s="1321"/>
      <c r="EG89" s="1321"/>
      <c r="EH89" s="1321"/>
      <c r="EI89" s="1321"/>
    </row>
    <row r="90" spans="1:139" s="180" customFormat="1" ht="12.75" customHeight="1" x14ac:dyDescent="0.2">
      <c r="A90" s="224"/>
      <c r="B90" s="404" t="s">
        <v>414</v>
      </c>
      <c r="C90" s="318">
        <v>0</v>
      </c>
      <c r="D90" s="318">
        <v>0.5</v>
      </c>
      <c r="E90" s="318">
        <v>2</v>
      </c>
      <c r="F90" s="318">
        <v>0</v>
      </c>
      <c r="G90" s="318">
        <v>0</v>
      </c>
      <c r="H90" s="249">
        <f>SUM(C90:G90)</f>
        <v>2.5</v>
      </c>
      <c r="I90" s="250"/>
      <c r="J90" s="250"/>
      <c r="K90" s="250"/>
      <c r="L90" s="533">
        <f>((C90*$C$10)+(D90*$D$10)+(E90*$E$10)+(F90*$F$10))</f>
        <v>140.01599999999999</v>
      </c>
      <c r="M90" s="251">
        <v>0</v>
      </c>
      <c r="N90" s="252">
        <v>0</v>
      </c>
      <c r="O90" s="600">
        <f>'Table 1'!L131</f>
        <v>0</v>
      </c>
      <c r="P90" s="312">
        <f>(C90+D90+E90+F90)*O90</f>
        <v>0</v>
      </c>
      <c r="Q90" s="291">
        <f>(M90+N90)*O90</f>
        <v>0</v>
      </c>
      <c r="R90" s="261">
        <f>(L90+M90+N90)*O90</f>
        <v>0</v>
      </c>
      <c r="S90" s="300" t="s">
        <v>199</v>
      </c>
      <c r="T90" s="292" t="str">
        <f t="shared" ref="T90:V90" si="32">IF($S90="RP",O90,"")</f>
        <v/>
      </c>
      <c r="U90" s="293" t="str">
        <f t="shared" si="32"/>
        <v/>
      </c>
      <c r="V90" s="122" t="str">
        <f t="shared" si="32"/>
        <v/>
      </c>
      <c r="W90" s="293">
        <f t="shared" ref="W90:Y90" si="33">IF($S90="RK",O90,"")</f>
        <v>0</v>
      </c>
      <c r="X90" s="293">
        <f t="shared" si="33"/>
        <v>0</v>
      </c>
      <c r="Y90" s="122">
        <f t="shared" si="33"/>
        <v>0</v>
      </c>
      <c r="AG90" s="1321"/>
      <c r="AH90" s="1321"/>
      <c r="AI90" s="1321"/>
      <c r="AJ90" s="1321"/>
      <c r="AK90" s="1321"/>
      <c r="AL90" s="1321"/>
      <c r="AM90" s="1321"/>
      <c r="AN90" s="1321"/>
      <c r="AO90" s="1321"/>
      <c r="AP90" s="1321"/>
      <c r="AQ90" s="1321"/>
      <c r="AR90" s="1321"/>
      <c r="AS90" s="1321"/>
      <c r="AT90" s="1321"/>
      <c r="AU90" s="1321"/>
      <c r="AV90" s="1321"/>
      <c r="AW90" s="1321"/>
      <c r="AX90" s="1321"/>
      <c r="AY90" s="1321"/>
      <c r="AZ90" s="1321"/>
      <c r="BA90" s="1321"/>
      <c r="BB90" s="1321"/>
      <c r="BC90" s="1321"/>
      <c r="BD90" s="1321"/>
      <c r="BE90" s="1321"/>
      <c r="BF90" s="1321"/>
      <c r="BG90" s="1321"/>
      <c r="BH90" s="1321"/>
      <c r="BI90" s="1321"/>
      <c r="BJ90" s="1321"/>
      <c r="BK90" s="1321"/>
      <c r="BL90" s="1321"/>
      <c r="BM90" s="1321"/>
      <c r="BN90" s="1321"/>
      <c r="BO90" s="1321"/>
      <c r="BP90" s="1321"/>
      <c r="BQ90" s="1321"/>
      <c r="BR90" s="1321"/>
      <c r="BS90" s="1321"/>
      <c r="BT90" s="1321"/>
      <c r="BU90" s="1321"/>
      <c r="BV90" s="1321"/>
      <c r="BW90" s="1321"/>
      <c r="BX90" s="1321"/>
      <c r="BY90" s="1321"/>
      <c r="BZ90" s="1321"/>
      <c r="CA90" s="1321"/>
      <c r="CB90" s="1321"/>
      <c r="CC90" s="1321"/>
      <c r="CD90" s="1321"/>
      <c r="CE90" s="1321"/>
      <c r="CF90" s="1321"/>
      <c r="CG90" s="1321"/>
      <c r="CH90" s="1321"/>
      <c r="CI90" s="1321"/>
      <c r="CJ90" s="1321"/>
      <c r="CK90" s="1321"/>
      <c r="CL90" s="1321"/>
      <c r="CM90" s="1321"/>
      <c r="CN90" s="1321"/>
      <c r="CO90" s="1321"/>
      <c r="CP90" s="1321"/>
      <c r="CQ90" s="1321"/>
      <c r="CR90" s="1321"/>
      <c r="CS90" s="1321"/>
      <c r="CT90" s="1321"/>
      <c r="CU90" s="1321"/>
      <c r="CV90" s="1321"/>
      <c r="CW90" s="1321"/>
      <c r="CX90" s="1321"/>
      <c r="CY90" s="1321"/>
      <c r="CZ90" s="1321"/>
      <c r="DA90" s="1321"/>
      <c r="DB90" s="1321"/>
      <c r="DC90" s="1321"/>
      <c r="DD90" s="1321"/>
      <c r="DE90" s="1321"/>
      <c r="DF90" s="1321"/>
      <c r="DG90" s="1321"/>
      <c r="DH90" s="1321"/>
      <c r="DI90" s="1321"/>
      <c r="DJ90" s="1321"/>
      <c r="DK90" s="1321"/>
      <c r="DL90" s="1321"/>
      <c r="DM90" s="1321"/>
      <c r="DN90" s="1321"/>
      <c r="DO90" s="1321"/>
      <c r="DP90" s="1321"/>
      <c r="DQ90" s="1321"/>
      <c r="DR90" s="1321"/>
      <c r="DS90" s="1321"/>
      <c r="DT90" s="1321"/>
      <c r="DU90" s="1321"/>
      <c r="DV90" s="1321"/>
      <c r="DW90" s="1321"/>
      <c r="DX90" s="1321"/>
      <c r="DY90" s="1321"/>
      <c r="DZ90" s="1321"/>
      <c r="EA90" s="1321"/>
      <c r="EB90" s="1321"/>
      <c r="EC90" s="1321"/>
      <c r="ED90" s="1321"/>
      <c r="EE90" s="1321"/>
      <c r="EF90" s="1321"/>
      <c r="EG90" s="1321"/>
      <c r="EH90" s="1321"/>
      <c r="EI90" s="1321"/>
    </row>
    <row r="91" spans="1:139" s="180" customFormat="1" ht="12.75" customHeight="1" x14ac:dyDescent="0.2">
      <c r="A91" s="221"/>
      <c r="B91" s="403" t="s">
        <v>415</v>
      </c>
      <c r="C91" s="396"/>
      <c r="D91" s="396"/>
      <c r="E91" s="396"/>
      <c r="F91" s="396"/>
      <c r="G91" s="405"/>
      <c r="H91" s="396"/>
      <c r="I91" s="397"/>
      <c r="J91" s="397"/>
      <c r="K91" s="397"/>
      <c r="L91" s="550"/>
      <c r="M91" s="398"/>
      <c r="N91" s="270"/>
      <c r="O91" s="601"/>
      <c r="P91" s="374"/>
      <c r="Q91" s="374"/>
      <c r="R91" s="270"/>
      <c r="S91" s="193"/>
      <c r="T91" s="185"/>
      <c r="U91" s="240"/>
      <c r="W91" s="185"/>
      <c r="X91" s="185"/>
      <c r="AG91" s="1321"/>
      <c r="AH91" s="1321"/>
      <c r="AI91" s="1321"/>
      <c r="AJ91" s="1321"/>
      <c r="AK91" s="1321"/>
      <c r="AL91" s="1321"/>
      <c r="AM91" s="1321"/>
      <c r="AN91" s="1321"/>
      <c r="AO91" s="1321"/>
      <c r="AP91" s="1321"/>
      <c r="AQ91" s="1321"/>
      <c r="AR91" s="1321"/>
      <c r="AS91" s="1321"/>
      <c r="AT91" s="1321"/>
      <c r="AU91" s="1321"/>
      <c r="AV91" s="1321"/>
      <c r="AW91" s="1321"/>
      <c r="AX91" s="1321"/>
      <c r="AY91" s="1321"/>
      <c r="AZ91" s="1321"/>
      <c r="BA91" s="1321"/>
      <c r="BB91" s="1321"/>
      <c r="BC91" s="1321"/>
      <c r="BD91" s="1321"/>
      <c r="BE91" s="1321"/>
      <c r="BF91" s="1321"/>
      <c r="BG91" s="1321"/>
      <c r="BH91" s="1321"/>
      <c r="BI91" s="1321"/>
      <c r="BJ91" s="1321"/>
      <c r="BK91" s="1321"/>
      <c r="BL91" s="1321"/>
      <c r="BM91" s="1321"/>
      <c r="BN91" s="1321"/>
      <c r="BO91" s="1321"/>
      <c r="BP91" s="1321"/>
      <c r="BQ91" s="1321"/>
      <c r="BR91" s="1321"/>
      <c r="BS91" s="1321"/>
      <c r="BT91" s="1321"/>
      <c r="BU91" s="1321"/>
      <c r="BV91" s="1321"/>
      <c r="BW91" s="1321"/>
      <c r="BX91" s="1321"/>
      <c r="BY91" s="1321"/>
      <c r="BZ91" s="1321"/>
      <c r="CA91" s="1321"/>
      <c r="CB91" s="1321"/>
      <c r="CC91" s="1321"/>
      <c r="CD91" s="1321"/>
      <c r="CE91" s="1321"/>
      <c r="CF91" s="1321"/>
      <c r="CG91" s="1321"/>
      <c r="CH91" s="1321"/>
      <c r="CI91" s="1321"/>
      <c r="CJ91" s="1321"/>
      <c r="CK91" s="1321"/>
      <c r="CL91" s="1321"/>
      <c r="CM91" s="1321"/>
      <c r="CN91" s="1321"/>
      <c r="CO91" s="1321"/>
      <c r="CP91" s="1321"/>
      <c r="CQ91" s="1321"/>
      <c r="CR91" s="1321"/>
      <c r="CS91" s="1321"/>
      <c r="CT91" s="1321"/>
      <c r="CU91" s="1321"/>
      <c r="CV91" s="1321"/>
      <c r="CW91" s="1321"/>
      <c r="CX91" s="1321"/>
      <c r="CY91" s="1321"/>
      <c r="CZ91" s="1321"/>
      <c r="DA91" s="1321"/>
      <c r="DB91" s="1321"/>
      <c r="DC91" s="1321"/>
      <c r="DD91" s="1321"/>
      <c r="DE91" s="1321"/>
      <c r="DF91" s="1321"/>
      <c r="DG91" s="1321"/>
      <c r="DH91" s="1321"/>
      <c r="DI91" s="1321"/>
      <c r="DJ91" s="1321"/>
      <c r="DK91" s="1321"/>
      <c r="DL91" s="1321"/>
      <c r="DM91" s="1321"/>
      <c r="DN91" s="1321"/>
      <c r="DO91" s="1321"/>
      <c r="DP91" s="1321"/>
      <c r="DQ91" s="1321"/>
      <c r="DR91" s="1321"/>
      <c r="DS91" s="1321"/>
      <c r="DT91" s="1321"/>
      <c r="DU91" s="1321"/>
      <c r="DV91" s="1321"/>
      <c r="DW91" s="1321"/>
      <c r="DX91" s="1321"/>
      <c r="DY91" s="1321"/>
      <c r="DZ91" s="1321"/>
      <c r="EA91" s="1321"/>
      <c r="EB91" s="1321"/>
      <c r="EC91" s="1321"/>
      <c r="ED91" s="1321"/>
      <c r="EE91" s="1321"/>
      <c r="EF91" s="1321"/>
      <c r="EG91" s="1321"/>
      <c r="EH91" s="1321"/>
      <c r="EI91" s="1321"/>
    </row>
    <row r="92" spans="1:139" s="180" customFormat="1" ht="12.75" customHeight="1" x14ac:dyDescent="0.2">
      <c r="A92" s="224"/>
      <c r="B92" s="404" t="s">
        <v>416</v>
      </c>
      <c r="C92" s="318">
        <v>0</v>
      </c>
      <c r="D92" s="318">
        <v>0.5</v>
      </c>
      <c r="E92" s="406">
        <v>0.25</v>
      </c>
      <c r="F92" s="318">
        <v>0</v>
      </c>
      <c r="G92" s="407">
        <v>0</v>
      </c>
      <c r="H92" s="249">
        <f>SUM(C92:G92)</f>
        <v>0.75</v>
      </c>
      <c r="I92" s="250"/>
      <c r="J92" s="250"/>
      <c r="K92" s="250"/>
      <c r="L92" s="533">
        <f>((C92*$C$10)+(D92*$D$10)+(E92*$E$10)+(F92*$F$10))</f>
        <v>48.372</v>
      </c>
      <c r="M92" s="251">
        <v>0</v>
      </c>
      <c r="N92" s="252">
        <v>1</v>
      </c>
      <c r="O92" s="600">
        <f>O88</f>
        <v>0</v>
      </c>
      <c r="P92" s="312">
        <f>(C92+D92+E92+F92)*O92</f>
        <v>0</v>
      </c>
      <c r="Q92" s="291">
        <f>(M92+N92)*O92</f>
        <v>0</v>
      </c>
      <c r="R92" s="261">
        <f>(L92+M92+N92)*O92</f>
        <v>0</v>
      </c>
      <c r="S92" s="300" t="s">
        <v>200</v>
      </c>
      <c r="T92" s="292">
        <f>IF($S92="RP",O92,"")</f>
        <v>0</v>
      </c>
      <c r="U92" s="293">
        <f>IF($S92="RP",P92,"")</f>
        <v>0</v>
      </c>
      <c r="V92" s="122">
        <f>IF($S92="RP",Q92,"")</f>
        <v>0</v>
      </c>
      <c r="W92" s="293" t="str">
        <f>IF($S92="RK",O92,"")</f>
        <v/>
      </c>
      <c r="X92" s="293" t="str">
        <f>IF($S92="RK",P92,"")</f>
        <v/>
      </c>
      <c r="Y92" s="122" t="str">
        <f>IF($S92="RK",Q92,"")</f>
        <v/>
      </c>
      <c r="AG92" s="1321"/>
      <c r="AH92" s="1321"/>
      <c r="AI92" s="1321"/>
      <c r="AJ92" s="1321"/>
      <c r="AK92" s="1321"/>
      <c r="AL92" s="1321"/>
      <c r="AM92" s="1321"/>
      <c r="AN92" s="1321"/>
      <c r="AO92" s="1321"/>
      <c r="AP92" s="1321"/>
      <c r="AQ92" s="1321"/>
      <c r="AR92" s="1321"/>
      <c r="AS92" s="1321"/>
      <c r="AT92" s="1321"/>
      <c r="AU92" s="1321"/>
      <c r="AV92" s="1321"/>
      <c r="AW92" s="1321"/>
      <c r="AX92" s="1321"/>
      <c r="AY92" s="1321"/>
      <c r="AZ92" s="1321"/>
      <c r="BA92" s="1321"/>
      <c r="BB92" s="1321"/>
      <c r="BC92" s="1321"/>
      <c r="BD92" s="1321"/>
      <c r="BE92" s="1321"/>
      <c r="BF92" s="1321"/>
      <c r="BG92" s="1321"/>
      <c r="BH92" s="1321"/>
      <c r="BI92" s="1321"/>
      <c r="BJ92" s="1321"/>
      <c r="BK92" s="1321"/>
      <c r="BL92" s="1321"/>
      <c r="BM92" s="1321"/>
      <c r="BN92" s="1321"/>
      <c r="BO92" s="1321"/>
      <c r="BP92" s="1321"/>
      <c r="BQ92" s="1321"/>
      <c r="BR92" s="1321"/>
      <c r="BS92" s="1321"/>
      <c r="BT92" s="1321"/>
      <c r="BU92" s="1321"/>
      <c r="BV92" s="1321"/>
      <c r="BW92" s="1321"/>
      <c r="BX92" s="1321"/>
      <c r="BY92" s="1321"/>
      <c r="BZ92" s="1321"/>
      <c r="CA92" s="1321"/>
      <c r="CB92" s="1321"/>
      <c r="CC92" s="1321"/>
      <c r="CD92" s="1321"/>
      <c r="CE92" s="1321"/>
      <c r="CF92" s="1321"/>
      <c r="CG92" s="1321"/>
      <c r="CH92" s="1321"/>
      <c r="CI92" s="1321"/>
      <c r="CJ92" s="1321"/>
      <c r="CK92" s="1321"/>
      <c r="CL92" s="1321"/>
      <c r="CM92" s="1321"/>
      <c r="CN92" s="1321"/>
      <c r="CO92" s="1321"/>
      <c r="CP92" s="1321"/>
      <c r="CQ92" s="1321"/>
      <c r="CR92" s="1321"/>
      <c r="CS92" s="1321"/>
      <c r="CT92" s="1321"/>
      <c r="CU92" s="1321"/>
      <c r="CV92" s="1321"/>
      <c r="CW92" s="1321"/>
      <c r="CX92" s="1321"/>
      <c r="CY92" s="1321"/>
      <c r="CZ92" s="1321"/>
      <c r="DA92" s="1321"/>
      <c r="DB92" s="1321"/>
      <c r="DC92" s="1321"/>
      <c r="DD92" s="1321"/>
      <c r="DE92" s="1321"/>
      <c r="DF92" s="1321"/>
      <c r="DG92" s="1321"/>
      <c r="DH92" s="1321"/>
      <c r="DI92" s="1321"/>
      <c r="DJ92" s="1321"/>
      <c r="DK92" s="1321"/>
      <c r="DL92" s="1321"/>
      <c r="DM92" s="1321"/>
      <c r="DN92" s="1321"/>
      <c r="DO92" s="1321"/>
      <c r="DP92" s="1321"/>
      <c r="DQ92" s="1321"/>
      <c r="DR92" s="1321"/>
      <c r="DS92" s="1321"/>
      <c r="DT92" s="1321"/>
      <c r="DU92" s="1321"/>
      <c r="DV92" s="1321"/>
      <c r="DW92" s="1321"/>
      <c r="DX92" s="1321"/>
      <c r="DY92" s="1321"/>
      <c r="DZ92" s="1321"/>
      <c r="EA92" s="1321"/>
      <c r="EB92" s="1321"/>
      <c r="EC92" s="1321"/>
      <c r="ED92" s="1321"/>
      <c r="EE92" s="1321"/>
      <c r="EF92" s="1321"/>
      <c r="EG92" s="1321"/>
      <c r="EH92" s="1321"/>
      <c r="EI92" s="1321"/>
    </row>
    <row r="93" spans="1:139" s="180" customFormat="1" ht="12.75" customHeight="1" x14ac:dyDescent="0.2">
      <c r="A93" s="221"/>
      <c r="B93" s="403" t="s">
        <v>415</v>
      </c>
      <c r="C93" s="396"/>
      <c r="D93" s="396"/>
      <c r="E93" s="396"/>
      <c r="F93" s="396"/>
      <c r="G93" s="405"/>
      <c r="H93" s="396"/>
      <c r="I93" s="397"/>
      <c r="J93" s="397"/>
      <c r="K93" s="397"/>
      <c r="L93" s="550"/>
      <c r="M93" s="398"/>
      <c r="N93" s="270"/>
      <c r="O93" s="601"/>
      <c r="P93" s="374"/>
      <c r="Q93" s="374"/>
      <c r="R93" s="270"/>
      <c r="S93" s="193"/>
      <c r="T93" s="185"/>
      <c r="U93" s="240"/>
      <c r="W93" s="185"/>
      <c r="X93" s="185"/>
      <c r="AG93" s="1321"/>
      <c r="AH93" s="1321"/>
      <c r="AI93" s="1321"/>
      <c r="AJ93" s="1321"/>
      <c r="AK93" s="1321"/>
      <c r="AL93" s="1321"/>
      <c r="AM93" s="1321"/>
      <c r="AN93" s="1321"/>
      <c r="AO93" s="1321"/>
      <c r="AP93" s="1321"/>
      <c r="AQ93" s="1321"/>
      <c r="AR93" s="1321"/>
      <c r="AS93" s="1321"/>
      <c r="AT93" s="1321"/>
      <c r="AU93" s="1321"/>
      <c r="AV93" s="1321"/>
      <c r="AW93" s="1321"/>
      <c r="AX93" s="1321"/>
      <c r="AY93" s="1321"/>
      <c r="AZ93" s="1321"/>
      <c r="BA93" s="1321"/>
      <c r="BB93" s="1321"/>
      <c r="BC93" s="1321"/>
      <c r="BD93" s="1321"/>
      <c r="BE93" s="1321"/>
      <c r="BF93" s="1321"/>
      <c r="BG93" s="1321"/>
      <c r="BH93" s="1321"/>
      <c r="BI93" s="1321"/>
      <c r="BJ93" s="1321"/>
      <c r="BK93" s="1321"/>
      <c r="BL93" s="1321"/>
      <c r="BM93" s="1321"/>
      <c r="BN93" s="1321"/>
      <c r="BO93" s="1321"/>
      <c r="BP93" s="1321"/>
      <c r="BQ93" s="1321"/>
      <c r="BR93" s="1321"/>
      <c r="BS93" s="1321"/>
      <c r="BT93" s="1321"/>
      <c r="BU93" s="1321"/>
      <c r="BV93" s="1321"/>
      <c r="BW93" s="1321"/>
      <c r="BX93" s="1321"/>
      <c r="BY93" s="1321"/>
      <c r="BZ93" s="1321"/>
      <c r="CA93" s="1321"/>
      <c r="CB93" s="1321"/>
      <c r="CC93" s="1321"/>
      <c r="CD93" s="1321"/>
      <c r="CE93" s="1321"/>
      <c r="CF93" s="1321"/>
      <c r="CG93" s="1321"/>
      <c r="CH93" s="1321"/>
      <c r="CI93" s="1321"/>
      <c r="CJ93" s="1321"/>
      <c r="CK93" s="1321"/>
      <c r="CL93" s="1321"/>
      <c r="CM93" s="1321"/>
      <c r="CN93" s="1321"/>
      <c r="CO93" s="1321"/>
      <c r="CP93" s="1321"/>
      <c r="CQ93" s="1321"/>
      <c r="CR93" s="1321"/>
      <c r="CS93" s="1321"/>
      <c r="CT93" s="1321"/>
      <c r="CU93" s="1321"/>
      <c r="CV93" s="1321"/>
      <c r="CW93" s="1321"/>
      <c r="CX93" s="1321"/>
      <c r="CY93" s="1321"/>
      <c r="CZ93" s="1321"/>
      <c r="DA93" s="1321"/>
      <c r="DB93" s="1321"/>
      <c r="DC93" s="1321"/>
      <c r="DD93" s="1321"/>
      <c r="DE93" s="1321"/>
      <c r="DF93" s="1321"/>
      <c r="DG93" s="1321"/>
      <c r="DH93" s="1321"/>
      <c r="DI93" s="1321"/>
      <c r="DJ93" s="1321"/>
      <c r="DK93" s="1321"/>
      <c r="DL93" s="1321"/>
      <c r="DM93" s="1321"/>
      <c r="DN93" s="1321"/>
      <c r="DO93" s="1321"/>
      <c r="DP93" s="1321"/>
      <c r="DQ93" s="1321"/>
      <c r="DR93" s="1321"/>
      <c r="DS93" s="1321"/>
      <c r="DT93" s="1321"/>
      <c r="DU93" s="1321"/>
      <c r="DV93" s="1321"/>
      <c r="DW93" s="1321"/>
      <c r="DX93" s="1321"/>
      <c r="DY93" s="1321"/>
      <c r="DZ93" s="1321"/>
      <c r="EA93" s="1321"/>
      <c r="EB93" s="1321"/>
      <c r="EC93" s="1321"/>
      <c r="ED93" s="1321"/>
      <c r="EE93" s="1321"/>
      <c r="EF93" s="1321"/>
      <c r="EG93" s="1321"/>
      <c r="EH93" s="1321"/>
      <c r="EI93" s="1321"/>
    </row>
    <row r="94" spans="1:139" s="180" customFormat="1" ht="12.75" customHeight="1" x14ac:dyDescent="0.2">
      <c r="A94" s="221"/>
      <c r="B94" s="404" t="s">
        <v>417</v>
      </c>
      <c r="C94" s="318">
        <v>0</v>
      </c>
      <c r="D94" s="318">
        <v>0.5</v>
      </c>
      <c r="E94" s="406">
        <v>0.25</v>
      </c>
      <c r="F94" s="318">
        <v>0</v>
      </c>
      <c r="G94" s="407">
        <v>0</v>
      </c>
      <c r="H94" s="249">
        <f>SUM(C94:G94)</f>
        <v>0.75</v>
      </c>
      <c r="I94" s="250"/>
      <c r="J94" s="250"/>
      <c r="K94" s="250"/>
      <c r="L94" s="533">
        <f>((C94*$C$10)+(D94*$D$10)+(E94*$E$10)+(F94*$F$10))</f>
        <v>48.372</v>
      </c>
      <c r="M94" s="251">
        <v>0</v>
      </c>
      <c r="N94" s="252">
        <v>1</v>
      </c>
      <c r="O94" s="602">
        <f>O90</f>
        <v>0</v>
      </c>
      <c r="P94" s="312">
        <f>(C94+D94+E94+F94)*O94</f>
        <v>0</v>
      </c>
      <c r="Q94" s="291">
        <f>(M94+N94)*O94</f>
        <v>0</v>
      </c>
      <c r="R94" s="261">
        <f>(L94+M94+N94)*O94</f>
        <v>0</v>
      </c>
      <c r="S94" s="263" t="s">
        <v>200</v>
      </c>
      <c r="T94" s="292">
        <f>IF($S94="RP",O94,"")</f>
        <v>0</v>
      </c>
      <c r="U94" s="293">
        <f>IF($S94="RP",P94,"")</f>
        <v>0</v>
      </c>
      <c r="V94" s="122">
        <f>IF($S94="RP",Q94,"")</f>
        <v>0</v>
      </c>
      <c r="W94" s="293" t="str">
        <f>IF($S94="RK",O94,"")</f>
        <v/>
      </c>
      <c r="X94" s="293" t="str">
        <f>IF($S94="RK",P94,"")</f>
        <v/>
      </c>
      <c r="Y94" s="122" t="str">
        <f>IF($S94="RK",Q94,"")</f>
        <v/>
      </c>
      <c r="AG94" s="1321"/>
      <c r="AH94" s="1321"/>
      <c r="AI94" s="1321"/>
      <c r="AJ94" s="1321"/>
      <c r="AK94" s="1321"/>
      <c r="AL94" s="1321"/>
      <c r="AM94" s="1321"/>
      <c r="AN94" s="1321"/>
      <c r="AO94" s="1321"/>
      <c r="AP94" s="1321"/>
      <c r="AQ94" s="1321"/>
      <c r="AR94" s="1321"/>
      <c r="AS94" s="1321"/>
      <c r="AT94" s="1321"/>
      <c r="AU94" s="1321"/>
      <c r="AV94" s="1321"/>
      <c r="AW94" s="1321"/>
      <c r="AX94" s="1321"/>
      <c r="AY94" s="1321"/>
      <c r="AZ94" s="1321"/>
      <c r="BA94" s="1321"/>
      <c r="BB94" s="1321"/>
      <c r="BC94" s="1321"/>
      <c r="BD94" s="1321"/>
      <c r="BE94" s="1321"/>
      <c r="BF94" s="1321"/>
      <c r="BG94" s="1321"/>
      <c r="BH94" s="1321"/>
      <c r="BI94" s="1321"/>
      <c r="BJ94" s="1321"/>
      <c r="BK94" s="1321"/>
      <c r="BL94" s="1321"/>
      <c r="BM94" s="1321"/>
      <c r="BN94" s="1321"/>
      <c r="BO94" s="1321"/>
      <c r="BP94" s="1321"/>
      <c r="BQ94" s="1321"/>
      <c r="BR94" s="1321"/>
      <c r="BS94" s="1321"/>
      <c r="BT94" s="1321"/>
      <c r="BU94" s="1321"/>
      <c r="BV94" s="1321"/>
      <c r="BW94" s="1321"/>
      <c r="BX94" s="1321"/>
      <c r="BY94" s="1321"/>
      <c r="BZ94" s="1321"/>
      <c r="CA94" s="1321"/>
      <c r="CB94" s="1321"/>
      <c r="CC94" s="1321"/>
      <c r="CD94" s="1321"/>
      <c r="CE94" s="1321"/>
      <c r="CF94" s="1321"/>
      <c r="CG94" s="1321"/>
      <c r="CH94" s="1321"/>
      <c r="CI94" s="1321"/>
      <c r="CJ94" s="1321"/>
      <c r="CK94" s="1321"/>
      <c r="CL94" s="1321"/>
      <c r="CM94" s="1321"/>
      <c r="CN94" s="1321"/>
      <c r="CO94" s="1321"/>
      <c r="CP94" s="1321"/>
      <c r="CQ94" s="1321"/>
      <c r="CR94" s="1321"/>
      <c r="CS94" s="1321"/>
      <c r="CT94" s="1321"/>
      <c r="CU94" s="1321"/>
      <c r="CV94" s="1321"/>
      <c r="CW94" s="1321"/>
      <c r="CX94" s="1321"/>
      <c r="CY94" s="1321"/>
      <c r="CZ94" s="1321"/>
      <c r="DA94" s="1321"/>
      <c r="DB94" s="1321"/>
      <c r="DC94" s="1321"/>
      <c r="DD94" s="1321"/>
      <c r="DE94" s="1321"/>
      <c r="DF94" s="1321"/>
      <c r="DG94" s="1321"/>
      <c r="DH94" s="1321"/>
      <c r="DI94" s="1321"/>
      <c r="DJ94" s="1321"/>
      <c r="DK94" s="1321"/>
      <c r="DL94" s="1321"/>
      <c r="DM94" s="1321"/>
      <c r="DN94" s="1321"/>
      <c r="DO94" s="1321"/>
      <c r="DP94" s="1321"/>
      <c r="DQ94" s="1321"/>
      <c r="DR94" s="1321"/>
      <c r="DS94" s="1321"/>
      <c r="DT94" s="1321"/>
      <c r="DU94" s="1321"/>
      <c r="DV94" s="1321"/>
      <c r="DW94" s="1321"/>
      <c r="DX94" s="1321"/>
      <c r="DY94" s="1321"/>
      <c r="DZ94" s="1321"/>
      <c r="EA94" s="1321"/>
      <c r="EB94" s="1321"/>
      <c r="EC94" s="1321"/>
      <c r="ED94" s="1321"/>
      <c r="EE94" s="1321"/>
      <c r="EF94" s="1321"/>
      <c r="EG94" s="1321"/>
      <c r="EH94" s="1321"/>
      <c r="EI94" s="1321"/>
    </row>
    <row r="95" spans="1:139" s="180" customFormat="1" ht="12.75" customHeight="1" x14ac:dyDescent="0.2">
      <c r="A95" s="278" t="s">
        <v>583</v>
      </c>
      <c r="B95" s="279"/>
      <c r="C95" s="280"/>
      <c r="D95" s="280"/>
      <c r="E95" s="280"/>
      <c r="F95" s="280"/>
      <c r="G95" s="280"/>
      <c r="H95" s="280"/>
      <c r="I95" s="281"/>
      <c r="J95" s="281"/>
      <c r="K95" s="281"/>
      <c r="L95" s="535"/>
      <c r="M95" s="282"/>
      <c r="N95" s="283"/>
      <c r="O95" s="402"/>
      <c r="P95" s="284"/>
      <c r="Q95" s="284"/>
      <c r="R95" s="283"/>
      <c r="S95" s="193"/>
      <c r="T95" s="185"/>
      <c r="U95" s="240"/>
      <c r="W95" s="185"/>
      <c r="X95" s="185"/>
      <c r="AG95" s="1321"/>
      <c r="AH95" s="1321"/>
      <c r="AI95" s="1321"/>
      <c r="AJ95" s="1321"/>
      <c r="AK95" s="1321"/>
      <c r="AL95" s="1321"/>
      <c r="AM95" s="1321"/>
      <c r="AN95" s="1321"/>
      <c r="AO95" s="1321"/>
      <c r="AP95" s="1321"/>
      <c r="AQ95" s="1321"/>
      <c r="AR95" s="1321"/>
      <c r="AS95" s="1321"/>
      <c r="AT95" s="1321"/>
      <c r="AU95" s="1321"/>
      <c r="AV95" s="1321"/>
      <c r="AW95" s="1321"/>
      <c r="AX95" s="1321"/>
      <c r="AY95" s="1321"/>
      <c r="AZ95" s="1321"/>
      <c r="BA95" s="1321"/>
      <c r="BB95" s="1321"/>
      <c r="BC95" s="1321"/>
      <c r="BD95" s="1321"/>
      <c r="BE95" s="1321"/>
      <c r="BF95" s="1321"/>
      <c r="BG95" s="1321"/>
      <c r="BH95" s="1321"/>
      <c r="BI95" s="1321"/>
      <c r="BJ95" s="1321"/>
      <c r="BK95" s="1321"/>
      <c r="BL95" s="1321"/>
      <c r="BM95" s="1321"/>
      <c r="BN95" s="1321"/>
      <c r="BO95" s="1321"/>
      <c r="BP95" s="1321"/>
      <c r="BQ95" s="1321"/>
      <c r="BR95" s="1321"/>
      <c r="BS95" s="1321"/>
      <c r="BT95" s="1321"/>
      <c r="BU95" s="1321"/>
      <c r="BV95" s="1321"/>
      <c r="BW95" s="1321"/>
      <c r="BX95" s="1321"/>
      <c r="BY95" s="1321"/>
      <c r="BZ95" s="1321"/>
      <c r="CA95" s="1321"/>
      <c r="CB95" s="1321"/>
      <c r="CC95" s="1321"/>
      <c r="CD95" s="1321"/>
      <c r="CE95" s="1321"/>
      <c r="CF95" s="1321"/>
      <c r="CG95" s="1321"/>
      <c r="CH95" s="1321"/>
      <c r="CI95" s="1321"/>
      <c r="CJ95" s="1321"/>
      <c r="CK95" s="1321"/>
      <c r="CL95" s="1321"/>
      <c r="CM95" s="1321"/>
      <c r="CN95" s="1321"/>
      <c r="CO95" s="1321"/>
      <c r="CP95" s="1321"/>
      <c r="CQ95" s="1321"/>
      <c r="CR95" s="1321"/>
      <c r="CS95" s="1321"/>
      <c r="CT95" s="1321"/>
      <c r="CU95" s="1321"/>
      <c r="CV95" s="1321"/>
      <c r="CW95" s="1321"/>
      <c r="CX95" s="1321"/>
      <c r="CY95" s="1321"/>
      <c r="CZ95" s="1321"/>
      <c r="DA95" s="1321"/>
      <c r="DB95" s="1321"/>
      <c r="DC95" s="1321"/>
      <c r="DD95" s="1321"/>
      <c r="DE95" s="1321"/>
      <c r="DF95" s="1321"/>
      <c r="DG95" s="1321"/>
      <c r="DH95" s="1321"/>
      <c r="DI95" s="1321"/>
      <c r="DJ95" s="1321"/>
      <c r="DK95" s="1321"/>
      <c r="DL95" s="1321"/>
      <c r="DM95" s="1321"/>
      <c r="DN95" s="1321"/>
      <c r="DO95" s="1321"/>
      <c r="DP95" s="1321"/>
      <c r="DQ95" s="1321"/>
      <c r="DR95" s="1321"/>
      <c r="DS95" s="1321"/>
      <c r="DT95" s="1321"/>
      <c r="DU95" s="1321"/>
      <c r="DV95" s="1321"/>
      <c r="DW95" s="1321"/>
      <c r="DX95" s="1321"/>
      <c r="DY95" s="1321"/>
      <c r="DZ95" s="1321"/>
      <c r="EA95" s="1321"/>
      <c r="EB95" s="1321"/>
      <c r="EC95" s="1321"/>
      <c r="ED95" s="1321"/>
      <c r="EE95" s="1321"/>
      <c r="EF95" s="1321"/>
      <c r="EG95" s="1321"/>
      <c r="EH95" s="1321"/>
      <c r="EI95" s="1321"/>
    </row>
    <row r="96" spans="1:139" s="180" customFormat="1" ht="12.75" customHeight="1" x14ac:dyDescent="0.2">
      <c r="A96" s="221"/>
      <c r="B96" s="403" t="s">
        <v>418</v>
      </c>
      <c r="C96" s="396"/>
      <c r="D96" s="396"/>
      <c r="E96" s="396"/>
      <c r="F96" s="396"/>
      <c r="G96" s="396"/>
      <c r="H96" s="396"/>
      <c r="I96" s="397"/>
      <c r="J96" s="397"/>
      <c r="K96" s="397"/>
      <c r="L96" s="550"/>
      <c r="M96" s="398"/>
      <c r="N96" s="270"/>
      <c r="O96" s="599"/>
      <c r="P96" s="374"/>
      <c r="Q96" s="374"/>
      <c r="R96" s="270"/>
      <c r="S96" s="193"/>
      <c r="T96" s="185"/>
      <c r="U96" s="240"/>
      <c r="W96" s="185"/>
      <c r="X96" s="185"/>
      <c r="AG96" s="1321"/>
      <c r="AH96" s="1321"/>
      <c r="AI96" s="1321"/>
      <c r="AJ96" s="1321"/>
      <c r="AK96" s="1321"/>
      <c r="AL96" s="1321"/>
      <c r="AM96" s="1321"/>
      <c r="AN96" s="1321"/>
      <c r="AO96" s="1321"/>
      <c r="AP96" s="1321"/>
      <c r="AQ96" s="1321"/>
      <c r="AR96" s="1321"/>
      <c r="AS96" s="1321"/>
      <c r="AT96" s="1321"/>
      <c r="AU96" s="1321"/>
      <c r="AV96" s="1321"/>
      <c r="AW96" s="1321"/>
      <c r="AX96" s="1321"/>
      <c r="AY96" s="1321"/>
      <c r="AZ96" s="1321"/>
      <c r="BA96" s="1321"/>
      <c r="BB96" s="1321"/>
      <c r="BC96" s="1321"/>
      <c r="BD96" s="1321"/>
      <c r="BE96" s="1321"/>
      <c r="BF96" s="1321"/>
      <c r="BG96" s="1321"/>
      <c r="BH96" s="1321"/>
      <c r="BI96" s="1321"/>
      <c r="BJ96" s="1321"/>
      <c r="BK96" s="1321"/>
      <c r="BL96" s="1321"/>
      <c r="BM96" s="1321"/>
      <c r="BN96" s="1321"/>
      <c r="BO96" s="1321"/>
      <c r="BP96" s="1321"/>
      <c r="BQ96" s="1321"/>
      <c r="BR96" s="1321"/>
      <c r="BS96" s="1321"/>
      <c r="BT96" s="1321"/>
      <c r="BU96" s="1321"/>
      <c r="BV96" s="1321"/>
      <c r="BW96" s="1321"/>
      <c r="BX96" s="1321"/>
      <c r="BY96" s="1321"/>
      <c r="BZ96" s="1321"/>
      <c r="CA96" s="1321"/>
      <c r="CB96" s="1321"/>
      <c r="CC96" s="1321"/>
      <c r="CD96" s="1321"/>
      <c r="CE96" s="1321"/>
      <c r="CF96" s="1321"/>
      <c r="CG96" s="1321"/>
      <c r="CH96" s="1321"/>
      <c r="CI96" s="1321"/>
      <c r="CJ96" s="1321"/>
      <c r="CK96" s="1321"/>
      <c r="CL96" s="1321"/>
      <c r="CM96" s="1321"/>
      <c r="CN96" s="1321"/>
      <c r="CO96" s="1321"/>
      <c r="CP96" s="1321"/>
      <c r="CQ96" s="1321"/>
      <c r="CR96" s="1321"/>
      <c r="CS96" s="1321"/>
      <c r="CT96" s="1321"/>
      <c r="CU96" s="1321"/>
      <c r="CV96" s="1321"/>
      <c r="CW96" s="1321"/>
      <c r="CX96" s="1321"/>
      <c r="CY96" s="1321"/>
      <c r="CZ96" s="1321"/>
      <c r="DA96" s="1321"/>
      <c r="DB96" s="1321"/>
      <c r="DC96" s="1321"/>
      <c r="DD96" s="1321"/>
      <c r="DE96" s="1321"/>
      <c r="DF96" s="1321"/>
      <c r="DG96" s="1321"/>
      <c r="DH96" s="1321"/>
      <c r="DI96" s="1321"/>
      <c r="DJ96" s="1321"/>
      <c r="DK96" s="1321"/>
      <c r="DL96" s="1321"/>
      <c r="DM96" s="1321"/>
      <c r="DN96" s="1321"/>
      <c r="DO96" s="1321"/>
      <c r="DP96" s="1321"/>
      <c r="DQ96" s="1321"/>
      <c r="DR96" s="1321"/>
      <c r="DS96" s="1321"/>
      <c r="DT96" s="1321"/>
      <c r="DU96" s="1321"/>
      <c r="DV96" s="1321"/>
      <c r="DW96" s="1321"/>
      <c r="DX96" s="1321"/>
      <c r="DY96" s="1321"/>
      <c r="DZ96" s="1321"/>
      <c r="EA96" s="1321"/>
      <c r="EB96" s="1321"/>
      <c r="EC96" s="1321"/>
      <c r="ED96" s="1321"/>
      <c r="EE96" s="1321"/>
      <c r="EF96" s="1321"/>
      <c r="EG96" s="1321"/>
      <c r="EH96" s="1321"/>
      <c r="EI96" s="1321"/>
    </row>
    <row r="97" spans="1:139" s="180" customFormat="1" ht="12.75" customHeight="1" x14ac:dyDescent="0.2">
      <c r="A97" s="224"/>
      <c r="B97" s="404" t="s">
        <v>584</v>
      </c>
      <c r="C97" s="318">
        <v>0</v>
      </c>
      <c r="D97" s="318">
        <v>0.25</v>
      </c>
      <c r="E97" s="318">
        <v>2</v>
      </c>
      <c r="F97" s="318">
        <v>0</v>
      </c>
      <c r="G97" s="318">
        <v>0</v>
      </c>
      <c r="H97" s="249">
        <f>SUM(C97:G97)</f>
        <v>2.25</v>
      </c>
      <c r="I97" s="250"/>
      <c r="J97" s="250"/>
      <c r="K97" s="250"/>
      <c r="L97" s="533">
        <f>((C97*$C$10)+(D97*$D$10)+(E97*$E$10)+(F97*$F$10))</f>
        <v>122.37599999999999</v>
      </c>
      <c r="M97" s="251">
        <v>0</v>
      </c>
      <c r="N97" s="252">
        <v>0</v>
      </c>
      <c r="O97" s="600">
        <f>'Table 1'!L131</f>
        <v>0</v>
      </c>
      <c r="P97" s="312">
        <f>(C97+D97+E97+F97)*O97</f>
        <v>0</v>
      </c>
      <c r="Q97" s="291">
        <f>(M97+N97)*O97</f>
        <v>0</v>
      </c>
      <c r="R97" s="261">
        <f>(L97+M97+N97)*O97</f>
        <v>0</v>
      </c>
      <c r="S97" s="263" t="s">
        <v>199</v>
      </c>
      <c r="T97" s="292" t="str">
        <f>IF($S97="RP",O97,"")</f>
        <v/>
      </c>
      <c r="U97" s="293" t="str">
        <f>IF($S97="RP",P97,"")</f>
        <v/>
      </c>
      <c r="V97" s="122" t="str">
        <f>IF($S97="RP",Q97,"")</f>
        <v/>
      </c>
      <c r="W97" s="293">
        <f>IF($S97="RK",O97,"")</f>
        <v>0</v>
      </c>
      <c r="X97" s="293">
        <f>IF($S97="RK",P97,"")</f>
        <v>0</v>
      </c>
      <c r="Y97" s="122">
        <f>IF($S97="RK",Q97,"")</f>
        <v>0</v>
      </c>
      <c r="AG97" s="1321"/>
      <c r="AH97" s="1321"/>
      <c r="AI97" s="1321"/>
      <c r="AJ97" s="1321"/>
      <c r="AK97" s="1321"/>
      <c r="AL97" s="1321"/>
      <c r="AM97" s="1321"/>
      <c r="AN97" s="1321"/>
      <c r="AO97" s="1321"/>
      <c r="AP97" s="1321"/>
      <c r="AQ97" s="1321"/>
      <c r="AR97" s="1321"/>
      <c r="AS97" s="1321"/>
      <c r="AT97" s="1321"/>
      <c r="AU97" s="1321"/>
      <c r="AV97" s="1321"/>
      <c r="AW97" s="1321"/>
      <c r="AX97" s="1321"/>
      <c r="AY97" s="1321"/>
      <c r="AZ97" s="1321"/>
      <c r="BA97" s="1321"/>
      <c r="BB97" s="1321"/>
      <c r="BC97" s="1321"/>
      <c r="BD97" s="1321"/>
      <c r="BE97" s="1321"/>
      <c r="BF97" s="1321"/>
      <c r="BG97" s="1321"/>
      <c r="BH97" s="1321"/>
      <c r="BI97" s="1321"/>
      <c r="BJ97" s="1321"/>
      <c r="BK97" s="1321"/>
      <c r="BL97" s="1321"/>
      <c r="BM97" s="1321"/>
      <c r="BN97" s="1321"/>
      <c r="BO97" s="1321"/>
      <c r="BP97" s="1321"/>
      <c r="BQ97" s="1321"/>
      <c r="BR97" s="1321"/>
      <c r="BS97" s="1321"/>
      <c r="BT97" s="1321"/>
      <c r="BU97" s="1321"/>
      <c r="BV97" s="1321"/>
      <c r="BW97" s="1321"/>
      <c r="BX97" s="1321"/>
      <c r="BY97" s="1321"/>
      <c r="BZ97" s="1321"/>
      <c r="CA97" s="1321"/>
      <c r="CB97" s="1321"/>
      <c r="CC97" s="1321"/>
      <c r="CD97" s="1321"/>
      <c r="CE97" s="1321"/>
      <c r="CF97" s="1321"/>
      <c r="CG97" s="1321"/>
      <c r="CH97" s="1321"/>
      <c r="CI97" s="1321"/>
      <c r="CJ97" s="1321"/>
      <c r="CK97" s="1321"/>
      <c r="CL97" s="1321"/>
      <c r="CM97" s="1321"/>
      <c r="CN97" s="1321"/>
      <c r="CO97" s="1321"/>
      <c r="CP97" s="1321"/>
      <c r="CQ97" s="1321"/>
      <c r="CR97" s="1321"/>
      <c r="CS97" s="1321"/>
      <c r="CT97" s="1321"/>
      <c r="CU97" s="1321"/>
      <c r="CV97" s="1321"/>
      <c r="CW97" s="1321"/>
      <c r="CX97" s="1321"/>
      <c r="CY97" s="1321"/>
      <c r="CZ97" s="1321"/>
      <c r="DA97" s="1321"/>
      <c r="DB97" s="1321"/>
      <c r="DC97" s="1321"/>
      <c r="DD97" s="1321"/>
      <c r="DE97" s="1321"/>
      <c r="DF97" s="1321"/>
      <c r="DG97" s="1321"/>
      <c r="DH97" s="1321"/>
      <c r="DI97" s="1321"/>
      <c r="DJ97" s="1321"/>
      <c r="DK97" s="1321"/>
      <c r="DL97" s="1321"/>
      <c r="DM97" s="1321"/>
      <c r="DN97" s="1321"/>
      <c r="DO97" s="1321"/>
      <c r="DP97" s="1321"/>
      <c r="DQ97" s="1321"/>
      <c r="DR97" s="1321"/>
      <c r="DS97" s="1321"/>
      <c r="DT97" s="1321"/>
      <c r="DU97" s="1321"/>
      <c r="DV97" s="1321"/>
      <c r="DW97" s="1321"/>
      <c r="DX97" s="1321"/>
      <c r="DY97" s="1321"/>
      <c r="DZ97" s="1321"/>
      <c r="EA97" s="1321"/>
      <c r="EB97" s="1321"/>
      <c r="EC97" s="1321"/>
      <c r="ED97" s="1321"/>
      <c r="EE97" s="1321"/>
      <c r="EF97" s="1321"/>
      <c r="EG97" s="1321"/>
      <c r="EH97" s="1321"/>
      <c r="EI97" s="1321"/>
    </row>
    <row r="98" spans="1:139" s="180" customFormat="1" ht="12.75" customHeight="1" x14ac:dyDescent="0.2">
      <c r="A98" s="408"/>
      <c r="B98" s="409" t="s">
        <v>582</v>
      </c>
      <c r="C98" s="318">
        <v>0</v>
      </c>
      <c r="D98" s="318">
        <v>0.25</v>
      </c>
      <c r="E98" s="318">
        <v>2</v>
      </c>
      <c r="F98" s="318">
        <v>0</v>
      </c>
      <c r="G98" s="318">
        <v>0</v>
      </c>
      <c r="H98" s="249">
        <f>SUM(C98:G98)</f>
        <v>2.25</v>
      </c>
      <c r="I98" s="250"/>
      <c r="J98" s="250"/>
      <c r="K98" s="250"/>
      <c r="L98" s="533">
        <f>((C98*$C$10)+(D98*$D$10)+(E98*$E$10)+(F98*$F$10))</f>
        <v>122.37599999999999</v>
      </c>
      <c r="M98" s="251">
        <v>0</v>
      </c>
      <c r="N98" s="252">
        <v>0</v>
      </c>
      <c r="O98" s="600">
        <f>'Table 1'!L134</f>
        <v>5.7</v>
      </c>
      <c r="P98" s="312">
        <f>(C98+D98+E98+F98)*O98</f>
        <v>12.825000000000001</v>
      </c>
      <c r="Q98" s="291">
        <f>(M98+N98)*O98</f>
        <v>0</v>
      </c>
      <c r="R98" s="559">
        <f>(L98+M98+N98)*O98</f>
        <v>697.54319999999996</v>
      </c>
      <c r="S98" s="263" t="s">
        <v>199</v>
      </c>
      <c r="T98" s="292" t="str">
        <f t="shared" ref="T98:V98" si="34">IF($S98="RP",O98,"")</f>
        <v/>
      </c>
      <c r="U98" s="293" t="str">
        <f t="shared" si="34"/>
        <v/>
      </c>
      <c r="V98" s="122" t="str">
        <f t="shared" si="34"/>
        <v/>
      </c>
      <c r="W98" s="293">
        <f t="shared" ref="W98:Y98" si="35">IF($S98="RK",O98,"")</f>
        <v>5.7</v>
      </c>
      <c r="X98" s="293">
        <f t="shared" si="35"/>
        <v>12.825000000000001</v>
      </c>
      <c r="Y98" s="122">
        <f t="shared" si="35"/>
        <v>0</v>
      </c>
      <c r="AG98" s="1321"/>
      <c r="AH98" s="1321"/>
      <c r="AI98" s="1321"/>
      <c r="AJ98" s="1321"/>
      <c r="AK98" s="1321"/>
      <c r="AL98" s="1321"/>
      <c r="AM98" s="1321"/>
      <c r="AN98" s="1321"/>
      <c r="AO98" s="1321"/>
      <c r="AP98" s="1321"/>
      <c r="AQ98" s="1321"/>
      <c r="AR98" s="1321"/>
      <c r="AS98" s="1321"/>
      <c r="AT98" s="1321"/>
      <c r="AU98" s="1321"/>
      <c r="AV98" s="1321"/>
      <c r="AW98" s="1321"/>
      <c r="AX98" s="1321"/>
      <c r="AY98" s="1321"/>
      <c r="AZ98" s="1321"/>
      <c r="BA98" s="1321"/>
      <c r="BB98" s="1321"/>
      <c r="BC98" s="1321"/>
      <c r="BD98" s="1321"/>
      <c r="BE98" s="1321"/>
      <c r="BF98" s="1321"/>
      <c r="BG98" s="1321"/>
      <c r="BH98" s="1321"/>
      <c r="BI98" s="1321"/>
      <c r="BJ98" s="1321"/>
      <c r="BK98" s="1321"/>
      <c r="BL98" s="1321"/>
      <c r="BM98" s="1321"/>
      <c r="BN98" s="1321"/>
      <c r="BO98" s="1321"/>
      <c r="BP98" s="1321"/>
      <c r="BQ98" s="1321"/>
      <c r="BR98" s="1321"/>
      <c r="BS98" s="1321"/>
      <c r="BT98" s="1321"/>
      <c r="BU98" s="1321"/>
      <c r="BV98" s="1321"/>
      <c r="BW98" s="1321"/>
      <c r="BX98" s="1321"/>
      <c r="BY98" s="1321"/>
      <c r="BZ98" s="1321"/>
      <c r="CA98" s="1321"/>
      <c r="CB98" s="1321"/>
      <c r="CC98" s="1321"/>
      <c r="CD98" s="1321"/>
      <c r="CE98" s="1321"/>
      <c r="CF98" s="1321"/>
      <c r="CG98" s="1321"/>
      <c r="CH98" s="1321"/>
      <c r="CI98" s="1321"/>
      <c r="CJ98" s="1321"/>
      <c r="CK98" s="1321"/>
      <c r="CL98" s="1321"/>
      <c r="CM98" s="1321"/>
      <c r="CN98" s="1321"/>
      <c r="CO98" s="1321"/>
      <c r="CP98" s="1321"/>
      <c r="CQ98" s="1321"/>
      <c r="CR98" s="1321"/>
      <c r="CS98" s="1321"/>
      <c r="CT98" s="1321"/>
      <c r="CU98" s="1321"/>
      <c r="CV98" s="1321"/>
      <c r="CW98" s="1321"/>
      <c r="CX98" s="1321"/>
      <c r="CY98" s="1321"/>
      <c r="CZ98" s="1321"/>
      <c r="DA98" s="1321"/>
      <c r="DB98" s="1321"/>
      <c r="DC98" s="1321"/>
      <c r="DD98" s="1321"/>
      <c r="DE98" s="1321"/>
      <c r="DF98" s="1321"/>
      <c r="DG98" s="1321"/>
      <c r="DH98" s="1321"/>
      <c r="DI98" s="1321"/>
      <c r="DJ98" s="1321"/>
      <c r="DK98" s="1321"/>
      <c r="DL98" s="1321"/>
      <c r="DM98" s="1321"/>
      <c r="DN98" s="1321"/>
      <c r="DO98" s="1321"/>
      <c r="DP98" s="1321"/>
      <c r="DQ98" s="1321"/>
      <c r="DR98" s="1321"/>
      <c r="DS98" s="1321"/>
      <c r="DT98" s="1321"/>
      <c r="DU98" s="1321"/>
      <c r="DV98" s="1321"/>
      <c r="DW98" s="1321"/>
      <c r="DX98" s="1321"/>
      <c r="DY98" s="1321"/>
      <c r="DZ98" s="1321"/>
      <c r="EA98" s="1321"/>
      <c r="EB98" s="1321"/>
      <c r="EC98" s="1321"/>
      <c r="ED98" s="1321"/>
      <c r="EE98" s="1321"/>
      <c r="EF98" s="1321"/>
      <c r="EG98" s="1321"/>
      <c r="EH98" s="1321"/>
      <c r="EI98" s="1321"/>
    </row>
    <row r="99" spans="1:139" s="180" customFormat="1" ht="12.75" customHeight="1" x14ac:dyDescent="0.2">
      <c r="A99" s="221"/>
      <c r="B99" s="403" t="s">
        <v>420</v>
      </c>
      <c r="C99" s="396"/>
      <c r="D99" s="396"/>
      <c r="E99" s="396"/>
      <c r="F99" s="396"/>
      <c r="G99" s="396"/>
      <c r="H99" s="396"/>
      <c r="I99" s="397"/>
      <c r="J99" s="397"/>
      <c r="K99" s="397"/>
      <c r="L99" s="550"/>
      <c r="M99" s="398"/>
      <c r="N99" s="270"/>
      <c r="O99" s="601"/>
      <c r="P99" s="374"/>
      <c r="Q99" s="374"/>
      <c r="R99" s="565"/>
      <c r="S99" s="193"/>
      <c r="T99" s="185"/>
      <c r="U99" s="240"/>
      <c r="W99" s="185"/>
      <c r="X99" s="185"/>
      <c r="AG99" s="1321"/>
      <c r="AH99" s="1321"/>
      <c r="AI99" s="1321"/>
      <c r="AJ99" s="1321"/>
      <c r="AK99" s="1321"/>
      <c r="AL99" s="1321"/>
      <c r="AM99" s="1321"/>
      <c r="AN99" s="1321"/>
      <c r="AO99" s="1321"/>
      <c r="AP99" s="1321"/>
      <c r="AQ99" s="1321"/>
      <c r="AR99" s="1321"/>
      <c r="AS99" s="1321"/>
      <c r="AT99" s="1321"/>
      <c r="AU99" s="1321"/>
      <c r="AV99" s="1321"/>
      <c r="AW99" s="1321"/>
      <c r="AX99" s="1321"/>
      <c r="AY99" s="1321"/>
      <c r="AZ99" s="1321"/>
      <c r="BA99" s="1321"/>
      <c r="BB99" s="1321"/>
      <c r="BC99" s="1321"/>
      <c r="BD99" s="1321"/>
      <c r="BE99" s="1321"/>
      <c r="BF99" s="1321"/>
      <c r="BG99" s="1321"/>
      <c r="BH99" s="1321"/>
      <c r="BI99" s="1321"/>
      <c r="BJ99" s="1321"/>
      <c r="BK99" s="1321"/>
      <c r="BL99" s="1321"/>
      <c r="BM99" s="1321"/>
      <c r="BN99" s="1321"/>
      <c r="BO99" s="1321"/>
      <c r="BP99" s="1321"/>
      <c r="BQ99" s="1321"/>
      <c r="BR99" s="1321"/>
      <c r="BS99" s="1321"/>
      <c r="BT99" s="1321"/>
      <c r="BU99" s="1321"/>
      <c r="BV99" s="1321"/>
      <c r="BW99" s="1321"/>
      <c r="BX99" s="1321"/>
      <c r="BY99" s="1321"/>
      <c r="BZ99" s="1321"/>
      <c r="CA99" s="1321"/>
      <c r="CB99" s="1321"/>
      <c r="CC99" s="1321"/>
      <c r="CD99" s="1321"/>
      <c r="CE99" s="1321"/>
      <c r="CF99" s="1321"/>
      <c r="CG99" s="1321"/>
      <c r="CH99" s="1321"/>
      <c r="CI99" s="1321"/>
      <c r="CJ99" s="1321"/>
      <c r="CK99" s="1321"/>
      <c r="CL99" s="1321"/>
      <c r="CM99" s="1321"/>
      <c r="CN99" s="1321"/>
      <c r="CO99" s="1321"/>
      <c r="CP99" s="1321"/>
      <c r="CQ99" s="1321"/>
      <c r="CR99" s="1321"/>
      <c r="CS99" s="1321"/>
      <c r="CT99" s="1321"/>
      <c r="CU99" s="1321"/>
      <c r="CV99" s="1321"/>
      <c r="CW99" s="1321"/>
      <c r="CX99" s="1321"/>
      <c r="CY99" s="1321"/>
      <c r="CZ99" s="1321"/>
      <c r="DA99" s="1321"/>
      <c r="DB99" s="1321"/>
      <c r="DC99" s="1321"/>
      <c r="DD99" s="1321"/>
      <c r="DE99" s="1321"/>
      <c r="DF99" s="1321"/>
      <c r="DG99" s="1321"/>
      <c r="DH99" s="1321"/>
      <c r="DI99" s="1321"/>
      <c r="DJ99" s="1321"/>
      <c r="DK99" s="1321"/>
      <c r="DL99" s="1321"/>
      <c r="DM99" s="1321"/>
      <c r="DN99" s="1321"/>
      <c r="DO99" s="1321"/>
      <c r="DP99" s="1321"/>
      <c r="DQ99" s="1321"/>
      <c r="DR99" s="1321"/>
      <c r="DS99" s="1321"/>
      <c r="DT99" s="1321"/>
      <c r="DU99" s="1321"/>
      <c r="DV99" s="1321"/>
      <c r="DW99" s="1321"/>
      <c r="DX99" s="1321"/>
      <c r="DY99" s="1321"/>
      <c r="DZ99" s="1321"/>
      <c r="EA99" s="1321"/>
      <c r="EB99" s="1321"/>
      <c r="EC99" s="1321"/>
      <c r="ED99" s="1321"/>
      <c r="EE99" s="1321"/>
      <c r="EF99" s="1321"/>
      <c r="EG99" s="1321"/>
      <c r="EH99" s="1321"/>
      <c r="EI99" s="1321"/>
    </row>
    <row r="100" spans="1:139" s="180" customFormat="1" ht="12.75" customHeight="1" x14ac:dyDescent="0.2">
      <c r="A100" s="224"/>
      <c r="B100" s="404" t="s">
        <v>421</v>
      </c>
      <c r="C100" s="318">
        <v>0</v>
      </c>
      <c r="D100" s="318">
        <v>0.25</v>
      </c>
      <c r="E100" s="318">
        <v>0</v>
      </c>
      <c r="F100" s="318">
        <v>0.25</v>
      </c>
      <c r="G100" s="318">
        <v>0</v>
      </c>
      <c r="H100" s="249">
        <f>SUM(C100:G100)</f>
        <v>0.5</v>
      </c>
      <c r="I100" s="250"/>
      <c r="J100" s="250"/>
      <c r="K100" s="250"/>
      <c r="L100" s="533">
        <f>((C100*$C$10)+(D100*$D$10)+(E100*$E$10)+(F100*$F$10))</f>
        <v>24.724</v>
      </c>
      <c r="M100" s="251">
        <v>0</v>
      </c>
      <c r="N100" s="319">
        <v>1</v>
      </c>
      <c r="O100" s="600">
        <f>O98</f>
        <v>5.7</v>
      </c>
      <c r="P100" s="253">
        <f>(C100+D100+E100+F100)*O100</f>
        <v>2.85</v>
      </c>
      <c r="Q100" s="298">
        <f>(M100+N100)*O100</f>
        <v>5.7</v>
      </c>
      <c r="R100" s="559">
        <f>(L100+M100+N100)*O100</f>
        <v>146.6268</v>
      </c>
      <c r="S100" s="263" t="s">
        <v>200</v>
      </c>
      <c r="T100" s="292">
        <f>IF($S100="RP",O100,"")</f>
        <v>5.7</v>
      </c>
      <c r="U100" s="293">
        <f>IF($S100="RP",P100,"")</f>
        <v>2.85</v>
      </c>
      <c r="V100" s="122">
        <f>IF($S100="RP",Q100,"")</f>
        <v>5.7</v>
      </c>
      <c r="W100" s="293" t="str">
        <f>IF($S100="RK",O100,"")</f>
        <v/>
      </c>
      <c r="X100" s="293" t="str">
        <f>IF($S100="RK",P100,"")</f>
        <v/>
      </c>
      <c r="Y100" s="122" t="str">
        <f>IF($S100="RK",Q100,"")</f>
        <v/>
      </c>
      <c r="AG100" s="1321"/>
      <c r="AH100" s="1321"/>
      <c r="AI100" s="1321"/>
      <c r="AJ100" s="1321"/>
      <c r="AK100" s="1321"/>
      <c r="AL100" s="1321"/>
      <c r="AM100" s="1321"/>
      <c r="AN100" s="1321"/>
      <c r="AO100" s="1321"/>
      <c r="AP100" s="1321"/>
      <c r="AQ100" s="1321"/>
      <c r="AR100" s="1321"/>
      <c r="AS100" s="1321"/>
      <c r="AT100" s="1321"/>
      <c r="AU100" s="1321"/>
      <c r="AV100" s="1321"/>
      <c r="AW100" s="1321"/>
      <c r="AX100" s="1321"/>
      <c r="AY100" s="1321"/>
      <c r="AZ100" s="1321"/>
      <c r="BA100" s="1321"/>
      <c r="BB100" s="1321"/>
      <c r="BC100" s="1321"/>
      <c r="BD100" s="1321"/>
      <c r="BE100" s="1321"/>
      <c r="BF100" s="1321"/>
      <c r="BG100" s="1321"/>
      <c r="BH100" s="1321"/>
      <c r="BI100" s="1321"/>
      <c r="BJ100" s="1321"/>
      <c r="BK100" s="1321"/>
      <c r="BL100" s="1321"/>
      <c r="BM100" s="1321"/>
      <c r="BN100" s="1321"/>
      <c r="BO100" s="1321"/>
      <c r="BP100" s="1321"/>
      <c r="BQ100" s="1321"/>
      <c r="BR100" s="1321"/>
      <c r="BS100" s="1321"/>
      <c r="BT100" s="1321"/>
      <c r="BU100" s="1321"/>
      <c r="BV100" s="1321"/>
      <c r="BW100" s="1321"/>
      <c r="BX100" s="1321"/>
      <c r="BY100" s="1321"/>
      <c r="BZ100" s="1321"/>
      <c r="CA100" s="1321"/>
      <c r="CB100" s="1321"/>
      <c r="CC100" s="1321"/>
      <c r="CD100" s="1321"/>
      <c r="CE100" s="1321"/>
      <c r="CF100" s="1321"/>
      <c r="CG100" s="1321"/>
      <c r="CH100" s="1321"/>
      <c r="CI100" s="1321"/>
      <c r="CJ100" s="1321"/>
      <c r="CK100" s="1321"/>
      <c r="CL100" s="1321"/>
      <c r="CM100" s="1321"/>
      <c r="CN100" s="1321"/>
      <c r="CO100" s="1321"/>
      <c r="CP100" s="1321"/>
      <c r="CQ100" s="1321"/>
      <c r="CR100" s="1321"/>
      <c r="CS100" s="1321"/>
      <c r="CT100" s="1321"/>
      <c r="CU100" s="1321"/>
      <c r="CV100" s="1321"/>
      <c r="CW100" s="1321"/>
      <c r="CX100" s="1321"/>
      <c r="CY100" s="1321"/>
      <c r="CZ100" s="1321"/>
      <c r="DA100" s="1321"/>
      <c r="DB100" s="1321"/>
      <c r="DC100" s="1321"/>
      <c r="DD100" s="1321"/>
      <c r="DE100" s="1321"/>
      <c r="DF100" s="1321"/>
      <c r="DG100" s="1321"/>
      <c r="DH100" s="1321"/>
      <c r="DI100" s="1321"/>
      <c r="DJ100" s="1321"/>
      <c r="DK100" s="1321"/>
      <c r="DL100" s="1321"/>
      <c r="DM100" s="1321"/>
      <c r="DN100" s="1321"/>
      <c r="DO100" s="1321"/>
      <c r="DP100" s="1321"/>
      <c r="DQ100" s="1321"/>
      <c r="DR100" s="1321"/>
      <c r="DS100" s="1321"/>
      <c r="DT100" s="1321"/>
      <c r="DU100" s="1321"/>
      <c r="DV100" s="1321"/>
      <c r="DW100" s="1321"/>
      <c r="DX100" s="1321"/>
      <c r="DY100" s="1321"/>
      <c r="DZ100" s="1321"/>
      <c r="EA100" s="1321"/>
      <c r="EB100" s="1321"/>
      <c r="EC100" s="1321"/>
      <c r="ED100" s="1321"/>
      <c r="EE100" s="1321"/>
      <c r="EF100" s="1321"/>
      <c r="EG100" s="1321"/>
      <c r="EH100" s="1321"/>
      <c r="EI100" s="1321"/>
    </row>
    <row r="101" spans="1:139" s="180" customFormat="1" ht="12.75" customHeight="1" x14ac:dyDescent="0.2">
      <c r="A101" s="221"/>
      <c r="B101" s="403" t="s">
        <v>415</v>
      </c>
      <c r="C101" s="396"/>
      <c r="D101" s="396"/>
      <c r="E101" s="396"/>
      <c r="F101" s="396"/>
      <c r="G101" s="396"/>
      <c r="H101" s="396"/>
      <c r="I101" s="397"/>
      <c r="J101" s="397"/>
      <c r="K101" s="397"/>
      <c r="L101" s="550"/>
      <c r="M101" s="398"/>
      <c r="N101" s="270"/>
      <c r="O101" s="601"/>
      <c r="P101" s="374"/>
      <c r="Q101" s="291"/>
      <c r="R101" s="565"/>
      <c r="S101" s="193"/>
      <c r="T101" s="185"/>
      <c r="U101" s="240"/>
      <c r="W101" s="185"/>
      <c r="X101" s="185"/>
      <c r="AG101" s="1321"/>
      <c r="AH101" s="1321"/>
      <c r="AI101" s="1321"/>
      <c r="AJ101" s="1321"/>
      <c r="AK101" s="1321"/>
      <c r="AL101" s="1321"/>
      <c r="AM101" s="1321"/>
      <c r="AN101" s="1321"/>
      <c r="AO101" s="1321"/>
      <c r="AP101" s="1321"/>
      <c r="AQ101" s="1321"/>
      <c r="AR101" s="1321"/>
      <c r="AS101" s="1321"/>
      <c r="AT101" s="1321"/>
      <c r="AU101" s="1321"/>
      <c r="AV101" s="1321"/>
      <c r="AW101" s="1321"/>
      <c r="AX101" s="1321"/>
      <c r="AY101" s="1321"/>
      <c r="AZ101" s="1321"/>
      <c r="BA101" s="1321"/>
      <c r="BB101" s="1321"/>
      <c r="BC101" s="1321"/>
      <c r="BD101" s="1321"/>
      <c r="BE101" s="1321"/>
      <c r="BF101" s="1321"/>
      <c r="BG101" s="1321"/>
      <c r="BH101" s="1321"/>
      <c r="BI101" s="1321"/>
      <c r="BJ101" s="1321"/>
      <c r="BK101" s="1321"/>
      <c r="BL101" s="1321"/>
      <c r="BM101" s="1321"/>
      <c r="BN101" s="1321"/>
      <c r="BO101" s="1321"/>
      <c r="BP101" s="1321"/>
      <c r="BQ101" s="1321"/>
      <c r="BR101" s="1321"/>
      <c r="BS101" s="1321"/>
      <c r="BT101" s="1321"/>
      <c r="BU101" s="1321"/>
      <c r="BV101" s="1321"/>
      <c r="BW101" s="1321"/>
      <c r="BX101" s="1321"/>
      <c r="BY101" s="1321"/>
      <c r="BZ101" s="1321"/>
      <c r="CA101" s="1321"/>
      <c r="CB101" s="1321"/>
      <c r="CC101" s="1321"/>
      <c r="CD101" s="1321"/>
      <c r="CE101" s="1321"/>
      <c r="CF101" s="1321"/>
      <c r="CG101" s="1321"/>
      <c r="CH101" s="1321"/>
      <c r="CI101" s="1321"/>
      <c r="CJ101" s="1321"/>
      <c r="CK101" s="1321"/>
      <c r="CL101" s="1321"/>
      <c r="CM101" s="1321"/>
      <c r="CN101" s="1321"/>
      <c r="CO101" s="1321"/>
      <c r="CP101" s="1321"/>
      <c r="CQ101" s="1321"/>
      <c r="CR101" s="1321"/>
      <c r="CS101" s="1321"/>
      <c r="CT101" s="1321"/>
      <c r="CU101" s="1321"/>
      <c r="CV101" s="1321"/>
      <c r="CW101" s="1321"/>
      <c r="CX101" s="1321"/>
      <c r="CY101" s="1321"/>
      <c r="CZ101" s="1321"/>
      <c r="DA101" s="1321"/>
      <c r="DB101" s="1321"/>
      <c r="DC101" s="1321"/>
      <c r="DD101" s="1321"/>
      <c r="DE101" s="1321"/>
      <c r="DF101" s="1321"/>
      <c r="DG101" s="1321"/>
      <c r="DH101" s="1321"/>
      <c r="DI101" s="1321"/>
      <c r="DJ101" s="1321"/>
      <c r="DK101" s="1321"/>
      <c r="DL101" s="1321"/>
      <c r="DM101" s="1321"/>
      <c r="DN101" s="1321"/>
      <c r="DO101" s="1321"/>
      <c r="DP101" s="1321"/>
      <c r="DQ101" s="1321"/>
      <c r="DR101" s="1321"/>
      <c r="DS101" s="1321"/>
      <c r="DT101" s="1321"/>
      <c r="DU101" s="1321"/>
      <c r="DV101" s="1321"/>
      <c r="DW101" s="1321"/>
      <c r="DX101" s="1321"/>
      <c r="DY101" s="1321"/>
      <c r="DZ101" s="1321"/>
      <c r="EA101" s="1321"/>
      <c r="EB101" s="1321"/>
      <c r="EC101" s="1321"/>
      <c r="ED101" s="1321"/>
      <c r="EE101" s="1321"/>
      <c r="EF101" s="1321"/>
      <c r="EG101" s="1321"/>
      <c r="EH101" s="1321"/>
      <c r="EI101" s="1321"/>
    </row>
    <row r="102" spans="1:139" s="180" customFormat="1" ht="12.75" customHeight="1" x14ac:dyDescent="0.2">
      <c r="A102" s="221"/>
      <c r="B102" s="404" t="s">
        <v>422</v>
      </c>
      <c r="C102" s="318">
        <v>0</v>
      </c>
      <c r="D102" s="318">
        <v>0.25</v>
      </c>
      <c r="E102" s="318">
        <v>0</v>
      </c>
      <c r="F102" s="318">
        <v>0.25</v>
      </c>
      <c r="G102" s="318">
        <v>0</v>
      </c>
      <c r="H102" s="249">
        <f>SUM(C102:G102)</f>
        <v>0.5</v>
      </c>
      <c r="I102" s="250"/>
      <c r="J102" s="250"/>
      <c r="K102" s="250"/>
      <c r="L102" s="533">
        <f>((C102*$C$10)+(D102*$D$10)+(E102*$E$10)+(F102*$F$10))</f>
        <v>24.724</v>
      </c>
      <c r="M102" s="251">
        <v>0</v>
      </c>
      <c r="N102" s="252">
        <v>1</v>
      </c>
      <c r="O102" s="602">
        <f>O97</f>
        <v>0</v>
      </c>
      <c r="P102" s="312">
        <f>(C102+D102+E102+F102)*O102</f>
        <v>0</v>
      </c>
      <c r="Q102" s="291">
        <f>(M102+N102)*O102</f>
        <v>0</v>
      </c>
      <c r="R102" s="261">
        <f>(L102+M102+N102)*O102</f>
        <v>0</v>
      </c>
      <c r="S102" s="263" t="s">
        <v>200</v>
      </c>
      <c r="T102" s="292">
        <f>IF($S102="RP",O102,"")</f>
        <v>0</v>
      </c>
      <c r="U102" s="293">
        <f>IF($S102="RP",P102,"")</f>
        <v>0</v>
      </c>
      <c r="V102" s="122">
        <f>IF($S102="RP",Q102,"")</f>
        <v>0</v>
      </c>
      <c r="W102" s="293" t="str">
        <f>IF($S102="RK",O102,"")</f>
        <v/>
      </c>
      <c r="X102" s="293" t="str">
        <f>IF($S102="RK",P102,"")</f>
        <v/>
      </c>
      <c r="Y102" s="122" t="str">
        <f>IF($S102="RK",Q102,"")</f>
        <v/>
      </c>
      <c r="AG102" s="1321"/>
      <c r="AH102" s="1321"/>
      <c r="AI102" s="1321"/>
      <c r="AJ102" s="1321"/>
      <c r="AK102" s="1321"/>
      <c r="AL102" s="1321"/>
      <c r="AM102" s="1321"/>
      <c r="AN102" s="1321"/>
      <c r="AO102" s="1321"/>
      <c r="AP102" s="1321"/>
      <c r="AQ102" s="1321"/>
      <c r="AR102" s="1321"/>
      <c r="AS102" s="1321"/>
      <c r="AT102" s="1321"/>
      <c r="AU102" s="1321"/>
      <c r="AV102" s="1321"/>
      <c r="AW102" s="1321"/>
      <c r="AX102" s="1321"/>
      <c r="AY102" s="1321"/>
      <c r="AZ102" s="1321"/>
      <c r="BA102" s="1321"/>
      <c r="BB102" s="1321"/>
      <c r="BC102" s="1321"/>
      <c r="BD102" s="1321"/>
      <c r="BE102" s="1321"/>
      <c r="BF102" s="1321"/>
      <c r="BG102" s="1321"/>
      <c r="BH102" s="1321"/>
      <c r="BI102" s="1321"/>
      <c r="BJ102" s="1321"/>
      <c r="BK102" s="1321"/>
      <c r="BL102" s="1321"/>
      <c r="BM102" s="1321"/>
      <c r="BN102" s="1321"/>
      <c r="BO102" s="1321"/>
      <c r="BP102" s="1321"/>
      <c r="BQ102" s="1321"/>
      <c r="BR102" s="1321"/>
      <c r="BS102" s="1321"/>
      <c r="BT102" s="1321"/>
      <c r="BU102" s="1321"/>
      <c r="BV102" s="1321"/>
      <c r="BW102" s="1321"/>
      <c r="BX102" s="1321"/>
      <c r="BY102" s="1321"/>
      <c r="BZ102" s="1321"/>
      <c r="CA102" s="1321"/>
      <c r="CB102" s="1321"/>
      <c r="CC102" s="1321"/>
      <c r="CD102" s="1321"/>
      <c r="CE102" s="1321"/>
      <c r="CF102" s="1321"/>
      <c r="CG102" s="1321"/>
      <c r="CH102" s="1321"/>
      <c r="CI102" s="1321"/>
      <c r="CJ102" s="1321"/>
      <c r="CK102" s="1321"/>
      <c r="CL102" s="1321"/>
      <c r="CM102" s="1321"/>
      <c r="CN102" s="1321"/>
      <c r="CO102" s="1321"/>
      <c r="CP102" s="1321"/>
      <c r="CQ102" s="1321"/>
      <c r="CR102" s="1321"/>
      <c r="CS102" s="1321"/>
      <c r="CT102" s="1321"/>
      <c r="CU102" s="1321"/>
      <c r="CV102" s="1321"/>
      <c r="CW102" s="1321"/>
      <c r="CX102" s="1321"/>
      <c r="CY102" s="1321"/>
      <c r="CZ102" s="1321"/>
      <c r="DA102" s="1321"/>
      <c r="DB102" s="1321"/>
      <c r="DC102" s="1321"/>
      <c r="DD102" s="1321"/>
      <c r="DE102" s="1321"/>
      <c r="DF102" s="1321"/>
      <c r="DG102" s="1321"/>
      <c r="DH102" s="1321"/>
      <c r="DI102" s="1321"/>
      <c r="DJ102" s="1321"/>
      <c r="DK102" s="1321"/>
      <c r="DL102" s="1321"/>
      <c r="DM102" s="1321"/>
      <c r="DN102" s="1321"/>
      <c r="DO102" s="1321"/>
      <c r="DP102" s="1321"/>
      <c r="DQ102" s="1321"/>
      <c r="DR102" s="1321"/>
      <c r="DS102" s="1321"/>
      <c r="DT102" s="1321"/>
      <c r="DU102" s="1321"/>
      <c r="DV102" s="1321"/>
      <c r="DW102" s="1321"/>
      <c r="DX102" s="1321"/>
      <c r="DY102" s="1321"/>
      <c r="DZ102" s="1321"/>
      <c r="EA102" s="1321"/>
      <c r="EB102" s="1321"/>
      <c r="EC102" s="1321"/>
      <c r="ED102" s="1321"/>
      <c r="EE102" s="1321"/>
      <c r="EF102" s="1321"/>
      <c r="EG102" s="1321"/>
      <c r="EH102" s="1321"/>
      <c r="EI102" s="1321"/>
    </row>
    <row r="103" spans="1:139" s="180" customFormat="1" ht="12.75" customHeight="1" x14ac:dyDescent="0.2">
      <c r="A103" s="278" t="s">
        <v>581</v>
      </c>
      <c r="B103" s="279"/>
      <c r="C103" s="280"/>
      <c r="D103" s="280"/>
      <c r="E103" s="280"/>
      <c r="F103" s="280"/>
      <c r="G103" s="280"/>
      <c r="H103" s="280"/>
      <c r="I103" s="281"/>
      <c r="J103" s="281"/>
      <c r="K103" s="281"/>
      <c r="L103" s="535"/>
      <c r="M103" s="282"/>
      <c r="N103" s="283"/>
      <c r="O103" s="402"/>
      <c r="P103" s="284"/>
      <c r="Q103" s="284"/>
      <c r="R103" s="562"/>
      <c r="S103" s="193"/>
      <c r="T103" s="185"/>
      <c r="U103" s="240"/>
      <c r="W103" s="185"/>
      <c r="X103" s="185"/>
      <c r="AG103" s="1321"/>
      <c r="AH103" s="1321"/>
      <c r="AI103" s="1321"/>
      <c r="AJ103" s="1321"/>
      <c r="AK103" s="1321"/>
      <c r="AL103" s="1321"/>
      <c r="AM103" s="1321"/>
      <c r="AN103" s="1321"/>
      <c r="AO103" s="1321"/>
      <c r="AP103" s="1321"/>
      <c r="AQ103" s="1321"/>
      <c r="AR103" s="1321"/>
      <c r="AS103" s="1321"/>
      <c r="AT103" s="1321"/>
      <c r="AU103" s="1321"/>
      <c r="AV103" s="1321"/>
      <c r="AW103" s="1321"/>
      <c r="AX103" s="1321"/>
      <c r="AY103" s="1321"/>
      <c r="AZ103" s="1321"/>
      <c r="BA103" s="1321"/>
      <c r="BB103" s="1321"/>
      <c r="BC103" s="1321"/>
      <c r="BD103" s="1321"/>
      <c r="BE103" s="1321"/>
      <c r="BF103" s="1321"/>
      <c r="BG103" s="1321"/>
      <c r="BH103" s="1321"/>
      <c r="BI103" s="1321"/>
      <c r="BJ103" s="1321"/>
      <c r="BK103" s="1321"/>
      <c r="BL103" s="1321"/>
      <c r="BM103" s="1321"/>
      <c r="BN103" s="1321"/>
      <c r="BO103" s="1321"/>
      <c r="BP103" s="1321"/>
      <c r="BQ103" s="1321"/>
      <c r="BR103" s="1321"/>
      <c r="BS103" s="1321"/>
      <c r="BT103" s="1321"/>
      <c r="BU103" s="1321"/>
      <c r="BV103" s="1321"/>
      <c r="BW103" s="1321"/>
      <c r="BX103" s="1321"/>
      <c r="BY103" s="1321"/>
      <c r="BZ103" s="1321"/>
      <c r="CA103" s="1321"/>
      <c r="CB103" s="1321"/>
      <c r="CC103" s="1321"/>
      <c r="CD103" s="1321"/>
      <c r="CE103" s="1321"/>
      <c r="CF103" s="1321"/>
      <c r="CG103" s="1321"/>
      <c r="CH103" s="1321"/>
      <c r="CI103" s="1321"/>
      <c r="CJ103" s="1321"/>
      <c r="CK103" s="1321"/>
      <c r="CL103" s="1321"/>
      <c r="CM103" s="1321"/>
      <c r="CN103" s="1321"/>
      <c r="CO103" s="1321"/>
      <c r="CP103" s="1321"/>
      <c r="CQ103" s="1321"/>
      <c r="CR103" s="1321"/>
      <c r="CS103" s="1321"/>
      <c r="CT103" s="1321"/>
      <c r="CU103" s="1321"/>
      <c r="CV103" s="1321"/>
      <c r="CW103" s="1321"/>
      <c r="CX103" s="1321"/>
      <c r="CY103" s="1321"/>
      <c r="CZ103" s="1321"/>
      <c r="DA103" s="1321"/>
      <c r="DB103" s="1321"/>
      <c r="DC103" s="1321"/>
      <c r="DD103" s="1321"/>
      <c r="DE103" s="1321"/>
      <c r="DF103" s="1321"/>
      <c r="DG103" s="1321"/>
      <c r="DH103" s="1321"/>
      <c r="DI103" s="1321"/>
      <c r="DJ103" s="1321"/>
      <c r="DK103" s="1321"/>
      <c r="DL103" s="1321"/>
      <c r="DM103" s="1321"/>
      <c r="DN103" s="1321"/>
      <c r="DO103" s="1321"/>
      <c r="DP103" s="1321"/>
      <c r="DQ103" s="1321"/>
      <c r="DR103" s="1321"/>
      <c r="DS103" s="1321"/>
      <c r="DT103" s="1321"/>
      <c r="DU103" s="1321"/>
      <c r="DV103" s="1321"/>
      <c r="DW103" s="1321"/>
      <c r="DX103" s="1321"/>
      <c r="DY103" s="1321"/>
      <c r="DZ103" s="1321"/>
      <c r="EA103" s="1321"/>
      <c r="EB103" s="1321"/>
      <c r="EC103" s="1321"/>
      <c r="ED103" s="1321"/>
      <c r="EE103" s="1321"/>
      <c r="EF103" s="1321"/>
      <c r="EG103" s="1321"/>
      <c r="EH103" s="1321"/>
      <c r="EI103" s="1321"/>
    </row>
    <row r="104" spans="1:139" s="180" customFormat="1" ht="12.75" customHeight="1" x14ac:dyDescent="0.2">
      <c r="A104" s="221"/>
      <c r="B104" s="330" t="s">
        <v>418</v>
      </c>
      <c r="C104" s="396"/>
      <c r="D104" s="396"/>
      <c r="E104" s="396"/>
      <c r="F104" s="396"/>
      <c r="G104" s="396"/>
      <c r="H104" s="396"/>
      <c r="I104" s="397"/>
      <c r="J104" s="397"/>
      <c r="K104" s="397"/>
      <c r="L104" s="550"/>
      <c r="M104" s="398"/>
      <c r="N104" s="270"/>
      <c r="O104" s="599"/>
      <c r="P104" s="374"/>
      <c r="Q104" s="374"/>
      <c r="R104" s="565"/>
      <c r="S104" s="193"/>
      <c r="T104" s="185"/>
      <c r="U104" s="240"/>
      <c r="W104" s="185"/>
      <c r="X104" s="185"/>
      <c r="AG104" s="1321"/>
      <c r="AH104" s="1321"/>
      <c r="AI104" s="1321"/>
      <c r="AJ104" s="1321"/>
      <c r="AK104" s="1321"/>
      <c r="AL104" s="1321"/>
      <c r="AM104" s="1321"/>
      <c r="AN104" s="1321"/>
      <c r="AO104" s="1321"/>
      <c r="AP104" s="1321"/>
      <c r="AQ104" s="1321"/>
      <c r="AR104" s="1321"/>
      <c r="AS104" s="1321"/>
      <c r="AT104" s="1321"/>
      <c r="AU104" s="1321"/>
      <c r="AV104" s="1321"/>
      <c r="AW104" s="1321"/>
      <c r="AX104" s="1321"/>
      <c r="AY104" s="1321"/>
      <c r="AZ104" s="1321"/>
      <c r="BA104" s="1321"/>
      <c r="BB104" s="1321"/>
      <c r="BC104" s="1321"/>
      <c r="BD104" s="1321"/>
      <c r="BE104" s="1321"/>
      <c r="BF104" s="1321"/>
      <c r="BG104" s="1321"/>
      <c r="BH104" s="1321"/>
      <c r="BI104" s="1321"/>
      <c r="BJ104" s="1321"/>
      <c r="BK104" s="1321"/>
      <c r="BL104" s="1321"/>
      <c r="BM104" s="1321"/>
      <c r="BN104" s="1321"/>
      <c r="BO104" s="1321"/>
      <c r="BP104" s="1321"/>
      <c r="BQ104" s="1321"/>
      <c r="BR104" s="1321"/>
      <c r="BS104" s="1321"/>
      <c r="BT104" s="1321"/>
      <c r="BU104" s="1321"/>
      <c r="BV104" s="1321"/>
      <c r="BW104" s="1321"/>
      <c r="BX104" s="1321"/>
      <c r="BY104" s="1321"/>
      <c r="BZ104" s="1321"/>
      <c r="CA104" s="1321"/>
      <c r="CB104" s="1321"/>
      <c r="CC104" s="1321"/>
      <c r="CD104" s="1321"/>
      <c r="CE104" s="1321"/>
      <c r="CF104" s="1321"/>
      <c r="CG104" s="1321"/>
      <c r="CH104" s="1321"/>
      <c r="CI104" s="1321"/>
      <c r="CJ104" s="1321"/>
      <c r="CK104" s="1321"/>
      <c r="CL104" s="1321"/>
      <c r="CM104" s="1321"/>
      <c r="CN104" s="1321"/>
      <c r="CO104" s="1321"/>
      <c r="CP104" s="1321"/>
      <c r="CQ104" s="1321"/>
      <c r="CR104" s="1321"/>
      <c r="CS104" s="1321"/>
      <c r="CT104" s="1321"/>
      <c r="CU104" s="1321"/>
      <c r="CV104" s="1321"/>
      <c r="CW104" s="1321"/>
      <c r="CX104" s="1321"/>
      <c r="CY104" s="1321"/>
      <c r="CZ104" s="1321"/>
      <c r="DA104" s="1321"/>
      <c r="DB104" s="1321"/>
      <c r="DC104" s="1321"/>
      <c r="DD104" s="1321"/>
      <c r="DE104" s="1321"/>
      <c r="DF104" s="1321"/>
      <c r="DG104" s="1321"/>
      <c r="DH104" s="1321"/>
      <c r="DI104" s="1321"/>
      <c r="DJ104" s="1321"/>
      <c r="DK104" s="1321"/>
      <c r="DL104" s="1321"/>
      <c r="DM104" s="1321"/>
      <c r="DN104" s="1321"/>
      <c r="DO104" s="1321"/>
      <c r="DP104" s="1321"/>
      <c r="DQ104" s="1321"/>
      <c r="DR104" s="1321"/>
      <c r="DS104" s="1321"/>
      <c r="DT104" s="1321"/>
      <c r="DU104" s="1321"/>
      <c r="DV104" s="1321"/>
      <c r="DW104" s="1321"/>
      <c r="DX104" s="1321"/>
      <c r="DY104" s="1321"/>
      <c r="DZ104" s="1321"/>
      <c r="EA104" s="1321"/>
      <c r="EB104" s="1321"/>
      <c r="EC104" s="1321"/>
      <c r="ED104" s="1321"/>
      <c r="EE104" s="1321"/>
      <c r="EF104" s="1321"/>
      <c r="EG104" s="1321"/>
      <c r="EH104" s="1321"/>
      <c r="EI104" s="1321"/>
    </row>
    <row r="105" spans="1:139" s="180" customFormat="1" ht="12.75" customHeight="1" x14ac:dyDescent="0.2">
      <c r="A105" s="224"/>
      <c r="B105" s="404" t="s">
        <v>580</v>
      </c>
      <c r="C105" s="318">
        <v>0</v>
      </c>
      <c r="D105" s="318">
        <v>0.25</v>
      </c>
      <c r="E105" s="318">
        <v>2</v>
      </c>
      <c r="F105" s="318">
        <v>0</v>
      </c>
      <c r="G105" s="318">
        <v>0</v>
      </c>
      <c r="H105" s="249">
        <f>SUM(C105:G105)</f>
        <v>2.25</v>
      </c>
      <c r="I105" s="250"/>
      <c r="J105" s="250"/>
      <c r="K105" s="250"/>
      <c r="L105" s="533">
        <f>((C105*$C$10)+(D105*$D$10)+(E105*$E$10)+(F105*$F$10))</f>
        <v>122.37599999999999</v>
      </c>
      <c r="M105" s="251">
        <v>0</v>
      </c>
      <c r="N105" s="252">
        <v>0</v>
      </c>
      <c r="O105" s="600">
        <f>'Table 1'!L131</f>
        <v>0</v>
      </c>
      <c r="P105" s="312">
        <f>(C105+D105+E105+F105)*O105</f>
        <v>0</v>
      </c>
      <c r="Q105" s="291">
        <f>(M105+N105)*O105</f>
        <v>0</v>
      </c>
      <c r="R105" s="261">
        <f>(L105+M105+N105)*O105</f>
        <v>0</v>
      </c>
      <c r="S105" s="300" t="s">
        <v>199</v>
      </c>
      <c r="T105" s="292" t="str">
        <f>IF($S105="RP",O105,"")</f>
        <v/>
      </c>
      <c r="U105" s="293" t="str">
        <f>IF($S105="RP",P105,"")</f>
        <v/>
      </c>
      <c r="V105" s="122" t="str">
        <f>IF($S105="RP",Q105,"")</f>
        <v/>
      </c>
      <c r="W105" s="293">
        <f>IF($S105="RK",O105,"")</f>
        <v>0</v>
      </c>
      <c r="X105" s="293">
        <f>IF($S105="RK",P105,"")</f>
        <v>0</v>
      </c>
      <c r="Y105" s="122">
        <f>IF($S105="RK",Q105,"")</f>
        <v>0</v>
      </c>
      <c r="AG105" s="1321"/>
      <c r="AH105" s="1321"/>
      <c r="AI105" s="1321"/>
      <c r="AJ105" s="1321"/>
      <c r="AK105" s="1321"/>
      <c r="AL105" s="1321"/>
      <c r="AM105" s="1321"/>
      <c r="AN105" s="1321"/>
      <c r="AO105" s="1321"/>
      <c r="AP105" s="1321"/>
      <c r="AQ105" s="1321"/>
      <c r="AR105" s="1321"/>
      <c r="AS105" s="1321"/>
      <c r="AT105" s="1321"/>
      <c r="AU105" s="1321"/>
      <c r="AV105" s="1321"/>
      <c r="AW105" s="1321"/>
      <c r="AX105" s="1321"/>
      <c r="AY105" s="1321"/>
      <c r="AZ105" s="1321"/>
      <c r="BA105" s="1321"/>
      <c r="BB105" s="1321"/>
      <c r="BC105" s="1321"/>
      <c r="BD105" s="1321"/>
      <c r="BE105" s="1321"/>
      <c r="BF105" s="1321"/>
      <c r="BG105" s="1321"/>
      <c r="BH105" s="1321"/>
      <c r="BI105" s="1321"/>
      <c r="BJ105" s="1321"/>
      <c r="BK105" s="1321"/>
      <c r="BL105" s="1321"/>
      <c r="BM105" s="1321"/>
      <c r="BN105" s="1321"/>
      <c r="BO105" s="1321"/>
      <c r="BP105" s="1321"/>
      <c r="BQ105" s="1321"/>
      <c r="BR105" s="1321"/>
      <c r="BS105" s="1321"/>
      <c r="BT105" s="1321"/>
      <c r="BU105" s="1321"/>
      <c r="BV105" s="1321"/>
      <c r="BW105" s="1321"/>
      <c r="BX105" s="1321"/>
      <c r="BY105" s="1321"/>
      <c r="BZ105" s="1321"/>
      <c r="CA105" s="1321"/>
      <c r="CB105" s="1321"/>
      <c r="CC105" s="1321"/>
      <c r="CD105" s="1321"/>
      <c r="CE105" s="1321"/>
      <c r="CF105" s="1321"/>
      <c r="CG105" s="1321"/>
      <c r="CH105" s="1321"/>
      <c r="CI105" s="1321"/>
      <c r="CJ105" s="1321"/>
      <c r="CK105" s="1321"/>
      <c r="CL105" s="1321"/>
      <c r="CM105" s="1321"/>
      <c r="CN105" s="1321"/>
      <c r="CO105" s="1321"/>
      <c r="CP105" s="1321"/>
      <c r="CQ105" s="1321"/>
      <c r="CR105" s="1321"/>
      <c r="CS105" s="1321"/>
      <c r="CT105" s="1321"/>
      <c r="CU105" s="1321"/>
      <c r="CV105" s="1321"/>
      <c r="CW105" s="1321"/>
      <c r="CX105" s="1321"/>
      <c r="CY105" s="1321"/>
      <c r="CZ105" s="1321"/>
      <c r="DA105" s="1321"/>
      <c r="DB105" s="1321"/>
      <c r="DC105" s="1321"/>
      <c r="DD105" s="1321"/>
      <c r="DE105" s="1321"/>
      <c r="DF105" s="1321"/>
      <c r="DG105" s="1321"/>
      <c r="DH105" s="1321"/>
      <c r="DI105" s="1321"/>
      <c r="DJ105" s="1321"/>
      <c r="DK105" s="1321"/>
      <c r="DL105" s="1321"/>
      <c r="DM105" s="1321"/>
      <c r="DN105" s="1321"/>
      <c r="DO105" s="1321"/>
      <c r="DP105" s="1321"/>
      <c r="DQ105" s="1321"/>
      <c r="DR105" s="1321"/>
      <c r="DS105" s="1321"/>
      <c r="DT105" s="1321"/>
      <c r="DU105" s="1321"/>
      <c r="DV105" s="1321"/>
      <c r="DW105" s="1321"/>
      <c r="DX105" s="1321"/>
      <c r="DY105" s="1321"/>
      <c r="DZ105" s="1321"/>
      <c r="EA105" s="1321"/>
      <c r="EB105" s="1321"/>
      <c r="EC105" s="1321"/>
      <c r="ED105" s="1321"/>
      <c r="EE105" s="1321"/>
      <c r="EF105" s="1321"/>
      <c r="EG105" s="1321"/>
      <c r="EH105" s="1321"/>
      <c r="EI105" s="1321"/>
    </row>
    <row r="106" spans="1:139" s="180" customFormat="1" ht="12.75" customHeight="1" x14ac:dyDescent="0.2">
      <c r="A106" s="221"/>
      <c r="B106" s="330" t="s">
        <v>423</v>
      </c>
      <c r="C106" s="396"/>
      <c r="D106" s="396"/>
      <c r="E106" s="396"/>
      <c r="F106" s="396"/>
      <c r="G106" s="396"/>
      <c r="H106" s="396"/>
      <c r="I106" s="397"/>
      <c r="J106" s="397"/>
      <c r="K106" s="397"/>
      <c r="L106" s="550"/>
      <c r="M106" s="398"/>
      <c r="N106" s="270"/>
      <c r="O106" s="601"/>
      <c r="P106" s="374"/>
      <c r="Q106" s="374"/>
      <c r="R106" s="565"/>
      <c r="S106" s="193"/>
      <c r="T106" s="185"/>
      <c r="U106" s="240"/>
      <c r="W106" s="185"/>
      <c r="X106" s="185"/>
      <c r="AG106" s="1321"/>
      <c r="AH106" s="1321"/>
      <c r="AI106" s="1321"/>
      <c r="AJ106" s="1321"/>
      <c r="AK106" s="1321"/>
      <c r="AL106" s="1321"/>
      <c r="AM106" s="1321"/>
      <c r="AN106" s="1321"/>
      <c r="AO106" s="1321"/>
      <c r="AP106" s="1321"/>
      <c r="AQ106" s="1321"/>
      <c r="AR106" s="1321"/>
      <c r="AS106" s="1321"/>
      <c r="AT106" s="1321"/>
      <c r="AU106" s="1321"/>
      <c r="AV106" s="1321"/>
      <c r="AW106" s="1321"/>
      <c r="AX106" s="1321"/>
      <c r="AY106" s="1321"/>
      <c r="AZ106" s="1321"/>
      <c r="BA106" s="1321"/>
      <c r="BB106" s="1321"/>
      <c r="BC106" s="1321"/>
      <c r="BD106" s="1321"/>
      <c r="BE106" s="1321"/>
      <c r="BF106" s="1321"/>
      <c r="BG106" s="1321"/>
      <c r="BH106" s="1321"/>
      <c r="BI106" s="1321"/>
      <c r="BJ106" s="1321"/>
      <c r="BK106" s="1321"/>
      <c r="BL106" s="1321"/>
      <c r="BM106" s="1321"/>
      <c r="BN106" s="1321"/>
      <c r="BO106" s="1321"/>
      <c r="BP106" s="1321"/>
      <c r="BQ106" s="1321"/>
      <c r="BR106" s="1321"/>
      <c r="BS106" s="1321"/>
      <c r="BT106" s="1321"/>
      <c r="BU106" s="1321"/>
      <c r="BV106" s="1321"/>
      <c r="BW106" s="1321"/>
      <c r="BX106" s="1321"/>
      <c r="BY106" s="1321"/>
      <c r="BZ106" s="1321"/>
      <c r="CA106" s="1321"/>
      <c r="CB106" s="1321"/>
      <c r="CC106" s="1321"/>
      <c r="CD106" s="1321"/>
      <c r="CE106" s="1321"/>
      <c r="CF106" s="1321"/>
      <c r="CG106" s="1321"/>
      <c r="CH106" s="1321"/>
      <c r="CI106" s="1321"/>
      <c r="CJ106" s="1321"/>
      <c r="CK106" s="1321"/>
      <c r="CL106" s="1321"/>
      <c r="CM106" s="1321"/>
      <c r="CN106" s="1321"/>
      <c r="CO106" s="1321"/>
      <c r="CP106" s="1321"/>
      <c r="CQ106" s="1321"/>
      <c r="CR106" s="1321"/>
      <c r="CS106" s="1321"/>
      <c r="CT106" s="1321"/>
      <c r="CU106" s="1321"/>
      <c r="CV106" s="1321"/>
      <c r="CW106" s="1321"/>
      <c r="CX106" s="1321"/>
      <c r="CY106" s="1321"/>
      <c r="CZ106" s="1321"/>
      <c r="DA106" s="1321"/>
      <c r="DB106" s="1321"/>
      <c r="DC106" s="1321"/>
      <c r="DD106" s="1321"/>
      <c r="DE106" s="1321"/>
      <c r="DF106" s="1321"/>
      <c r="DG106" s="1321"/>
      <c r="DH106" s="1321"/>
      <c r="DI106" s="1321"/>
      <c r="DJ106" s="1321"/>
      <c r="DK106" s="1321"/>
      <c r="DL106" s="1321"/>
      <c r="DM106" s="1321"/>
      <c r="DN106" s="1321"/>
      <c r="DO106" s="1321"/>
      <c r="DP106" s="1321"/>
      <c r="DQ106" s="1321"/>
      <c r="DR106" s="1321"/>
      <c r="DS106" s="1321"/>
      <c r="DT106" s="1321"/>
      <c r="DU106" s="1321"/>
      <c r="DV106" s="1321"/>
      <c r="DW106" s="1321"/>
      <c r="DX106" s="1321"/>
      <c r="DY106" s="1321"/>
      <c r="DZ106" s="1321"/>
      <c r="EA106" s="1321"/>
      <c r="EB106" s="1321"/>
      <c r="EC106" s="1321"/>
      <c r="ED106" s="1321"/>
      <c r="EE106" s="1321"/>
      <c r="EF106" s="1321"/>
      <c r="EG106" s="1321"/>
      <c r="EH106" s="1321"/>
      <c r="EI106" s="1321"/>
    </row>
    <row r="107" spans="1:139" s="180" customFormat="1" ht="12.75" customHeight="1" x14ac:dyDescent="0.2">
      <c r="A107" s="224"/>
      <c r="B107" s="404" t="s">
        <v>424</v>
      </c>
      <c r="C107" s="318">
        <v>0</v>
      </c>
      <c r="D107" s="318">
        <v>0.25</v>
      </c>
      <c r="E107" s="318">
        <v>2</v>
      </c>
      <c r="F107" s="318">
        <v>0</v>
      </c>
      <c r="G107" s="318">
        <v>0</v>
      </c>
      <c r="H107" s="249">
        <f>SUM(C107:G107)</f>
        <v>2.25</v>
      </c>
      <c r="I107" s="250"/>
      <c r="J107" s="250"/>
      <c r="K107" s="250"/>
      <c r="L107" s="533">
        <f>((C107*$C$10)+(D107*$D$10)+(E107*$E$10)+(F107*$F$10))</f>
        <v>122.37599999999999</v>
      </c>
      <c r="M107" s="251">
        <v>0</v>
      </c>
      <c r="N107" s="252">
        <v>0</v>
      </c>
      <c r="O107" s="600">
        <f>'Table 1'!L136</f>
        <v>5.7</v>
      </c>
      <c r="P107" s="312">
        <f>(C107+D107+E107+F107)*O107</f>
        <v>12.825000000000001</v>
      </c>
      <c r="Q107" s="291">
        <f>(M107+N107)*O107</f>
        <v>0</v>
      </c>
      <c r="R107" s="559">
        <f>(L107+M107+N107)*O107</f>
        <v>697.54319999999996</v>
      </c>
      <c r="S107" s="300" t="s">
        <v>199</v>
      </c>
      <c r="T107" s="292" t="str">
        <f>IF($S107="RP",O107,"")</f>
        <v/>
      </c>
      <c r="U107" s="293" t="str">
        <f>IF($S107="RP",P107,"")</f>
        <v/>
      </c>
      <c r="V107" s="122" t="str">
        <f>IF($S107="RP",Q107,"")</f>
        <v/>
      </c>
      <c r="W107" s="293">
        <f>IF($S107="RK",O107,"")</f>
        <v>5.7</v>
      </c>
      <c r="X107" s="293">
        <f>IF($S107="RK",P107,"")</f>
        <v>12.825000000000001</v>
      </c>
      <c r="Y107" s="122">
        <f>IF($S107="RK",Q107,"")</f>
        <v>0</v>
      </c>
      <c r="AG107" s="1321"/>
      <c r="AH107" s="1321"/>
      <c r="AI107" s="1321"/>
      <c r="AJ107" s="1321"/>
      <c r="AK107" s="1321"/>
      <c r="AL107" s="1321"/>
      <c r="AM107" s="1321"/>
      <c r="AN107" s="1321"/>
      <c r="AO107" s="1321"/>
      <c r="AP107" s="1321"/>
      <c r="AQ107" s="1321"/>
      <c r="AR107" s="1321"/>
      <c r="AS107" s="1321"/>
      <c r="AT107" s="1321"/>
      <c r="AU107" s="1321"/>
      <c r="AV107" s="1321"/>
      <c r="AW107" s="1321"/>
      <c r="AX107" s="1321"/>
      <c r="AY107" s="1321"/>
      <c r="AZ107" s="1321"/>
      <c r="BA107" s="1321"/>
      <c r="BB107" s="1321"/>
      <c r="BC107" s="1321"/>
      <c r="BD107" s="1321"/>
      <c r="BE107" s="1321"/>
      <c r="BF107" s="1321"/>
      <c r="BG107" s="1321"/>
      <c r="BH107" s="1321"/>
      <c r="BI107" s="1321"/>
      <c r="BJ107" s="1321"/>
      <c r="BK107" s="1321"/>
      <c r="BL107" s="1321"/>
      <c r="BM107" s="1321"/>
      <c r="BN107" s="1321"/>
      <c r="BO107" s="1321"/>
      <c r="BP107" s="1321"/>
      <c r="BQ107" s="1321"/>
      <c r="BR107" s="1321"/>
      <c r="BS107" s="1321"/>
      <c r="BT107" s="1321"/>
      <c r="BU107" s="1321"/>
      <c r="BV107" s="1321"/>
      <c r="BW107" s="1321"/>
      <c r="BX107" s="1321"/>
      <c r="BY107" s="1321"/>
      <c r="BZ107" s="1321"/>
      <c r="CA107" s="1321"/>
      <c r="CB107" s="1321"/>
      <c r="CC107" s="1321"/>
      <c r="CD107" s="1321"/>
      <c r="CE107" s="1321"/>
      <c r="CF107" s="1321"/>
      <c r="CG107" s="1321"/>
      <c r="CH107" s="1321"/>
      <c r="CI107" s="1321"/>
      <c r="CJ107" s="1321"/>
      <c r="CK107" s="1321"/>
      <c r="CL107" s="1321"/>
      <c r="CM107" s="1321"/>
      <c r="CN107" s="1321"/>
      <c r="CO107" s="1321"/>
      <c r="CP107" s="1321"/>
      <c r="CQ107" s="1321"/>
      <c r="CR107" s="1321"/>
      <c r="CS107" s="1321"/>
      <c r="CT107" s="1321"/>
      <c r="CU107" s="1321"/>
      <c r="CV107" s="1321"/>
      <c r="CW107" s="1321"/>
      <c r="CX107" s="1321"/>
      <c r="CY107" s="1321"/>
      <c r="CZ107" s="1321"/>
      <c r="DA107" s="1321"/>
      <c r="DB107" s="1321"/>
      <c r="DC107" s="1321"/>
      <c r="DD107" s="1321"/>
      <c r="DE107" s="1321"/>
      <c r="DF107" s="1321"/>
      <c r="DG107" s="1321"/>
      <c r="DH107" s="1321"/>
      <c r="DI107" s="1321"/>
      <c r="DJ107" s="1321"/>
      <c r="DK107" s="1321"/>
      <c r="DL107" s="1321"/>
      <c r="DM107" s="1321"/>
      <c r="DN107" s="1321"/>
      <c r="DO107" s="1321"/>
      <c r="DP107" s="1321"/>
      <c r="DQ107" s="1321"/>
      <c r="DR107" s="1321"/>
      <c r="DS107" s="1321"/>
      <c r="DT107" s="1321"/>
      <c r="DU107" s="1321"/>
      <c r="DV107" s="1321"/>
      <c r="DW107" s="1321"/>
      <c r="DX107" s="1321"/>
      <c r="DY107" s="1321"/>
      <c r="DZ107" s="1321"/>
      <c r="EA107" s="1321"/>
      <c r="EB107" s="1321"/>
      <c r="EC107" s="1321"/>
      <c r="ED107" s="1321"/>
      <c r="EE107" s="1321"/>
      <c r="EF107" s="1321"/>
      <c r="EG107" s="1321"/>
      <c r="EH107" s="1321"/>
      <c r="EI107" s="1321"/>
    </row>
    <row r="108" spans="1:139" s="180" customFormat="1" ht="12.75" customHeight="1" x14ac:dyDescent="0.2">
      <c r="A108" s="221"/>
      <c r="B108" s="330" t="s">
        <v>420</v>
      </c>
      <c r="C108" s="396"/>
      <c r="D108" s="396"/>
      <c r="E108" s="396"/>
      <c r="F108" s="396"/>
      <c r="G108" s="396"/>
      <c r="H108" s="396"/>
      <c r="I108" s="397"/>
      <c r="J108" s="397"/>
      <c r="K108" s="397"/>
      <c r="L108" s="550"/>
      <c r="M108" s="398"/>
      <c r="N108" s="270"/>
      <c r="O108" s="601"/>
      <c r="P108" s="374"/>
      <c r="Q108" s="374"/>
      <c r="R108" s="565"/>
      <c r="S108" s="193"/>
      <c r="T108" s="185"/>
      <c r="U108" s="240"/>
      <c r="W108" s="185"/>
      <c r="X108" s="185"/>
      <c r="AG108" s="1321"/>
      <c r="AH108" s="1321"/>
      <c r="AI108" s="1321"/>
      <c r="AJ108" s="1321"/>
      <c r="AK108" s="1321"/>
      <c r="AL108" s="1321"/>
      <c r="AM108" s="1321"/>
      <c r="AN108" s="1321"/>
      <c r="AO108" s="1321"/>
      <c r="AP108" s="1321"/>
      <c r="AQ108" s="1321"/>
      <c r="AR108" s="1321"/>
      <c r="AS108" s="1321"/>
      <c r="AT108" s="1321"/>
      <c r="AU108" s="1321"/>
      <c r="AV108" s="1321"/>
      <c r="AW108" s="1321"/>
      <c r="AX108" s="1321"/>
      <c r="AY108" s="1321"/>
      <c r="AZ108" s="1321"/>
      <c r="BA108" s="1321"/>
      <c r="BB108" s="1321"/>
      <c r="BC108" s="1321"/>
      <c r="BD108" s="1321"/>
      <c r="BE108" s="1321"/>
      <c r="BF108" s="1321"/>
      <c r="BG108" s="1321"/>
      <c r="BH108" s="1321"/>
      <c r="BI108" s="1321"/>
      <c r="BJ108" s="1321"/>
      <c r="BK108" s="1321"/>
      <c r="BL108" s="1321"/>
      <c r="BM108" s="1321"/>
      <c r="BN108" s="1321"/>
      <c r="BO108" s="1321"/>
      <c r="BP108" s="1321"/>
      <c r="BQ108" s="1321"/>
      <c r="BR108" s="1321"/>
      <c r="BS108" s="1321"/>
      <c r="BT108" s="1321"/>
      <c r="BU108" s="1321"/>
      <c r="BV108" s="1321"/>
      <c r="BW108" s="1321"/>
      <c r="BX108" s="1321"/>
      <c r="BY108" s="1321"/>
      <c r="BZ108" s="1321"/>
      <c r="CA108" s="1321"/>
      <c r="CB108" s="1321"/>
      <c r="CC108" s="1321"/>
      <c r="CD108" s="1321"/>
      <c r="CE108" s="1321"/>
      <c r="CF108" s="1321"/>
      <c r="CG108" s="1321"/>
      <c r="CH108" s="1321"/>
      <c r="CI108" s="1321"/>
      <c r="CJ108" s="1321"/>
      <c r="CK108" s="1321"/>
      <c r="CL108" s="1321"/>
      <c r="CM108" s="1321"/>
      <c r="CN108" s="1321"/>
      <c r="CO108" s="1321"/>
      <c r="CP108" s="1321"/>
      <c r="CQ108" s="1321"/>
      <c r="CR108" s="1321"/>
      <c r="CS108" s="1321"/>
      <c r="CT108" s="1321"/>
      <c r="CU108" s="1321"/>
      <c r="CV108" s="1321"/>
      <c r="CW108" s="1321"/>
      <c r="CX108" s="1321"/>
      <c r="CY108" s="1321"/>
      <c r="CZ108" s="1321"/>
      <c r="DA108" s="1321"/>
      <c r="DB108" s="1321"/>
      <c r="DC108" s="1321"/>
      <c r="DD108" s="1321"/>
      <c r="DE108" s="1321"/>
      <c r="DF108" s="1321"/>
      <c r="DG108" s="1321"/>
      <c r="DH108" s="1321"/>
      <c r="DI108" s="1321"/>
      <c r="DJ108" s="1321"/>
      <c r="DK108" s="1321"/>
      <c r="DL108" s="1321"/>
      <c r="DM108" s="1321"/>
      <c r="DN108" s="1321"/>
      <c r="DO108" s="1321"/>
      <c r="DP108" s="1321"/>
      <c r="DQ108" s="1321"/>
      <c r="DR108" s="1321"/>
      <c r="DS108" s="1321"/>
      <c r="DT108" s="1321"/>
      <c r="DU108" s="1321"/>
      <c r="DV108" s="1321"/>
      <c r="DW108" s="1321"/>
      <c r="DX108" s="1321"/>
      <c r="DY108" s="1321"/>
      <c r="DZ108" s="1321"/>
      <c r="EA108" s="1321"/>
      <c r="EB108" s="1321"/>
      <c r="EC108" s="1321"/>
      <c r="ED108" s="1321"/>
      <c r="EE108" s="1321"/>
      <c r="EF108" s="1321"/>
      <c r="EG108" s="1321"/>
      <c r="EH108" s="1321"/>
      <c r="EI108" s="1321"/>
    </row>
    <row r="109" spans="1:139" s="180" customFormat="1" ht="12.75" customHeight="1" x14ac:dyDescent="0.2">
      <c r="A109" s="224"/>
      <c r="B109" s="404" t="s">
        <v>425</v>
      </c>
      <c r="C109" s="318">
        <v>0</v>
      </c>
      <c r="D109" s="318">
        <v>0.25</v>
      </c>
      <c r="E109" s="318">
        <v>0</v>
      </c>
      <c r="F109" s="318">
        <v>0.25</v>
      </c>
      <c r="G109" s="318">
        <v>0</v>
      </c>
      <c r="H109" s="249">
        <f>SUM(C109:G109)</f>
        <v>0.5</v>
      </c>
      <c r="I109" s="250"/>
      <c r="J109" s="250"/>
      <c r="K109" s="250"/>
      <c r="L109" s="533">
        <f>((C109*$C$10)+(D109*$D$10)+(E109*$E$10)+(F109*$F$10))</f>
        <v>24.724</v>
      </c>
      <c r="M109" s="251">
        <v>0</v>
      </c>
      <c r="N109" s="319">
        <v>1</v>
      </c>
      <c r="O109" s="600">
        <f>O107</f>
        <v>5.7</v>
      </c>
      <c r="P109" s="253">
        <f>(C109+D109+E109+F109)*O109</f>
        <v>2.85</v>
      </c>
      <c r="Q109" s="298">
        <f>(M109+N109)*O109</f>
        <v>5.7</v>
      </c>
      <c r="R109" s="559">
        <f>(L109+M109+N109)*O109</f>
        <v>146.6268</v>
      </c>
      <c r="S109" s="300" t="s">
        <v>200</v>
      </c>
      <c r="T109" s="292">
        <f>IF($S109="RP",O109,"")</f>
        <v>5.7</v>
      </c>
      <c r="U109" s="293">
        <f>IF($S109="RP",P109,"")</f>
        <v>2.85</v>
      </c>
      <c r="V109" s="122">
        <f>IF($S109="RP",Q109,"")</f>
        <v>5.7</v>
      </c>
      <c r="W109" s="293" t="str">
        <f>IF($S109="RK",O109,"")</f>
        <v/>
      </c>
      <c r="X109" s="293" t="str">
        <f>IF($S109="RK",P109,"")</f>
        <v/>
      </c>
      <c r="Y109" s="122" t="str">
        <f>IF($S109="RK",Q109,"")</f>
        <v/>
      </c>
      <c r="AG109" s="1321"/>
      <c r="AH109" s="1321"/>
      <c r="AI109" s="1321"/>
      <c r="AJ109" s="1321"/>
      <c r="AK109" s="1321"/>
      <c r="AL109" s="1321"/>
      <c r="AM109" s="1321"/>
      <c r="AN109" s="1321"/>
      <c r="AO109" s="1321"/>
      <c r="AP109" s="1321"/>
      <c r="AQ109" s="1321"/>
      <c r="AR109" s="1321"/>
      <c r="AS109" s="1321"/>
      <c r="AT109" s="1321"/>
      <c r="AU109" s="1321"/>
      <c r="AV109" s="1321"/>
      <c r="AW109" s="1321"/>
      <c r="AX109" s="1321"/>
      <c r="AY109" s="1321"/>
      <c r="AZ109" s="1321"/>
      <c r="BA109" s="1321"/>
      <c r="BB109" s="1321"/>
      <c r="BC109" s="1321"/>
      <c r="BD109" s="1321"/>
      <c r="BE109" s="1321"/>
      <c r="BF109" s="1321"/>
      <c r="BG109" s="1321"/>
      <c r="BH109" s="1321"/>
      <c r="BI109" s="1321"/>
      <c r="BJ109" s="1321"/>
      <c r="BK109" s="1321"/>
      <c r="BL109" s="1321"/>
      <c r="BM109" s="1321"/>
      <c r="BN109" s="1321"/>
      <c r="BO109" s="1321"/>
      <c r="BP109" s="1321"/>
      <c r="BQ109" s="1321"/>
      <c r="BR109" s="1321"/>
      <c r="BS109" s="1321"/>
      <c r="BT109" s="1321"/>
      <c r="BU109" s="1321"/>
      <c r="BV109" s="1321"/>
      <c r="BW109" s="1321"/>
      <c r="BX109" s="1321"/>
      <c r="BY109" s="1321"/>
      <c r="BZ109" s="1321"/>
      <c r="CA109" s="1321"/>
      <c r="CB109" s="1321"/>
      <c r="CC109" s="1321"/>
      <c r="CD109" s="1321"/>
      <c r="CE109" s="1321"/>
      <c r="CF109" s="1321"/>
      <c r="CG109" s="1321"/>
      <c r="CH109" s="1321"/>
      <c r="CI109" s="1321"/>
      <c r="CJ109" s="1321"/>
      <c r="CK109" s="1321"/>
      <c r="CL109" s="1321"/>
      <c r="CM109" s="1321"/>
      <c r="CN109" s="1321"/>
      <c r="CO109" s="1321"/>
      <c r="CP109" s="1321"/>
      <c r="CQ109" s="1321"/>
      <c r="CR109" s="1321"/>
      <c r="CS109" s="1321"/>
      <c r="CT109" s="1321"/>
      <c r="CU109" s="1321"/>
      <c r="CV109" s="1321"/>
      <c r="CW109" s="1321"/>
      <c r="CX109" s="1321"/>
      <c r="CY109" s="1321"/>
      <c r="CZ109" s="1321"/>
      <c r="DA109" s="1321"/>
      <c r="DB109" s="1321"/>
      <c r="DC109" s="1321"/>
      <c r="DD109" s="1321"/>
      <c r="DE109" s="1321"/>
      <c r="DF109" s="1321"/>
      <c r="DG109" s="1321"/>
      <c r="DH109" s="1321"/>
      <c r="DI109" s="1321"/>
      <c r="DJ109" s="1321"/>
      <c r="DK109" s="1321"/>
      <c r="DL109" s="1321"/>
      <c r="DM109" s="1321"/>
      <c r="DN109" s="1321"/>
      <c r="DO109" s="1321"/>
      <c r="DP109" s="1321"/>
      <c r="DQ109" s="1321"/>
      <c r="DR109" s="1321"/>
      <c r="DS109" s="1321"/>
      <c r="DT109" s="1321"/>
      <c r="DU109" s="1321"/>
      <c r="DV109" s="1321"/>
      <c r="DW109" s="1321"/>
      <c r="DX109" s="1321"/>
      <c r="DY109" s="1321"/>
      <c r="DZ109" s="1321"/>
      <c r="EA109" s="1321"/>
      <c r="EB109" s="1321"/>
      <c r="EC109" s="1321"/>
      <c r="ED109" s="1321"/>
      <c r="EE109" s="1321"/>
      <c r="EF109" s="1321"/>
      <c r="EG109" s="1321"/>
      <c r="EH109" s="1321"/>
      <c r="EI109" s="1321"/>
    </row>
    <row r="110" spans="1:139" s="180" customFormat="1" ht="12.75" customHeight="1" x14ac:dyDescent="0.2">
      <c r="A110" s="348"/>
      <c r="B110" s="330" t="s">
        <v>415</v>
      </c>
      <c r="C110" s="396"/>
      <c r="D110" s="396"/>
      <c r="E110" s="396"/>
      <c r="F110" s="396"/>
      <c r="G110" s="396"/>
      <c r="H110" s="396"/>
      <c r="I110" s="397"/>
      <c r="J110" s="397"/>
      <c r="K110" s="397"/>
      <c r="L110" s="550"/>
      <c r="M110" s="398"/>
      <c r="N110" s="270"/>
      <c r="O110" s="601"/>
      <c r="P110" s="374"/>
      <c r="Q110" s="374"/>
      <c r="R110" s="565"/>
      <c r="S110" s="193"/>
      <c r="T110" s="185"/>
      <c r="U110" s="240"/>
      <c r="W110" s="185"/>
      <c r="X110" s="185"/>
      <c r="AG110" s="1321"/>
      <c r="AH110" s="1321"/>
      <c r="AI110" s="1321"/>
      <c r="AJ110" s="1321"/>
      <c r="AK110" s="1321"/>
      <c r="AL110" s="1321"/>
      <c r="AM110" s="1321"/>
      <c r="AN110" s="1321"/>
      <c r="AO110" s="1321"/>
      <c r="AP110" s="1321"/>
      <c r="AQ110" s="1321"/>
      <c r="AR110" s="1321"/>
      <c r="AS110" s="1321"/>
      <c r="AT110" s="1321"/>
      <c r="AU110" s="1321"/>
      <c r="AV110" s="1321"/>
      <c r="AW110" s="1321"/>
      <c r="AX110" s="1321"/>
      <c r="AY110" s="1321"/>
      <c r="AZ110" s="1321"/>
      <c r="BA110" s="1321"/>
      <c r="BB110" s="1321"/>
      <c r="BC110" s="1321"/>
      <c r="BD110" s="1321"/>
      <c r="BE110" s="1321"/>
      <c r="BF110" s="1321"/>
      <c r="BG110" s="1321"/>
      <c r="BH110" s="1321"/>
      <c r="BI110" s="1321"/>
      <c r="BJ110" s="1321"/>
      <c r="BK110" s="1321"/>
      <c r="BL110" s="1321"/>
      <c r="BM110" s="1321"/>
      <c r="BN110" s="1321"/>
      <c r="BO110" s="1321"/>
      <c r="BP110" s="1321"/>
      <c r="BQ110" s="1321"/>
      <c r="BR110" s="1321"/>
      <c r="BS110" s="1321"/>
      <c r="BT110" s="1321"/>
      <c r="BU110" s="1321"/>
      <c r="BV110" s="1321"/>
      <c r="BW110" s="1321"/>
      <c r="BX110" s="1321"/>
      <c r="BY110" s="1321"/>
      <c r="BZ110" s="1321"/>
      <c r="CA110" s="1321"/>
      <c r="CB110" s="1321"/>
      <c r="CC110" s="1321"/>
      <c r="CD110" s="1321"/>
      <c r="CE110" s="1321"/>
      <c r="CF110" s="1321"/>
      <c r="CG110" s="1321"/>
      <c r="CH110" s="1321"/>
      <c r="CI110" s="1321"/>
      <c r="CJ110" s="1321"/>
      <c r="CK110" s="1321"/>
      <c r="CL110" s="1321"/>
      <c r="CM110" s="1321"/>
      <c r="CN110" s="1321"/>
      <c r="CO110" s="1321"/>
      <c r="CP110" s="1321"/>
      <c r="CQ110" s="1321"/>
      <c r="CR110" s="1321"/>
      <c r="CS110" s="1321"/>
      <c r="CT110" s="1321"/>
      <c r="CU110" s="1321"/>
      <c r="CV110" s="1321"/>
      <c r="CW110" s="1321"/>
      <c r="CX110" s="1321"/>
      <c r="CY110" s="1321"/>
      <c r="CZ110" s="1321"/>
      <c r="DA110" s="1321"/>
      <c r="DB110" s="1321"/>
      <c r="DC110" s="1321"/>
      <c r="DD110" s="1321"/>
      <c r="DE110" s="1321"/>
      <c r="DF110" s="1321"/>
      <c r="DG110" s="1321"/>
      <c r="DH110" s="1321"/>
      <c r="DI110" s="1321"/>
      <c r="DJ110" s="1321"/>
      <c r="DK110" s="1321"/>
      <c r="DL110" s="1321"/>
      <c r="DM110" s="1321"/>
      <c r="DN110" s="1321"/>
      <c r="DO110" s="1321"/>
      <c r="DP110" s="1321"/>
      <c r="DQ110" s="1321"/>
      <c r="DR110" s="1321"/>
      <c r="DS110" s="1321"/>
      <c r="DT110" s="1321"/>
      <c r="DU110" s="1321"/>
      <c r="DV110" s="1321"/>
      <c r="DW110" s="1321"/>
      <c r="DX110" s="1321"/>
      <c r="DY110" s="1321"/>
      <c r="DZ110" s="1321"/>
      <c r="EA110" s="1321"/>
      <c r="EB110" s="1321"/>
      <c r="EC110" s="1321"/>
      <c r="ED110" s="1321"/>
      <c r="EE110" s="1321"/>
      <c r="EF110" s="1321"/>
      <c r="EG110" s="1321"/>
      <c r="EH110" s="1321"/>
      <c r="EI110" s="1321"/>
    </row>
    <row r="111" spans="1:139" s="180" customFormat="1" ht="12.75" customHeight="1" thickBot="1" x14ac:dyDescent="0.25">
      <c r="A111" s="224"/>
      <c r="B111" s="330" t="s">
        <v>422</v>
      </c>
      <c r="C111" s="318">
        <v>0</v>
      </c>
      <c r="D111" s="318">
        <v>0.25</v>
      </c>
      <c r="E111" s="318">
        <v>0</v>
      </c>
      <c r="F111" s="318">
        <v>0.25</v>
      </c>
      <c r="G111" s="318">
        <v>0</v>
      </c>
      <c r="H111" s="249">
        <f>SUM(C111:G111)</f>
        <v>0.5</v>
      </c>
      <c r="I111" s="250"/>
      <c r="J111" s="250"/>
      <c r="K111" s="250"/>
      <c r="L111" s="533">
        <f>((C111*$C$10)+(D111*$D$10)+(E111*$E$10)+(F111*$F$10))</f>
        <v>24.724</v>
      </c>
      <c r="M111" s="251">
        <v>0</v>
      </c>
      <c r="N111" s="252">
        <v>1</v>
      </c>
      <c r="O111" s="602">
        <f>O105</f>
        <v>0</v>
      </c>
      <c r="P111" s="312">
        <f>(C111+D111+E111+F111)*O111</f>
        <v>0</v>
      </c>
      <c r="Q111" s="291">
        <f>(M111+N111)*O111</f>
        <v>0</v>
      </c>
      <c r="R111" s="261">
        <f>(L111+M111+N111)*O111</f>
        <v>0</v>
      </c>
      <c r="S111" s="401" t="s">
        <v>200</v>
      </c>
      <c r="T111" s="292">
        <f>IF($S111="RP",O111,"")</f>
        <v>0</v>
      </c>
      <c r="U111" s="293">
        <f>IF($S111="RP",P111,"")</f>
        <v>0</v>
      </c>
      <c r="V111" s="122">
        <f>IF($S111="RP",Q111,"")</f>
        <v>0</v>
      </c>
      <c r="W111" s="293" t="str">
        <f>IF($S111="RK",O111,"")</f>
        <v/>
      </c>
      <c r="X111" s="293" t="str">
        <f>IF($S111="RK",P111,"")</f>
        <v/>
      </c>
      <c r="Y111" s="122" t="str">
        <f>IF($S111="RK",Q111,"")</f>
        <v/>
      </c>
      <c r="AG111" s="1321"/>
      <c r="AH111" s="1321"/>
      <c r="AI111" s="1321"/>
      <c r="AJ111" s="1321"/>
      <c r="AK111" s="1321"/>
      <c r="AL111" s="1321"/>
      <c r="AM111" s="1321"/>
      <c r="AN111" s="1321"/>
      <c r="AO111" s="1321"/>
      <c r="AP111" s="1321"/>
      <c r="AQ111" s="1321"/>
      <c r="AR111" s="1321"/>
      <c r="AS111" s="1321"/>
      <c r="AT111" s="1321"/>
      <c r="AU111" s="1321"/>
      <c r="AV111" s="1321"/>
      <c r="AW111" s="1321"/>
      <c r="AX111" s="1321"/>
      <c r="AY111" s="1321"/>
      <c r="AZ111" s="1321"/>
      <c r="BA111" s="1321"/>
      <c r="BB111" s="1321"/>
      <c r="BC111" s="1321"/>
      <c r="BD111" s="1321"/>
      <c r="BE111" s="1321"/>
      <c r="BF111" s="1321"/>
      <c r="BG111" s="1321"/>
      <c r="BH111" s="1321"/>
      <c r="BI111" s="1321"/>
      <c r="BJ111" s="1321"/>
      <c r="BK111" s="1321"/>
      <c r="BL111" s="1321"/>
      <c r="BM111" s="1321"/>
      <c r="BN111" s="1321"/>
      <c r="BO111" s="1321"/>
      <c r="BP111" s="1321"/>
      <c r="BQ111" s="1321"/>
      <c r="BR111" s="1321"/>
      <c r="BS111" s="1321"/>
      <c r="BT111" s="1321"/>
      <c r="BU111" s="1321"/>
      <c r="BV111" s="1321"/>
      <c r="BW111" s="1321"/>
      <c r="BX111" s="1321"/>
      <c r="BY111" s="1321"/>
      <c r="BZ111" s="1321"/>
      <c r="CA111" s="1321"/>
      <c r="CB111" s="1321"/>
      <c r="CC111" s="1321"/>
      <c r="CD111" s="1321"/>
      <c r="CE111" s="1321"/>
      <c r="CF111" s="1321"/>
      <c r="CG111" s="1321"/>
      <c r="CH111" s="1321"/>
      <c r="CI111" s="1321"/>
      <c r="CJ111" s="1321"/>
      <c r="CK111" s="1321"/>
      <c r="CL111" s="1321"/>
      <c r="CM111" s="1321"/>
      <c r="CN111" s="1321"/>
      <c r="CO111" s="1321"/>
      <c r="CP111" s="1321"/>
      <c r="CQ111" s="1321"/>
      <c r="CR111" s="1321"/>
      <c r="CS111" s="1321"/>
      <c r="CT111" s="1321"/>
      <c r="CU111" s="1321"/>
      <c r="CV111" s="1321"/>
      <c r="CW111" s="1321"/>
      <c r="CX111" s="1321"/>
      <c r="CY111" s="1321"/>
      <c r="CZ111" s="1321"/>
      <c r="DA111" s="1321"/>
      <c r="DB111" s="1321"/>
      <c r="DC111" s="1321"/>
      <c r="DD111" s="1321"/>
      <c r="DE111" s="1321"/>
      <c r="DF111" s="1321"/>
      <c r="DG111" s="1321"/>
      <c r="DH111" s="1321"/>
      <c r="DI111" s="1321"/>
      <c r="DJ111" s="1321"/>
      <c r="DK111" s="1321"/>
      <c r="DL111" s="1321"/>
      <c r="DM111" s="1321"/>
      <c r="DN111" s="1321"/>
      <c r="DO111" s="1321"/>
      <c r="DP111" s="1321"/>
      <c r="DQ111" s="1321"/>
      <c r="DR111" s="1321"/>
      <c r="DS111" s="1321"/>
      <c r="DT111" s="1321"/>
      <c r="DU111" s="1321"/>
      <c r="DV111" s="1321"/>
      <c r="DW111" s="1321"/>
      <c r="DX111" s="1321"/>
      <c r="DY111" s="1321"/>
      <c r="DZ111" s="1321"/>
      <c r="EA111" s="1321"/>
      <c r="EB111" s="1321"/>
      <c r="EC111" s="1321"/>
      <c r="ED111" s="1321"/>
      <c r="EE111" s="1321"/>
      <c r="EF111" s="1321"/>
      <c r="EG111" s="1321"/>
      <c r="EH111" s="1321"/>
      <c r="EI111" s="1321"/>
    </row>
    <row r="112" spans="1:139" s="180" customFormat="1" ht="12.75" customHeight="1" x14ac:dyDescent="0.2">
      <c r="A112" s="479" t="s">
        <v>585</v>
      </c>
      <c r="B112" s="480"/>
      <c r="C112" s="280"/>
      <c r="D112" s="280"/>
      <c r="E112" s="280"/>
      <c r="F112" s="280"/>
      <c r="G112" s="280"/>
      <c r="H112" s="280"/>
      <c r="I112" s="281"/>
      <c r="J112" s="281"/>
      <c r="K112" s="281"/>
      <c r="L112" s="535"/>
      <c r="M112" s="282"/>
      <c r="N112" s="283"/>
      <c r="O112" s="402"/>
      <c r="P112" s="284"/>
      <c r="Q112" s="284"/>
      <c r="R112" s="562"/>
      <c r="S112" s="193"/>
      <c r="T112" s="185"/>
      <c r="U112" s="240"/>
      <c r="W112" s="185"/>
      <c r="X112" s="185"/>
      <c r="AG112" s="1321"/>
      <c r="AH112" s="1321"/>
      <c r="AI112" s="1321"/>
      <c r="AJ112" s="1321"/>
      <c r="AK112" s="1321"/>
      <c r="AL112" s="1321"/>
      <c r="AM112" s="1321"/>
      <c r="AN112" s="1321"/>
      <c r="AO112" s="1321"/>
      <c r="AP112" s="1321"/>
      <c r="AQ112" s="1321"/>
      <c r="AR112" s="1321"/>
      <c r="AS112" s="1321"/>
      <c r="AT112" s="1321"/>
      <c r="AU112" s="1321"/>
      <c r="AV112" s="1321"/>
      <c r="AW112" s="1321"/>
      <c r="AX112" s="1321"/>
      <c r="AY112" s="1321"/>
      <c r="AZ112" s="1321"/>
      <c r="BA112" s="1321"/>
      <c r="BB112" s="1321"/>
      <c r="BC112" s="1321"/>
      <c r="BD112" s="1321"/>
      <c r="BE112" s="1321"/>
      <c r="BF112" s="1321"/>
      <c r="BG112" s="1321"/>
      <c r="BH112" s="1321"/>
      <c r="BI112" s="1321"/>
      <c r="BJ112" s="1321"/>
      <c r="BK112" s="1321"/>
      <c r="BL112" s="1321"/>
      <c r="BM112" s="1321"/>
      <c r="BN112" s="1321"/>
      <c r="BO112" s="1321"/>
      <c r="BP112" s="1321"/>
      <c r="BQ112" s="1321"/>
      <c r="BR112" s="1321"/>
      <c r="BS112" s="1321"/>
      <c r="BT112" s="1321"/>
      <c r="BU112" s="1321"/>
      <c r="BV112" s="1321"/>
      <c r="BW112" s="1321"/>
      <c r="BX112" s="1321"/>
      <c r="BY112" s="1321"/>
      <c r="BZ112" s="1321"/>
      <c r="CA112" s="1321"/>
      <c r="CB112" s="1321"/>
      <c r="CC112" s="1321"/>
      <c r="CD112" s="1321"/>
      <c r="CE112" s="1321"/>
      <c r="CF112" s="1321"/>
      <c r="CG112" s="1321"/>
      <c r="CH112" s="1321"/>
      <c r="CI112" s="1321"/>
      <c r="CJ112" s="1321"/>
      <c r="CK112" s="1321"/>
      <c r="CL112" s="1321"/>
      <c r="CM112" s="1321"/>
      <c r="CN112" s="1321"/>
      <c r="CO112" s="1321"/>
      <c r="CP112" s="1321"/>
      <c r="CQ112" s="1321"/>
      <c r="CR112" s="1321"/>
      <c r="CS112" s="1321"/>
      <c r="CT112" s="1321"/>
      <c r="CU112" s="1321"/>
      <c r="CV112" s="1321"/>
      <c r="CW112" s="1321"/>
      <c r="CX112" s="1321"/>
      <c r="CY112" s="1321"/>
      <c r="CZ112" s="1321"/>
      <c r="DA112" s="1321"/>
      <c r="DB112" s="1321"/>
      <c r="DC112" s="1321"/>
      <c r="DD112" s="1321"/>
      <c r="DE112" s="1321"/>
      <c r="DF112" s="1321"/>
      <c r="DG112" s="1321"/>
      <c r="DH112" s="1321"/>
      <c r="DI112" s="1321"/>
      <c r="DJ112" s="1321"/>
      <c r="DK112" s="1321"/>
      <c r="DL112" s="1321"/>
      <c r="DM112" s="1321"/>
      <c r="DN112" s="1321"/>
      <c r="DO112" s="1321"/>
      <c r="DP112" s="1321"/>
      <c r="DQ112" s="1321"/>
      <c r="DR112" s="1321"/>
      <c r="DS112" s="1321"/>
      <c r="DT112" s="1321"/>
      <c r="DU112" s="1321"/>
      <c r="DV112" s="1321"/>
      <c r="DW112" s="1321"/>
      <c r="DX112" s="1321"/>
      <c r="DY112" s="1321"/>
      <c r="DZ112" s="1321"/>
      <c r="EA112" s="1321"/>
      <c r="EB112" s="1321"/>
      <c r="EC112" s="1321"/>
      <c r="ED112" s="1321"/>
      <c r="EE112" s="1321"/>
      <c r="EF112" s="1321"/>
      <c r="EG112" s="1321"/>
      <c r="EH112" s="1321"/>
      <c r="EI112" s="1321"/>
    </row>
    <row r="113" spans="1:139" s="180" customFormat="1" ht="12.75" customHeight="1" x14ac:dyDescent="0.2">
      <c r="A113" s="221"/>
      <c r="B113" s="330" t="s">
        <v>412</v>
      </c>
      <c r="C113" s="396"/>
      <c r="D113" s="396"/>
      <c r="E113" s="396"/>
      <c r="F113" s="396"/>
      <c r="G113" s="396"/>
      <c r="H113" s="396"/>
      <c r="I113" s="397"/>
      <c r="J113" s="397"/>
      <c r="K113" s="397"/>
      <c r="L113" s="550"/>
      <c r="M113" s="398"/>
      <c r="N113" s="270"/>
      <c r="O113" s="599"/>
      <c r="P113" s="374"/>
      <c r="Q113" s="374"/>
      <c r="R113" s="565"/>
      <c r="S113" s="193"/>
      <c r="T113" s="185"/>
      <c r="U113" s="240"/>
      <c r="W113" s="185"/>
      <c r="X113" s="185"/>
      <c r="AG113" s="1321"/>
      <c r="AH113" s="1321"/>
      <c r="AI113" s="1321"/>
      <c r="AJ113" s="1321"/>
      <c r="AK113" s="1321"/>
      <c r="AL113" s="1321"/>
      <c r="AM113" s="1321"/>
      <c r="AN113" s="1321"/>
      <c r="AO113" s="1321"/>
      <c r="AP113" s="1321"/>
      <c r="AQ113" s="1321"/>
      <c r="AR113" s="1321"/>
      <c r="AS113" s="1321"/>
      <c r="AT113" s="1321"/>
      <c r="AU113" s="1321"/>
      <c r="AV113" s="1321"/>
      <c r="AW113" s="1321"/>
      <c r="AX113" s="1321"/>
      <c r="AY113" s="1321"/>
      <c r="AZ113" s="1321"/>
      <c r="BA113" s="1321"/>
      <c r="BB113" s="1321"/>
      <c r="BC113" s="1321"/>
      <c r="BD113" s="1321"/>
      <c r="BE113" s="1321"/>
      <c r="BF113" s="1321"/>
      <c r="BG113" s="1321"/>
      <c r="BH113" s="1321"/>
      <c r="BI113" s="1321"/>
      <c r="BJ113" s="1321"/>
      <c r="BK113" s="1321"/>
      <c r="BL113" s="1321"/>
      <c r="BM113" s="1321"/>
      <c r="BN113" s="1321"/>
      <c r="BO113" s="1321"/>
      <c r="BP113" s="1321"/>
      <c r="BQ113" s="1321"/>
      <c r="BR113" s="1321"/>
      <c r="BS113" s="1321"/>
      <c r="BT113" s="1321"/>
      <c r="BU113" s="1321"/>
      <c r="BV113" s="1321"/>
      <c r="BW113" s="1321"/>
      <c r="BX113" s="1321"/>
      <c r="BY113" s="1321"/>
      <c r="BZ113" s="1321"/>
      <c r="CA113" s="1321"/>
      <c r="CB113" s="1321"/>
      <c r="CC113" s="1321"/>
      <c r="CD113" s="1321"/>
      <c r="CE113" s="1321"/>
      <c r="CF113" s="1321"/>
      <c r="CG113" s="1321"/>
      <c r="CH113" s="1321"/>
      <c r="CI113" s="1321"/>
      <c r="CJ113" s="1321"/>
      <c r="CK113" s="1321"/>
      <c r="CL113" s="1321"/>
      <c r="CM113" s="1321"/>
      <c r="CN113" s="1321"/>
      <c r="CO113" s="1321"/>
      <c r="CP113" s="1321"/>
      <c r="CQ113" s="1321"/>
      <c r="CR113" s="1321"/>
      <c r="CS113" s="1321"/>
      <c r="CT113" s="1321"/>
      <c r="CU113" s="1321"/>
      <c r="CV113" s="1321"/>
      <c r="CW113" s="1321"/>
      <c r="CX113" s="1321"/>
      <c r="CY113" s="1321"/>
      <c r="CZ113" s="1321"/>
      <c r="DA113" s="1321"/>
      <c r="DB113" s="1321"/>
      <c r="DC113" s="1321"/>
      <c r="DD113" s="1321"/>
      <c r="DE113" s="1321"/>
      <c r="DF113" s="1321"/>
      <c r="DG113" s="1321"/>
      <c r="DH113" s="1321"/>
      <c r="DI113" s="1321"/>
      <c r="DJ113" s="1321"/>
      <c r="DK113" s="1321"/>
      <c r="DL113" s="1321"/>
      <c r="DM113" s="1321"/>
      <c r="DN113" s="1321"/>
      <c r="DO113" s="1321"/>
      <c r="DP113" s="1321"/>
      <c r="DQ113" s="1321"/>
      <c r="DR113" s="1321"/>
      <c r="DS113" s="1321"/>
      <c r="DT113" s="1321"/>
      <c r="DU113" s="1321"/>
      <c r="DV113" s="1321"/>
      <c r="DW113" s="1321"/>
      <c r="DX113" s="1321"/>
      <c r="DY113" s="1321"/>
      <c r="DZ113" s="1321"/>
      <c r="EA113" s="1321"/>
      <c r="EB113" s="1321"/>
      <c r="EC113" s="1321"/>
      <c r="ED113" s="1321"/>
      <c r="EE113" s="1321"/>
      <c r="EF113" s="1321"/>
      <c r="EG113" s="1321"/>
      <c r="EH113" s="1321"/>
      <c r="EI113" s="1321"/>
    </row>
    <row r="114" spans="1:139" s="180" customFormat="1" ht="12.75" customHeight="1" x14ac:dyDescent="0.2">
      <c r="A114" s="224"/>
      <c r="B114" s="404" t="s">
        <v>426</v>
      </c>
      <c r="C114" s="318">
        <v>0</v>
      </c>
      <c r="D114" s="318">
        <v>0.25</v>
      </c>
      <c r="E114" s="318">
        <v>2</v>
      </c>
      <c r="F114" s="318">
        <v>0</v>
      </c>
      <c r="G114" s="318">
        <v>0</v>
      </c>
      <c r="H114" s="249">
        <f>SUM(C114:G114)</f>
        <v>2.25</v>
      </c>
      <c r="I114" s="250"/>
      <c r="J114" s="250"/>
      <c r="K114" s="250"/>
      <c r="L114" s="533">
        <f>((C114*$C$10)+(D114*$D$10)+(E114*$E$10)+(F114*$F$10))</f>
        <v>122.37599999999999</v>
      </c>
      <c r="M114" s="251">
        <v>0</v>
      </c>
      <c r="N114" s="252">
        <v>0</v>
      </c>
      <c r="O114" s="600">
        <f>'Table 1'!L127</f>
        <v>5.7</v>
      </c>
      <c r="P114" s="312">
        <f>(C114+D114+E114+F114)*O114</f>
        <v>12.825000000000001</v>
      </c>
      <c r="Q114" s="291">
        <f>(M114+N114)*O114</f>
        <v>0</v>
      </c>
      <c r="R114" s="559">
        <f>(L114+M114+N114)*O114</f>
        <v>697.54319999999996</v>
      </c>
      <c r="S114" s="300" t="s">
        <v>199</v>
      </c>
      <c r="T114" s="292" t="str">
        <f>IF($S114="RP",O114,"")</f>
        <v/>
      </c>
      <c r="U114" s="293" t="str">
        <f>IF($S114="RP",P114,"")</f>
        <v/>
      </c>
      <c r="V114" s="122" t="str">
        <f>IF($S114="RP",Q114,"")</f>
        <v/>
      </c>
      <c r="W114" s="293">
        <f>IF($S114="RK",O114,"")</f>
        <v>5.7</v>
      </c>
      <c r="X114" s="293">
        <f>IF($S114="RK",P114,"")</f>
        <v>12.825000000000001</v>
      </c>
      <c r="Y114" s="122">
        <f>IF($S114="RK",Q114,"")</f>
        <v>0</v>
      </c>
      <c r="AG114" s="1321"/>
      <c r="AH114" s="1321"/>
      <c r="AI114" s="1321"/>
      <c r="AJ114" s="1321"/>
      <c r="AK114" s="1321"/>
      <c r="AL114" s="1321"/>
      <c r="AM114" s="1321"/>
      <c r="AN114" s="1321"/>
      <c r="AO114" s="1321"/>
      <c r="AP114" s="1321"/>
      <c r="AQ114" s="1321"/>
      <c r="AR114" s="1321"/>
      <c r="AS114" s="1321"/>
      <c r="AT114" s="1321"/>
      <c r="AU114" s="1321"/>
      <c r="AV114" s="1321"/>
      <c r="AW114" s="1321"/>
      <c r="AX114" s="1321"/>
      <c r="AY114" s="1321"/>
      <c r="AZ114" s="1321"/>
      <c r="BA114" s="1321"/>
      <c r="BB114" s="1321"/>
      <c r="BC114" s="1321"/>
      <c r="BD114" s="1321"/>
      <c r="BE114" s="1321"/>
      <c r="BF114" s="1321"/>
      <c r="BG114" s="1321"/>
      <c r="BH114" s="1321"/>
      <c r="BI114" s="1321"/>
      <c r="BJ114" s="1321"/>
      <c r="BK114" s="1321"/>
      <c r="BL114" s="1321"/>
      <c r="BM114" s="1321"/>
      <c r="BN114" s="1321"/>
      <c r="BO114" s="1321"/>
      <c r="BP114" s="1321"/>
      <c r="BQ114" s="1321"/>
      <c r="BR114" s="1321"/>
      <c r="BS114" s="1321"/>
      <c r="BT114" s="1321"/>
      <c r="BU114" s="1321"/>
      <c r="BV114" s="1321"/>
      <c r="BW114" s="1321"/>
      <c r="BX114" s="1321"/>
      <c r="BY114" s="1321"/>
      <c r="BZ114" s="1321"/>
      <c r="CA114" s="1321"/>
      <c r="CB114" s="1321"/>
      <c r="CC114" s="1321"/>
      <c r="CD114" s="1321"/>
      <c r="CE114" s="1321"/>
      <c r="CF114" s="1321"/>
      <c r="CG114" s="1321"/>
      <c r="CH114" s="1321"/>
      <c r="CI114" s="1321"/>
      <c r="CJ114" s="1321"/>
      <c r="CK114" s="1321"/>
      <c r="CL114" s="1321"/>
      <c r="CM114" s="1321"/>
      <c r="CN114" s="1321"/>
      <c r="CO114" s="1321"/>
      <c r="CP114" s="1321"/>
      <c r="CQ114" s="1321"/>
      <c r="CR114" s="1321"/>
      <c r="CS114" s="1321"/>
      <c r="CT114" s="1321"/>
      <c r="CU114" s="1321"/>
      <c r="CV114" s="1321"/>
      <c r="CW114" s="1321"/>
      <c r="CX114" s="1321"/>
      <c r="CY114" s="1321"/>
      <c r="CZ114" s="1321"/>
      <c r="DA114" s="1321"/>
      <c r="DB114" s="1321"/>
      <c r="DC114" s="1321"/>
      <c r="DD114" s="1321"/>
      <c r="DE114" s="1321"/>
      <c r="DF114" s="1321"/>
      <c r="DG114" s="1321"/>
      <c r="DH114" s="1321"/>
      <c r="DI114" s="1321"/>
      <c r="DJ114" s="1321"/>
      <c r="DK114" s="1321"/>
      <c r="DL114" s="1321"/>
      <c r="DM114" s="1321"/>
      <c r="DN114" s="1321"/>
      <c r="DO114" s="1321"/>
      <c r="DP114" s="1321"/>
      <c r="DQ114" s="1321"/>
      <c r="DR114" s="1321"/>
      <c r="DS114" s="1321"/>
      <c r="DT114" s="1321"/>
      <c r="DU114" s="1321"/>
      <c r="DV114" s="1321"/>
      <c r="DW114" s="1321"/>
      <c r="DX114" s="1321"/>
      <c r="DY114" s="1321"/>
      <c r="DZ114" s="1321"/>
      <c r="EA114" s="1321"/>
      <c r="EB114" s="1321"/>
      <c r="EC114" s="1321"/>
      <c r="ED114" s="1321"/>
      <c r="EE114" s="1321"/>
      <c r="EF114" s="1321"/>
      <c r="EG114" s="1321"/>
      <c r="EH114" s="1321"/>
      <c r="EI114" s="1321"/>
    </row>
    <row r="115" spans="1:139" s="180" customFormat="1" ht="12.75" customHeight="1" x14ac:dyDescent="0.2">
      <c r="A115" s="221"/>
      <c r="B115" s="330" t="s">
        <v>418</v>
      </c>
      <c r="C115" s="396"/>
      <c r="D115" s="396"/>
      <c r="E115" s="396"/>
      <c r="F115" s="396"/>
      <c r="G115" s="396"/>
      <c r="H115" s="396"/>
      <c r="I115" s="397"/>
      <c r="J115" s="397"/>
      <c r="K115" s="397"/>
      <c r="L115" s="550"/>
      <c r="M115" s="398"/>
      <c r="N115" s="270"/>
      <c r="O115" s="601"/>
      <c r="P115" s="374"/>
      <c r="Q115" s="374"/>
      <c r="R115" s="565"/>
      <c r="S115" s="193"/>
      <c r="T115" s="185"/>
      <c r="U115" s="240"/>
      <c r="W115" s="185"/>
      <c r="X115" s="185"/>
      <c r="AG115" s="1321"/>
      <c r="AH115" s="1321"/>
      <c r="AI115" s="1321"/>
      <c r="AJ115" s="1321"/>
      <c r="AK115" s="1321"/>
      <c r="AL115" s="1321"/>
      <c r="AM115" s="1321"/>
      <c r="AN115" s="1321"/>
      <c r="AO115" s="1321"/>
      <c r="AP115" s="1321"/>
      <c r="AQ115" s="1321"/>
      <c r="AR115" s="1321"/>
      <c r="AS115" s="1321"/>
      <c r="AT115" s="1321"/>
      <c r="AU115" s="1321"/>
      <c r="AV115" s="1321"/>
      <c r="AW115" s="1321"/>
      <c r="AX115" s="1321"/>
      <c r="AY115" s="1321"/>
      <c r="AZ115" s="1321"/>
      <c r="BA115" s="1321"/>
      <c r="BB115" s="1321"/>
      <c r="BC115" s="1321"/>
      <c r="BD115" s="1321"/>
      <c r="BE115" s="1321"/>
      <c r="BF115" s="1321"/>
      <c r="BG115" s="1321"/>
      <c r="BH115" s="1321"/>
      <c r="BI115" s="1321"/>
      <c r="BJ115" s="1321"/>
      <c r="BK115" s="1321"/>
      <c r="BL115" s="1321"/>
      <c r="BM115" s="1321"/>
      <c r="BN115" s="1321"/>
      <c r="BO115" s="1321"/>
      <c r="BP115" s="1321"/>
      <c r="BQ115" s="1321"/>
      <c r="BR115" s="1321"/>
      <c r="BS115" s="1321"/>
      <c r="BT115" s="1321"/>
      <c r="BU115" s="1321"/>
      <c r="BV115" s="1321"/>
      <c r="BW115" s="1321"/>
      <c r="BX115" s="1321"/>
      <c r="BY115" s="1321"/>
      <c r="BZ115" s="1321"/>
      <c r="CA115" s="1321"/>
      <c r="CB115" s="1321"/>
      <c r="CC115" s="1321"/>
      <c r="CD115" s="1321"/>
      <c r="CE115" s="1321"/>
      <c r="CF115" s="1321"/>
      <c r="CG115" s="1321"/>
      <c r="CH115" s="1321"/>
      <c r="CI115" s="1321"/>
      <c r="CJ115" s="1321"/>
      <c r="CK115" s="1321"/>
      <c r="CL115" s="1321"/>
      <c r="CM115" s="1321"/>
      <c r="CN115" s="1321"/>
      <c r="CO115" s="1321"/>
      <c r="CP115" s="1321"/>
      <c r="CQ115" s="1321"/>
      <c r="CR115" s="1321"/>
      <c r="CS115" s="1321"/>
      <c r="CT115" s="1321"/>
      <c r="CU115" s="1321"/>
      <c r="CV115" s="1321"/>
      <c r="CW115" s="1321"/>
      <c r="CX115" s="1321"/>
      <c r="CY115" s="1321"/>
      <c r="CZ115" s="1321"/>
      <c r="DA115" s="1321"/>
      <c r="DB115" s="1321"/>
      <c r="DC115" s="1321"/>
      <c r="DD115" s="1321"/>
      <c r="DE115" s="1321"/>
      <c r="DF115" s="1321"/>
      <c r="DG115" s="1321"/>
      <c r="DH115" s="1321"/>
      <c r="DI115" s="1321"/>
      <c r="DJ115" s="1321"/>
      <c r="DK115" s="1321"/>
      <c r="DL115" s="1321"/>
      <c r="DM115" s="1321"/>
      <c r="DN115" s="1321"/>
      <c r="DO115" s="1321"/>
      <c r="DP115" s="1321"/>
      <c r="DQ115" s="1321"/>
      <c r="DR115" s="1321"/>
      <c r="DS115" s="1321"/>
      <c r="DT115" s="1321"/>
      <c r="DU115" s="1321"/>
      <c r="DV115" s="1321"/>
      <c r="DW115" s="1321"/>
      <c r="DX115" s="1321"/>
      <c r="DY115" s="1321"/>
      <c r="DZ115" s="1321"/>
      <c r="EA115" s="1321"/>
      <c r="EB115" s="1321"/>
      <c r="EC115" s="1321"/>
      <c r="ED115" s="1321"/>
      <c r="EE115" s="1321"/>
      <c r="EF115" s="1321"/>
      <c r="EG115" s="1321"/>
      <c r="EH115" s="1321"/>
      <c r="EI115" s="1321"/>
    </row>
    <row r="116" spans="1:139" s="180" customFormat="1" ht="12.75" customHeight="1" x14ac:dyDescent="0.2">
      <c r="A116" s="224"/>
      <c r="B116" s="404" t="s">
        <v>419</v>
      </c>
      <c r="C116" s="318">
        <v>0</v>
      </c>
      <c r="D116" s="318">
        <v>0.25</v>
      </c>
      <c r="E116" s="318">
        <v>2</v>
      </c>
      <c r="F116" s="318">
        <v>0</v>
      </c>
      <c r="G116" s="318">
        <v>0</v>
      </c>
      <c r="H116" s="249">
        <f>SUM(C116:G116)</f>
        <v>2.25</v>
      </c>
      <c r="I116" s="250"/>
      <c r="J116" s="250"/>
      <c r="K116" s="250"/>
      <c r="L116" s="533">
        <f>((C116*$C$10)+(D116*$D$10)+(E116*$E$10)+(F116*$F$10))</f>
        <v>122.37599999999999</v>
      </c>
      <c r="M116" s="251">
        <v>0</v>
      </c>
      <c r="N116" s="252">
        <v>0</v>
      </c>
      <c r="O116" s="600">
        <f>'Table 1'!L131</f>
        <v>0</v>
      </c>
      <c r="P116" s="312">
        <f>(C116+D116+E116+F116)*O116</f>
        <v>0</v>
      </c>
      <c r="Q116" s="291">
        <f>(M116+N116)*O116</f>
        <v>0</v>
      </c>
      <c r="R116" s="261">
        <f>(L116+M116+N116)*O116</f>
        <v>0</v>
      </c>
      <c r="S116" s="300" t="s">
        <v>199</v>
      </c>
      <c r="T116" s="292" t="str">
        <f t="shared" ref="T116:V116" si="36">IF($S116="RP",O116,"")</f>
        <v/>
      </c>
      <c r="U116" s="293" t="str">
        <f t="shared" si="36"/>
        <v/>
      </c>
      <c r="V116" s="122" t="str">
        <f t="shared" si="36"/>
        <v/>
      </c>
      <c r="W116" s="293">
        <f t="shared" ref="W116:Y116" si="37">IF($S116="RK",O116,"")</f>
        <v>0</v>
      </c>
      <c r="X116" s="293">
        <f t="shared" si="37"/>
        <v>0</v>
      </c>
      <c r="Y116" s="122">
        <f t="shared" si="37"/>
        <v>0</v>
      </c>
      <c r="AG116" s="1321"/>
      <c r="AH116" s="1321"/>
      <c r="AI116" s="1321"/>
      <c r="AJ116" s="1321"/>
      <c r="AK116" s="1321"/>
      <c r="AL116" s="1321"/>
      <c r="AM116" s="1321"/>
      <c r="AN116" s="1321"/>
      <c r="AO116" s="1321"/>
      <c r="AP116" s="1321"/>
      <c r="AQ116" s="1321"/>
      <c r="AR116" s="1321"/>
      <c r="AS116" s="1321"/>
      <c r="AT116" s="1321"/>
      <c r="AU116" s="1321"/>
      <c r="AV116" s="1321"/>
      <c r="AW116" s="1321"/>
      <c r="AX116" s="1321"/>
      <c r="AY116" s="1321"/>
      <c r="AZ116" s="1321"/>
      <c r="BA116" s="1321"/>
      <c r="BB116" s="1321"/>
      <c r="BC116" s="1321"/>
      <c r="BD116" s="1321"/>
      <c r="BE116" s="1321"/>
      <c r="BF116" s="1321"/>
      <c r="BG116" s="1321"/>
      <c r="BH116" s="1321"/>
      <c r="BI116" s="1321"/>
      <c r="BJ116" s="1321"/>
      <c r="BK116" s="1321"/>
      <c r="BL116" s="1321"/>
      <c r="BM116" s="1321"/>
      <c r="BN116" s="1321"/>
      <c r="BO116" s="1321"/>
      <c r="BP116" s="1321"/>
      <c r="BQ116" s="1321"/>
      <c r="BR116" s="1321"/>
      <c r="BS116" s="1321"/>
      <c r="BT116" s="1321"/>
      <c r="BU116" s="1321"/>
      <c r="BV116" s="1321"/>
      <c r="BW116" s="1321"/>
      <c r="BX116" s="1321"/>
      <c r="BY116" s="1321"/>
      <c r="BZ116" s="1321"/>
      <c r="CA116" s="1321"/>
      <c r="CB116" s="1321"/>
      <c r="CC116" s="1321"/>
      <c r="CD116" s="1321"/>
      <c r="CE116" s="1321"/>
      <c r="CF116" s="1321"/>
      <c r="CG116" s="1321"/>
      <c r="CH116" s="1321"/>
      <c r="CI116" s="1321"/>
      <c r="CJ116" s="1321"/>
      <c r="CK116" s="1321"/>
      <c r="CL116" s="1321"/>
      <c r="CM116" s="1321"/>
      <c r="CN116" s="1321"/>
      <c r="CO116" s="1321"/>
      <c r="CP116" s="1321"/>
      <c r="CQ116" s="1321"/>
      <c r="CR116" s="1321"/>
      <c r="CS116" s="1321"/>
      <c r="CT116" s="1321"/>
      <c r="CU116" s="1321"/>
      <c r="CV116" s="1321"/>
      <c r="CW116" s="1321"/>
      <c r="CX116" s="1321"/>
      <c r="CY116" s="1321"/>
      <c r="CZ116" s="1321"/>
      <c r="DA116" s="1321"/>
      <c r="DB116" s="1321"/>
      <c r="DC116" s="1321"/>
      <c r="DD116" s="1321"/>
      <c r="DE116" s="1321"/>
      <c r="DF116" s="1321"/>
      <c r="DG116" s="1321"/>
      <c r="DH116" s="1321"/>
      <c r="DI116" s="1321"/>
      <c r="DJ116" s="1321"/>
      <c r="DK116" s="1321"/>
      <c r="DL116" s="1321"/>
      <c r="DM116" s="1321"/>
      <c r="DN116" s="1321"/>
      <c r="DO116" s="1321"/>
      <c r="DP116" s="1321"/>
      <c r="DQ116" s="1321"/>
      <c r="DR116" s="1321"/>
      <c r="DS116" s="1321"/>
      <c r="DT116" s="1321"/>
      <c r="DU116" s="1321"/>
      <c r="DV116" s="1321"/>
      <c r="DW116" s="1321"/>
      <c r="DX116" s="1321"/>
      <c r="DY116" s="1321"/>
      <c r="DZ116" s="1321"/>
      <c r="EA116" s="1321"/>
      <c r="EB116" s="1321"/>
      <c r="EC116" s="1321"/>
      <c r="ED116" s="1321"/>
      <c r="EE116" s="1321"/>
      <c r="EF116" s="1321"/>
      <c r="EG116" s="1321"/>
      <c r="EH116" s="1321"/>
      <c r="EI116" s="1321"/>
    </row>
    <row r="117" spans="1:139" s="180" customFormat="1" ht="12.75" customHeight="1" x14ac:dyDescent="0.2">
      <c r="A117" s="221"/>
      <c r="B117" s="330" t="s">
        <v>415</v>
      </c>
      <c r="C117" s="396"/>
      <c r="D117" s="396"/>
      <c r="E117" s="396"/>
      <c r="F117" s="396"/>
      <c r="G117" s="396"/>
      <c r="H117" s="396"/>
      <c r="I117" s="397"/>
      <c r="J117" s="397"/>
      <c r="K117" s="397"/>
      <c r="L117" s="550"/>
      <c r="M117" s="398"/>
      <c r="N117" s="270"/>
      <c r="O117" s="601"/>
      <c r="P117" s="374"/>
      <c r="Q117" s="374"/>
      <c r="R117" s="565"/>
      <c r="S117" s="193"/>
      <c r="T117" s="185"/>
      <c r="U117" s="240"/>
      <c r="W117" s="185"/>
      <c r="X117" s="185"/>
      <c r="AG117" s="1321"/>
      <c r="AH117" s="1321"/>
      <c r="AI117" s="1321"/>
      <c r="AJ117" s="1321"/>
      <c r="AK117" s="1321"/>
      <c r="AL117" s="1321"/>
      <c r="AM117" s="1321"/>
      <c r="AN117" s="1321"/>
      <c r="AO117" s="1321"/>
      <c r="AP117" s="1321"/>
      <c r="AQ117" s="1321"/>
      <c r="AR117" s="1321"/>
      <c r="AS117" s="1321"/>
      <c r="AT117" s="1321"/>
      <c r="AU117" s="1321"/>
      <c r="AV117" s="1321"/>
      <c r="AW117" s="1321"/>
      <c r="AX117" s="1321"/>
      <c r="AY117" s="1321"/>
      <c r="AZ117" s="1321"/>
      <c r="BA117" s="1321"/>
      <c r="BB117" s="1321"/>
      <c r="BC117" s="1321"/>
      <c r="BD117" s="1321"/>
      <c r="BE117" s="1321"/>
      <c r="BF117" s="1321"/>
      <c r="BG117" s="1321"/>
      <c r="BH117" s="1321"/>
      <c r="BI117" s="1321"/>
      <c r="BJ117" s="1321"/>
      <c r="BK117" s="1321"/>
      <c r="BL117" s="1321"/>
      <c r="BM117" s="1321"/>
      <c r="BN117" s="1321"/>
      <c r="BO117" s="1321"/>
      <c r="BP117" s="1321"/>
      <c r="BQ117" s="1321"/>
      <c r="BR117" s="1321"/>
      <c r="BS117" s="1321"/>
      <c r="BT117" s="1321"/>
      <c r="BU117" s="1321"/>
      <c r="BV117" s="1321"/>
      <c r="BW117" s="1321"/>
      <c r="BX117" s="1321"/>
      <c r="BY117" s="1321"/>
      <c r="BZ117" s="1321"/>
      <c r="CA117" s="1321"/>
      <c r="CB117" s="1321"/>
      <c r="CC117" s="1321"/>
      <c r="CD117" s="1321"/>
      <c r="CE117" s="1321"/>
      <c r="CF117" s="1321"/>
      <c r="CG117" s="1321"/>
      <c r="CH117" s="1321"/>
      <c r="CI117" s="1321"/>
      <c r="CJ117" s="1321"/>
      <c r="CK117" s="1321"/>
      <c r="CL117" s="1321"/>
      <c r="CM117" s="1321"/>
      <c r="CN117" s="1321"/>
      <c r="CO117" s="1321"/>
      <c r="CP117" s="1321"/>
      <c r="CQ117" s="1321"/>
      <c r="CR117" s="1321"/>
      <c r="CS117" s="1321"/>
      <c r="CT117" s="1321"/>
      <c r="CU117" s="1321"/>
      <c r="CV117" s="1321"/>
      <c r="CW117" s="1321"/>
      <c r="CX117" s="1321"/>
      <c r="CY117" s="1321"/>
      <c r="CZ117" s="1321"/>
      <c r="DA117" s="1321"/>
      <c r="DB117" s="1321"/>
      <c r="DC117" s="1321"/>
      <c r="DD117" s="1321"/>
      <c r="DE117" s="1321"/>
      <c r="DF117" s="1321"/>
      <c r="DG117" s="1321"/>
      <c r="DH117" s="1321"/>
      <c r="DI117" s="1321"/>
      <c r="DJ117" s="1321"/>
      <c r="DK117" s="1321"/>
      <c r="DL117" s="1321"/>
      <c r="DM117" s="1321"/>
      <c r="DN117" s="1321"/>
      <c r="DO117" s="1321"/>
      <c r="DP117" s="1321"/>
      <c r="DQ117" s="1321"/>
      <c r="DR117" s="1321"/>
      <c r="DS117" s="1321"/>
      <c r="DT117" s="1321"/>
      <c r="DU117" s="1321"/>
      <c r="DV117" s="1321"/>
      <c r="DW117" s="1321"/>
      <c r="DX117" s="1321"/>
      <c r="DY117" s="1321"/>
      <c r="DZ117" s="1321"/>
      <c r="EA117" s="1321"/>
      <c r="EB117" s="1321"/>
      <c r="EC117" s="1321"/>
      <c r="ED117" s="1321"/>
      <c r="EE117" s="1321"/>
      <c r="EF117" s="1321"/>
      <c r="EG117" s="1321"/>
      <c r="EH117" s="1321"/>
      <c r="EI117" s="1321"/>
    </row>
    <row r="118" spans="1:139" s="180" customFormat="1" ht="12.75" customHeight="1" x14ac:dyDescent="0.2">
      <c r="A118" s="224"/>
      <c r="B118" s="404" t="s">
        <v>427</v>
      </c>
      <c r="C118" s="318">
        <v>0</v>
      </c>
      <c r="D118" s="318">
        <v>0.25</v>
      </c>
      <c r="E118" s="318">
        <v>0</v>
      </c>
      <c r="F118" s="318">
        <v>0.25</v>
      </c>
      <c r="G118" s="318">
        <v>0</v>
      </c>
      <c r="H118" s="249">
        <f>SUM(C118:G118)</f>
        <v>0.5</v>
      </c>
      <c r="I118" s="250"/>
      <c r="J118" s="250"/>
      <c r="K118" s="250"/>
      <c r="L118" s="533">
        <f>((C118*$C$10)+(D118*$D$10)+(E118*$E$10)+(F118*$F$10))</f>
        <v>24.724</v>
      </c>
      <c r="M118" s="251">
        <v>0</v>
      </c>
      <c r="N118" s="252">
        <v>1</v>
      </c>
      <c r="O118" s="600">
        <f>O114</f>
        <v>5.7</v>
      </c>
      <c r="P118" s="312">
        <f>(C118+D118+E118+F118)*O118</f>
        <v>2.85</v>
      </c>
      <c r="Q118" s="291">
        <f>(M118+N118)*O118</f>
        <v>5.7</v>
      </c>
      <c r="R118" s="559">
        <f>(L118+M118+N118)*O118</f>
        <v>146.6268</v>
      </c>
      <c r="S118" s="300" t="s">
        <v>199</v>
      </c>
      <c r="T118" s="292" t="str">
        <f>IF($S118="RP",O118,"")</f>
        <v/>
      </c>
      <c r="U118" s="293" t="str">
        <f>IF($S118="RP",P118,"")</f>
        <v/>
      </c>
      <c r="V118" s="122" t="str">
        <f>IF($S118="RP",Q118,"")</f>
        <v/>
      </c>
      <c r="W118" s="293">
        <f>IF($S118="RK",O118,"")</f>
        <v>5.7</v>
      </c>
      <c r="X118" s="293">
        <f>IF($S118="RK",P118,"")</f>
        <v>2.85</v>
      </c>
      <c r="Y118" s="122">
        <f>IF($S118="RK",Q118,"")</f>
        <v>5.7</v>
      </c>
      <c r="AG118" s="1321"/>
      <c r="AH118" s="1321"/>
      <c r="AI118" s="1321"/>
      <c r="AJ118" s="1321"/>
      <c r="AK118" s="1321"/>
      <c r="AL118" s="1321"/>
      <c r="AM118" s="1321"/>
      <c r="AN118" s="1321"/>
      <c r="AO118" s="1321"/>
      <c r="AP118" s="1321"/>
      <c r="AQ118" s="1321"/>
      <c r="AR118" s="1321"/>
      <c r="AS118" s="1321"/>
      <c r="AT118" s="1321"/>
      <c r="AU118" s="1321"/>
      <c r="AV118" s="1321"/>
      <c r="AW118" s="1321"/>
      <c r="AX118" s="1321"/>
      <c r="AY118" s="1321"/>
      <c r="AZ118" s="1321"/>
      <c r="BA118" s="1321"/>
      <c r="BB118" s="1321"/>
      <c r="BC118" s="1321"/>
      <c r="BD118" s="1321"/>
      <c r="BE118" s="1321"/>
      <c r="BF118" s="1321"/>
      <c r="BG118" s="1321"/>
      <c r="BH118" s="1321"/>
      <c r="BI118" s="1321"/>
      <c r="BJ118" s="1321"/>
      <c r="BK118" s="1321"/>
      <c r="BL118" s="1321"/>
      <c r="BM118" s="1321"/>
      <c r="BN118" s="1321"/>
      <c r="BO118" s="1321"/>
      <c r="BP118" s="1321"/>
      <c r="BQ118" s="1321"/>
      <c r="BR118" s="1321"/>
      <c r="BS118" s="1321"/>
      <c r="BT118" s="1321"/>
      <c r="BU118" s="1321"/>
      <c r="BV118" s="1321"/>
      <c r="BW118" s="1321"/>
      <c r="BX118" s="1321"/>
      <c r="BY118" s="1321"/>
      <c r="BZ118" s="1321"/>
      <c r="CA118" s="1321"/>
      <c r="CB118" s="1321"/>
      <c r="CC118" s="1321"/>
      <c r="CD118" s="1321"/>
      <c r="CE118" s="1321"/>
      <c r="CF118" s="1321"/>
      <c r="CG118" s="1321"/>
      <c r="CH118" s="1321"/>
      <c r="CI118" s="1321"/>
      <c r="CJ118" s="1321"/>
      <c r="CK118" s="1321"/>
      <c r="CL118" s="1321"/>
      <c r="CM118" s="1321"/>
      <c r="CN118" s="1321"/>
      <c r="CO118" s="1321"/>
      <c r="CP118" s="1321"/>
      <c r="CQ118" s="1321"/>
      <c r="CR118" s="1321"/>
      <c r="CS118" s="1321"/>
      <c r="CT118" s="1321"/>
      <c r="CU118" s="1321"/>
      <c r="CV118" s="1321"/>
      <c r="CW118" s="1321"/>
      <c r="CX118" s="1321"/>
      <c r="CY118" s="1321"/>
      <c r="CZ118" s="1321"/>
      <c r="DA118" s="1321"/>
      <c r="DB118" s="1321"/>
      <c r="DC118" s="1321"/>
      <c r="DD118" s="1321"/>
      <c r="DE118" s="1321"/>
      <c r="DF118" s="1321"/>
      <c r="DG118" s="1321"/>
      <c r="DH118" s="1321"/>
      <c r="DI118" s="1321"/>
      <c r="DJ118" s="1321"/>
      <c r="DK118" s="1321"/>
      <c r="DL118" s="1321"/>
      <c r="DM118" s="1321"/>
      <c r="DN118" s="1321"/>
      <c r="DO118" s="1321"/>
      <c r="DP118" s="1321"/>
      <c r="DQ118" s="1321"/>
      <c r="DR118" s="1321"/>
      <c r="DS118" s="1321"/>
      <c r="DT118" s="1321"/>
      <c r="DU118" s="1321"/>
      <c r="DV118" s="1321"/>
      <c r="DW118" s="1321"/>
      <c r="DX118" s="1321"/>
      <c r="DY118" s="1321"/>
      <c r="DZ118" s="1321"/>
      <c r="EA118" s="1321"/>
      <c r="EB118" s="1321"/>
      <c r="EC118" s="1321"/>
      <c r="ED118" s="1321"/>
      <c r="EE118" s="1321"/>
      <c r="EF118" s="1321"/>
      <c r="EG118" s="1321"/>
      <c r="EH118" s="1321"/>
      <c r="EI118" s="1321"/>
    </row>
    <row r="119" spans="1:139" s="180" customFormat="1" ht="12.75" customHeight="1" x14ac:dyDescent="0.2">
      <c r="A119" s="348"/>
      <c r="B119" s="330" t="s">
        <v>415</v>
      </c>
      <c r="C119" s="396"/>
      <c r="D119" s="396"/>
      <c r="E119" s="396"/>
      <c r="F119" s="396"/>
      <c r="G119" s="396"/>
      <c r="H119" s="396"/>
      <c r="I119" s="397"/>
      <c r="J119" s="397"/>
      <c r="K119" s="397"/>
      <c r="L119" s="550"/>
      <c r="M119" s="398"/>
      <c r="N119" s="270"/>
      <c r="O119" s="601"/>
      <c r="P119" s="374"/>
      <c r="Q119" s="374"/>
      <c r="R119" s="565"/>
      <c r="S119" s="193"/>
      <c r="T119" s="185"/>
      <c r="U119" s="240"/>
      <c r="W119" s="185"/>
      <c r="X119" s="185"/>
      <c r="AG119" s="1321"/>
      <c r="AH119" s="1321"/>
      <c r="AI119" s="1321"/>
      <c r="AJ119" s="1321"/>
      <c r="AK119" s="1321"/>
      <c r="AL119" s="1321"/>
      <c r="AM119" s="1321"/>
      <c r="AN119" s="1321"/>
      <c r="AO119" s="1321"/>
      <c r="AP119" s="1321"/>
      <c r="AQ119" s="1321"/>
      <c r="AR119" s="1321"/>
      <c r="AS119" s="1321"/>
      <c r="AT119" s="1321"/>
      <c r="AU119" s="1321"/>
      <c r="AV119" s="1321"/>
      <c r="AW119" s="1321"/>
      <c r="AX119" s="1321"/>
      <c r="AY119" s="1321"/>
      <c r="AZ119" s="1321"/>
      <c r="BA119" s="1321"/>
      <c r="BB119" s="1321"/>
      <c r="BC119" s="1321"/>
      <c r="BD119" s="1321"/>
      <c r="BE119" s="1321"/>
      <c r="BF119" s="1321"/>
      <c r="BG119" s="1321"/>
      <c r="BH119" s="1321"/>
      <c r="BI119" s="1321"/>
      <c r="BJ119" s="1321"/>
      <c r="BK119" s="1321"/>
      <c r="BL119" s="1321"/>
      <c r="BM119" s="1321"/>
      <c r="BN119" s="1321"/>
      <c r="BO119" s="1321"/>
      <c r="BP119" s="1321"/>
      <c r="BQ119" s="1321"/>
      <c r="BR119" s="1321"/>
      <c r="BS119" s="1321"/>
      <c r="BT119" s="1321"/>
      <c r="BU119" s="1321"/>
      <c r="BV119" s="1321"/>
      <c r="BW119" s="1321"/>
      <c r="BX119" s="1321"/>
      <c r="BY119" s="1321"/>
      <c r="BZ119" s="1321"/>
      <c r="CA119" s="1321"/>
      <c r="CB119" s="1321"/>
      <c r="CC119" s="1321"/>
      <c r="CD119" s="1321"/>
      <c r="CE119" s="1321"/>
      <c r="CF119" s="1321"/>
      <c r="CG119" s="1321"/>
      <c r="CH119" s="1321"/>
      <c r="CI119" s="1321"/>
      <c r="CJ119" s="1321"/>
      <c r="CK119" s="1321"/>
      <c r="CL119" s="1321"/>
      <c r="CM119" s="1321"/>
      <c r="CN119" s="1321"/>
      <c r="CO119" s="1321"/>
      <c r="CP119" s="1321"/>
      <c r="CQ119" s="1321"/>
      <c r="CR119" s="1321"/>
      <c r="CS119" s="1321"/>
      <c r="CT119" s="1321"/>
      <c r="CU119" s="1321"/>
      <c r="CV119" s="1321"/>
      <c r="CW119" s="1321"/>
      <c r="CX119" s="1321"/>
      <c r="CY119" s="1321"/>
      <c r="CZ119" s="1321"/>
      <c r="DA119" s="1321"/>
      <c r="DB119" s="1321"/>
      <c r="DC119" s="1321"/>
      <c r="DD119" s="1321"/>
      <c r="DE119" s="1321"/>
      <c r="DF119" s="1321"/>
      <c r="DG119" s="1321"/>
      <c r="DH119" s="1321"/>
      <c r="DI119" s="1321"/>
      <c r="DJ119" s="1321"/>
      <c r="DK119" s="1321"/>
      <c r="DL119" s="1321"/>
      <c r="DM119" s="1321"/>
      <c r="DN119" s="1321"/>
      <c r="DO119" s="1321"/>
      <c r="DP119" s="1321"/>
      <c r="DQ119" s="1321"/>
      <c r="DR119" s="1321"/>
      <c r="DS119" s="1321"/>
      <c r="DT119" s="1321"/>
      <c r="DU119" s="1321"/>
      <c r="DV119" s="1321"/>
      <c r="DW119" s="1321"/>
      <c r="DX119" s="1321"/>
      <c r="DY119" s="1321"/>
      <c r="DZ119" s="1321"/>
      <c r="EA119" s="1321"/>
      <c r="EB119" s="1321"/>
      <c r="EC119" s="1321"/>
      <c r="ED119" s="1321"/>
      <c r="EE119" s="1321"/>
      <c r="EF119" s="1321"/>
      <c r="EG119" s="1321"/>
      <c r="EH119" s="1321"/>
      <c r="EI119" s="1321"/>
    </row>
    <row r="120" spans="1:139" s="180" customFormat="1" ht="12.75" customHeight="1" x14ac:dyDescent="0.2">
      <c r="A120" s="224"/>
      <c r="B120" s="286" t="s">
        <v>422</v>
      </c>
      <c r="C120" s="395">
        <v>0</v>
      </c>
      <c r="D120" s="395">
        <v>0.25</v>
      </c>
      <c r="E120" s="395">
        <v>0</v>
      </c>
      <c r="F120" s="395">
        <v>0.25</v>
      </c>
      <c r="G120" s="395">
        <v>0</v>
      </c>
      <c r="H120" s="258">
        <f>SUM(C120:G120)</f>
        <v>0.5</v>
      </c>
      <c r="I120" s="259"/>
      <c r="J120" s="259"/>
      <c r="K120" s="259"/>
      <c r="L120" s="545">
        <f>((C120*$C$10)+(D120*$D$10)+(E120*$E$10)+(F120*$F$10))</f>
        <v>24.724</v>
      </c>
      <c r="M120" s="260">
        <v>0</v>
      </c>
      <c r="N120" s="261">
        <v>1</v>
      </c>
      <c r="O120" s="602">
        <f>O116</f>
        <v>0</v>
      </c>
      <c r="P120" s="369">
        <f>(C120+D120+E120+F120)*O120</f>
        <v>0</v>
      </c>
      <c r="Q120" s="291">
        <f>(M120+N120)*O120</f>
        <v>0</v>
      </c>
      <c r="R120" s="261">
        <f>(L120+M120+N120)*O120</f>
        <v>0</v>
      </c>
      <c r="S120" s="300" t="s">
        <v>200</v>
      </c>
      <c r="T120" s="292">
        <f>IF($S120="RP",O120,"")</f>
        <v>0</v>
      </c>
      <c r="U120" s="293">
        <f>IF($S120="RP",P120,"")</f>
        <v>0</v>
      </c>
      <c r="V120" s="122">
        <f>IF($S120="RP",Q120,"")</f>
        <v>0</v>
      </c>
      <c r="W120" s="293" t="str">
        <f>IF($S120="RK",O120,"")</f>
        <v/>
      </c>
      <c r="X120" s="293" t="str">
        <f>IF($S120="RK",P120,"")</f>
        <v/>
      </c>
      <c r="Y120" s="122" t="str">
        <f>IF($S120="RK",Q120,"")</f>
        <v/>
      </c>
      <c r="AG120" s="1321"/>
      <c r="AH120" s="1321"/>
      <c r="AI120" s="1321"/>
      <c r="AJ120" s="1321"/>
      <c r="AK120" s="1321"/>
      <c r="AL120" s="1321"/>
      <c r="AM120" s="1321"/>
      <c r="AN120" s="1321"/>
      <c r="AO120" s="1321"/>
      <c r="AP120" s="1321"/>
      <c r="AQ120" s="1321"/>
      <c r="AR120" s="1321"/>
      <c r="AS120" s="1321"/>
      <c r="AT120" s="1321"/>
      <c r="AU120" s="1321"/>
      <c r="AV120" s="1321"/>
      <c r="AW120" s="1321"/>
      <c r="AX120" s="1321"/>
      <c r="AY120" s="1321"/>
      <c r="AZ120" s="1321"/>
      <c r="BA120" s="1321"/>
      <c r="BB120" s="1321"/>
      <c r="BC120" s="1321"/>
      <c r="BD120" s="1321"/>
      <c r="BE120" s="1321"/>
      <c r="BF120" s="1321"/>
      <c r="BG120" s="1321"/>
      <c r="BH120" s="1321"/>
      <c r="BI120" s="1321"/>
      <c r="BJ120" s="1321"/>
      <c r="BK120" s="1321"/>
      <c r="BL120" s="1321"/>
      <c r="BM120" s="1321"/>
      <c r="BN120" s="1321"/>
      <c r="BO120" s="1321"/>
      <c r="BP120" s="1321"/>
      <c r="BQ120" s="1321"/>
      <c r="BR120" s="1321"/>
      <c r="BS120" s="1321"/>
      <c r="BT120" s="1321"/>
      <c r="BU120" s="1321"/>
      <c r="BV120" s="1321"/>
      <c r="BW120" s="1321"/>
      <c r="BX120" s="1321"/>
      <c r="BY120" s="1321"/>
      <c r="BZ120" s="1321"/>
      <c r="CA120" s="1321"/>
      <c r="CB120" s="1321"/>
      <c r="CC120" s="1321"/>
      <c r="CD120" s="1321"/>
      <c r="CE120" s="1321"/>
      <c r="CF120" s="1321"/>
      <c r="CG120" s="1321"/>
      <c r="CH120" s="1321"/>
      <c r="CI120" s="1321"/>
      <c r="CJ120" s="1321"/>
      <c r="CK120" s="1321"/>
      <c r="CL120" s="1321"/>
      <c r="CM120" s="1321"/>
      <c r="CN120" s="1321"/>
      <c r="CO120" s="1321"/>
      <c r="CP120" s="1321"/>
      <c r="CQ120" s="1321"/>
      <c r="CR120" s="1321"/>
      <c r="CS120" s="1321"/>
      <c r="CT120" s="1321"/>
      <c r="CU120" s="1321"/>
      <c r="CV120" s="1321"/>
      <c r="CW120" s="1321"/>
      <c r="CX120" s="1321"/>
      <c r="CY120" s="1321"/>
      <c r="CZ120" s="1321"/>
      <c r="DA120" s="1321"/>
      <c r="DB120" s="1321"/>
      <c r="DC120" s="1321"/>
      <c r="DD120" s="1321"/>
      <c r="DE120" s="1321"/>
      <c r="DF120" s="1321"/>
      <c r="DG120" s="1321"/>
      <c r="DH120" s="1321"/>
      <c r="DI120" s="1321"/>
      <c r="DJ120" s="1321"/>
      <c r="DK120" s="1321"/>
      <c r="DL120" s="1321"/>
      <c r="DM120" s="1321"/>
      <c r="DN120" s="1321"/>
      <c r="DO120" s="1321"/>
      <c r="DP120" s="1321"/>
      <c r="DQ120" s="1321"/>
      <c r="DR120" s="1321"/>
      <c r="DS120" s="1321"/>
      <c r="DT120" s="1321"/>
      <c r="DU120" s="1321"/>
      <c r="DV120" s="1321"/>
      <c r="DW120" s="1321"/>
      <c r="DX120" s="1321"/>
      <c r="DY120" s="1321"/>
      <c r="DZ120" s="1321"/>
      <c r="EA120" s="1321"/>
      <c r="EB120" s="1321"/>
      <c r="EC120" s="1321"/>
      <c r="ED120" s="1321"/>
      <c r="EE120" s="1321"/>
      <c r="EF120" s="1321"/>
      <c r="EG120" s="1321"/>
      <c r="EH120" s="1321"/>
      <c r="EI120" s="1321"/>
    </row>
    <row r="121" spans="1:139" s="180" customFormat="1" ht="12.75" customHeight="1" x14ac:dyDescent="0.2">
      <c r="A121" s="301" t="s">
        <v>586</v>
      </c>
      <c r="B121" s="302"/>
      <c r="C121" s="411"/>
      <c r="D121" s="411"/>
      <c r="E121" s="411"/>
      <c r="F121" s="411"/>
      <c r="G121" s="411"/>
      <c r="H121" s="411"/>
      <c r="I121" s="412"/>
      <c r="J121" s="412"/>
      <c r="K121" s="412"/>
      <c r="L121" s="551"/>
      <c r="M121" s="413"/>
      <c r="N121" s="414"/>
      <c r="O121" s="316"/>
      <c r="P121" s="415"/>
      <c r="Q121" s="415"/>
      <c r="R121" s="567"/>
      <c r="S121" s="193"/>
      <c r="T121" s="185"/>
      <c r="U121" s="240"/>
      <c r="W121" s="185"/>
      <c r="X121" s="185"/>
      <c r="AG121" s="1321"/>
      <c r="AH121" s="1321"/>
      <c r="AI121" s="1321"/>
      <c r="AJ121" s="1321"/>
      <c r="AK121" s="1321"/>
      <c r="AL121" s="1321"/>
      <c r="AM121" s="1321"/>
      <c r="AN121" s="1321"/>
      <c r="AO121" s="1321"/>
      <c r="AP121" s="1321"/>
      <c r="AQ121" s="1321"/>
      <c r="AR121" s="1321"/>
      <c r="AS121" s="1321"/>
      <c r="AT121" s="1321"/>
      <c r="AU121" s="1321"/>
      <c r="AV121" s="1321"/>
      <c r="AW121" s="1321"/>
      <c r="AX121" s="1321"/>
      <c r="AY121" s="1321"/>
      <c r="AZ121" s="1321"/>
      <c r="BA121" s="1321"/>
      <c r="BB121" s="1321"/>
      <c r="BC121" s="1321"/>
      <c r="BD121" s="1321"/>
      <c r="BE121" s="1321"/>
      <c r="BF121" s="1321"/>
      <c r="BG121" s="1321"/>
      <c r="BH121" s="1321"/>
      <c r="BI121" s="1321"/>
      <c r="BJ121" s="1321"/>
      <c r="BK121" s="1321"/>
      <c r="BL121" s="1321"/>
      <c r="BM121" s="1321"/>
      <c r="BN121" s="1321"/>
      <c r="BO121" s="1321"/>
      <c r="BP121" s="1321"/>
      <c r="BQ121" s="1321"/>
      <c r="BR121" s="1321"/>
      <c r="BS121" s="1321"/>
      <c r="BT121" s="1321"/>
      <c r="BU121" s="1321"/>
      <c r="BV121" s="1321"/>
      <c r="BW121" s="1321"/>
      <c r="BX121" s="1321"/>
      <c r="BY121" s="1321"/>
      <c r="BZ121" s="1321"/>
      <c r="CA121" s="1321"/>
      <c r="CB121" s="1321"/>
      <c r="CC121" s="1321"/>
      <c r="CD121" s="1321"/>
      <c r="CE121" s="1321"/>
      <c r="CF121" s="1321"/>
      <c r="CG121" s="1321"/>
      <c r="CH121" s="1321"/>
      <c r="CI121" s="1321"/>
      <c r="CJ121" s="1321"/>
      <c r="CK121" s="1321"/>
      <c r="CL121" s="1321"/>
      <c r="CM121" s="1321"/>
      <c r="CN121" s="1321"/>
      <c r="CO121" s="1321"/>
      <c r="CP121" s="1321"/>
      <c r="CQ121" s="1321"/>
      <c r="CR121" s="1321"/>
      <c r="CS121" s="1321"/>
      <c r="CT121" s="1321"/>
      <c r="CU121" s="1321"/>
      <c r="CV121" s="1321"/>
      <c r="CW121" s="1321"/>
      <c r="CX121" s="1321"/>
      <c r="CY121" s="1321"/>
      <c r="CZ121" s="1321"/>
      <c r="DA121" s="1321"/>
      <c r="DB121" s="1321"/>
      <c r="DC121" s="1321"/>
      <c r="DD121" s="1321"/>
      <c r="DE121" s="1321"/>
      <c r="DF121" s="1321"/>
      <c r="DG121" s="1321"/>
      <c r="DH121" s="1321"/>
      <c r="DI121" s="1321"/>
      <c r="DJ121" s="1321"/>
      <c r="DK121" s="1321"/>
      <c r="DL121" s="1321"/>
      <c r="DM121" s="1321"/>
      <c r="DN121" s="1321"/>
      <c r="DO121" s="1321"/>
      <c r="DP121" s="1321"/>
      <c r="DQ121" s="1321"/>
      <c r="DR121" s="1321"/>
      <c r="DS121" s="1321"/>
      <c r="DT121" s="1321"/>
      <c r="DU121" s="1321"/>
      <c r="DV121" s="1321"/>
      <c r="DW121" s="1321"/>
      <c r="DX121" s="1321"/>
      <c r="DY121" s="1321"/>
      <c r="DZ121" s="1321"/>
      <c r="EA121" s="1321"/>
      <c r="EB121" s="1321"/>
      <c r="EC121" s="1321"/>
      <c r="ED121" s="1321"/>
      <c r="EE121" s="1321"/>
      <c r="EF121" s="1321"/>
      <c r="EG121" s="1321"/>
      <c r="EH121" s="1321"/>
      <c r="EI121" s="1321"/>
    </row>
    <row r="122" spans="1:139" s="265" customFormat="1" ht="12.75" customHeight="1" x14ac:dyDescent="0.2">
      <c r="A122" s="309"/>
      <c r="B122" s="313" t="s">
        <v>428</v>
      </c>
      <c r="C122" s="275">
        <v>0</v>
      </c>
      <c r="D122" s="275">
        <v>0.25</v>
      </c>
      <c r="E122" s="275">
        <v>10</v>
      </c>
      <c r="F122" s="275">
        <v>0</v>
      </c>
      <c r="G122" s="311">
        <v>0</v>
      </c>
      <c r="H122" s="258">
        <f>SUM(C122:G122)</f>
        <v>10.25</v>
      </c>
      <c r="I122" s="259"/>
      <c r="J122" s="259"/>
      <c r="K122" s="259"/>
      <c r="L122" s="545">
        <f>((C122*$C$10)+(D122*$D$10)+(E122*$E$10)+(F122*$F$10))</f>
        <v>541.31999999999994</v>
      </c>
      <c r="M122" s="260">
        <v>0</v>
      </c>
      <c r="N122" s="261">
        <v>0</v>
      </c>
      <c r="O122" s="316">
        <f>'Table 1'!L138</f>
        <v>5.7</v>
      </c>
      <c r="P122" s="369">
        <f>(C122+D122+E122+F122)*O122</f>
        <v>58.425000000000004</v>
      </c>
      <c r="Q122" s="291">
        <f>(M122+N122)*O122</f>
        <v>0</v>
      </c>
      <c r="R122" s="559">
        <f>(L122+M122+N122)*O122</f>
        <v>3085.5239999999999</v>
      </c>
      <c r="S122" s="300" t="s">
        <v>199</v>
      </c>
      <c r="T122" s="292" t="str">
        <f t="shared" ref="T122:V123" si="38">IF($S122="RP",O122,"")</f>
        <v/>
      </c>
      <c r="U122" s="293" t="str">
        <f t="shared" si="38"/>
        <v/>
      </c>
      <c r="V122" s="122" t="str">
        <f t="shared" si="38"/>
        <v/>
      </c>
      <c r="W122" s="293">
        <f t="shared" ref="W122:Y123" si="39">IF($S122="RK",O122,"")</f>
        <v>5.7</v>
      </c>
      <c r="X122" s="293">
        <f t="shared" si="39"/>
        <v>58.425000000000004</v>
      </c>
      <c r="Y122" s="122">
        <f t="shared" si="39"/>
        <v>0</v>
      </c>
      <c r="AG122" s="1321"/>
      <c r="AH122" s="1321"/>
      <c r="AI122" s="1321"/>
      <c r="AJ122" s="1321"/>
      <c r="AK122" s="1321"/>
      <c r="AL122" s="1321"/>
      <c r="AM122" s="1321"/>
      <c r="AN122" s="1321"/>
      <c r="AO122" s="1321"/>
      <c r="AP122" s="1321"/>
      <c r="AQ122" s="1321"/>
      <c r="AR122" s="1321"/>
      <c r="AS122" s="1321"/>
      <c r="AT122" s="1321"/>
      <c r="AU122" s="1321"/>
      <c r="AV122" s="1321"/>
      <c r="AW122" s="1321"/>
      <c r="AX122" s="1321"/>
      <c r="AY122" s="1321"/>
      <c r="AZ122" s="1321"/>
      <c r="BA122" s="1321"/>
      <c r="BB122" s="1321"/>
      <c r="BC122" s="1321"/>
      <c r="BD122" s="1321"/>
      <c r="BE122" s="1321"/>
      <c r="BF122" s="1321"/>
      <c r="BG122" s="1321"/>
      <c r="BH122" s="1321"/>
      <c r="BI122" s="1321"/>
      <c r="BJ122" s="1321"/>
      <c r="BK122" s="1321"/>
      <c r="BL122" s="1321"/>
      <c r="BM122" s="1321"/>
      <c r="BN122" s="1321"/>
      <c r="BO122" s="1321"/>
      <c r="BP122" s="1321"/>
      <c r="BQ122" s="1321"/>
      <c r="BR122" s="1321"/>
      <c r="BS122" s="1321"/>
      <c r="BT122" s="1321"/>
      <c r="BU122" s="1321"/>
      <c r="BV122" s="1321"/>
      <c r="BW122" s="1321"/>
      <c r="BX122" s="1321"/>
      <c r="BY122" s="1321"/>
      <c r="BZ122" s="1321"/>
      <c r="CA122" s="1321"/>
      <c r="CB122" s="1321"/>
      <c r="CC122" s="1321"/>
      <c r="CD122" s="1321"/>
      <c r="CE122" s="1321"/>
      <c r="CF122" s="1321"/>
      <c r="CG122" s="1321"/>
      <c r="CH122" s="1321"/>
      <c r="CI122" s="1321"/>
      <c r="CJ122" s="1321"/>
      <c r="CK122" s="1321"/>
      <c r="CL122" s="1321"/>
      <c r="CM122" s="1321"/>
      <c r="CN122" s="1321"/>
      <c r="CO122" s="1321"/>
      <c r="CP122" s="1321"/>
      <c r="CQ122" s="1321"/>
      <c r="CR122" s="1321"/>
      <c r="CS122" s="1321"/>
      <c r="CT122" s="1321"/>
      <c r="CU122" s="1321"/>
      <c r="CV122" s="1321"/>
      <c r="CW122" s="1321"/>
      <c r="CX122" s="1321"/>
      <c r="CY122" s="1321"/>
      <c r="CZ122" s="1321"/>
      <c r="DA122" s="1321"/>
      <c r="DB122" s="1321"/>
      <c r="DC122" s="1321"/>
      <c r="DD122" s="1321"/>
      <c r="DE122" s="1321"/>
      <c r="DF122" s="1321"/>
      <c r="DG122" s="1321"/>
      <c r="DH122" s="1321"/>
      <c r="DI122" s="1321"/>
      <c r="DJ122" s="1321"/>
      <c r="DK122" s="1321"/>
      <c r="DL122" s="1321"/>
      <c r="DM122" s="1321"/>
      <c r="DN122" s="1321"/>
      <c r="DO122" s="1321"/>
      <c r="DP122" s="1321"/>
      <c r="DQ122" s="1321"/>
      <c r="DR122" s="1321"/>
      <c r="DS122" s="1321"/>
      <c r="DT122" s="1321"/>
      <c r="DU122" s="1321"/>
      <c r="DV122" s="1321"/>
      <c r="DW122" s="1321"/>
      <c r="DX122" s="1321"/>
      <c r="DY122" s="1321"/>
      <c r="DZ122" s="1321"/>
      <c r="EA122" s="1321"/>
      <c r="EB122" s="1321"/>
      <c r="EC122" s="1321"/>
      <c r="ED122" s="1321"/>
      <c r="EE122" s="1321"/>
      <c r="EF122" s="1321"/>
      <c r="EG122" s="1321"/>
      <c r="EH122" s="1321"/>
      <c r="EI122" s="1321"/>
    </row>
    <row r="123" spans="1:139" s="180" customFormat="1" ht="12.75" customHeight="1" x14ac:dyDescent="0.2">
      <c r="A123" s="210"/>
      <c r="B123" s="310" t="s">
        <v>372</v>
      </c>
      <c r="C123" s="256">
        <v>0</v>
      </c>
      <c r="D123" s="256">
        <v>0.25</v>
      </c>
      <c r="E123" s="256">
        <v>0</v>
      </c>
      <c r="F123" s="256">
        <v>0.25</v>
      </c>
      <c r="G123" s="257">
        <v>0</v>
      </c>
      <c r="H123" s="249">
        <f>SUM(C123:G123)</f>
        <v>0.5</v>
      </c>
      <c r="I123" s="250"/>
      <c r="J123" s="250"/>
      <c r="K123" s="250"/>
      <c r="L123" s="533">
        <f>((C123*$C$10)+(D123*$D$10)+(E123*$E$10)+(F123*$F$10))</f>
        <v>24.724</v>
      </c>
      <c r="M123" s="251">
        <v>20</v>
      </c>
      <c r="N123" s="252">
        <v>22</v>
      </c>
      <c r="O123" s="320">
        <f>O122</f>
        <v>5.7</v>
      </c>
      <c r="P123" s="312">
        <f>(C123+D123+E123+F123)*O123</f>
        <v>2.85</v>
      </c>
      <c r="Q123" s="291">
        <f>(M123+N123)*O123</f>
        <v>239.4</v>
      </c>
      <c r="R123" s="559">
        <f>(L123+M123+N123)*O123</f>
        <v>380.32680000000005</v>
      </c>
      <c r="S123" s="263" t="s">
        <v>200</v>
      </c>
      <c r="T123" s="292">
        <f t="shared" si="38"/>
        <v>5.7</v>
      </c>
      <c r="U123" s="293">
        <f t="shared" si="38"/>
        <v>2.85</v>
      </c>
      <c r="V123" s="122">
        <f t="shared" si="38"/>
        <v>239.4</v>
      </c>
      <c r="W123" s="293" t="str">
        <f t="shared" si="39"/>
        <v/>
      </c>
      <c r="X123" s="293" t="str">
        <f t="shared" si="39"/>
        <v/>
      </c>
      <c r="Y123" s="122" t="str">
        <f t="shared" si="39"/>
        <v/>
      </c>
      <c r="AG123" s="1321"/>
      <c r="AH123" s="1321"/>
      <c r="AI123" s="1321"/>
      <c r="AJ123" s="1321"/>
      <c r="AK123" s="1321"/>
      <c r="AL123" s="1321"/>
      <c r="AM123" s="1321"/>
      <c r="AN123" s="1321"/>
      <c r="AO123" s="1321"/>
      <c r="AP123" s="1321"/>
      <c r="AQ123" s="1321"/>
      <c r="AR123" s="1321"/>
      <c r="AS123" s="1321"/>
      <c r="AT123" s="1321"/>
      <c r="AU123" s="1321"/>
      <c r="AV123" s="1321"/>
      <c r="AW123" s="1321"/>
      <c r="AX123" s="1321"/>
      <c r="AY123" s="1321"/>
      <c r="AZ123" s="1321"/>
      <c r="BA123" s="1321"/>
      <c r="BB123" s="1321"/>
      <c r="BC123" s="1321"/>
      <c r="BD123" s="1321"/>
      <c r="BE123" s="1321"/>
      <c r="BF123" s="1321"/>
      <c r="BG123" s="1321"/>
      <c r="BH123" s="1321"/>
      <c r="BI123" s="1321"/>
      <c r="BJ123" s="1321"/>
      <c r="BK123" s="1321"/>
      <c r="BL123" s="1321"/>
      <c r="BM123" s="1321"/>
      <c r="BN123" s="1321"/>
      <c r="BO123" s="1321"/>
      <c r="BP123" s="1321"/>
      <c r="BQ123" s="1321"/>
      <c r="BR123" s="1321"/>
      <c r="BS123" s="1321"/>
      <c r="BT123" s="1321"/>
      <c r="BU123" s="1321"/>
      <c r="BV123" s="1321"/>
      <c r="BW123" s="1321"/>
      <c r="BX123" s="1321"/>
      <c r="BY123" s="1321"/>
      <c r="BZ123" s="1321"/>
      <c r="CA123" s="1321"/>
      <c r="CB123" s="1321"/>
      <c r="CC123" s="1321"/>
      <c r="CD123" s="1321"/>
      <c r="CE123" s="1321"/>
      <c r="CF123" s="1321"/>
      <c r="CG123" s="1321"/>
      <c r="CH123" s="1321"/>
      <c r="CI123" s="1321"/>
      <c r="CJ123" s="1321"/>
      <c r="CK123" s="1321"/>
      <c r="CL123" s="1321"/>
      <c r="CM123" s="1321"/>
      <c r="CN123" s="1321"/>
      <c r="CO123" s="1321"/>
      <c r="CP123" s="1321"/>
      <c r="CQ123" s="1321"/>
      <c r="CR123" s="1321"/>
      <c r="CS123" s="1321"/>
      <c r="CT123" s="1321"/>
      <c r="CU123" s="1321"/>
      <c r="CV123" s="1321"/>
      <c r="CW123" s="1321"/>
      <c r="CX123" s="1321"/>
      <c r="CY123" s="1321"/>
      <c r="CZ123" s="1321"/>
      <c r="DA123" s="1321"/>
      <c r="DB123" s="1321"/>
      <c r="DC123" s="1321"/>
      <c r="DD123" s="1321"/>
      <c r="DE123" s="1321"/>
      <c r="DF123" s="1321"/>
      <c r="DG123" s="1321"/>
      <c r="DH123" s="1321"/>
      <c r="DI123" s="1321"/>
      <c r="DJ123" s="1321"/>
      <c r="DK123" s="1321"/>
      <c r="DL123" s="1321"/>
      <c r="DM123" s="1321"/>
      <c r="DN123" s="1321"/>
      <c r="DO123" s="1321"/>
      <c r="DP123" s="1321"/>
      <c r="DQ123" s="1321"/>
      <c r="DR123" s="1321"/>
      <c r="DS123" s="1321"/>
      <c r="DT123" s="1321"/>
      <c r="DU123" s="1321"/>
      <c r="DV123" s="1321"/>
      <c r="DW123" s="1321"/>
      <c r="DX123" s="1321"/>
      <c r="DY123" s="1321"/>
      <c r="DZ123" s="1321"/>
      <c r="EA123" s="1321"/>
      <c r="EB123" s="1321"/>
      <c r="EC123" s="1321"/>
      <c r="ED123" s="1321"/>
      <c r="EE123" s="1321"/>
      <c r="EF123" s="1321"/>
      <c r="EG123" s="1321"/>
      <c r="EH123" s="1321"/>
      <c r="EI123" s="1321"/>
    </row>
    <row r="124" spans="1:139" s="180" customFormat="1" ht="12.75" customHeight="1" x14ac:dyDescent="0.2">
      <c r="A124" s="278" t="s">
        <v>587</v>
      </c>
      <c r="B124" s="279"/>
      <c r="C124" s="280"/>
      <c r="D124" s="280"/>
      <c r="E124" s="280"/>
      <c r="F124" s="280"/>
      <c r="G124" s="280"/>
      <c r="H124" s="280"/>
      <c r="I124" s="281"/>
      <c r="J124" s="281"/>
      <c r="K124" s="281"/>
      <c r="L124" s="535"/>
      <c r="M124" s="282"/>
      <c r="N124" s="283"/>
      <c r="O124" s="402"/>
      <c r="P124" s="284"/>
      <c r="Q124" s="284"/>
      <c r="R124" s="562"/>
      <c r="S124" s="193"/>
      <c r="T124" s="185"/>
      <c r="U124" s="240"/>
      <c r="W124" s="185"/>
      <c r="X124" s="185"/>
      <c r="AG124" s="1321"/>
      <c r="AH124" s="1321"/>
      <c r="AI124" s="1321"/>
      <c r="AJ124" s="1321"/>
      <c r="AK124" s="1321"/>
      <c r="AL124" s="1321"/>
      <c r="AM124" s="1321"/>
      <c r="AN124" s="1321"/>
      <c r="AO124" s="1321"/>
      <c r="AP124" s="1321"/>
      <c r="AQ124" s="1321"/>
      <c r="AR124" s="1321"/>
      <c r="AS124" s="1321"/>
      <c r="AT124" s="1321"/>
      <c r="AU124" s="1321"/>
      <c r="AV124" s="1321"/>
      <c r="AW124" s="1321"/>
      <c r="AX124" s="1321"/>
      <c r="AY124" s="1321"/>
      <c r="AZ124" s="1321"/>
      <c r="BA124" s="1321"/>
      <c r="BB124" s="1321"/>
      <c r="BC124" s="1321"/>
      <c r="BD124" s="1321"/>
      <c r="BE124" s="1321"/>
      <c r="BF124" s="1321"/>
      <c r="BG124" s="1321"/>
      <c r="BH124" s="1321"/>
      <c r="BI124" s="1321"/>
      <c r="BJ124" s="1321"/>
      <c r="BK124" s="1321"/>
      <c r="BL124" s="1321"/>
      <c r="BM124" s="1321"/>
      <c r="BN124" s="1321"/>
      <c r="BO124" s="1321"/>
      <c r="BP124" s="1321"/>
      <c r="BQ124" s="1321"/>
      <c r="BR124" s="1321"/>
      <c r="BS124" s="1321"/>
      <c r="BT124" s="1321"/>
      <c r="BU124" s="1321"/>
      <c r="BV124" s="1321"/>
      <c r="BW124" s="1321"/>
      <c r="BX124" s="1321"/>
      <c r="BY124" s="1321"/>
      <c r="BZ124" s="1321"/>
      <c r="CA124" s="1321"/>
      <c r="CB124" s="1321"/>
      <c r="CC124" s="1321"/>
      <c r="CD124" s="1321"/>
      <c r="CE124" s="1321"/>
      <c r="CF124" s="1321"/>
      <c r="CG124" s="1321"/>
      <c r="CH124" s="1321"/>
      <c r="CI124" s="1321"/>
      <c r="CJ124" s="1321"/>
      <c r="CK124" s="1321"/>
      <c r="CL124" s="1321"/>
      <c r="CM124" s="1321"/>
      <c r="CN124" s="1321"/>
      <c r="CO124" s="1321"/>
      <c r="CP124" s="1321"/>
      <c r="CQ124" s="1321"/>
      <c r="CR124" s="1321"/>
      <c r="CS124" s="1321"/>
      <c r="CT124" s="1321"/>
      <c r="CU124" s="1321"/>
      <c r="CV124" s="1321"/>
      <c r="CW124" s="1321"/>
      <c r="CX124" s="1321"/>
      <c r="CY124" s="1321"/>
      <c r="CZ124" s="1321"/>
      <c r="DA124" s="1321"/>
      <c r="DB124" s="1321"/>
      <c r="DC124" s="1321"/>
      <c r="DD124" s="1321"/>
      <c r="DE124" s="1321"/>
      <c r="DF124" s="1321"/>
      <c r="DG124" s="1321"/>
      <c r="DH124" s="1321"/>
      <c r="DI124" s="1321"/>
      <c r="DJ124" s="1321"/>
      <c r="DK124" s="1321"/>
      <c r="DL124" s="1321"/>
      <c r="DM124" s="1321"/>
      <c r="DN124" s="1321"/>
      <c r="DO124" s="1321"/>
      <c r="DP124" s="1321"/>
      <c r="DQ124" s="1321"/>
      <c r="DR124" s="1321"/>
      <c r="DS124" s="1321"/>
      <c r="DT124" s="1321"/>
      <c r="DU124" s="1321"/>
      <c r="DV124" s="1321"/>
      <c r="DW124" s="1321"/>
      <c r="DX124" s="1321"/>
      <c r="DY124" s="1321"/>
      <c r="DZ124" s="1321"/>
      <c r="EA124" s="1321"/>
      <c r="EB124" s="1321"/>
      <c r="EC124" s="1321"/>
      <c r="ED124" s="1321"/>
      <c r="EE124" s="1321"/>
      <c r="EF124" s="1321"/>
      <c r="EG124" s="1321"/>
      <c r="EH124" s="1321"/>
      <c r="EI124" s="1321"/>
    </row>
    <row r="125" spans="1:139" s="180" customFormat="1" ht="12.75" customHeight="1" thickBot="1" x14ac:dyDescent="0.25">
      <c r="A125" s="400"/>
      <c r="B125" s="410" t="s">
        <v>429</v>
      </c>
      <c r="C125" s="318">
        <v>0</v>
      </c>
      <c r="D125" s="318">
        <v>0</v>
      </c>
      <c r="E125" s="318">
        <v>0.25</v>
      </c>
      <c r="F125" s="318">
        <v>0.1</v>
      </c>
      <c r="G125" s="318">
        <v>0</v>
      </c>
      <c r="H125" s="249">
        <f>SUM(C125:G125)</f>
        <v>0.35</v>
      </c>
      <c r="I125" s="250"/>
      <c r="J125" s="250"/>
      <c r="K125" s="250"/>
      <c r="L125" s="533">
        <f>((C125*$C$10)+(D125*$D$10)+(E125*$E$10)+(F125*$F$10))</f>
        <v>15.925599999999999</v>
      </c>
      <c r="M125" s="251">
        <v>0</v>
      </c>
      <c r="N125" s="252">
        <v>0</v>
      </c>
      <c r="O125" s="320">
        <f>'Table 1'!L141</f>
        <v>28.5</v>
      </c>
      <c r="P125" s="312">
        <f>(C125+D125+E125+F125)*O125</f>
        <v>9.9749999999999996</v>
      </c>
      <c r="Q125" s="291">
        <f>(M125+N125)*O125</f>
        <v>0</v>
      </c>
      <c r="R125" s="559">
        <f>(L125+M125+N125)*O125</f>
        <v>453.87959999999998</v>
      </c>
      <c r="S125" s="401" t="s">
        <v>199</v>
      </c>
      <c r="T125" s="292" t="str">
        <f>IF($S125="RP",O125,"")</f>
        <v/>
      </c>
      <c r="U125" s="293" t="str">
        <f>IF($S125="RP",P125,"")</f>
        <v/>
      </c>
      <c r="V125" s="122" t="str">
        <f>IF($S125="RP",Q125,"")</f>
        <v/>
      </c>
      <c r="W125" s="293">
        <f>IF($S125="RK",O125,"")</f>
        <v>28.5</v>
      </c>
      <c r="X125" s="293">
        <f>IF($S125="RK",P125,"")</f>
        <v>9.9749999999999996</v>
      </c>
      <c r="Y125" s="122">
        <f>IF($S125="RK",Q125,"")</f>
        <v>0</v>
      </c>
      <c r="AG125" s="1321"/>
      <c r="AH125" s="1321"/>
      <c r="AI125" s="1321"/>
      <c r="AJ125" s="1321"/>
      <c r="AK125" s="1321"/>
      <c r="AL125" s="1321"/>
      <c r="AM125" s="1321"/>
      <c r="AN125" s="1321"/>
      <c r="AO125" s="1321"/>
      <c r="AP125" s="1321"/>
      <c r="AQ125" s="1321"/>
      <c r="AR125" s="1321"/>
      <c r="AS125" s="1321"/>
      <c r="AT125" s="1321"/>
      <c r="AU125" s="1321"/>
      <c r="AV125" s="1321"/>
      <c r="AW125" s="1321"/>
      <c r="AX125" s="1321"/>
      <c r="AY125" s="1321"/>
      <c r="AZ125" s="1321"/>
      <c r="BA125" s="1321"/>
      <c r="BB125" s="1321"/>
      <c r="BC125" s="1321"/>
      <c r="BD125" s="1321"/>
      <c r="BE125" s="1321"/>
      <c r="BF125" s="1321"/>
      <c r="BG125" s="1321"/>
      <c r="BH125" s="1321"/>
      <c r="BI125" s="1321"/>
      <c r="BJ125" s="1321"/>
      <c r="BK125" s="1321"/>
      <c r="BL125" s="1321"/>
      <c r="BM125" s="1321"/>
      <c r="BN125" s="1321"/>
      <c r="BO125" s="1321"/>
      <c r="BP125" s="1321"/>
      <c r="BQ125" s="1321"/>
      <c r="BR125" s="1321"/>
      <c r="BS125" s="1321"/>
      <c r="BT125" s="1321"/>
      <c r="BU125" s="1321"/>
      <c r="BV125" s="1321"/>
      <c r="BW125" s="1321"/>
      <c r="BX125" s="1321"/>
      <c r="BY125" s="1321"/>
      <c r="BZ125" s="1321"/>
      <c r="CA125" s="1321"/>
      <c r="CB125" s="1321"/>
      <c r="CC125" s="1321"/>
      <c r="CD125" s="1321"/>
      <c r="CE125" s="1321"/>
      <c r="CF125" s="1321"/>
      <c r="CG125" s="1321"/>
      <c r="CH125" s="1321"/>
      <c r="CI125" s="1321"/>
      <c r="CJ125" s="1321"/>
      <c r="CK125" s="1321"/>
      <c r="CL125" s="1321"/>
      <c r="CM125" s="1321"/>
      <c r="CN125" s="1321"/>
      <c r="CO125" s="1321"/>
      <c r="CP125" s="1321"/>
      <c r="CQ125" s="1321"/>
      <c r="CR125" s="1321"/>
      <c r="CS125" s="1321"/>
      <c r="CT125" s="1321"/>
      <c r="CU125" s="1321"/>
      <c r="CV125" s="1321"/>
      <c r="CW125" s="1321"/>
      <c r="CX125" s="1321"/>
      <c r="CY125" s="1321"/>
      <c r="CZ125" s="1321"/>
      <c r="DA125" s="1321"/>
      <c r="DB125" s="1321"/>
      <c r="DC125" s="1321"/>
      <c r="DD125" s="1321"/>
      <c r="DE125" s="1321"/>
      <c r="DF125" s="1321"/>
      <c r="DG125" s="1321"/>
      <c r="DH125" s="1321"/>
      <c r="DI125" s="1321"/>
      <c r="DJ125" s="1321"/>
      <c r="DK125" s="1321"/>
      <c r="DL125" s="1321"/>
      <c r="DM125" s="1321"/>
      <c r="DN125" s="1321"/>
      <c r="DO125" s="1321"/>
      <c r="DP125" s="1321"/>
      <c r="DQ125" s="1321"/>
      <c r="DR125" s="1321"/>
      <c r="DS125" s="1321"/>
      <c r="DT125" s="1321"/>
      <c r="DU125" s="1321"/>
      <c r="DV125" s="1321"/>
      <c r="DW125" s="1321"/>
      <c r="DX125" s="1321"/>
      <c r="DY125" s="1321"/>
      <c r="DZ125" s="1321"/>
      <c r="EA125" s="1321"/>
      <c r="EB125" s="1321"/>
      <c r="EC125" s="1321"/>
      <c r="ED125" s="1321"/>
      <c r="EE125" s="1321"/>
      <c r="EF125" s="1321"/>
      <c r="EG125" s="1321"/>
      <c r="EH125" s="1321"/>
      <c r="EI125" s="1321"/>
    </row>
    <row r="126" spans="1:139" s="180" customFormat="1" ht="23.5" customHeight="1" x14ac:dyDescent="0.2">
      <c r="A126" s="1358" t="s">
        <v>590</v>
      </c>
      <c r="B126" s="1359"/>
      <c r="C126" s="280"/>
      <c r="D126" s="280"/>
      <c r="E126" s="280"/>
      <c r="F126" s="280"/>
      <c r="G126" s="280"/>
      <c r="H126" s="280"/>
      <c r="I126" s="281"/>
      <c r="J126" s="281"/>
      <c r="K126" s="281"/>
      <c r="L126" s="535"/>
      <c r="M126" s="282"/>
      <c r="N126" s="283"/>
      <c r="O126" s="402"/>
      <c r="P126" s="284"/>
      <c r="Q126" s="284"/>
      <c r="R126" s="562"/>
      <c r="S126" s="193"/>
      <c r="T126" s="185"/>
      <c r="U126" s="240"/>
      <c r="W126" s="185"/>
      <c r="X126" s="185"/>
      <c r="AG126" s="1321"/>
      <c r="AH126" s="1321"/>
      <c r="AI126" s="1321"/>
      <c r="AJ126" s="1321"/>
      <c r="AK126" s="1321"/>
      <c r="AL126" s="1321"/>
      <c r="AM126" s="1321"/>
      <c r="AN126" s="1321"/>
      <c r="AO126" s="1321"/>
      <c r="AP126" s="1321"/>
      <c r="AQ126" s="1321"/>
      <c r="AR126" s="1321"/>
      <c r="AS126" s="1321"/>
      <c r="AT126" s="1321"/>
      <c r="AU126" s="1321"/>
      <c r="AV126" s="1321"/>
      <c r="AW126" s="1321"/>
      <c r="AX126" s="1321"/>
      <c r="AY126" s="1321"/>
      <c r="AZ126" s="1321"/>
      <c r="BA126" s="1321"/>
      <c r="BB126" s="1321"/>
      <c r="BC126" s="1321"/>
      <c r="BD126" s="1321"/>
      <c r="BE126" s="1321"/>
      <c r="BF126" s="1321"/>
      <c r="BG126" s="1321"/>
      <c r="BH126" s="1321"/>
      <c r="BI126" s="1321"/>
      <c r="BJ126" s="1321"/>
      <c r="BK126" s="1321"/>
      <c r="BL126" s="1321"/>
      <c r="BM126" s="1321"/>
      <c r="BN126" s="1321"/>
      <c r="BO126" s="1321"/>
      <c r="BP126" s="1321"/>
      <c r="BQ126" s="1321"/>
      <c r="BR126" s="1321"/>
      <c r="BS126" s="1321"/>
      <c r="BT126" s="1321"/>
      <c r="BU126" s="1321"/>
      <c r="BV126" s="1321"/>
      <c r="BW126" s="1321"/>
      <c r="BX126" s="1321"/>
      <c r="BY126" s="1321"/>
      <c r="BZ126" s="1321"/>
      <c r="CA126" s="1321"/>
      <c r="CB126" s="1321"/>
      <c r="CC126" s="1321"/>
      <c r="CD126" s="1321"/>
      <c r="CE126" s="1321"/>
      <c r="CF126" s="1321"/>
      <c r="CG126" s="1321"/>
      <c r="CH126" s="1321"/>
      <c r="CI126" s="1321"/>
      <c r="CJ126" s="1321"/>
      <c r="CK126" s="1321"/>
      <c r="CL126" s="1321"/>
      <c r="CM126" s="1321"/>
      <c r="CN126" s="1321"/>
      <c r="CO126" s="1321"/>
      <c r="CP126" s="1321"/>
      <c r="CQ126" s="1321"/>
      <c r="CR126" s="1321"/>
      <c r="CS126" s="1321"/>
      <c r="CT126" s="1321"/>
      <c r="CU126" s="1321"/>
      <c r="CV126" s="1321"/>
      <c r="CW126" s="1321"/>
      <c r="CX126" s="1321"/>
      <c r="CY126" s="1321"/>
      <c r="CZ126" s="1321"/>
      <c r="DA126" s="1321"/>
      <c r="DB126" s="1321"/>
      <c r="DC126" s="1321"/>
      <c r="DD126" s="1321"/>
      <c r="DE126" s="1321"/>
      <c r="DF126" s="1321"/>
      <c r="DG126" s="1321"/>
      <c r="DH126" s="1321"/>
      <c r="DI126" s="1321"/>
      <c r="DJ126" s="1321"/>
      <c r="DK126" s="1321"/>
      <c r="DL126" s="1321"/>
      <c r="DM126" s="1321"/>
      <c r="DN126" s="1321"/>
      <c r="DO126" s="1321"/>
      <c r="DP126" s="1321"/>
      <c r="DQ126" s="1321"/>
      <c r="DR126" s="1321"/>
      <c r="DS126" s="1321"/>
      <c r="DT126" s="1321"/>
      <c r="DU126" s="1321"/>
      <c r="DV126" s="1321"/>
      <c r="DW126" s="1321"/>
      <c r="DX126" s="1321"/>
      <c r="DY126" s="1321"/>
      <c r="DZ126" s="1321"/>
      <c r="EA126" s="1321"/>
      <c r="EB126" s="1321"/>
      <c r="EC126" s="1321"/>
      <c r="ED126" s="1321"/>
      <c r="EE126" s="1321"/>
      <c r="EF126" s="1321"/>
      <c r="EG126" s="1321"/>
      <c r="EH126" s="1321"/>
      <c r="EI126" s="1321"/>
    </row>
    <row r="127" spans="1:139" s="180" customFormat="1" ht="12.75" customHeight="1" x14ac:dyDescent="0.2">
      <c r="A127" s="221"/>
      <c r="B127" s="330" t="s">
        <v>430</v>
      </c>
      <c r="C127" s="396"/>
      <c r="D127" s="396"/>
      <c r="E127" s="396"/>
      <c r="F127" s="396"/>
      <c r="G127" s="396"/>
      <c r="H127" s="267"/>
      <c r="I127" s="268"/>
      <c r="J127" s="268"/>
      <c r="K127" s="268"/>
      <c r="L127" s="547"/>
      <c r="M127" s="269"/>
      <c r="N127" s="270"/>
      <c r="O127" s="399"/>
      <c r="P127" s="373"/>
      <c r="Q127" s="374"/>
      <c r="R127" s="565"/>
      <c r="S127" s="193"/>
      <c r="T127" s="185"/>
      <c r="U127" s="240"/>
      <c r="W127" s="185"/>
      <c r="X127" s="185"/>
      <c r="AG127" s="1321"/>
      <c r="AH127" s="1321"/>
      <c r="AI127" s="1321"/>
      <c r="AJ127" s="1321"/>
      <c r="AK127" s="1321"/>
      <c r="AL127" s="1321"/>
      <c r="AM127" s="1321"/>
      <c r="AN127" s="1321"/>
      <c r="AO127" s="1321"/>
      <c r="AP127" s="1321"/>
      <c r="AQ127" s="1321"/>
      <c r="AR127" s="1321"/>
      <c r="AS127" s="1321"/>
      <c r="AT127" s="1321"/>
      <c r="AU127" s="1321"/>
      <c r="AV127" s="1321"/>
      <c r="AW127" s="1321"/>
      <c r="AX127" s="1321"/>
      <c r="AY127" s="1321"/>
      <c r="AZ127" s="1321"/>
      <c r="BA127" s="1321"/>
      <c r="BB127" s="1321"/>
      <c r="BC127" s="1321"/>
      <c r="BD127" s="1321"/>
      <c r="BE127" s="1321"/>
      <c r="BF127" s="1321"/>
      <c r="BG127" s="1321"/>
      <c r="BH127" s="1321"/>
      <c r="BI127" s="1321"/>
      <c r="BJ127" s="1321"/>
      <c r="BK127" s="1321"/>
      <c r="BL127" s="1321"/>
      <c r="BM127" s="1321"/>
      <c r="BN127" s="1321"/>
      <c r="BO127" s="1321"/>
      <c r="BP127" s="1321"/>
      <c r="BQ127" s="1321"/>
      <c r="BR127" s="1321"/>
      <c r="BS127" s="1321"/>
      <c r="BT127" s="1321"/>
      <c r="BU127" s="1321"/>
      <c r="BV127" s="1321"/>
      <c r="BW127" s="1321"/>
      <c r="BX127" s="1321"/>
      <c r="BY127" s="1321"/>
      <c r="BZ127" s="1321"/>
      <c r="CA127" s="1321"/>
      <c r="CB127" s="1321"/>
      <c r="CC127" s="1321"/>
      <c r="CD127" s="1321"/>
      <c r="CE127" s="1321"/>
      <c r="CF127" s="1321"/>
      <c r="CG127" s="1321"/>
      <c r="CH127" s="1321"/>
      <c r="CI127" s="1321"/>
      <c r="CJ127" s="1321"/>
      <c r="CK127" s="1321"/>
      <c r="CL127" s="1321"/>
      <c r="CM127" s="1321"/>
      <c r="CN127" s="1321"/>
      <c r="CO127" s="1321"/>
      <c r="CP127" s="1321"/>
      <c r="CQ127" s="1321"/>
      <c r="CR127" s="1321"/>
      <c r="CS127" s="1321"/>
      <c r="CT127" s="1321"/>
      <c r="CU127" s="1321"/>
      <c r="CV127" s="1321"/>
      <c r="CW127" s="1321"/>
      <c r="CX127" s="1321"/>
      <c r="CY127" s="1321"/>
      <c r="CZ127" s="1321"/>
      <c r="DA127" s="1321"/>
      <c r="DB127" s="1321"/>
      <c r="DC127" s="1321"/>
      <c r="DD127" s="1321"/>
      <c r="DE127" s="1321"/>
      <c r="DF127" s="1321"/>
      <c r="DG127" s="1321"/>
      <c r="DH127" s="1321"/>
      <c r="DI127" s="1321"/>
      <c r="DJ127" s="1321"/>
      <c r="DK127" s="1321"/>
      <c r="DL127" s="1321"/>
      <c r="DM127" s="1321"/>
      <c r="DN127" s="1321"/>
      <c r="DO127" s="1321"/>
      <c r="DP127" s="1321"/>
      <c r="DQ127" s="1321"/>
      <c r="DR127" s="1321"/>
      <c r="DS127" s="1321"/>
      <c r="DT127" s="1321"/>
      <c r="DU127" s="1321"/>
      <c r="DV127" s="1321"/>
      <c r="DW127" s="1321"/>
      <c r="DX127" s="1321"/>
      <c r="DY127" s="1321"/>
      <c r="DZ127" s="1321"/>
      <c r="EA127" s="1321"/>
      <c r="EB127" s="1321"/>
      <c r="EC127" s="1321"/>
      <c r="ED127" s="1321"/>
      <c r="EE127" s="1321"/>
      <c r="EF127" s="1321"/>
      <c r="EG127" s="1321"/>
      <c r="EH127" s="1321"/>
      <c r="EI127" s="1321"/>
    </row>
    <row r="128" spans="1:139" s="180" customFormat="1" ht="12.75" customHeight="1" x14ac:dyDescent="0.2">
      <c r="A128" s="221"/>
      <c r="B128" s="404" t="s">
        <v>431</v>
      </c>
      <c r="C128" s="396">
        <v>0</v>
      </c>
      <c r="D128" s="396">
        <v>0.25</v>
      </c>
      <c r="E128" s="396">
        <v>1</v>
      </c>
      <c r="F128" s="396">
        <v>0</v>
      </c>
      <c r="G128" s="396">
        <v>0</v>
      </c>
      <c r="H128" s="267">
        <f>SUM(C128:G128)</f>
        <v>1.25</v>
      </c>
      <c r="I128" s="268"/>
      <c r="J128" s="268"/>
      <c r="K128" s="268"/>
      <c r="L128" s="547">
        <f>((C128*$C$10)+(D128*$D$10)+(E128*$E$10)+(F128*$F$10))</f>
        <v>70.007999999999996</v>
      </c>
      <c r="M128" s="269">
        <v>0</v>
      </c>
      <c r="N128" s="270">
        <v>0</v>
      </c>
      <c r="O128" s="399">
        <f>'Table 1'!L144</f>
        <v>28.5</v>
      </c>
      <c r="P128" s="373">
        <f>(C128+D128+E128+F128)*O128</f>
        <v>35.625</v>
      </c>
      <c r="Q128" s="291">
        <f>(M128+N128)*O128</f>
        <v>0</v>
      </c>
      <c r="R128" s="565">
        <f>(L128+M128+N128)*O128</f>
        <v>1995.2279999999998</v>
      </c>
      <c r="S128" s="263" t="s">
        <v>199</v>
      </c>
      <c r="T128" s="292" t="str">
        <f>IF($S128="RP",O128,"")</f>
        <v/>
      </c>
      <c r="U128" s="293" t="str">
        <f>IF($S128="RP",P128,"")</f>
        <v/>
      </c>
      <c r="V128" s="122" t="str">
        <f>IF($S128="RP",Q128,"")</f>
        <v/>
      </c>
      <c r="W128" s="293">
        <f>IF($S128="RK",O128,"")</f>
        <v>28.5</v>
      </c>
      <c r="X128" s="293">
        <f>IF($S128="RK",P128,"")</f>
        <v>35.625</v>
      </c>
      <c r="Y128" s="122">
        <f>IF($S128="RK",Q128,"")</f>
        <v>0</v>
      </c>
      <c r="AG128" s="1321"/>
      <c r="AH128" s="1321"/>
      <c r="AI128" s="1321"/>
      <c r="AJ128" s="1321"/>
      <c r="AK128" s="1321"/>
      <c r="AL128" s="1321"/>
      <c r="AM128" s="1321"/>
      <c r="AN128" s="1321"/>
      <c r="AO128" s="1321"/>
      <c r="AP128" s="1321"/>
      <c r="AQ128" s="1321"/>
      <c r="AR128" s="1321"/>
      <c r="AS128" s="1321"/>
      <c r="AT128" s="1321"/>
      <c r="AU128" s="1321"/>
      <c r="AV128" s="1321"/>
      <c r="AW128" s="1321"/>
      <c r="AX128" s="1321"/>
      <c r="AY128" s="1321"/>
      <c r="AZ128" s="1321"/>
      <c r="BA128" s="1321"/>
      <c r="BB128" s="1321"/>
      <c r="BC128" s="1321"/>
      <c r="BD128" s="1321"/>
      <c r="BE128" s="1321"/>
      <c r="BF128" s="1321"/>
      <c r="BG128" s="1321"/>
      <c r="BH128" s="1321"/>
      <c r="BI128" s="1321"/>
      <c r="BJ128" s="1321"/>
      <c r="BK128" s="1321"/>
      <c r="BL128" s="1321"/>
      <c r="BM128" s="1321"/>
      <c r="BN128" s="1321"/>
      <c r="BO128" s="1321"/>
      <c r="BP128" s="1321"/>
      <c r="BQ128" s="1321"/>
      <c r="BR128" s="1321"/>
      <c r="BS128" s="1321"/>
      <c r="BT128" s="1321"/>
      <c r="BU128" s="1321"/>
      <c r="BV128" s="1321"/>
      <c r="BW128" s="1321"/>
      <c r="BX128" s="1321"/>
      <c r="BY128" s="1321"/>
      <c r="BZ128" s="1321"/>
      <c r="CA128" s="1321"/>
      <c r="CB128" s="1321"/>
      <c r="CC128" s="1321"/>
      <c r="CD128" s="1321"/>
      <c r="CE128" s="1321"/>
      <c r="CF128" s="1321"/>
      <c r="CG128" s="1321"/>
      <c r="CH128" s="1321"/>
      <c r="CI128" s="1321"/>
      <c r="CJ128" s="1321"/>
      <c r="CK128" s="1321"/>
      <c r="CL128" s="1321"/>
      <c r="CM128" s="1321"/>
      <c r="CN128" s="1321"/>
      <c r="CO128" s="1321"/>
      <c r="CP128" s="1321"/>
      <c r="CQ128" s="1321"/>
      <c r="CR128" s="1321"/>
      <c r="CS128" s="1321"/>
      <c r="CT128" s="1321"/>
      <c r="CU128" s="1321"/>
      <c r="CV128" s="1321"/>
      <c r="CW128" s="1321"/>
      <c r="CX128" s="1321"/>
      <c r="CY128" s="1321"/>
      <c r="CZ128" s="1321"/>
      <c r="DA128" s="1321"/>
      <c r="DB128" s="1321"/>
      <c r="DC128" s="1321"/>
      <c r="DD128" s="1321"/>
      <c r="DE128" s="1321"/>
      <c r="DF128" s="1321"/>
      <c r="DG128" s="1321"/>
      <c r="DH128" s="1321"/>
      <c r="DI128" s="1321"/>
      <c r="DJ128" s="1321"/>
      <c r="DK128" s="1321"/>
      <c r="DL128" s="1321"/>
      <c r="DM128" s="1321"/>
      <c r="DN128" s="1321"/>
      <c r="DO128" s="1321"/>
      <c r="DP128" s="1321"/>
      <c r="DQ128" s="1321"/>
      <c r="DR128" s="1321"/>
      <c r="DS128" s="1321"/>
      <c r="DT128" s="1321"/>
      <c r="DU128" s="1321"/>
      <c r="DV128" s="1321"/>
      <c r="DW128" s="1321"/>
      <c r="DX128" s="1321"/>
      <c r="DY128" s="1321"/>
      <c r="DZ128" s="1321"/>
      <c r="EA128" s="1321"/>
      <c r="EB128" s="1321"/>
      <c r="EC128" s="1321"/>
      <c r="ED128" s="1321"/>
      <c r="EE128" s="1321"/>
      <c r="EF128" s="1321"/>
      <c r="EG128" s="1321"/>
      <c r="EH128" s="1321"/>
      <c r="EI128" s="1321"/>
    </row>
    <row r="129" spans="1:139" s="180" customFormat="1" ht="12.75" customHeight="1" x14ac:dyDescent="0.2">
      <c r="A129" s="278" t="s">
        <v>591</v>
      </c>
      <c r="B129" s="279"/>
      <c r="C129" s="280"/>
      <c r="D129" s="280"/>
      <c r="E129" s="280"/>
      <c r="F129" s="280"/>
      <c r="G129" s="280"/>
      <c r="H129" s="280"/>
      <c r="I129" s="281"/>
      <c r="J129" s="281"/>
      <c r="K129" s="281"/>
      <c r="L129" s="535"/>
      <c r="M129" s="282"/>
      <c r="N129" s="283"/>
      <c r="O129" s="402"/>
      <c r="P129" s="284"/>
      <c r="Q129" s="284"/>
      <c r="R129" s="562"/>
      <c r="S129" s="193"/>
      <c r="T129" s="185"/>
      <c r="U129" s="240"/>
      <c r="W129" s="185"/>
      <c r="X129" s="185"/>
      <c r="AG129" s="1321"/>
      <c r="AH129" s="1321"/>
      <c r="AI129" s="1321"/>
      <c r="AJ129" s="1321"/>
      <c r="AK129" s="1321"/>
      <c r="AL129" s="1321"/>
      <c r="AM129" s="1321"/>
      <c r="AN129" s="1321"/>
      <c r="AO129" s="1321"/>
      <c r="AP129" s="1321"/>
      <c r="AQ129" s="1321"/>
      <c r="AR129" s="1321"/>
      <c r="AS129" s="1321"/>
      <c r="AT129" s="1321"/>
      <c r="AU129" s="1321"/>
      <c r="AV129" s="1321"/>
      <c r="AW129" s="1321"/>
      <c r="AX129" s="1321"/>
      <c r="AY129" s="1321"/>
      <c r="AZ129" s="1321"/>
      <c r="BA129" s="1321"/>
      <c r="BB129" s="1321"/>
      <c r="BC129" s="1321"/>
      <c r="BD129" s="1321"/>
      <c r="BE129" s="1321"/>
      <c r="BF129" s="1321"/>
      <c r="BG129" s="1321"/>
      <c r="BH129" s="1321"/>
      <c r="BI129" s="1321"/>
      <c r="BJ129" s="1321"/>
      <c r="BK129" s="1321"/>
      <c r="BL129" s="1321"/>
      <c r="BM129" s="1321"/>
      <c r="BN129" s="1321"/>
      <c r="BO129" s="1321"/>
      <c r="BP129" s="1321"/>
      <c r="BQ129" s="1321"/>
      <c r="BR129" s="1321"/>
      <c r="BS129" s="1321"/>
      <c r="BT129" s="1321"/>
      <c r="BU129" s="1321"/>
      <c r="BV129" s="1321"/>
      <c r="BW129" s="1321"/>
      <c r="BX129" s="1321"/>
      <c r="BY129" s="1321"/>
      <c r="BZ129" s="1321"/>
      <c r="CA129" s="1321"/>
      <c r="CB129" s="1321"/>
      <c r="CC129" s="1321"/>
      <c r="CD129" s="1321"/>
      <c r="CE129" s="1321"/>
      <c r="CF129" s="1321"/>
      <c r="CG129" s="1321"/>
      <c r="CH129" s="1321"/>
      <c r="CI129" s="1321"/>
      <c r="CJ129" s="1321"/>
      <c r="CK129" s="1321"/>
      <c r="CL129" s="1321"/>
      <c r="CM129" s="1321"/>
      <c r="CN129" s="1321"/>
      <c r="CO129" s="1321"/>
      <c r="CP129" s="1321"/>
      <c r="CQ129" s="1321"/>
      <c r="CR129" s="1321"/>
      <c r="CS129" s="1321"/>
      <c r="CT129" s="1321"/>
      <c r="CU129" s="1321"/>
      <c r="CV129" s="1321"/>
      <c r="CW129" s="1321"/>
      <c r="CX129" s="1321"/>
      <c r="CY129" s="1321"/>
      <c r="CZ129" s="1321"/>
      <c r="DA129" s="1321"/>
      <c r="DB129" s="1321"/>
      <c r="DC129" s="1321"/>
      <c r="DD129" s="1321"/>
      <c r="DE129" s="1321"/>
      <c r="DF129" s="1321"/>
      <c r="DG129" s="1321"/>
      <c r="DH129" s="1321"/>
      <c r="DI129" s="1321"/>
      <c r="DJ129" s="1321"/>
      <c r="DK129" s="1321"/>
      <c r="DL129" s="1321"/>
      <c r="DM129" s="1321"/>
      <c r="DN129" s="1321"/>
      <c r="DO129" s="1321"/>
      <c r="DP129" s="1321"/>
      <c r="DQ129" s="1321"/>
      <c r="DR129" s="1321"/>
      <c r="DS129" s="1321"/>
      <c r="DT129" s="1321"/>
      <c r="DU129" s="1321"/>
      <c r="DV129" s="1321"/>
      <c r="DW129" s="1321"/>
      <c r="DX129" s="1321"/>
      <c r="DY129" s="1321"/>
      <c r="DZ129" s="1321"/>
      <c r="EA129" s="1321"/>
      <c r="EB129" s="1321"/>
      <c r="EC129" s="1321"/>
      <c r="ED129" s="1321"/>
      <c r="EE129" s="1321"/>
      <c r="EF129" s="1321"/>
      <c r="EG129" s="1321"/>
      <c r="EH129" s="1321"/>
      <c r="EI129" s="1321"/>
    </row>
    <row r="130" spans="1:139" s="180" customFormat="1" ht="12.75" customHeight="1" x14ac:dyDescent="0.2">
      <c r="A130" s="348"/>
      <c r="B130" s="416" t="s">
        <v>432</v>
      </c>
      <c r="C130" s="277">
        <v>0</v>
      </c>
      <c r="D130" s="277">
        <v>1</v>
      </c>
      <c r="E130" s="277">
        <v>10</v>
      </c>
      <c r="F130" s="277">
        <v>0</v>
      </c>
      <c r="G130" s="417">
        <v>0</v>
      </c>
      <c r="H130" s="418">
        <f>SUM(C130:G130)</f>
        <v>11</v>
      </c>
      <c r="I130" s="419"/>
      <c r="J130" s="419"/>
      <c r="K130" s="419"/>
      <c r="L130" s="552">
        <f>((C130*$C$10)+(D130*$D$10)+(E130*$E$10)+(F130*$F$10))</f>
        <v>594.24</v>
      </c>
      <c r="M130" s="420">
        <v>0</v>
      </c>
      <c r="N130" s="344">
        <v>0</v>
      </c>
      <c r="O130" s="402">
        <f>'Table 1'!L147</f>
        <v>34.199999999999996</v>
      </c>
      <c r="P130" s="421">
        <f>(C130+D130+E130+F130)*O130</f>
        <v>376.19999999999993</v>
      </c>
      <c r="Q130" s="291">
        <f>(M130+N130)*O130</f>
        <v>0</v>
      </c>
      <c r="R130" s="563">
        <f>(L130+M130+N130)*O130</f>
        <v>20323.007999999998</v>
      </c>
      <c r="S130" s="300" t="s">
        <v>199</v>
      </c>
      <c r="T130" s="292" t="str">
        <f t="shared" ref="T130:V131" si="40">IF($S130="RP",O130,"")</f>
        <v/>
      </c>
      <c r="U130" s="293" t="str">
        <f t="shared" si="40"/>
        <v/>
      </c>
      <c r="V130" s="122" t="str">
        <f t="shared" si="40"/>
        <v/>
      </c>
      <c r="W130" s="293">
        <f t="shared" ref="W130:Y131" si="41">IF($S130="RK",O130,"")</f>
        <v>34.199999999999996</v>
      </c>
      <c r="X130" s="293">
        <f t="shared" si="41"/>
        <v>376.19999999999993</v>
      </c>
      <c r="Y130" s="122">
        <f t="shared" si="41"/>
        <v>0</v>
      </c>
      <c r="AG130" s="1321"/>
      <c r="AH130" s="1321"/>
      <c r="AI130" s="1321"/>
      <c r="AJ130" s="1321"/>
      <c r="AK130" s="1321"/>
      <c r="AL130" s="1321"/>
      <c r="AM130" s="1321"/>
      <c r="AN130" s="1321"/>
      <c r="AO130" s="1321"/>
      <c r="AP130" s="1321"/>
      <c r="AQ130" s="1321"/>
      <c r="AR130" s="1321"/>
      <c r="AS130" s="1321"/>
      <c r="AT130" s="1321"/>
      <c r="AU130" s="1321"/>
      <c r="AV130" s="1321"/>
      <c r="AW130" s="1321"/>
      <c r="AX130" s="1321"/>
      <c r="AY130" s="1321"/>
      <c r="AZ130" s="1321"/>
      <c r="BA130" s="1321"/>
      <c r="BB130" s="1321"/>
      <c r="BC130" s="1321"/>
      <c r="BD130" s="1321"/>
      <c r="BE130" s="1321"/>
      <c r="BF130" s="1321"/>
      <c r="BG130" s="1321"/>
      <c r="BH130" s="1321"/>
      <c r="BI130" s="1321"/>
      <c r="BJ130" s="1321"/>
      <c r="BK130" s="1321"/>
      <c r="BL130" s="1321"/>
      <c r="BM130" s="1321"/>
      <c r="BN130" s="1321"/>
      <c r="BO130" s="1321"/>
      <c r="BP130" s="1321"/>
      <c r="BQ130" s="1321"/>
      <c r="BR130" s="1321"/>
      <c r="BS130" s="1321"/>
      <c r="BT130" s="1321"/>
      <c r="BU130" s="1321"/>
      <c r="BV130" s="1321"/>
      <c r="BW130" s="1321"/>
      <c r="BX130" s="1321"/>
      <c r="BY130" s="1321"/>
      <c r="BZ130" s="1321"/>
      <c r="CA130" s="1321"/>
      <c r="CB130" s="1321"/>
      <c r="CC130" s="1321"/>
      <c r="CD130" s="1321"/>
      <c r="CE130" s="1321"/>
      <c r="CF130" s="1321"/>
      <c r="CG130" s="1321"/>
      <c r="CH130" s="1321"/>
      <c r="CI130" s="1321"/>
      <c r="CJ130" s="1321"/>
      <c r="CK130" s="1321"/>
      <c r="CL130" s="1321"/>
      <c r="CM130" s="1321"/>
      <c r="CN130" s="1321"/>
      <c r="CO130" s="1321"/>
      <c r="CP130" s="1321"/>
      <c r="CQ130" s="1321"/>
      <c r="CR130" s="1321"/>
      <c r="CS130" s="1321"/>
      <c r="CT130" s="1321"/>
      <c r="CU130" s="1321"/>
      <c r="CV130" s="1321"/>
      <c r="CW130" s="1321"/>
      <c r="CX130" s="1321"/>
      <c r="CY130" s="1321"/>
      <c r="CZ130" s="1321"/>
      <c r="DA130" s="1321"/>
      <c r="DB130" s="1321"/>
      <c r="DC130" s="1321"/>
      <c r="DD130" s="1321"/>
      <c r="DE130" s="1321"/>
      <c r="DF130" s="1321"/>
      <c r="DG130" s="1321"/>
      <c r="DH130" s="1321"/>
      <c r="DI130" s="1321"/>
      <c r="DJ130" s="1321"/>
      <c r="DK130" s="1321"/>
      <c r="DL130" s="1321"/>
      <c r="DM130" s="1321"/>
      <c r="DN130" s="1321"/>
      <c r="DO130" s="1321"/>
      <c r="DP130" s="1321"/>
      <c r="DQ130" s="1321"/>
      <c r="DR130" s="1321"/>
      <c r="DS130" s="1321"/>
      <c r="DT130" s="1321"/>
      <c r="DU130" s="1321"/>
      <c r="DV130" s="1321"/>
      <c r="DW130" s="1321"/>
      <c r="DX130" s="1321"/>
      <c r="DY130" s="1321"/>
      <c r="DZ130" s="1321"/>
      <c r="EA130" s="1321"/>
      <c r="EB130" s="1321"/>
      <c r="EC130" s="1321"/>
      <c r="ED130" s="1321"/>
      <c r="EE130" s="1321"/>
      <c r="EF130" s="1321"/>
      <c r="EG130" s="1321"/>
      <c r="EH130" s="1321"/>
      <c r="EI130" s="1321"/>
    </row>
    <row r="131" spans="1:139" s="180" customFormat="1" ht="12.75" customHeight="1" x14ac:dyDescent="0.2">
      <c r="A131" s="210"/>
      <c r="B131" s="286" t="s">
        <v>391</v>
      </c>
      <c r="C131" s="277">
        <v>0</v>
      </c>
      <c r="D131" s="277">
        <v>0.25</v>
      </c>
      <c r="E131" s="277">
        <v>0</v>
      </c>
      <c r="F131" s="277">
        <v>0.25</v>
      </c>
      <c r="G131" s="417">
        <v>0</v>
      </c>
      <c r="H131" s="418">
        <f>SUM(C131:G131)</f>
        <v>0.5</v>
      </c>
      <c r="I131" s="419"/>
      <c r="J131" s="419"/>
      <c r="K131" s="419"/>
      <c r="L131" s="552">
        <f>((C131*$C$10)+(D131*$D$10)+(E131*$E$10)+(F131*$F$10))</f>
        <v>24.724</v>
      </c>
      <c r="M131" s="420">
        <v>0</v>
      </c>
      <c r="N131" s="422">
        <v>20</v>
      </c>
      <c r="O131" s="402">
        <f>O130</f>
        <v>34.199999999999996</v>
      </c>
      <c r="P131" s="421">
        <f>(C131+D131+E131+F131)*O131</f>
        <v>17.099999999999998</v>
      </c>
      <c r="Q131" s="298">
        <f>(M131+N131)*O131</f>
        <v>683.99999999999989</v>
      </c>
      <c r="R131" s="563">
        <f>(L131+M131+N131)*O131</f>
        <v>1529.5608</v>
      </c>
      <c r="S131" s="263" t="s">
        <v>199</v>
      </c>
      <c r="T131" s="292" t="str">
        <f t="shared" si="40"/>
        <v/>
      </c>
      <c r="U131" s="293" t="str">
        <f t="shared" si="40"/>
        <v/>
      </c>
      <c r="V131" s="122" t="str">
        <f t="shared" si="40"/>
        <v/>
      </c>
      <c r="W131" s="293">
        <f t="shared" si="41"/>
        <v>34.199999999999996</v>
      </c>
      <c r="X131" s="293">
        <f t="shared" si="41"/>
        <v>17.099999999999998</v>
      </c>
      <c r="Y131" s="122">
        <f t="shared" si="41"/>
        <v>683.99999999999989</v>
      </c>
      <c r="AG131" s="1321"/>
      <c r="AH131" s="1321"/>
      <c r="AI131" s="1321"/>
      <c r="AJ131" s="1321"/>
      <c r="AK131" s="1321"/>
      <c r="AL131" s="1321"/>
      <c r="AM131" s="1321"/>
      <c r="AN131" s="1321"/>
      <c r="AO131" s="1321"/>
      <c r="AP131" s="1321"/>
      <c r="AQ131" s="1321"/>
      <c r="AR131" s="1321"/>
      <c r="AS131" s="1321"/>
      <c r="AT131" s="1321"/>
      <c r="AU131" s="1321"/>
      <c r="AV131" s="1321"/>
      <c r="AW131" s="1321"/>
      <c r="AX131" s="1321"/>
      <c r="AY131" s="1321"/>
      <c r="AZ131" s="1321"/>
      <c r="BA131" s="1321"/>
      <c r="BB131" s="1321"/>
      <c r="BC131" s="1321"/>
      <c r="BD131" s="1321"/>
      <c r="BE131" s="1321"/>
      <c r="BF131" s="1321"/>
      <c r="BG131" s="1321"/>
      <c r="BH131" s="1321"/>
      <c r="BI131" s="1321"/>
      <c r="BJ131" s="1321"/>
      <c r="BK131" s="1321"/>
      <c r="BL131" s="1321"/>
      <c r="BM131" s="1321"/>
      <c r="BN131" s="1321"/>
      <c r="BO131" s="1321"/>
      <c r="BP131" s="1321"/>
      <c r="BQ131" s="1321"/>
      <c r="BR131" s="1321"/>
      <c r="BS131" s="1321"/>
      <c r="BT131" s="1321"/>
      <c r="BU131" s="1321"/>
      <c r="BV131" s="1321"/>
      <c r="BW131" s="1321"/>
      <c r="BX131" s="1321"/>
      <c r="BY131" s="1321"/>
      <c r="BZ131" s="1321"/>
      <c r="CA131" s="1321"/>
      <c r="CB131" s="1321"/>
      <c r="CC131" s="1321"/>
      <c r="CD131" s="1321"/>
      <c r="CE131" s="1321"/>
      <c r="CF131" s="1321"/>
      <c r="CG131" s="1321"/>
      <c r="CH131" s="1321"/>
      <c r="CI131" s="1321"/>
      <c r="CJ131" s="1321"/>
      <c r="CK131" s="1321"/>
      <c r="CL131" s="1321"/>
      <c r="CM131" s="1321"/>
      <c r="CN131" s="1321"/>
      <c r="CO131" s="1321"/>
      <c r="CP131" s="1321"/>
      <c r="CQ131" s="1321"/>
      <c r="CR131" s="1321"/>
      <c r="CS131" s="1321"/>
      <c r="CT131" s="1321"/>
      <c r="CU131" s="1321"/>
      <c r="CV131" s="1321"/>
      <c r="CW131" s="1321"/>
      <c r="CX131" s="1321"/>
      <c r="CY131" s="1321"/>
      <c r="CZ131" s="1321"/>
      <c r="DA131" s="1321"/>
      <c r="DB131" s="1321"/>
      <c r="DC131" s="1321"/>
      <c r="DD131" s="1321"/>
      <c r="DE131" s="1321"/>
      <c r="DF131" s="1321"/>
      <c r="DG131" s="1321"/>
      <c r="DH131" s="1321"/>
      <c r="DI131" s="1321"/>
      <c r="DJ131" s="1321"/>
      <c r="DK131" s="1321"/>
      <c r="DL131" s="1321"/>
      <c r="DM131" s="1321"/>
      <c r="DN131" s="1321"/>
      <c r="DO131" s="1321"/>
      <c r="DP131" s="1321"/>
      <c r="DQ131" s="1321"/>
      <c r="DR131" s="1321"/>
      <c r="DS131" s="1321"/>
      <c r="DT131" s="1321"/>
      <c r="DU131" s="1321"/>
      <c r="DV131" s="1321"/>
      <c r="DW131" s="1321"/>
      <c r="DX131" s="1321"/>
      <c r="DY131" s="1321"/>
      <c r="DZ131" s="1321"/>
      <c r="EA131" s="1321"/>
      <c r="EB131" s="1321"/>
      <c r="EC131" s="1321"/>
      <c r="ED131" s="1321"/>
      <c r="EE131" s="1321"/>
      <c r="EF131" s="1321"/>
      <c r="EG131" s="1321"/>
      <c r="EH131" s="1321"/>
      <c r="EI131" s="1321"/>
    </row>
    <row r="132" spans="1:139" s="180" customFormat="1" ht="12.75" customHeight="1" x14ac:dyDescent="0.2">
      <c r="A132" s="278" t="s">
        <v>593</v>
      </c>
      <c r="B132" s="279"/>
      <c r="C132" s="280"/>
      <c r="D132" s="280"/>
      <c r="E132" s="280"/>
      <c r="F132" s="280"/>
      <c r="G132" s="280"/>
      <c r="H132" s="280"/>
      <c r="I132" s="281"/>
      <c r="J132" s="281"/>
      <c r="K132" s="281"/>
      <c r="L132" s="535"/>
      <c r="M132" s="282"/>
      <c r="N132" s="283"/>
      <c r="O132" s="402"/>
      <c r="P132" s="284"/>
      <c r="Q132" s="284"/>
      <c r="R132" s="562"/>
      <c r="S132" s="193"/>
      <c r="T132" s="185"/>
      <c r="U132" s="240"/>
      <c r="W132" s="185"/>
      <c r="X132" s="185"/>
      <c r="AG132" s="1321"/>
      <c r="AH132" s="1321"/>
      <c r="AI132" s="1321"/>
      <c r="AJ132" s="1321"/>
      <c r="AK132" s="1321"/>
      <c r="AL132" s="1321"/>
      <c r="AM132" s="1321"/>
      <c r="AN132" s="1321"/>
      <c r="AO132" s="1321"/>
      <c r="AP132" s="1321"/>
      <c r="AQ132" s="1321"/>
      <c r="AR132" s="1321"/>
      <c r="AS132" s="1321"/>
      <c r="AT132" s="1321"/>
      <c r="AU132" s="1321"/>
      <c r="AV132" s="1321"/>
      <c r="AW132" s="1321"/>
      <c r="AX132" s="1321"/>
      <c r="AY132" s="1321"/>
      <c r="AZ132" s="1321"/>
      <c r="BA132" s="1321"/>
      <c r="BB132" s="1321"/>
      <c r="BC132" s="1321"/>
      <c r="BD132" s="1321"/>
      <c r="BE132" s="1321"/>
      <c r="BF132" s="1321"/>
      <c r="BG132" s="1321"/>
      <c r="BH132" s="1321"/>
      <c r="BI132" s="1321"/>
      <c r="BJ132" s="1321"/>
      <c r="BK132" s="1321"/>
      <c r="BL132" s="1321"/>
      <c r="BM132" s="1321"/>
      <c r="BN132" s="1321"/>
      <c r="BO132" s="1321"/>
      <c r="BP132" s="1321"/>
      <c r="BQ132" s="1321"/>
      <c r="BR132" s="1321"/>
      <c r="BS132" s="1321"/>
      <c r="BT132" s="1321"/>
      <c r="BU132" s="1321"/>
      <c r="BV132" s="1321"/>
      <c r="BW132" s="1321"/>
      <c r="BX132" s="1321"/>
      <c r="BY132" s="1321"/>
      <c r="BZ132" s="1321"/>
      <c r="CA132" s="1321"/>
      <c r="CB132" s="1321"/>
      <c r="CC132" s="1321"/>
      <c r="CD132" s="1321"/>
      <c r="CE132" s="1321"/>
      <c r="CF132" s="1321"/>
      <c r="CG132" s="1321"/>
      <c r="CH132" s="1321"/>
      <c r="CI132" s="1321"/>
      <c r="CJ132" s="1321"/>
      <c r="CK132" s="1321"/>
      <c r="CL132" s="1321"/>
      <c r="CM132" s="1321"/>
      <c r="CN132" s="1321"/>
      <c r="CO132" s="1321"/>
      <c r="CP132" s="1321"/>
      <c r="CQ132" s="1321"/>
      <c r="CR132" s="1321"/>
      <c r="CS132" s="1321"/>
      <c r="CT132" s="1321"/>
      <c r="CU132" s="1321"/>
      <c r="CV132" s="1321"/>
      <c r="CW132" s="1321"/>
      <c r="CX132" s="1321"/>
      <c r="CY132" s="1321"/>
      <c r="CZ132" s="1321"/>
      <c r="DA132" s="1321"/>
      <c r="DB132" s="1321"/>
      <c r="DC132" s="1321"/>
      <c r="DD132" s="1321"/>
      <c r="DE132" s="1321"/>
      <c r="DF132" s="1321"/>
      <c r="DG132" s="1321"/>
      <c r="DH132" s="1321"/>
      <c r="DI132" s="1321"/>
      <c r="DJ132" s="1321"/>
      <c r="DK132" s="1321"/>
      <c r="DL132" s="1321"/>
      <c r="DM132" s="1321"/>
      <c r="DN132" s="1321"/>
      <c r="DO132" s="1321"/>
      <c r="DP132" s="1321"/>
      <c r="DQ132" s="1321"/>
      <c r="DR132" s="1321"/>
      <c r="DS132" s="1321"/>
      <c r="DT132" s="1321"/>
      <c r="DU132" s="1321"/>
      <c r="DV132" s="1321"/>
      <c r="DW132" s="1321"/>
      <c r="DX132" s="1321"/>
      <c r="DY132" s="1321"/>
      <c r="DZ132" s="1321"/>
      <c r="EA132" s="1321"/>
      <c r="EB132" s="1321"/>
      <c r="EC132" s="1321"/>
      <c r="ED132" s="1321"/>
      <c r="EE132" s="1321"/>
      <c r="EF132" s="1321"/>
      <c r="EG132" s="1321"/>
      <c r="EH132" s="1321"/>
      <c r="EI132" s="1321"/>
    </row>
    <row r="133" spans="1:139" s="180" customFormat="1" ht="12.75" customHeight="1" x14ac:dyDescent="0.2">
      <c r="A133" s="221"/>
      <c r="B133" s="330" t="s">
        <v>433</v>
      </c>
      <c r="C133" s="396"/>
      <c r="D133" s="396"/>
      <c r="E133" s="396"/>
      <c r="F133" s="396"/>
      <c r="G133" s="396"/>
      <c r="H133" s="267"/>
      <c r="I133" s="268"/>
      <c r="J133" s="268"/>
      <c r="K133" s="268"/>
      <c r="L133" s="547"/>
      <c r="M133" s="269"/>
      <c r="N133" s="270"/>
      <c r="O133" s="399"/>
      <c r="P133" s="373"/>
      <c r="Q133" s="374"/>
      <c r="R133" s="565"/>
      <c r="S133" s="193"/>
      <c r="T133" s="185"/>
      <c r="U133" s="240"/>
      <c r="W133" s="185"/>
      <c r="X133" s="185"/>
      <c r="AG133" s="1321"/>
      <c r="AH133" s="1321"/>
      <c r="AI133" s="1321"/>
      <c r="AJ133" s="1321"/>
      <c r="AK133" s="1321"/>
      <c r="AL133" s="1321"/>
      <c r="AM133" s="1321"/>
      <c r="AN133" s="1321"/>
      <c r="AO133" s="1321"/>
      <c r="AP133" s="1321"/>
      <c r="AQ133" s="1321"/>
      <c r="AR133" s="1321"/>
      <c r="AS133" s="1321"/>
      <c r="AT133" s="1321"/>
      <c r="AU133" s="1321"/>
      <c r="AV133" s="1321"/>
      <c r="AW133" s="1321"/>
      <c r="AX133" s="1321"/>
      <c r="AY133" s="1321"/>
      <c r="AZ133" s="1321"/>
      <c r="BA133" s="1321"/>
      <c r="BB133" s="1321"/>
      <c r="BC133" s="1321"/>
      <c r="BD133" s="1321"/>
      <c r="BE133" s="1321"/>
      <c r="BF133" s="1321"/>
      <c r="BG133" s="1321"/>
      <c r="BH133" s="1321"/>
      <c r="BI133" s="1321"/>
      <c r="BJ133" s="1321"/>
      <c r="BK133" s="1321"/>
      <c r="BL133" s="1321"/>
      <c r="BM133" s="1321"/>
      <c r="BN133" s="1321"/>
      <c r="BO133" s="1321"/>
      <c r="BP133" s="1321"/>
      <c r="BQ133" s="1321"/>
      <c r="BR133" s="1321"/>
      <c r="BS133" s="1321"/>
      <c r="BT133" s="1321"/>
      <c r="BU133" s="1321"/>
      <c r="BV133" s="1321"/>
      <c r="BW133" s="1321"/>
      <c r="BX133" s="1321"/>
      <c r="BY133" s="1321"/>
      <c r="BZ133" s="1321"/>
      <c r="CA133" s="1321"/>
      <c r="CB133" s="1321"/>
      <c r="CC133" s="1321"/>
      <c r="CD133" s="1321"/>
      <c r="CE133" s="1321"/>
      <c r="CF133" s="1321"/>
      <c r="CG133" s="1321"/>
      <c r="CH133" s="1321"/>
      <c r="CI133" s="1321"/>
      <c r="CJ133" s="1321"/>
      <c r="CK133" s="1321"/>
      <c r="CL133" s="1321"/>
      <c r="CM133" s="1321"/>
      <c r="CN133" s="1321"/>
      <c r="CO133" s="1321"/>
      <c r="CP133" s="1321"/>
      <c r="CQ133" s="1321"/>
      <c r="CR133" s="1321"/>
      <c r="CS133" s="1321"/>
      <c r="CT133" s="1321"/>
      <c r="CU133" s="1321"/>
      <c r="CV133" s="1321"/>
      <c r="CW133" s="1321"/>
      <c r="CX133" s="1321"/>
      <c r="CY133" s="1321"/>
      <c r="CZ133" s="1321"/>
      <c r="DA133" s="1321"/>
      <c r="DB133" s="1321"/>
      <c r="DC133" s="1321"/>
      <c r="DD133" s="1321"/>
      <c r="DE133" s="1321"/>
      <c r="DF133" s="1321"/>
      <c r="DG133" s="1321"/>
      <c r="DH133" s="1321"/>
      <c r="DI133" s="1321"/>
      <c r="DJ133" s="1321"/>
      <c r="DK133" s="1321"/>
      <c r="DL133" s="1321"/>
      <c r="DM133" s="1321"/>
      <c r="DN133" s="1321"/>
      <c r="DO133" s="1321"/>
      <c r="DP133" s="1321"/>
      <c r="DQ133" s="1321"/>
      <c r="DR133" s="1321"/>
      <c r="DS133" s="1321"/>
      <c r="DT133" s="1321"/>
      <c r="DU133" s="1321"/>
      <c r="DV133" s="1321"/>
      <c r="DW133" s="1321"/>
      <c r="DX133" s="1321"/>
      <c r="DY133" s="1321"/>
      <c r="DZ133" s="1321"/>
      <c r="EA133" s="1321"/>
      <c r="EB133" s="1321"/>
      <c r="EC133" s="1321"/>
      <c r="ED133" s="1321"/>
      <c r="EE133" s="1321"/>
      <c r="EF133" s="1321"/>
      <c r="EG133" s="1321"/>
      <c r="EH133" s="1321"/>
      <c r="EI133" s="1321"/>
    </row>
    <row r="134" spans="1:139" s="180" customFormat="1" ht="12.65" customHeight="1" x14ac:dyDescent="0.2">
      <c r="A134" s="224"/>
      <c r="B134" s="404" t="s">
        <v>82</v>
      </c>
      <c r="C134" s="395">
        <v>0</v>
      </c>
      <c r="D134" s="395">
        <v>0.5</v>
      </c>
      <c r="E134" s="395">
        <v>5</v>
      </c>
      <c r="F134" s="395">
        <v>0</v>
      </c>
      <c r="G134" s="395">
        <v>0</v>
      </c>
      <c r="H134" s="258">
        <f>SUM(C134:G134)</f>
        <v>5.5</v>
      </c>
      <c r="I134" s="259"/>
      <c r="J134" s="259"/>
      <c r="K134" s="259"/>
      <c r="L134" s="545">
        <f>((C134*$C$10)+(D134*$D$10)+(E134*$E$10)+(F134*$F$10))</f>
        <v>297.12</v>
      </c>
      <c r="M134" s="260">
        <v>0</v>
      </c>
      <c r="N134" s="261">
        <v>0</v>
      </c>
      <c r="O134" s="316">
        <f>'Table 1'!L150</f>
        <v>34.199999999999996</v>
      </c>
      <c r="P134" s="369">
        <f>(C134+D134+E134+F134)*O134</f>
        <v>188.09999999999997</v>
      </c>
      <c r="Q134" s="291">
        <f>(M134+N134)*O134</f>
        <v>0</v>
      </c>
      <c r="R134" s="559">
        <f>(L134+M134+N134)*O134</f>
        <v>10161.503999999999</v>
      </c>
      <c r="S134" s="300" t="s">
        <v>199</v>
      </c>
      <c r="T134" s="292" t="str">
        <f>IF($S134="RP",O134,"")</f>
        <v/>
      </c>
      <c r="U134" s="293" t="str">
        <f>IF($S134="RP",P134,"")</f>
        <v/>
      </c>
      <c r="V134" s="122" t="str">
        <f>IF($S134="RP",Q134,"")</f>
        <v/>
      </c>
      <c r="W134" s="293">
        <f>IF($S134="RK",O134,"")</f>
        <v>34.199999999999996</v>
      </c>
      <c r="X134" s="293">
        <f>IF($S134="RK",P134,"")</f>
        <v>188.09999999999997</v>
      </c>
      <c r="Y134" s="122">
        <f>IF($S134="RK",Q134,"")</f>
        <v>0</v>
      </c>
      <c r="AG134" s="1321"/>
      <c r="AH134" s="1321"/>
      <c r="AI134" s="1321"/>
      <c r="AJ134" s="1321"/>
      <c r="AK134" s="1321"/>
      <c r="AL134" s="1321"/>
      <c r="AM134" s="1321"/>
      <c r="AN134" s="1321"/>
      <c r="AO134" s="1321"/>
      <c r="AP134" s="1321"/>
      <c r="AQ134" s="1321"/>
      <c r="AR134" s="1321"/>
      <c r="AS134" s="1321"/>
      <c r="AT134" s="1321"/>
      <c r="AU134" s="1321"/>
      <c r="AV134" s="1321"/>
      <c r="AW134" s="1321"/>
      <c r="AX134" s="1321"/>
      <c r="AY134" s="1321"/>
      <c r="AZ134" s="1321"/>
      <c r="BA134" s="1321"/>
      <c r="BB134" s="1321"/>
      <c r="BC134" s="1321"/>
      <c r="BD134" s="1321"/>
      <c r="BE134" s="1321"/>
      <c r="BF134" s="1321"/>
      <c r="BG134" s="1321"/>
      <c r="BH134" s="1321"/>
      <c r="BI134" s="1321"/>
      <c r="BJ134" s="1321"/>
      <c r="BK134" s="1321"/>
      <c r="BL134" s="1321"/>
      <c r="BM134" s="1321"/>
      <c r="BN134" s="1321"/>
      <c r="BO134" s="1321"/>
      <c r="BP134" s="1321"/>
      <c r="BQ134" s="1321"/>
      <c r="BR134" s="1321"/>
      <c r="BS134" s="1321"/>
      <c r="BT134" s="1321"/>
      <c r="BU134" s="1321"/>
      <c r="BV134" s="1321"/>
      <c r="BW134" s="1321"/>
      <c r="BX134" s="1321"/>
      <c r="BY134" s="1321"/>
      <c r="BZ134" s="1321"/>
      <c r="CA134" s="1321"/>
      <c r="CB134" s="1321"/>
      <c r="CC134" s="1321"/>
      <c r="CD134" s="1321"/>
      <c r="CE134" s="1321"/>
      <c r="CF134" s="1321"/>
      <c r="CG134" s="1321"/>
      <c r="CH134" s="1321"/>
      <c r="CI134" s="1321"/>
      <c r="CJ134" s="1321"/>
      <c r="CK134" s="1321"/>
      <c r="CL134" s="1321"/>
      <c r="CM134" s="1321"/>
      <c r="CN134" s="1321"/>
      <c r="CO134" s="1321"/>
      <c r="CP134" s="1321"/>
      <c r="CQ134" s="1321"/>
      <c r="CR134" s="1321"/>
      <c r="CS134" s="1321"/>
      <c r="CT134" s="1321"/>
      <c r="CU134" s="1321"/>
      <c r="CV134" s="1321"/>
      <c r="CW134" s="1321"/>
      <c r="CX134" s="1321"/>
      <c r="CY134" s="1321"/>
      <c r="CZ134" s="1321"/>
      <c r="DA134" s="1321"/>
      <c r="DB134" s="1321"/>
      <c r="DC134" s="1321"/>
      <c r="DD134" s="1321"/>
      <c r="DE134" s="1321"/>
      <c r="DF134" s="1321"/>
      <c r="DG134" s="1321"/>
      <c r="DH134" s="1321"/>
      <c r="DI134" s="1321"/>
      <c r="DJ134" s="1321"/>
      <c r="DK134" s="1321"/>
      <c r="DL134" s="1321"/>
      <c r="DM134" s="1321"/>
      <c r="DN134" s="1321"/>
      <c r="DO134" s="1321"/>
      <c r="DP134" s="1321"/>
      <c r="DQ134" s="1321"/>
      <c r="DR134" s="1321"/>
      <c r="DS134" s="1321"/>
      <c r="DT134" s="1321"/>
      <c r="DU134" s="1321"/>
      <c r="DV134" s="1321"/>
      <c r="DW134" s="1321"/>
      <c r="DX134" s="1321"/>
      <c r="DY134" s="1321"/>
      <c r="DZ134" s="1321"/>
      <c r="EA134" s="1321"/>
      <c r="EB134" s="1321"/>
      <c r="EC134" s="1321"/>
      <c r="ED134" s="1321"/>
      <c r="EE134" s="1321"/>
      <c r="EF134" s="1321"/>
      <c r="EG134" s="1321"/>
      <c r="EH134" s="1321"/>
      <c r="EI134" s="1321"/>
    </row>
    <row r="135" spans="1:139" s="180" customFormat="1" ht="12.75" customHeight="1" x14ac:dyDescent="0.2">
      <c r="A135" s="224" t="s">
        <v>594</v>
      </c>
      <c r="B135" s="286"/>
      <c r="C135" s="227"/>
      <c r="D135" s="227"/>
      <c r="E135" s="227"/>
      <c r="F135" s="227"/>
      <c r="G135" s="227"/>
      <c r="H135" s="227"/>
      <c r="I135" s="228"/>
      <c r="J135" s="228"/>
      <c r="K135" s="228"/>
      <c r="L135" s="540"/>
      <c r="M135" s="229"/>
      <c r="N135" s="230"/>
      <c r="O135" s="424"/>
      <c r="P135" s="231"/>
      <c r="Q135" s="231"/>
      <c r="R135" s="564"/>
      <c r="S135" s="193"/>
      <c r="T135" s="185"/>
      <c r="U135" s="240"/>
      <c r="W135" s="185"/>
      <c r="X135" s="185"/>
      <c r="AG135" s="1321"/>
      <c r="AH135" s="1321"/>
      <c r="AI135" s="1321"/>
      <c r="AJ135" s="1321"/>
      <c r="AK135" s="1321"/>
      <c r="AL135" s="1321"/>
      <c r="AM135" s="1321"/>
      <c r="AN135" s="1321"/>
      <c r="AO135" s="1321"/>
      <c r="AP135" s="1321"/>
      <c r="AQ135" s="1321"/>
      <c r="AR135" s="1321"/>
      <c r="AS135" s="1321"/>
      <c r="AT135" s="1321"/>
      <c r="AU135" s="1321"/>
      <c r="AV135" s="1321"/>
      <c r="AW135" s="1321"/>
      <c r="AX135" s="1321"/>
      <c r="AY135" s="1321"/>
      <c r="AZ135" s="1321"/>
      <c r="BA135" s="1321"/>
      <c r="BB135" s="1321"/>
      <c r="BC135" s="1321"/>
      <c r="BD135" s="1321"/>
      <c r="BE135" s="1321"/>
      <c r="BF135" s="1321"/>
      <c r="BG135" s="1321"/>
      <c r="BH135" s="1321"/>
      <c r="BI135" s="1321"/>
      <c r="BJ135" s="1321"/>
      <c r="BK135" s="1321"/>
      <c r="BL135" s="1321"/>
      <c r="BM135" s="1321"/>
      <c r="BN135" s="1321"/>
      <c r="BO135" s="1321"/>
      <c r="BP135" s="1321"/>
      <c r="BQ135" s="1321"/>
      <c r="BR135" s="1321"/>
      <c r="BS135" s="1321"/>
      <c r="BT135" s="1321"/>
      <c r="BU135" s="1321"/>
      <c r="BV135" s="1321"/>
      <c r="BW135" s="1321"/>
      <c r="BX135" s="1321"/>
      <c r="BY135" s="1321"/>
      <c r="BZ135" s="1321"/>
      <c r="CA135" s="1321"/>
      <c r="CB135" s="1321"/>
      <c r="CC135" s="1321"/>
      <c r="CD135" s="1321"/>
      <c r="CE135" s="1321"/>
      <c r="CF135" s="1321"/>
      <c r="CG135" s="1321"/>
      <c r="CH135" s="1321"/>
      <c r="CI135" s="1321"/>
      <c r="CJ135" s="1321"/>
      <c r="CK135" s="1321"/>
      <c r="CL135" s="1321"/>
      <c r="CM135" s="1321"/>
      <c r="CN135" s="1321"/>
      <c r="CO135" s="1321"/>
      <c r="CP135" s="1321"/>
      <c r="CQ135" s="1321"/>
      <c r="CR135" s="1321"/>
      <c r="CS135" s="1321"/>
      <c r="CT135" s="1321"/>
      <c r="CU135" s="1321"/>
      <c r="CV135" s="1321"/>
      <c r="CW135" s="1321"/>
      <c r="CX135" s="1321"/>
      <c r="CY135" s="1321"/>
      <c r="CZ135" s="1321"/>
      <c r="DA135" s="1321"/>
      <c r="DB135" s="1321"/>
      <c r="DC135" s="1321"/>
      <c r="DD135" s="1321"/>
      <c r="DE135" s="1321"/>
      <c r="DF135" s="1321"/>
      <c r="DG135" s="1321"/>
      <c r="DH135" s="1321"/>
      <c r="DI135" s="1321"/>
      <c r="DJ135" s="1321"/>
      <c r="DK135" s="1321"/>
      <c r="DL135" s="1321"/>
      <c r="DM135" s="1321"/>
      <c r="DN135" s="1321"/>
      <c r="DO135" s="1321"/>
      <c r="DP135" s="1321"/>
      <c r="DQ135" s="1321"/>
      <c r="DR135" s="1321"/>
      <c r="DS135" s="1321"/>
      <c r="DT135" s="1321"/>
      <c r="DU135" s="1321"/>
      <c r="DV135" s="1321"/>
      <c r="DW135" s="1321"/>
      <c r="DX135" s="1321"/>
      <c r="DY135" s="1321"/>
      <c r="DZ135" s="1321"/>
      <c r="EA135" s="1321"/>
      <c r="EB135" s="1321"/>
      <c r="EC135" s="1321"/>
      <c r="ED135" s="1321"/>
      <c r="EE135" s="1321"/>
      <c r="EF135" s="1321"/>
      <c r="EG135" s="1321"/>
      <c r="EH135" s="1321"/>
      <c r="EI135" s="1321"/>
    </row>
    <row r="136" spans="1:139" s="180" customFormat="1" ht="12.75" customHeight="1" x14ac:dyDescent="0.25">
      <c r="A136" s="425"/>
      <c r="B136" s="426" t="s">
        <v>434</v>
      </c>
      <c r="C136" s="277">
        <v>0</v>
      </c>
      <c r="D136" s="277">
        <v>2</v>
      </c>
      <c r="E136" s="277">
        <v>30</v>
      </c>
      <c r="F136" s="277">
        <v>0</v>
      </c>
      <c r="G136" s="277">
        <v>0</v>
      </c>
      <c r="H136" s="277">
        <f>SUM(C136:G136)</f>
        <v>32</v>
      </c>
      <c r="I136" s="327"/>
      <c r="J136" s="327"/>
      <c r="K136" s="327"/>
      <c r="L136" s="536">
        <f>((C136*$C$10)+(D136*$D$10)+(E136*$E$10)+(F136*$F$10))</f>
        <v>1712.1599999999999</v>
      </c>
      <c r="M136" s="328">
        <v>0</v>
      </c>
      <c r="N136" s="242">
        <v>20</v>
      </c>
      <c r="O136" s="402">
        <f>'Table 1'!L154</f>
        <v>1</v>
      </c>
      <c r="P136" s="427">
        <f>(C136+D136+E136+F136)*O136</f>
        <v>32</v>
      </c>
      <c r="Q136" s="298">
        <f>(M136+N136)*O136</f>
        <v>20</v>
      </c>
      <c r="R136" s="527">
        <f>(L136+M136+N136)*O136</f>
        <v>1732.1599999999999</v>
      </c>
      <c r="S136" s="300" t="s">
        <v>199</v>
      </c>
      <c r="T136" s="292" t="str">
        <f t="shared" ref="T136:V137" si="42">IF($S136="RP",O136,"")</f>
        <v/>
      </c>
      <c r="U136" s="293" t="str">
        <f t="shared" si="42"/>
        <v/>
      </c>
      <c r="V136" s="122" t="str">
        <f t="shared" si="42"/>
        <v/>
      </c>
      <c r="W136" s="293">
        <f t="shared" ref="W136:Y137" si="43">IF($S136="RK",O136,"")</f>
        <v>1</v>
      </c>
      <c r="X136" s="293">
        <f t="shared" si="43"/>
        <v>32</v>
      </c>
      <c r="Y136" s="122">
        <f t="shared" si="43"/>
        <v>20</v>
      </c>
      <c r="AG136" s="1321"/>
      <c r="AH136" s="1321"/>
      <c r="AI136" s="1321"/>
      <c r="AJ136" s="1321"/>
      <c r="AK136" s="1321"/>
      <c r="AL136" s="1321"/>
      <c r="AM136" s="1321"/>
      <c r="AN136" s="1321"/>
      <c r="AO136" s="1321"/>
      <c r="AP136" s="1321"/>
      <c r="AQ136" s="1321"/>
      <c r="AR136" s="1321"/>
      <c r="AS136" s="1321"/>
      <c r="AT136" s="1321"/>
      <c r="AU136" s="1321"/>
      <c r="AV136" s="1321"/>
      <c r="AW136" s="1321"/>
      <c r="AX136" s="1321"/>
      <c r="AY136" s="1321"/>
      <c r="AZ136" s="1321"/>
      <c r="BA136" s="1321"/>
      <c r="BB136" s="1321"/>
      <c r="BC136" s="1321"/>
      <c r="BD136" s="1321"/>
      <c r="BE136" s="1321"/>
      <c r="BF136" s="1321"/>
      <c r="BG136" s="1321"/>
      <c r="BH136" s="1321"/>
      <c r="BI136" s="1321"/>
      <c r="BJ136" s="1321"/>
      <c r="BK136" s="1321"/>
      <c r="BL136" s="1321"/>
      <c r="BM136" s="1321"/>
      <c r="BN136" s="1321"/>
      <c r="BO136" s="1321"/>
      <c r="BP136" s="1321"/>
      <c r="BQ136" s="1321"/>
      <c r="BR136" s="1321"/>
      <c r="BS136" s="1321"/>
      <c r="BT136" s="1321"/>
      <c r="BU136" s="1321"/>
      <c r="BV136" s="1321"/>
      <c r="BW136" s="1321"/>
      <c r="BX136" s="1321"/>
      <c r="BY136" s="1321"/>
      <c r="BZ136" s="1321"/>
      <c r="CA136" s="1321"/>
      <c r="CB136" s="1321"/>
      <c r="CC136" s="1321"/>
      <c r="CD136" s="1321"/>
      <c r="CE136" s="1321"/>
      <c r="CF136" s="1321"/>
      <c r="CG136" s="1321"/>
      <c r="CH136" s="1321"/>
      <c r="CI136" s="1321"/>
      <c r="CJ136" s="1321"/>
      <c r="CK136" s="1321"/>
      <c r="CL136" s="1321"/>
      <c r="CM136" s="1321"/>
      <c r="CN136" s="1321"/>
      <c r="CO136" s="1321"/>
      <c r="CP136" s="1321"/>
      <c r="CQ136" s="1321"/>
      <c r="CR136" s="1321"/>
      <c r="CS136" s="1321"/>
      <c r="CT136" s="1321"/>
      <c r="CU136" s="1321"/>
      <c r="CV136" s="1321"/>
      <c r="CW136" s="1321"/>
      <c r="CX136" s="1321"/>
      <c r="CY136" s="1321"/>
      <c r="CZ136" s="1321"/>
      <c r="DA136" s="1321"/>
      <c r="DB136" s="1321"/>
      <c r="DC136" s="1321"/>
      <c r="DD136" s="1321"/>
      <c r="DE136" s="1321"/>
      <c r="DF136" s="1321"/>
      <c r="DG136" s="1321"/>
      <c r="DH136" s="1321"/>
      <c r="DI136" s="1321"/>
      <c r="DJ136" s="1321"/>
      <c r="DK136" s="1321"/>
      <c r="DL136" s="1321"/>
      <c r="DM136" s="1321"/>
      <c r="DN136" s="1321"/>
      <c r="DO136" s="1321"/>
      <c r="DP136" s="1321"/>
      <c r="DQ136" s="1321"/>
      <c r="DR136" s="1321"/>
      <c r="DS136" s="1321"/>
      <c r="DT136" s="1321"/>
      <c r="DU136" s="1321"/>
      <c r="DV136" s="1321"/>
      <c r="DW136" s="1321"/>
      <c r="DX136" s="1321"/>
      <c r="DY136" s="1321"/>
      <c r="DZ136" s="1321"/>
      <c r="EA136" s="1321"/>
      <c r="EB136" s="1321"/>
      <c r="EC136" s="1321"/>
      <c r="ED136" s="1321"/>
      <c r="EE136" s="1321"/>
      <c r="EF136" s="1321"/>
      <c r="EG136" s="1321"/>
      <c r="EH136" s="1321"/>
      <c r="EI136" s="1321"/>
    </row>
    <row r="137" spans="1:139" s="180" customFormat="1" ht="12.75" customHeight="1" x14ac:dyDescent="0.25">
      <c r="A137" s="425"/>
      <c r="B137" s="426" t="s">
        <v>435</v>
      </c>
      <c r="C137" s="277">
        <v>0</v>
      </c>
      <c r="D137" s="277">
        <v>0</v>
      </c>
      <c r="E137" s="277">
        <v>10</v>
      </c>
      <c r="F137" s="277">
        <v>0</v>
      </c>
      <c r="G137" s="277">
        <v>0</v>
      </c>
      <c r="H137" s="277">
        <f>SUM(C137:G137)</f>
        <v>10</v>
      </c>
      <c r="I137" s="327"/>
      <c r="J137" s="327"/>
      <c r="K137" s="327"/>
      <c r="L137" s="536">
        <f>((C137*$C$10)+(D137*$D$10)+(E137*$E$10)+(F137*$F$10))</f>
        <v>523.67999999999995</v>
      </c>
      <c r="M137" s="328">
        <v>0</v>
      </c>
      <c r="N137" s="365">
        <v>0</v>
      </c>
      <c r="O137" s="402">
        <f>O136</f>
        <v>1</v>
      </c>
      <c r="P137" s="427">
        <f>(C137+D137+E137+F137)*O137</f>
        <v>10</v>
      </c>
      <c r="Q137" s="365">
        <f>(M137+N137)*O137</f>
        <v>0</v>
      </c>
      <c r="R137" s="527">
        <f>(L137+M137+N137)*O137</f>
        <v>523.67999999999995</v>
      </c>
      <c r="S137" s="428" t="s">
        <v>199</v>
      </c>
      <c r="T137" s="292" t="str">
        <f t="shared" si="42"/>
        <v/>
      </c>
      <c r="U137" s="293" t="str">
        <f t="shared" si="42"/>
        <v/>
      </c>
      <c r="V137" s="122" t="str">
        <f t="shared" si="42"/>
        <v/>
      </c>
      <c r="W137" s="293">
        <f t="shared" si="43"/>
        <v>1</v>
      </c>
      <c r="X137" s="293">
        <f t="shared" si="43"/>
        <v>10</v>
      </c>
      <c r="Y137" s="122">
        <f t="shared" si="43"/>
        <v>0</v>
      </c>
      <c r="AG137" s="1321"/>
      <c r="AH137" s="1321"/>
      <c r="AI137" s="1321"/>
      <c r="AJ137" s="1321"/>
      <c r="AK137" s="1321"/>
      <c r="AL137" s="1321"/>
      <c r="AM137" s="1321"/>
      <c r="AN137" s="1321"/>
      <c r="AO137" s="1321"/>
      <c r="AP137" s="1321"/>
      <c r="AQ137" s="1321"/>
      <c r="AR137" s="1321"/>
      <c r="AS137" s="1321"/>
      <c r="AT137" s="1321"/>
      <c r="AU137" s="1321"/>
      <c r="AV137" s="1321"/>
      <c r="AW137" s="1321"/>
      <c r="AX137" s="1321"/>
      <c r="AY137" s="1321"/>
      <c r="AZ137" s="1321"/>
      <c r="BA137" s="1321"/>
      <c r="BB137" s="1321"/>
      <c r="BC137" s="1321"/>
      <c r="BD137" s="1321"/>
      <c r="BE137" s="1321"/>
      <c r="BF137" s="1321"/>
      <c r="BG137" s="1321"/>
      <c r="BH137" s="1321"/>
      <c r="BI137" s="1321"/>
      <c r="BJ137" s="1321"/>
      <c r="BK137" s="1321"/>
      <c r="BL137" s="1321"/>
      <c r="BM137" s="1321"/>
      <c r="BN137" s="1321"/>
      <c r="BO137" s="1321"/>
      <c r="BP137" s="1321"/>
      <c r="BQ137" s="1321"/>
      <c r="BR137" s="1321"/>
      <c r="BS137" s="1321"/>
      <c r="BT137" s="1321"/>
      <c r="BU137" s="1321"/>
      <c r="BV137" s="1321"/>
      <c r="BW137" s="1321"/>
      <c r="BX137" s="1321"/>
      <c r="BY137" s="1321"/>
      <c r="BZ137" s="1321"/>
      <c r="CA137" s="1321"/>
      <c r="CB137" s="1321"/>
      <c r="CC137" s="1321"/>
      <c r="CD137" s="1321"/>
      <c r="CE137" s="1321"/>
      <c r="CF137" s="1321"/>
      <c r="CG137" s="1321"/>
      <c r="CH137" s="1321"/>
      <c r="CI137" s="1321"/>
      <c r="CJ137" s="1321"/>
      <c r="CK137" s="1321"/>
      <c r="CL137" s="1321"/>
      <c r="CM137" s="1321"/>
      <c r="CN137" s="1321"/>
      <c r="CO137" s="1321"/>
      <c r="CP137" s="1321"/>
      <c r="CQ137" s="1321"/>
      <c r="CR137" s="1321"/>
      <c r="CS137" s="1321"/>
      <c r="CT137" s="1321"/>
      <c r="CU137" s="1321"/>
      <c r="CV137" s="1321"/>
      <c r="CW137" s="1321"/>
      <c r="CX137" s="1321"/>
      <c r="CY137" s="1321"/>
      <c r="CZ137" s="1321"/>
      <c r="DA137" s="1321"/>
      <c r="DB137" s="1321"/>
      <c r="DC137" s="1321"/>
      <c r="DD137" s="1321"/>
      <c r="DE137" s="1321"/>
      <c r="DF137" s="1321"/>
      <c r="DG137" s="1321"/>
      <c r="DH137" s="1321"/>
      <c r="DI137" s="1321"/>
      <c r="DJ137" s="1321"/>
      <c r="DK137" s="1321"/>
      <c r="DL137" s="1321"/>
      <c r="DM137" s="1321"/>
      <c r="DN137" s="1321"/>
      <c r="DO137" s="1321"/>
      <c r="DP137" s="1321"/>
      <c r="DQ137" s="1321"/>
      <c r="DR137" s="1321"/>
      <c r="DS137" s="1321"/>
      <c r="DT137" s="1321"/>
      <c r="DU137" s="1321"/>
      <c r="DV137" s="1321"/>
      <c r="DW137" s="1321"/>
      <c r="DX137" s="1321"/>
      <c r="DY137" s="1321"/>
      <c r="DZ137" s="1321"/>
      <c r="EA137" s="1321"/>
      <c r="EB137" s="1321"/>
      <c r="EC137" s="1321"/>
      <c r="ED137" s="1321"/>
      <c r="EE137" s="1321"/>
      <c r="EF137" s="1321"/>
      <c r="EG137" s="1321"/>
      <c r="EH137" s="1321"/>
      <c r="EI137" s="1321"/>
    </row>
    <row r="138" spans="1:139" s="180" customFormat="1" ht="12.75" customHeight="1" x14ac:dyDescent="0.2">
      <c r="A138" s="301" t="s">
        <v>596</v>
      </c>
      <c r="B138" s="302"/>
      <c r="C138" s="303"/>
      <c r="D138" s="303"/>
      <c r="E138" s="303"/>
      <c r="F138" s="303"/>
      <c r="G138" s="303"/>
      <c r="H138" s="303"/>
      <c r="I138" s="304"/>
      <c r="J138" s="304"/>
      <c r="K138" s="304"/>
      <c r="L138" s="532"/>
      <c r="M138" s="305"/>
      <c r="N138" s="306"/>
      <c r="O138" s="429"/>
      <c r="P138" s="307"/>
      <c r="Q138" s="307"/>
      <c r="R138" s="558"/>
      <c r="S138" s="193"/>
      <c r="T138" s="185"/>
      <c r="U138" s="240"/>
      <c r="W138" s="185"/>
      <c r="X138" s="185"/>
      <c r="AG138" s="1321"/>
      <c r="AH138" s="1321"/>
      <c r="AI138" s="1321"/>
      <c r="AJ138" s="1321"/>
      <c r="AK138" s="1321"/>
      <c r="AL138" s="1321"/>
      <c r="AM138" s="1321"/>
      <c r="AN138" s="1321"/>
      <c r="AO138" s="1321"/>
      <c r="AP138" s="1321"/>
      <c r="AQ138" s="1321"/>
      <c r="AR138" s="1321"/>
      <c r="AS138" s="1321"/>
      <c r="AT138" s="1321"/>
      <c r="AU138" s="1321"/>
      <c r="AV138" s="1321"/>
      <c r="AW138" s="1321"/>
      <c r="AX138" s="1321"/>
      <c r="AY138" s="1321"/>
      <c r="AZ138" s="1321"/>
      <c r="BA138" s="1321"/>
      <c r="BB138" s="1321"/>
      <c r="BC138" s="1321"/>
      <c r="BD138" s="1321"/>
      <c r="BE138" s="1321"/>
      <c r="BF138" s="1321"/>
      <c r="BG138" s="1321"/>
      <c r="BH138" s="1321"/>
      <c r="BI138" s="1321"/>
      <c r="BJ138" s="1321"/>
      <c r="BK138" s="1321"/>
      <c r="BL138" s="1321"/>
      <c r="BM138" s="1321"/>
      <c r="BN138" s="1321"/>
      <c r="BO138" s="1321"/>
      <c r="BP138" s="1321"/>
      <c r="BQ138" s="1321"/>
      <c r="BR138" s="1321"/>
      <c r="BS138" s="1321"/>
      <c r="BT138" s="1321"/>
      <c r="BU138" s="1321"/>
      <c r="BV138" s="1321"/>
      <c r="BW138" s="1321"/>
      <c r="BX138" s="1321"/>
      <c r="BY138" s="1321"/>
      <c r="BZ138" s="1321"/>
      <c r="CA138" s="1321"/>
      <c r="CB138" s="1321"/>
      <c r="CC138" s="1321"/>
      <c r="CD138" s="1321"/>
      <c r="CE138" s="1321"/>
      <c r="CF138" s="1321"/>
      <c r="CG138" s="1321"/>
      <c r="CH138" s="1321"/>
      <c r="CI138" s="1321"/>
      <c r="CJ138" s="1321"/>
      <c r="CK138" s="1321"/>
      <c r="CL138" s="1321"/>
      <c r="CM138" s="1321"/>
      <c r="CN138" s="1321"/>
      <c r="CO138" s="1321"/>
      <c r="CP138" s="1321"/>
      <c r="CQ138" s="1321"/>
      <c r="CR138" s="1321"/>
      <c r="CS138" s="1321"/>
      <c r="CT138" s="1321"/>
      <c r="CU138" s="1321"/>
      <c r="CV138" s="1321"/>
      <c r="CW138" s="1321"/>
      <c r="CX138" s="1321"/>
      <c r="CY138" s="1321"/>
      <c r="CZ138" s="1321"/>
      <c r="DA138" s="1321"/>
      <c r="DB138" s="1321"/>
      <c r="DC138" s="1321"/>
      <c r="DD138" s="1321"/>
      <c r="DE138" s="1321"/>
      <c r="DF138" s="1321"/>
      <c r="DG138" s="1321"/>
      <c r="DH138" s="1321"/>
      <c r="DI138" s="1321"/>
      <c r="DJ138" s="1321"/>
      <c r="DK138" s="1321"/>
      <c r="DL138" s="1321"/>
      <c r="DM138" s="1321"/>
      <c r="DN138" s="1321"/>
      <c r="DO138" s="1321"/>
      <c r="DP138" s="1321"/>
      <c r="DQ138" s="1321"/>
      <c r="DR138" s="1321"/>
      <c r="DS138" s="1321"/>
      <c r="DT138" s="1321"/>
      <c r="DU138" s="1321"/>
      <c r="DV138" s="1321"/>
      <c r="DW138" s="1321"/>
      <c r="DX138" s="1321"/>
      <c r="DY138" s="1321"/>
      <c r="DZ138" s="1321"/>
      <c r="EA138" s="1321"/>
      <c r="EB138" s="1321"/>
      <c r="EC138" s="1321"/>
      <c r="ED138" s="1321"/>
      <c r="EE138" s="1321"/>
      <c r="EF138" s="1321"/>
      <c r="EG138" s="1321"/>
      <c r="EH138" s="1321"/>
      <c r="EI138" s="1321"/>
    </row>
    <row r="139" spans="1:139" s="265" customFormat="1" ht="12.75" customHeight="1" x14ac:dyDescent="0.2">
      <c r="A139" s="309"/>
      <c r="B139" s="310" t="s">
        <v>436</v>
      </c>
      <c r="C139" s="277">
        <v>0</v>
      </c>
      <c r="D139" s="277">
        <v>0.25</v>
      </c>
      <c r="E139" s="277">
        <v>1</v>
      </c>
      <c r="F139" s="277">
        <v>0</v>
      </c>
      <c r="G139" s="311">
        <v>0</v>
      </c>
      <c r="H139" s="258">
        <f>SUM(C139:G139)</f>
        <v>1.25</v>
      </c>
      <c r="I139" s="259"/>
      <c r="J139" s="259"/>
      <c r="K139" s="259"/>
      <c r="L139" s="545">
        <f>((C139*$C$10)+(D139*$D$10)+(E139*$E$10)+(F139*$F$10))</f>
        <v>70.007999999999996</v>
      </c>
      <c r="M139" s="260">
        <v>0</v>
      </c>
      <c r="N139" s="261">
        <v>0</v>
      </c>
      <c r="O139" s="468">
        <f>'Table 1'!L160</f>
        <v>1</v>
      </c>
      <c r="P139" s="369">
        <f>(C139+D139+E139+F139)*O139</f>
        <v>1.25</v>
      </c>
      <c r="Q139" s="291">
        <f>(M139+N139)*O139</f>
        <v>0</v>
      </c>
      <c r="R139" s="559">
        <f>(L139+M139+N139)*O139</f>
        <v>70.007999999999996</v>
      </c>
      <c r="S139" s="263" t="s">
        <v>199</v>
      </c>
      <c r="T139" s="292" t="str">
        <f t="shared" ref="T139:V140" si="44">IF($S139="RP",O139,"")</f>
        <v/>
      </c>
      <c r="U139" s="293" t="str">
        <f t="shared" si="44"/>
        <v/>
      </c>
      <c r="V139" s="122" t="str">
        <f t="shared" si="44"/>
        <v/>
      </c>
      <c r="W139" s="293">
        <f t="shared" ref="W139:Y140" si="45">IF($S139="RK",O139,"")</f>
        <v>1</v>
      </c>
      <c r="X139" s="293">
        <f t="shared" si="45"/>
        <v>1.25</v>
      </c>
      <c r="Y139" s="122">
        <f t="shared" si="45"/>
        <v>0</v>
      </c>
      <c r="AG139" s="1321"/>
      <c r="AH139" s="1321"/>
      <c r="AI139" s="1321"/>
      <c r="AJ139" s="1321"/>
      <c r="AK139" s="1321"/>
      <c r="AL139" s="1321"/>
      <c r="AM139" s="1321"/>
      <c r="AN139" s="1321"/>
      <c r="AO139" s="1321"/>
      <c r="AP139" s="1321"/>
      <c r="AQ139" s="1321"/>
      <c r="AR139" s="1321"/>
      <c r="AS139" s="1321"/>
      <c r="AT139" s="1321"/>
      <c r="AU139" s="1321"/>
      <c r="AV139" s="1321"/>
      <c r="AW139" s="1321"/>
      <c r="AX139" s="1321"/>
      <c r="AY139" s="1321"/>
      <c r="AZ139" s="1321"/>
      <c r="BA139" s="1321"/>
      <c r="BB139" s="1321"/>
      <c r="BC139" s="1321"/>
      <c r="BD139" s="1321"/>
      <c r="BE139" s="1321"/>
      <c r="BF139" s="1321"/>
      <c r="BG139" s="1321"/>
      <c r="BH139" s="1321"/>
      <c r="BI139" s="1321"/>
      <c r="BJ139" s="1321"/>
      <c r="BK139" s="1321"/>
      <c r="BL139" s="1321"/>
      <c r="BM139" s="1321"/>
      <c r="BN139" s="1321"/>
      <c r="BO139" s="1321"/>
      <c r="BP139" s="1321"/>
      <c r="BQ139" s="1321"/>
      <c r="BR139" s="1321"/>
      <c r="BS139" s="1321"/>
      <c r="BT139" s="1321"/>
      <c r="BU139" s="1321"/>
      <c r="BV139" s="1321"/>
      <c r="BW139" s="1321"/>
      <c r="BX139" s="1321"/>
      <c r="BY139" s="1321"/>
      <c r="BZ139" s="1321"/>
      <c r="CA139" s="1321"/>
      <c r="CB139" s="1321"/>
      <c r="CC139" s="1321"/>
      <c r="CD139" s="1321"/>
      <c r="CE139" s="1321"/>
      <c r="CF139" s="1321"/>
      <c r="CG139" s="1321"/>
      <c r="CH139" s="1321"/>
      <c r="CI139" s="1321"/>
      <c r="CJ139" s="1321"/>
      <c r="CK139" s="1321"/>
      <c r="CL139" s="1321"/>
      <c r="CM139" s="1321"/>
      <c r="CN139" s="1321"/>
      <c r="CO139" s="1321"/>
      <c r="CP139" s="1321"/>
      <c r="CQ139" s="1321"/>
      <c r="CR139" s="1321"/>
      <c r="CS139" s="1321"/>
      <c r="CT139" s="1321"/>
      <c r="CU139" s="1321"/>
      <c r="CV139" s="1321"/>
      <c r="CW139" s="1321"/>
      <c r="CX139" s="1321"/>
      <c r="CY139" s="1321"/>
      <c r="CZ139" s="1321"/>
      <c r="DA139" s="1321"/>
      <c r="DB139" s="1321"/>
      <c r="DC139" s="1321"/>
      <c r="DD139" s="1321"/>
      <c r="DE139" s="1321"/>
      <c r="DF139" s="1321"/>
      <c r="DG139" s="1321"/>
      <c r="DH139" s="1321"/>
      <c r="DI139" s="1321"/>
      <c r="DJ139" s="1321"/>
      <c r="DK139" s="1321"/>
      <c r="DL139" s="1321"/>
      <c r="DM139" s="1321"/>
      <c r="DN139" s="1321"/>
      <c r="DO139" s="1321"/>
      <c r="DP139" s="1321"/>
      <c r="DQ139" s="1321"/>
      <c r="DR139" s="1321"/>
      <c r="DS139" s="1321"/>
      <c r="DT139" s="1321"/>
      <c r="DU139" s="1321"/>
      <c r="DV139" s="1321"/>
      <c r="DW139" s="1321"/>
      <c r="DX139" s="1321"/>
      <c r="DY139" s="1321"/>
      <c r="DZ139" s="1321"/>
      <c r="EA139" s="1321"/>
      <c r="EB139" s="1321"/>
      <c r="EC139" s="1321"/>
      <c r="ED139" s="1321"/>
      <c r="EE139" s="1321"/>
      <c r="EF139" s="1321"/>
      <c r="EG139" s="1321"/>
      <c r="EH139" s="1321"/>
      <c r="EI139" s="1321"/>
    </row>
    <row r="140" spans="1:139" s="180" customFormat="1" ht="12.75" customHeight="1" x14ac:dyDescent="0.2">
      <c r="A140" s="224"/>
      <c r="B140" s="225" t="s">
        <v>437</v>
      </c>
      <c r="C140" s="275">
        <v>0</v>
      </c>
      <c r="D140" s="275">
        <v>0.25</v>
      </c>
      <c r="E140" s="275">
        <v>10</v>
      </c>
      <c r="F140" s="275">
        <v>0</v>
      </c>
      <c r="G140" s="311">
        <v>0</v>
      </c>
      <c r="H140" s="249">
        <f>SUM(C140:G140)</f>
        <v>10.25</v>
      </c>
      <c r="I140" s="250"/>
      <c r="J140" s="250"/>
      <c r="K140" s="250"/>
      <c r="L140" s="533">
        <f>((C140*$C$10)+(D140*$D$10)+(E140*$E$10)+(F140*$F$10))</f>
        <v>541.31999999999994</v>
      </c>
      <c r="M140" s="251">
        <v>0</v>
      </c>
      <c r="N140" s="252">
        <v>0</v>
      </c>
      <c r="O140" s="468">
        <f>'Table 1'!L162</f>
        <v>1</v>
      </c>
      <c r="P140" s="312">
        <f>(C140+D140+E140+F140)*O140</f>
        <v>10.25</v>
      </c>
      <c r="Q140" s="291">
        <f>(M140+N140)*O140</f>
        <v>0</v>
      </c>
      <c r="R140" s="559">
        <f>(L140+M140+N140)*O140</f>
        <v>541.31999999999994</v>
      </c>
      <c r="S140" s="263" t="s">
        <v>199</v>
      </c>
      <c r="T140" s="292" t="str">
        <f t="shared" si="44"/>
        <v/>
      </c>
      <c r="U140" s="293" t="str">
        <f t="shared" si="44"/>
        <v/>
      </c>
      <c r="V140" s="122" t="str">
        <f t="shared" si="44"/>
        <v/>
      </c>
      <c r="W140" s="293">
        <f t="shared" si="45"/>
        <v>1</v>
      </c>
      <c r="X140" s="293">
        <f t="shared" si="45"/>
        <v>10.25</v>
      </c>
      <c r="Y140" s="122">
        <f t="shared" si="45"/>
        <v>0</v>
      </c>
      <c r="AG140" s="1321"/>
      <c r="AH140" s="1321"/>
      <c r="AI140" s="1321"/>
      <c r="AJ140" s="1321"/>
      <c r="AK140" s="1321"/>
      <c r="AL140" s="1321"/>
      <c r="AM140" s="1321"/>
      <c r="AN140" s="1321"/>
      <c r="AO140" s="1321"/>
      <c r="AP140" s="1321"/>
      <c r="AQ140" s="1321"/>
      <c r="AR140" s="1321"/>
      <c r="AS140" s="1321"/>
      <c r="AT140" s="1321"/>
      <c r="AU140" s="1321"/>
      <c r="AV140" s="1321"/>
      <c r="AW140" s="1321"/>
      <c r="AX140" s="1321"/>
      <c r="AY140" s="1321"/>
      <c r="AZ140" s="1321"/>
      <c r="BA140" s="1321"/>
      <c r="BB140" s="1321"/>
      <c r="BC140" s="1321"/>
      <c r="BD140" s="1321"/>
      <c r="BE140" s="1321"/>
      <c r="BF140" s="1321"/>
      <c r="BG140" s="1321"/>
      <c r="BH140" s="1321"/>
      <c r="BI140" s="1321"/>
      <c r="BJ140" s="1321"/>
      <c r="BK140" s="1321"/>
      <c r="BL140" s="1321"/>
      <c r="BM140" s="1321"/>
      <c r="BN140" s="1321"/>
      <c r="BO140" s="1321"/>
      <c r="BP140" s="1321"/>
      <c r="BQ140" s="1321"/>
      <c r="BR140" s="1321"/>
      <c r="BS140" s="1321"/>
      <c r="BT140" s="1321"/>
      <c r="BU140" s="1321"/>
      <c r="BV140" s="1321"/>
      <c r="BW140" s="1321"/>
      <c r="BX140" s="1321"/>
      <c r="BY140" s="1321"/>
      <c r="BZ140" s="1321"/>
      <c r="CA140" s="1321"/>
      <c r="CB140" s="1321"/>
      <c r="CC140" s="1321"/>
      <c r="CD140" s="1321"/>
      <c r="CE140" s="1321"/>
      <c r="CF140" s="1321"/>
      <c r="CG140" s="1321"/>
      <c r="CH140" s="1321"/>
      <c r="CI140" s="1321"/>
      <c r="CJ140" s="1321"/>
      <c r="CK140" s="1321"/>
      <c r="CL140" s="1321"/>
      <c r="CM140" s="1321"/>
      <c r="CN140" s="1321"/>
      <c r="CO140" s="1321"/>
      <c r="CP140" s="1321"/>
      <c r="CQ140" s="1321"/>
      <c r="CR140" s="1321"/>
      <c r="CS140" s="1321"/>
      <c r="CT140" s="1321"/>
      <c r="CU140" s="1321"/>
      <c r="CV140" s="1321"/>
      <c r="CW140" s="1321"/>
      <c r="CX140" s="1321"/>
      <c r="CY140" s="1321"/>
      <c r="CZ140" s="1321"/>
      <c r="DA140" s="1321"/>
      <c r="DB140" s="1321"/>
      <c r="DC140" s="1321"/>
      <c r="DD140" s="1321"/>
      <c r="DE140" s="1321"/>
      <c r="DF140" s="1321"/>
      <c r="DG140" s="1321"/>
      <c r="DH140" s="1321"/>
      <c r="DI140" s="1321"/>
      <c r="DJ140" s="1321"/>
      <c r="DK140" s="1321"/>
      <c r="DL140" s="1321"/>
      <c r="DM140" s="1321"/>
      <c r="DN140" s="1321"/>
      <c r="DO140" s="1321"/>
      <c r="DP140" s="1321"/>
      <c r="DQ140" s="1321"/>
      <c r="DR140" s="1321"/>
      <c r="DS140" s="1321"/>
      <c r="DT140" s="1321"/>
      <c r="DU140" s="1321"/>
      <c r="DV140" s="1321"/>
      <c r="DW140" s="1321"/>
      <c r="DX140" s="1321"/>
      <c r="DY140" s="1321"/>
      <c r="DZ140" s="1321"/>
      <c r="EA140" s="1321"/>
      <c r="EB140" s="1321"/>
      <c r="EC140" s="1321"/>
      <c r="ED140" s="1321"/>
      <c r="EE140" s="1321"/>
      <c r="EF140" s="1321"/>
      <c r="EG140" s="1321"/>
      <c r="EH140" s="1321"/>
      <c r="EI140" s="1321"/>
    </row>
    <row r="141" spans="1:139" s="180" customFormat="1" ht="12.75" customHeight="1" x14ac:dyDescent="0.2">
      <c r="A141" s="221"/>
      <c r="B141" s="222" t="s">
        <v>438</v>
      </c>
      <c r="C141" s="396"/>
      <c r="D141" s="396"/>
      <c r="E141" s="396"/>
      <c r="F141" s="396"/>
      <c r="G141" s="396"/>
      <c r="H141" s="267"/>
      <c r="I141" s="268"/>
      <c r="J141" s="268"/>
      <c r="K141" s="268"/>
      <c r="L141" s="547"/>
      <c r="M141" s="269"/>
      <c r="N141" s="270"/>
      <c r="O141" s="399"/>
      <c r="P141" s="373"/>
      <c r="Q141" s="291"/>
      <c r="R141" s="565"/>
      <c r="S141" s="193"/>
      <c r="T141" s="185"/>
      <c r="U141" s="240"/>
      <c r="W141" s="185"/>
      <c r="X141" s="185"/>
      <c r="AG141" s="1321"/>
      <c r="AH141" s="1321"/>
      <c r="AI141" s="1321"/>
      <c r="AJ141" s="1321"/>
      <c r="AK141" s="1321"/>
      <c r="AL141" s="1321"/>
      <c r="AM141" s="1321"/>
      <c r="AN141" s="1321"/>
      <c r="AO141" s="1321"/>
      <c r="AP141" s="1321"/>
      <c r="AQ141" s="1321"/>
      <c r="AR141" s="1321"/>
      <c r="AS141" s="1321"/>
      <c r="AT141" s="1321"/>
      <c r="AU141" s="1321"/>
      <c r="AV141" s="1321"/>
      <c r="AW141" s="1321"/>
      <c r="AX141" s="1321"/>
      <c r="AY141" s="1321"/>
      <c r="AZ141" s="1321"/>
      <c r="BA141" s="1321"/>
      <c r="BB141" s="1321"/>
      <c r="BC141" s="1321"/>
      <c r="BD141" s="1321"/>
      <c r="BE141" s="1321"/>
      <c r="BF141" s="1321"/>
      <c r="BG141" s="1321"/>
      <c r="BH141" s="1321"/>
      <c r="BI141" s="1321"/>
      <c r="BJ141" s="1321"/>
      <c r="BK141" s="1321"/>
      <c r="BL141" s="1321"/>
      <c r="BM141" s="1321"/>
      <c r="BN141" s="1321"/>
      <c r="BO141" s="1321"/>
      <c r="BP141" s="1321"/>
      <c r="BQ141" s="1321"/>
      <c r="BR141" s="1321"/>
      <c r="BS141" s="1321"/>
      <c r="BT141" s="1321"/>
      <c r="BU141" s="1321"/>
      <c r="BV141" s="1321"/>
      <c r="BW141" s="1321"/>
      <c r="BX141" s="1321"/>
      <c r="BY141" s="1321"/>
      <c r="BZ141" s="1321"/>
      <c r="CA141" s="1321"/>
      <c r="CB141" s="1321"/>
      <c r="CC141" s="1321"/>
      <c r="CD141" s="1321"/>
      <c r="CE141" s="1321"/>
      <c r="CF141" s="1321"/>
      <c r="CG141" s="1321"/>
      <c r="CH141" s="1321"/>
      <c r="CI141" s="1321"/>
      <c r="CJ141" s="1321"/>
      <c r="CK141" s="1321"/>
      <c r="CL141" s="1321"/>
      <c r="CM141" s="1321"/>
      <c r="CN141" s="1321"/>
      <c r="CO141" s="1321"/>
      <c r="CP141" s="1321"/>
      <c r="CQ141" s="1321"/>
      <c r="CR141" s="1321"/>
      <c r="CS141" s="1321"/>
      <c r="CT141" s="1321"/>
      <c r="CU141" s="1321"/>
      <c r="CV141" s="1321"/>
      <c r="CW141" s="1321"/>
      <c r="CX141" s="1321"/>
      <c r="CY141" s="1321"/>
      <c r="CZ141" s="1321"/>
      <c r="DA141" s="1321"/>
      <c r="DB141" s="1321"/>
      <c r="DC141" s="1321"/>
      <c r="DD141" s="1321"/>
      <c r="DE141" s="1321"/>
      <c r="DF141" s="1321"/>
      <c r="DG141" s="1321"/>
      <c r="DH141" s="1321"/>
      <c r="DI141" s="1321"/>
      <c r="DJ141" s="1321"/>
      <c r="DK141" s="1321"/>
      <c r="DL141" s="1321"/>
      <c r="DM141" s="1321"/>
      <c r="DN141" s="1321"/>
      <c r="DO141" s="1321"/>
      <c r="DP141" s="1321"/>
      <c r="DQ141" s="1321"/>
      <c r="DR141" s="1321"/>
      <c r="DS141" s="1321"/>
      <c r="DT141" s="1321"/>
      <c r="DU141" s="1321"/>
      <c r="DV141" s="1321"/>
      <c r="DW141" s="1321"/>
      <c r="DX141" s="1321"/>
      <c r="DY141" s="1321"/>
      <c r="DZ141" s="1321"/>
      <c r="EA141" s="1321"/>
      <c r="EB141" s="1321"/>
      <c r="EC141" s="1321"/>
      <c r="ED141" s="1321"/>
      <c r="EE141" s="1321"/>
      <c r="EF141" s="1321"/>
      <c r="EG141" s="1321"/>
      <c r="EH141" s="1321"/>
      <c r="EI141" s="1321"/>
    </row>
    <row r="142" spans="1:139" s="265" customFormat="1" ht="12.75" customHeight="1" x14ac:dyDescent="0.2">
      <c r="A142" s="224"/>
      <c r="B142" s="225" t="s">
        <v>146</v>
      </c>
      <c r="C142" s="275">
        <v>0</v>
      </c>
      <c r="D142" s="275">
        <v>0.25</v>
      </c>
      <c r="E142" s="275">
        <v>1</v>
      </c>
      <c r="F142" s="275">
        <v>0</v>
      </c>
      <c r="G142" s="311">
        <v>0</v>
      </c>
      <c r="H142" s="258">
        <f>SUM(C142:G142)</f>
        <v>1.25</v>
      </c>
      <c r="I142" s="259"/>
      <c r="J142" s="259"/>
      <c r="K142" s="259"/>
      <c r="L142" s="545">
        <f>((C142*$C$10)+(D142*$D$10)+(E142*$E$10)+(F142*$F$10))</f>
        <v>70.007999999999996</v>
      </c>
      <c r="M142" s="260">
        <v>0</v>
      </c>
      <c r="N142" s="261">
        <v>0</v>
      </c>
      <c r="O142" s="468">
        <f>'Table 1'!L164</f>
        <v>1</v>
      </c>
      <c r="P142" s="369">
        <f>(C142+D142+E142+F142)*O142</f>
        <v>1.25</v>
      </c>
      <c r="Q142" s="291">
        <f>(M142+N142)*O142</f>
        <v>0</v>
      </c>
      <c r="R142" s="559">
        <f>(L142+M142+N142)*O142</f>
        <v>70.007999999999996</v>
      </c>
      <c r="S142" s="263" t="s">
        <v>199</v>
      </c>
      <c r="T142" s="292" t="str">
        <f t="shared" ref="T142:V143" si="46">IF($S142="RP",O142,"")</f>
        <v/>
      </c>
      <c r="U142" s="293" t="str">
        <f t="shared" si="46"/>
        <v/>
      </c>
      <c r="V142" s="122" t="str">
        <f t="shared" si="46"/>
        <v/>
      </c>
      <c r="W142" s="293">
        <f t="shared" ref="W142:Y143" si="47">IF($S142="RK",O142,"")</f>
        <v>1</v>
      </c>
      <c r="X142" s="293">
        <f t="shared" si="47"/>
        <v>1.25</v>
      </c>
      <c r="Y142" s="122">
        <f t="shared" si="47"/>
        <v>0</v>
      </c>
      <c r="AG142" s="1321"/>
      <c r="AH142" s="1321"/>
      <c r="AI142" s="1321"/>
      <c r="AJ142" s="1321"/>
      <c r="AK142" s="1321"/>
      <c r="AL142" s="1321"/>
      <c r="AM142" s="1321"/>
      <c r="AN142" s="1321"/>
      <c r="AO142" s="1321"/>
      <c r="AP142" s="1321"/>
      <c r="AQ142" s="1321"/>
      <c r="AR142" s="1321"/>
      <c r="AS142" s="1321"/>
      <c r="AT142" s="1321"/>
      <c r="AU142" s="1321"/>
      <c r="AV142" s="1321"/>
      <c r="AW142" s="1321"/>
      <c r="AX142" s="1321"/>
      <c r="AY142" s="1321"/>
      <c r="AZ142" s="1321"/>
      <c r="BA142" s="1321"/>
      <c r="BB142" s="1321"/>
      <c r="BC142" s="1321"/>
      <c r="BD142" s="1321"/>
      <c r="BE142" s="1321"/>
      <c r="BF142" s="1321"/>
      <c r="BG142" s="1321"/>
      <c r="BH142" s="1321"/>
      <c r="BI142" s="1321"/>
      <c r="BJ142" s="1321"/>
      <c r="BK142" s="1321"/>
      <c r="BL142" s="1321"/>
      <c r="BM142" s="1321"/>
      <c r="BN142" s="1321"/>
      <c r="BO142" s="1321"/>
      <c r="BP142" s="1321"/>
      <c r="BQ142" s="1321"/>
      <c r="BR142" s="1321"/>
      <c r="BS142" s="1321"/>
      <c r="BT142" s="1321"/>
      <c r="BU142" s="1321"/>
      <c r="BV142" s="1321"/>
      <c r="BW142" s="1321"/>
      <c r="BX142" s="1321"/>
      <c r="BY142" s="1321"/>
      <c r="BZ142" s="1321"/>
      <c r="CA142" s="1321"/>
      <c r="CB142" s="1321"/>
      <c r="CC142" s="1321"/>
      <c r="CD142" s="1321"/>
      <c r="CE142" s="1321"/>
      <c r="CF142" s="1321"/>
      <c r="CG142" s="1321"/>
      <c r="CH142" s="1321"/>
      <c r="CI142" s="1321"/>
      <c r="CJ142" s="1321"/>
      <c r="CK142" s="1321"/>
      <c r="CL142" s="1321"/>
      <c r="CM142" s="1321"/>
      <c r="CN142" s="1321"/>
      <c r="CO142" s="1321"/>
      <c r="CP142" s="1321"/>
      <c r="CQ142" s="1321"/>
      <c r="CR142" s="1321"/>
      <c r="CS142" s="1321"/>
      <c r="CT142" s="1321"/>
      <c r="CU142" s="1321"/>
      <c r="CV142" s="1321"/>
      <c r="CW142" s="1321"/>
      <c r="CX142" s="1321"/>
      <c r="CY142" s="1321"/>
      <c r="CZ142" s="1321"/>
      <c r="DA142" s="1321"/>
      <c r="DB142" s="1321"/>
      <c r="DC142" s="1321"/>
      <c r="DD142" s="1321"/>
      <c r="DE142" s="1321"/>
      <c r="DF142" s="1321"/>
      <c r="DG142" s="1321"/>
      <c r="DH142" s="1321"/>
      <c r="DI142" s="1321"/>
      <c r="DJ142" s="1321"/>
      <c r="DK142" s="1321"/>
      <c r="DL142" s="1321"/>
      <c r="DM142" s="1321"/>
      <c r="DN142" s="1321"/>
      <c r="DO142" s="1321"/>
      <c r="DP142" s="1321"/>
      <c r="DQ142" s="1321"/>
      <c r="DR142" s="1321"/>
      <c r="DS142" s="1321"/>
      <c r="DT142" s="1321"/>
      <c r="DU142" s="1321"/>
      <c r="DV142" s="1321"/>
      <c r="DW142" s="1321"/>
      <c r="DX142" s="1321"/>
      <c r="DY142" s="1321"/>
      <c r="DZ142" s="1321"/>
      <c r="EA142" s="1321"/>
      <c r="EB142" s="1321"/>
      <c r="EC142" s="1321"/>
      <c r="ED142" s="1321"/>
      <c r="EE142" s="1321"/>
      <c r="EF142" s="1321"/>
      <c r="EG142" s="1321"/>
      <c r="EH142" s="1321"/>
      <c r="EI142" s="1321"/>
    </row>
    <row r="143" spans="1:139" s="180" customFormat="1" ht="12.75" customHeight="1" x14ac:dyDescent="0.2">
      <c r="A143" s="309"/>
      <c r="B143" s="310" t="s">
        <v>391</v>
      </c>
      <c r="C143" s="277">
        <v>0</v>
      </c>
      <c r="D143" s="277">
        <v>0.25</v>
      </c>
      <c r="E143" s="275">
        <v>0</v>
      </c>
      <c r="F143" s="275">
        <v>0.25</v>
      </c>
      <c r="G143" s="257">
        <v>0</v>
      </c>
      <c r="H143" s="249">
        <f>SUM(C143:G143)</f>
        <v>0.5</v>
      </c>
      <c r="I143" s="250"/>
      <c r="J143" s="250"/>
      <c r="K143" s="250"/>
      <c r="L143" s="533">
        <f>((C143*$C$10)+(D143*$D$10)+(E143*$E$10)+(F143*$F$10))</f>
        <v>24.724</v>
      </c>
      <c r="M143" s="251">
        <v>0</v>
      </c>
      <c r="N143" s="319">
        <v>1</v>
      </c>
      <c r="O143" s="333">
        <f>O140</f>
        <v>1</v>
      </c>
      <c r="P143" s="312">
        <f>(C143+D143+E143+F143)*O143</f>
        <v>0.5</v>
      </c>
      <c r="Q143" s="298">
        <f>(M143+N143)*O143</f>
        <v>1</v>
      </c>
      <c r="R143" s="559">
        <f>(L143+M143+N143)*O143</f>
        <v>25.724</v>
      </c>
      <c r="S143" s="263" t="s">
        <v>200</v>
      </c>
      <c r="T143" s="292">
        <f t="shared" si="46"/>
        <v>1</v>
      </c>
      <c r="U143" s="293">
        <f t="shared" si="46"/>
        <v>0.5</v>
      </c>
      <c r="V143" s="122">
        <f t="shared" si="46"/>
        <v>1</v>
      </c>
      <c r="W143" s="293" t="str">
        <f t="shared" si="47"/>
        <v/>
      </c>
      <c r="X143" s="293" t="str">
        <f t="shared" si="47"/>
        <v/>
      </c>
      <c r="Y143" s="122" t="str">
        <f t="shared" si="47"/>
        <v/>
      </c>
      <c r="AG143" s="1321"/>
      <c r="AH143" s="1321"/>
      <c r="AI143" s="1321"/>
      <c r="AJ143" s="1321"/>
      <c r="AK143" s="1321"/>
      <c r="AL143" s="1321"/>
      <c r="AM143" s="1321"/>
      <c r="AN143" s="1321"/>
      <c r="AO143" s="1321"/>
      <c r="AP143" s="1321"/>
      <c r="AQ143" s="1321"/>
      <c r="AR143" s="1321"/>
      <c r="AS143" s="1321"/>
      <c r="AT143" s="1321"/>
      <c r="AU143" s="1321"/>
      <c r="AV143" s="1321"/>
      <c r="AW143" s="1321"/>
      <c r="AX143" s="1321"/>
      <c r="AY143" s="1321"/>
      <c r="AZ143" s="1321"/>
      <c r="BA143" s="1321"/>
      <c r="BB143" s="1321"/>
      <c r="BC143" s="1321"/>
      <c r="BD143" s="1321"/>
      <c r="BE143" s="1321"/>
      <c r="BF143" s="1321"/>
      <c r="BG143" s="1321"/>
      <c r="BH143" s="1321"/>
      <c r="BI143" s="1321"/>
      <c r="BJ143" s="1321"/>
      <c r="BK143" s="1321"/>
      <c r="BL143" s="1321"/>
      <c r="BM143" s="1321"/>
      <c r="BN143" s="1321"/>
      <c r="BO143" s="1321"/>
      <c r="BP143" s="1321"/>
      <c r="BQ143" s="1321"/>
      <c r="BR143" s="1321"/>
      <c r="BS143" s="1321"/>
      <c r="BT143" s="1321"/>
      <c r="BU143" s="1321"/>
      <c r="BV143" s="1321"/>
      <c r="BW143" s="1321"/>
      <c r="BX143" s="1321"/>
      <c r="BY143" s="1321"/>
      <c r="BZ143" s="1321"/>
      <c r="CA143" s="1321"/>
      <c r="CB143" s="1321"/>
      <c r="CC143" s="1321"/>
      <c r="CD143" s="1321"/>
      <c r="CE143" s="1321"/>
      <c r="CF143" s="1321"/>
      <c r="CG143" s="1321"/>
      <c r="CH143" s="1321"/>
      <c r="CI143" s="1321"/>
      <c r="CJ143" s="1321"/>
      <c r="CK143" s="1321"/>
      <c r="CL143" s="1321"/>
      <c r="CM143" s="1321"/>
      <c r="CN143" s="1321"/>
      <c r="CO143" s="1321"/>
      <c r="CP143" s="1321"/>
      <c r="CQ143" s="1321"/>
      <c r="CR143" s="1321"/>
      <c r="CS143" s="1321"/>
      <c r="CT143" s="1321"/>
      <c r="CU143" s="1321"/>
      <c r="CV143" s="1321"/>
      <c r="CW143" s="1321"/>
      <c r="CX143" s="1321"/>
      <c r="CY143" s="1321"/>
      <c r="CZ143" s="1321"/>
      <c r="DA143" s="1321"/>
      <c r="DB143" s="1321"/>
      <c r="DC143" s="1321"/>
      <c r="DD143" s="1321"/>
      <c r="DE143" s="1321"/>
      <c r="DF143" s="1321"/>
      <c r="DG143" s="1321"/>
      <c r="DH143" s="1321"/>
      <c r="DI143" s="1321"/>
      <c r="DJ143" s="1321"/>
      <c r="DK143" s="1321"/>
      <c r="DL143" s="1321"/>
      <c r="DM143" s="1321"/>
      <c r="DN143" s="1321"/>
      <c r="DO143" s="1321"/>
      <c r="DP143" s="1321"/>
      <c r="DQ143" s="1321"/>
      <c r="DR143" s="1321"/>
      <c r="DS143" s="1321"/>
      <c r="DT143" s="1321"/>
      <c r="DU143" s="1321"/>
      <c r="DV143" s="1321"/>
      <c r="DW143" s="1321"/>
      <c r="DX143" s="1321"/>
      <c r="DY143" s="1321"/>
      <c r="DZ143" s="1321"/>
      <c r="EA143" s="1321"/>
      <c r="EB143" s="1321"/>
      <c r="EC143" s="1321"/>
      <c r="ED143" s="1321"/>
      <c r="EE143" s="1321"/>
      <c r="EF143" s="1321"/>
      <c r="EG143" s="1321"/>
      <c r="EH143" s="1321"/>
      <c r="EI143" s="1321"/>
    </row>
    <row r="144" spans="1:139" s="180" customFormat="1" ht="26.5" customHeight="1" x14ac:dyDescent="0.2">
      <c r="A144" s="1356" t="s">
        <v>598</v>
      </c>
      <c r="B144" s="1357"/>
      <c r="C144" s="311"/>
      <c r="D144" s="311"/>
      <c r="E144" s="311"/>
      <c r="F144" s="311"/>
      <c r="G144" s="311"/>
      <c r="H144" s="311"/>
      <c r="I144" s="314"/>
      <c r="J144" s="314"/>
      <c r="K144" s="314"/>
      <c r="L144" s="534"/>
      <c r="M144" s="315"/>
      <c r="N144" s="291"/>
      <c r="O144" s="316"/>
      <c r="P144" s="317"/>
      <c r="Q144" s="317"/>
      <c r="R144" s="526"/>
      <c r="S144" s="193"/>
      <c r="T144" s="185"/>
      <c r="U144" s="240"/>
      <c r="W144" s="185"/>
      <c r="X144" s="185"/>
      <c r="AG144" s="1321"/>
      <c r="AH144" s="1321"/>
      <c r="AI144" s="1321"/>
      <c r="AJ144" s="1321"/>
      <c r="AK144" s="1321"/>
      <c r="AL144" s="1321"/>
      <c r="AM144" s="1321"/>
      <c r="AN144" s="1321"/>
      <c r="AO144" s="1321"/>
      <c r="AP144" s="1321"/>
      <c r="AQ144" s="1321"/>
      <c r="AR144" s="1321"/>
      <c r="AS144" s="1321"/>
      <c r="AT144" s="1321"/>
      <c r="AU144" s="1321"/>
      <c r="AV144" s="1321"/>
      <c r="AW144" s="1321"/>
      <c r="AX144" s="1321"/>
      <c r="AY144" s="1321"/>
      <c r="AZ144" s="1321"/>
      <c r="BA144" s="1321"/>
      <c r="BB144" s="1321"/>
      <c r="BC144" s="1321"/>
      <c r="BD144" s="1321"/>
      <c r="BE144" s="1321"/>
      <c r="BF144" s="1321"/>
      <c r="BG144" s="1321"/>
      <c r="BH144" s="1321"/>
      <c r="BI144" s="1321"/>
      <c r="BJ144" s="1321"/>
      <c r="BK144" s="1321"/>
      <c r="BL144" s="1321"/>
      <c r="BM144" s="1321"/>
      <c r="BN144" s="1321"/>
      <c r="BO144" s="1321"/>
      <c r="BP144" s="1321"/>
      <c r="BQ144" s="1321"/>
      <c r="BR144" s="1321"/>
      <c r="BS144" s="1321"/>
      <c r="BT144" s="1321"/>
      <c r="BU144" s="1321"/>
      <c r="BV144" s="1321"/>
      <c r="BW144" s="1321"/>
      <c r="BX144" s="1321"/>
      <c r="BY144" s="1321"/>
      <c r="BZ144" s="1321"/>
      <c r="CA144" s="1321"/>
      <c r="CB144" s="1321"/>
      <c r="CC144" s="1321"/>
      <c r="CD144" s="1321"/>
      <c r="CE144" s="1321"/>
      <c r="CF144" s="1321"/>
      <c r="CG144" s="1321"/>
      <c r="CH144" s="1321"/>
      <c r="CI144" s="1321"/>
      <c r="CJ144" s="1321"/>
      <c r="CK144" s="1321"/>
      <c r="CL144" s="1321"/>
      <c r="CM144" s="1321"/>
      <c r="CN144" s="1321"/>
      <c r="CO144" s="1321"/>
      <c r="CP144" s="1321"/>
      <c r="CQ144" s="1321"/>
      <c r="CR144" s="1321"/>
      <c r="CS144" s="1321"/>
      <c r="CT144" s="1321"/>
      <c r="CU144" s="1321"/>
      <c r="CV144" s="1321"/>
      <c r="CW144" s="1321"/>
      <c r="CX144" s="1321"/>
      <c r="CY144" s="1321"/>
      <c r="CZ144" s="1321"/>
      <c r="DA144" s="1321"/>
      <c r="DB144" s="1321"/>
      <c r="DC144" s="1321"/>
      <c r="DD144" s="1321"/>
      <c r="DE144" s="1321"/>
      <c r="DF144" s="1321"/>
      <c r="DG144" s="1321"/>
      <c r="DH144" s="1321"/>
      <c r="DI144" s="1321"/>
      <c r="DJ144" s="1321"/>
      <c r="DK144" s="1321"/>
      <c r="DL144" s="1321"/>
      <c r="DM144" s="1321"/>
      <c r="DN144" s="1321"/>
      <c r="DO144" s="1321"/>
      <c r="DP144" s="1321"/>
      <c r="DQ144" s="1321"/>
      <c r="DR144" s="1321"/>
      <c r="DS144" s="1321"/>
      <c r="DT144" s="1321"/>
      <c r="DU144" s="1321"/>
      <c r="DV144" s="1321"/>
      <c r="DW144" s="1321"/>
      <c r="DX144" s="1321"/>
      <c r="DY144" s="1321"/>
      <c r="DZ144" s="1321"/>
      <c r="EA144" s="1321"/>
      <c r="EB144" s="1321"/>
      <c r="EC144" s="1321"/>
      <c r="ED144" s="1321"/>
      <c r="EE144" s="1321"/>
      <c r="EF144" s="1321"/>
      <c r="EG144" s="1321"/>
      <c r="EH144" s="1321"/>
      <c r="EI144" s="1321"/>
    </row>
    <row r="145" spans="1:139" s="180" customFormat="1" ht="12.75" customHeight="1" x14ac:dyDescent="0.2">
      <c r="A145" s="210"/>
      <c r="B145" s="211" t="s">
        <v>439</v>
      </c>
      <c r="C145" s="361"/>
      <c r="D145" s="361"/>
      <c r="E145" s="361"/>
      <c r="F145" s="361"/>
      <c r="G145" s="361"/>
      <c r="H145" s="361"/>
      <c r="I145" s="362"/>
      <c r="J145" s="362"/>
      <c r="K145" s="362"/>
      <c r="L145" s="544"/>
      <c r="M145" s="299"/>
      <c r="N145" s="299"/>
      <c r="O145" s="334"/>
      <c r="P145" s="297"/>
      <c r="Q145" s="297"/>
      <c r="R145" s="544"/>
      <c r="S145" s="193"/>
      <c r="T145" s="185"/>
      <c r="U145" s="240"/>
      <c r="W145" s="185"/>
      <c r="X145" s="185"/>
      <c r="AG145" s="1321"/>
      <c r="AH145" s="1321"/>
      <c r="AI145" s="1321"/>
      <c r="AJ145" s="1321"/>
      <c r="AK145" s="1321"/>
      <c r="AL145" s="1321"/>
      <c r="AM145" s="1321"/>
      <c r="AN145" s="1321"/>
      <c r="AO145" s="1321"/>
      <c r="AP145" s="1321"/>
      <c r="AQ145" s="1321"/>
      <c r="AR145" s="1321"/>
      <c r="AS145" s="1321"/>
      <c r="AT145" s="1321"/>
      <c r="AU145" s="1321"/>
      <c r="AV145" s="1321"/>
      <c r="AW145" s="1321"/>
      <c r="AX145" s="1321"/>
      <c r="AY145" s="1321"/>
      <c r="AZ145" s="1321"/>
      <c r="BA145" s="1321"/>
      <c r="BB145" s="1321"/>
      <c r="BC145" s="1321"/>
      <c r="BD145" s="1321"/>
      <c r="BE145" s="1321"/>
      <c r="BF145" s="1321"/>
      <c r="BG145" s="1321"/>
      <c r="BH145" s="1321"/>
      <c r="BI145" s="1321"/>
      <c r="BJ145" s="1321"/>
      <c r="BK145" s="1321"/>
      <c r="BL145" s="1321"/>
      <c r="BM145" s="1321"/>
      <c r="BN145" s="1321"/>
      <c r="BO145" s="1321"/>
      <c r="BP145" s="1321"/>
      <c r="BQ145" s="1321"/>
      <c r="BR145" s="1321"/>
      <c r="BS145" s="1321"/>
      <c r="BT145" s="1321"/>
      <c r="BU145" s="1321"/>
      <c r="BV145" s="1321"/>
      <c r="BW145" s="1321"/>
      <c r="BX145" s="1321"/>
      <c r="BY145" s="1321"/>
      <c r="BZ145" s="1321"/>
      <c r="CA145" s="1321"/>
      <c r="CB145" s="1321"/>
      <c r="CC145" s="1321"/>
      <c r="CD145" s="1321"/>
      <c r="CE145" s="1321"/>
      <c r="CF145" s="1321"/>
      <c r="CG145" s="1321"/>
      <c r="CH145" s="1321"/>
      <c r="CI145" s="1321"/>
      <c r="CJ145" s="1321"/>
      <c r="CK145" s="1321"/>
      <c r="CL145" s="1321"/>
      <c r="CM145" s="1321"/>
      <c r="CN145" s="1321"/>
      <c r="CO145" s="1321"/>
      <c r="CP145" s="1321"/>
      <c r="CQ145" s="1321"/>
      <c r="CR145" s="1321"/>
      <c r="CS145" s="1321"/>
      <c r="CT145" s="1321"/>
      <c r="CU145" s="1321"/>
      <c r="CV145" s="1321"/>
      <c r="CW145" s="1321"/>
      <c r="CX145" s="1321"/>
      <c r="CY145" s="1321"/>
      <c r="CZ145" s="1321"/>
      <c r="DA145" s="1321"/>
      <c r="DB145" s="1321"/>
      <c r="DC145" s="1321"/>
      <c r="DD145" s="1321"/>
      <c r="DE145" s="1321"/>
      <c r="DF145" s="1321"/>
      <c r="DG145" s="1321"/>
      <c r="DH145" s="1321"/>
      <c r="DI145" s="1321"/>
      <c r="DJ145" s="1321"/>
      <c r="DK145" s="1321"/>
      <c r="DL145" s="1321"/>
      <c r="DM145" s="1321"/>
      <c r="DN145" s="1321"/>
      <c r="DO145" s="1321"/>
      <c r="DP145" s="1321"/>
      <c r="DQ145" s="1321"/>
      <c r="DR145" s="1321"/>
      <c r="DS145" s="1321"/>
      <c r="DT145" s="1321"/>
      <c r="DU145" s="1321"/>
      <c r="DV145" s="1321"/>
      <c r="DW145" s="1321"/>
      <c r="DX145" s="1321"/>
      <c r="DY145" s="1321"/>
      <c r="DZ145" s="1321"/>
      <c r="EA145" s="1321"/>
      <c r="EB145" s="1321"/>
      <c r="EC145" s="1321"/>
      <c r="ED145" s="1321"/>
      <c r="EE145" s="1321"/>
      <c r="EF145" s="1321"/>
      <c r="EG145" s="1321"/>
      <c r="EH145" s="1321"/>
      <c r="EI145" s="1321"/>
    </row>
    <row r="146" spans="1:139" s="180" customFormat="1" ht="12.75" customHeight="1" x14ac:dyDescent="0.2">
      <c r="A146" s="210"/>
      <c r="B146" s="211" t="s">
        <v>440</v>
      </c>
      <c r="C146" s="361"/>
      <c r="D146" s="361"/>
      <c r="E146" s="361"/>
      <c r="F146" s="361"/>
      <c r="G146" s="361"/>
      <c r="H146" s="361"/>
      <c r="I146" s="362"/>
      <c r="J146" s="362"/>
      <c r="K146" s="362"/>
      <c r="L146" s="544"/>
      <c r="M146" s="299"/>
      <c r="N146" s="299"/>
      <c r="O146" s="334"/>
      <c r="P146" s="297"/>
      <c r="Q146" s="297"/>
      <c r="R146" s="544"/>
      <c r="S146" s="193"/>
      <c r="T146" s="185"/>
      <c r="U146" s="240"/>
      <c r="W146" s="185"/>
      <c r="X146" s="185"/>
      <c r="AG146" s="1321"/>
      <c r="AH146" s="1321"/>
      <c r="AI146" s="1321"/>
      <c r="AJ146" s="1321"/>
      <c r="AK146" s="1321"/>
      <c r="AL146" s="1321"/>
      <c r="AM146" s="1321"/>
      <c r="AN146" s="1321"/>
      <c r="AO146" s="1321"/>
      <c r="AP146" s="1321"/>
      <c r="AQ146" s="1321"/>
      <c r="AR146" s="1321"/>
      <c r="AS146" s="1321"/>
      <c r="AT146" s="1321"/>
      <c r="AU146" s="1321"/>
      <c r="AV146" s="1321"/>
      <c r="AW146" s="1321"/>
      <c r="AX146" s="1321"/>
      <c r="AY146" s="1321"/>
      <c r="AZ146" s="1321"/>
      <c r="BA146" s="1321"/>
      <c r="BB146" s="1321"/>
      <c r="BC146" s="1321"/>
      <c r="BD146" s="1321"/>
      <c r="BE146" s="1321"/>
      <c r="BF146" s="1321"/>
      <c r="BG146" s="1321"/>
      <c r="BH146" s="1321"/>
      <c r="BI146" s="1321"/>
      <c r="BJ146" s="1321"/>
      <c r="BK146" s="1321"/>
      <c r="BL146" s="1321"/>
      <c r="BM146" s="1321"/>
      <c r="BN146" s="1321"/>
      <c r="BO146" s="1321"/>
      <c r="BP146" s="1321"/>
      <c r="BQ146" s="1321"/>
      <c r="BR146" s="1321"/>
      <c r="BS146" s="1321"/>
      <c r="BT146" s="1321"/>
      <c r="BU146" s="1321"/>
      <c r="BV146" s="1321"/>
      <c r="BW146" s="1321"/>
      <c r="BX146" s="1321"/>
      <c r="BY146" s="1321"/>
      <c r="BZ146" s="1321"/>
      <c r="CA146" s="1321"/>
      <c r="CB146" s="1321"/>
      <c r="CC146" s="1321"/>
      <c r="CD146" s="1321"/>
      <c r="CE146" s="1321"/>
      <c r="CF146" s="1321"/>
      <c r="CG146" s="1321"/>
      <c r="CH146" s="1321"/>
      <c r="CI146" s="1321"/>
      <c r="CJ146" s="1321"/>
      <c r="CK146" s="1321"/>
      <c r="CL146" s="1321"/>
      <c r="CM146" s="1321"/>
      <c r="CN146" s="1321"/>
      <c r="CO146" s="1321"/>
      <c r="CP146" s="1321"/>
      <c r="CQ146" s="1321"/>
      <c r="CR146" s="1321"/>
      <c r="CS146" s="1321"/>
      <c r="CT146" s="1321"/>
      <c r="CU146" s="1321"/>
      <c r="CV146" s="1321"/>
      <c r="CW146" s="1321"/>
      <c r="CX146" s="1321"/>
      <c r="CY146" s="1321"/>
      <c r="CZ146" s="1321"/>
      <c r="DA146" s="1321"/>
      <c r="DB146" s="1321"/>
      <c r="DC146" s="1321"/>
      <c r="DD146" s="1321"/>
      <c r="DE146" s="1321"/>
      <c r="DF146" s="1321"/>
      <c r="DG146" s="1321"/>
      <c r="DH146" s="1321"/>
      <c r="DI146" s="1321"/>
      <c r="DJ146" s="1321"/>
      <c r="DK146" s="1321"/>
      <c r="DL146" s="1321"/>
      <c r="DM146" s="1321"/>
      <c r="DN146" s="1321"/>
      <c r="DO146" s="1321"/>
      <c r="DP146" s="1321"/>
      <c r="DQ146" s="1321"/>
      <c r="DR146" s="1321"/>
      <c r="DS146" s="1321"/>
      <c r="DT146" s="1321"/>
      <c r="DU146" s="1321"/>
      <c r="DV146" s="1321"/>
      <c r="DW146" s="1321"/>
      <c r="DX146" s="1321"/>
      <c r="DY146" s="1321"/>
      <c r="DZ146" s="1321"/>
      <c r="EA146" s="1321"/>
      <c r="EB146" s="1321"/>
      <c r="EC146" s="1321"/>
      <c r="ED146" s="1321"/>
      <c r="EE146" s="1321"/>
      <c r="EF146" s="1321"/>
      <c r="EG146" s="1321"/>
      <c r="EH146" s="1321"/>
      <c r="EI146" s="1321"/>
    </row>
    <row r="147" spans="1:139" s="180" customFormat="1" ht="12.75" customHeight="1" x14ac:dyDescent="0.2">
      <c r="A147" s="273"/>
      <c r="B147" s="430" t="s">
        <v>441</v>
      </c>
      <c r="C147" s="318">
        <v>0</v>
      </c>
      <c r="D147" s="318">
        <v>0.5</v>
      </c>
      <c r="E147" s="318">
        <v>1</v>
      </c>
      <c r="F147" s="318">
        <v>0</v>
      </c>
      <c r="G147" s="318">
        <v>0</v>
      </c>
      <c r="H147" s="249">
        <f>SUM(C147:G147)</f>
        <v>1.5</v>
      </c>
      <c r="I147" s="250"/>
      <c r="J147" s="250"/>
      <c r="K147" s="250"/>
      <c r="L147" s="533">
        <f>((C147*$C$10)+(D147*$D$10)+(E147*$E$10)+(F147*$F$10))</f>
        <v>87.647999999999996</v>
      </c>
      <c r="M147" s="251">
        <v>0</v>
      </c>
      <c r="N147" s="252">
        <v>0</v>
      </c>
      <c r="O147" s="320">
        <f>'Table 1'!L167</f>
        <v>14.25</v>
      </c>
      <c r="P147" s="312">
        <f>(C147+D147+E147+F147)*O147</f>
        <v>21.375</v>
      </c>
      <c r="Q147" s="291">
        <f>(M147+N147)*O147</f>
        <v>0</v>
      </c>
      <c r="R147" s="559">
        <f>(L147+M147+N147)*O147</f>
        <v>1248.9839999999999</v>
      </c>
      <c r="S147" s="300" t="s">
        <v>199</v>
      </c>
      <c r="T147" s="292" t="str">
        <f t="shared" ref="T147:V148" si="48">IF($S147="RP",O147,"")</f>
        <v/>
      </c>
      <c r="U147" s="293" t="str">
        <f t="shared" si="48"/>
        <v/>
      </c>
      <c r="V147" s="122" t="str">
        <f t="shared" si="48"/>
        <v/>
      </c>
      <c r="W147" s="293">
        <f t="shared" ref="W147:Y148" si="49">IF($S147="RK",O147,"")</f>
        <v>14.25</v>
      </c>
      <c r="X147" s="293">
        <f t="shared" si="49"/>
        <v>21.375</v>
      </c>
      <c r="Y147" s="122">
        <f t="shared" si="49"/>
        <v>0</v>
      </c>
      <c r="AG147" s="1321"/>
      <c r="AH147" s="1321"/>
      <c r="AI147" s="1321"/>
      <c r="AJ147" s="1321"/>
      <c r="AK147" s="1321"/>
      <c r="AL147" s="1321"/>
      <c r="AM147" s="1321"/>
      <c r="AN147" s="1321"/>
      <c r="AO147" s="1321"/>
      <c r="AP147" s="1321"/>
      <c r="AQ147" s="1321"/>
      <c r="AR147" s="1321"/>
      <c r="AS147" s="1321"/>
      <c r="AT147" s="1321"/>
      <c r="AU147" s="1321"/>
      <c r="AV147" s="1321"/>
      <c r="AW147" s="1321"/>
      <c r="AX147" s="1321"/>
      <c r="AY147" s="1321"/>
      <c r="AZ147" s="1321"/>
      <c r="BA147" s="1321"/>
      <c r="BB147" s="1321"/>
      <c r="BC147" s="1321"/>
      <c r="BD147" s="1321"/>
      <c r="BE147" s="1321"/>
      <c r="BF147" s="1321"/>
      <c r="BG147" s="1321"/>
      <c r="BH147" s="1321"/>
      <c r="BI147" s="1321"/>
      <c r="BJ147" s="1321"/>
      <c r="BK147" s="1321"/>
      <c r="BL147" s="1321"/>
      <c r="BM147" s="1321"/>
      <c r="BN147" s="1321"/>
      <c r="BO147" s="1321"/>
      <c r="BP147" s="1321"/>
      <c r="BQ147" s="1321"/>
      <c r="BR147" s="1321"/>
      <c r="BS147" s="1321"/>
      <c r="BT147" s="1321"/>
      <c r="BU147" s="1321"/>
      <c r="BV147" s="1321"/>
      <c r="BW147" s="1321"/>
      <c r="BX147" s="1321"/>
      <c r="BY147" s="1321"/>
      <c r="BZ147" s="1321"/>
      <c r="CA147" s="1321"/>
      <c r="CB147" s="1321"/>
      <c r="CC147" s="1321"/>
      <c r="CD147" s="1321"/>
      <c r="CE147" s="1321"/>
      <c r="CF147" s="1321"/>
      <c r="CG147" s="1321"/>
      <c r="CH147" s="1321"/>
      <c r="CI147" s="1321"/>
      <c r="CJ147" s="1321"/>
      <c r="CK147" s="1321"/>
      <c r="CL147" s="1321"/>
      <c r="CM147" s="1321"/>
      <c r="CN147" s="1321"/>
      <c r="CO147" s="1321"/>
      <c r="CP147" s="1321"/>
      <c r="CQ147" s="1321"/>
      <c r="CR147" s="1321"/>
      <c r="CS147" s="1321"/>
      <c r="CT147" s="1321"/>
      <c r="CU147" s="1321"/>
      <c r="CV147" s="1321"/>
      <c r="CW147" s="1321"/>
      <c r="CX147" s="1321"/>
      <c r="CY147" s="1321"/>
      <c r="CZ147" s="1321"/>
      <c r="DA147" s="1321"/>
      <c r="DB147" s="1321"/>
      <c r="DC147" s="1321"/>
      <c r="DD147" s="1321"/>
      <c r="DE147" s="1321"/>
      <c r="DF147" s="1321"/>
      <c r="DG147" s="1321"/>
      <c r="DH147" s="1321"/>
      <c r="DI147" s="1321"/>
      <c r="DJ147" s="1321"/>
      <c r="DK147" s="1321"/>
      <c r="DL147" s="1321"/>
      <c r="DM147" s="1321"/>
      <c r="DN147" s="1321"/>
      <c r="DO147" s="1321"/>
      <c r="DP147" s="1321"/>
      <c r="DQ147" s="1321"/>
      <c r="DR147" s="1321"/>
      <c r="DS147" s="1321"/>
      <c r="DT147" s="1321"/>
      <c r="DU147" s="1321"/>
      <c r="DV147" s="1321"/>
      <c r="DW147" s="1321"/>
      <c r="DX147" s="1321"/>
      <c r="DY147" s="1321"/>
      <c r="DZ147" s="1321"/>
      <c r="EA147" s="1321"/>
      <c r="EB147" s="1321"/>
      <c r="EC147" s="1321"/>
      <c r="ED147" s="1321"/>
      <c r="EE147" s="1321"/>
      <c r="EF147" s="1321"/>
      <c r="EG147" s="1321"/>
      <c r="EH147" s="1321"/>
      <c r="EI147" s="1321"/>
    </row>
    <row r="148" spans="1:139" s="180" customFormat="1" ht="12.75" customHeight="1" x14ac:dyDescent="0.2">
      <c r="A148" s="207"/>
      <c r="B148" s="431" t="s">
        <v>391</v>
      </c>
      <c r="C148" s="318">
        <v>0</v>
      </c>
      <c r="D148" s="318">
        <v>0.25</v>
      </c>
      <c r="E148" s="318">
        <v>0</v>
      </c>
      <c r="F148" s="318">
        <v>0.25</v>
      </c>
      <c r="G148" s="318">
        <v>0</v>
      </c>
      <c r="H148" s="249">
        <f>SUM(C148:G148)</f>
        <v>0.5</v>
      </c>
      <c r="I148" s="250"/>
      <c r="J148" s="250"/>
      <c r="K148" s="250"/>
      <c r="L148" s="533">
        <f>((C148*$C$10)+(D148*$D$10)+(E148*$E$10)+(F148*$F$10))</f>
        <v>24.724</v>
      </c>
      <c r="M148" s="251">
        <v>0</v>
      </c>
      <c r="N148" s="319">
        <v>1</v>
      </c>
      <c r="O148" s="320">
        <f>O147</f>
        <v>14.25</v>
      </c>
      <c r="P148" s="312">
        <f>(C148+D148+E148+F148)*O148</f>
        <v>7.125</v>
      </c>
      <c r="Q148" s="298">
        <f>(M148+N148)*O148</f>
        <v>14.25</v>
      </c>
      <c r="R148" s="559">
        <f>(L148+M148+N148)*O148</f>
        <v>366.56700000000001</v>
      </c>
      <c r="S148" s="263" t="s">
        <v>200</v>
      </c>
      <c r="T148" s="292">
        <f t="shared" si="48"/>
        <v>14.25</v>
      </c>
      <c r="U148" s="293">
        <f t="shared" si="48"/>
        <v>7.125</v>
      </c>
      <c r="V148" s="122">
        <f t="shared" si="48"/>
        <v>14.25</v>
      </c>
      <c r="W148" s="293" t="str">
        <f t="shared" si="49"/>
        <v/>
      </c>
      <c r="X148" s="293" t="str">
        <f t="shared" si="49"/>
        <v/>
      </c>
      <c r="Y148" s="122" t="str">
        <f t="shared" si="49"/>
        <v/>
      </c>
      <c r="AG148" s="1321"/>
      <c r="AH148" s="1321"/>
      <c r="AI148" s="1321"/>
      <c r="AJ148" s="1321"/>
      <c r="AK148" s="1321"/>
      <c r="AL148" s="1321"/>
      <c r="AM148" s="1321"/>
      <c r="AN148" s="1321"/>
      <c r="AO148" s="1321"/>
      <c r="AP148" s="1321"/>
      <c r="AQ148" s="1321"/>
      <c r="AR148" s="1321"/>
      <c r="AS148" s="1321"/>
      <c r="AT148" s="1321"/>
      <c r="AU148" s="1321"/>
      <c r="AV148" s="1321"/>
      <c r="AW148" s="1321"/>
      <c r="AX148" s="1321"/>
      <c r="AY148" s="1321"/>
      <c r="AZ148" s="1321"/>
      <c r="BA148" s="1321"/>
      <c r="BB148" s="1321"/>
      <c r="BC148" s="1321"/>
      <c r="BD148" s="1321"/>
      <c r="BE148" s="1321"/>
      <c r="BF148" s="1321"/>
      <c r="BG148" s="1321"/>
      <c r="BH148" s="1321"/>
      <c r="BI148" s="1321"/>
      <c r="BJ148" s="1321"/>
      <c r="BK148" s="1321"/>
      <c r="BL148" s="1321"/>
      <c r="BM148" s="1321"/>
      <c r="BN148" s="1321"/>
      <c r="BO148" s="1321"/>
      <c r="BP148" s="1321"/>
      <c r="BQ148" s="1321"/>
      <c r="BR148" s="1321"/>
      <c r="BS148" s="1321"/>
      <c r="BT148" s="1321"/>
      <c r="BU148" s="1321"/>
      <c r="BV148" s="1321"/>
      <c r="BW148" s="1321"/>
      <c r="BX148" s="1321"/>
      <c r="BY148" s="1321"/>
      <c r="BZ148" s="1321"/>
      <c r="CA148" s="1321"/>
      <c r="CB148" s="1321"/>
      <c r="CC148" s="1321"/>
      <c r="CD148" s="1321"/>
      <c r="CE148" s="1321"/>
      <c r="CF148" s="1321"/>
      <c r="CG148" s="1321"/>
      <c r="CH148" s="1321"/>
      <c r="CI148" s="1321"/>
      <c r="CJ148" s="1321"/>
      <c r="CK148" s="1321"/>
      <c r="CL148" s="1321"/>
      <c r="CM148" s="1321"/>
      <c r="CN148" s="1321"/>
      <c r="CO148" s="1321"/>
      <c r="CP148" s="1321"/>
      <c r="CQ148" s="1321"/>
      <c r="CR148" s="1321"/>
      <c r="CS148" s="1321"/>
      <c r="CT148" s="1321"/>
      <c r="CU148" s="1321"/>
      <c r="CV148" s="1321"/>
      <c r="CW148" s="1321"/>
      <c r="CX148" s="1321"/>
      <c r="CY148" s="1321"/>
      <c r="CZ148" s="1321"/>
      <c r="DA148" s="1321"/>
      <c r="DB148" s="1321"/>
      <c r="DC148" s="1321"/>
      <c r="DD148" s="1321"/>
      <c r="DE148" s="1321"/>
      <c r="DF148" s="1321"/>
      <c r="DG148" s="1321"/>
      <c r="DH148" s="1321"/>
      <c r="DI148" s="1321"/>
      <c r="DJ148" s="1321"/>
      <c r="DK148" s="1321"/>
      <c r="DL148" s="1321"/>
      <c r="DM148" s="1321"/>
      <c r="DN148" s="1321"/>
      <c r="DO148" s="1321"/>
      <c r="DP148" s="1321"/>
      <c r="DQ148" s="1321"/>
      <c r="DR148" s="1321"/>
      <c r="DS148" s="1321"/>
      <c r="DT148" s="1321"/>
      <c r="DU148" s="1321"/>
      <c r="DV148" s="1321"/>
      <c r="DW148" s="1321"/>
      <c r="DX148" s="1321"/>
      <c r="DY148" s="1321"/>
      <c r="DZ148" s="1321"/>
      <c r="EA148" s="1321"/>
      <c r="EB148" s="1321"/>
      <c r="EC148" s="1321"/>
      <c r="ED148" s="1321"/>
      <c r="EE148" s="1321"/>
      <c r="EF148" s="1321"/>
      <c r="EG148" s="1321"/>
      <c r="EH148" s="1321"/>
      <c r="EI148" s="1321"/>
    </row>
    <row r="149" spans="1:139" s="180" customFormat="1" ht="24.65" customHeight="1" x14ac:dyDescent="0.2">
      <c r="A149" s="1356" t="s">
        <v>599</v>
      </c>
      <c r="B149" s="1357"/>
      <c r="C149" s="311"/>
      <c r="D149" s="311"/>
      <c r="E149" s="311"/>
      <c r="F149" s="311"/>
      <c r="G149" s="311"/>
      <c r="H149" s="311"/>
      <c r="I149" s="314"/>
      <c r="J149" s="314"/>
      <c r="K149" s="314"/>
      <c r="L149" s="534"/>
      <c r="M149" s="315"/>
      <c r="N149" s="291"/>
      <c r="O149" s="316"/>
      <c r="P149" s="317"/>
      <c r="Q149" s="317"/>
      <c r="R149" s="526"/>
      <c r="S149" s="193"/>
      <c r="T149" s="185"/>
      <c r="U149" s="240"/>
      <c r="W149" s="185"/>
      <c r="X149" s="185"/>
      <c r="AG149" s="1321"/>
      <c r="AH149" s="1321"/>
      <c r="AI149" s="1321"/>
      <c r="AJ149" s="1321"/>
      <c r="AK149" s="1321"/>
      <c r="AL149" s="1321"/>
      <c r="AM149" s="1321"/>
      <c r="AN149" s="1321"/>
      <c r="AO149" s="1321"/>
      <c r="AP149" s="1321"/>
      <c r="AQ149" s="1321"/>
      <c r="AR149" s="1321"/>
      <c r="AS149" s="1321"/>
      <c r="AT149" s="1321"/>
      <c r="AU149" s="1321"/>
      <c r="AV149" s="1321"/>
      <c r="AW149" s="1321"/>
      <c r="AX149" s="1321"/>
      <c r="AY149" s="1321"/>
      <c r="AZ149" s="1321"/>
      <c r="BA149" s="1321"/>
      <c r="BB149" s="1321"/>
      <c r="BC149" s="1321"/>
      <c r="BD149" s="1321"/>
      <c r="BE149" s="1321"/>
      <c r="BF149" s="1321"/>
      <c r="BG149" s="1321"/>
      <c r="BH149" s="1321"/>
      <c r="BI149" s="1321"/>
      <c r="BJ149" s="1321"/>
      <c r="BK149" s="1321"/>
      <c r="BL149" s="1321"/>
      <c r="BM149" s="1321"/>
      <c r="BN149" s="1321"/>
      <c r="BO149" s="1321"/>
      <c r="BP149" s="1321"/>
      <c r="BQ149" s="1321"/>
      <c r="BR149" s="1321"/>
      <c r="BS149" s="1321"/>
      <c r="BT149" s="1321"/>
      <c r="BU149" s="1321"/>
      <c r="BV149" s="1321"/>
      <c r="BW149" s="1321"/>
      <c r="BX149" s="1321"/>
      <c r="BY149" s="1321"/>
      <c r="BZ149" s="1321"/>
      <c r="CA149" s="1321"/>
      <c r="CB149" s="1321"/>
      <c r="CC149" s="1321"/>
      <c r="CD149" s="1321"/>
      <c r="CE149" s="1321"/>
      <c r="CF149" s="1321"/>
      <c r="CG149" s="1321"/>
      <c r="CH149" s="1321"/>
      <c r="CI149" s="1321"/>
      <c r="CJ149" s="1321"/>
      <c r="CK149" s="1321"/>
      <c r="CL149" s="1321"/>
      <c r="CM149" s="1321"/>
      <c r="CN149" s="1321"/>
      <c r="CO149" s="1321"/>
      <c r="CP149" s="1321"/>
      <c r="CQ149" s="1321"/>
      <c r="CR149" s="1321"/>
      <c r="CS149" s="1321"/>
      <c r="CT149" s="1321"/>
      <c r="CU149" s="1321"/>
      <c r="CV149" s="1321"/>
      <c r="CW149" s="1321"/>
      <c r="CX149" s="1321"/>
      <c r="CY149" s="1321"/>
      <c r="CZ149" s="1321"/>
      <c r="DA149" s="1321"/>
      <c r="DB149" s="1321"/>
      <c r="DC149" s="1321"/>
      <c r="DD149" s="1321"/>
      <c r="DE149" s="1321"/>
      <c r="DF149" s="1321"/>
      <c r="DG149" s="1321"/>
      <c r="DH149" s="1321"/>
      <c r="DI149" s="1321"/>
      <c r="DJ149" s="1321"/>
      <c r="DK149" s="1321"/>
      <c r="DL149" s="1321"/>
      <c r="DM149" s="1321"/>
      <c r="DN149" s="1321"/>
      <c r="DO149" s="1321"/>
      <c r="DP149" s="1321"/>
      <c r="DQ149" s="1321"/>
      <c r="DR149" s="1321"/>
      <c r="DS149" s="1321"/>
      <c r="DT149" s="1321"/>
      <c r="DU149" s="1321"/>
      <c r="DV149" s="1321"/>
      <c r="DW149" s="1321"/>
      <c r="DX149" s="1321"/>
      <c r="DY149" s="1321"/>
      <c r="DZ149" s="1321"/>
      <c r="EA149" s="1321"/>
      <c r="EB149" s="1321"/>
      <c r="EC149" s="1321"/>
      <c r="ED149" s="1321"/>
      <c r="EE149" s="1321"/>
      <c r="EF149" s="1321"/>
      <c r="EG149" s="1321"/>
      <c r="EH149" s="1321"/>
      <c r="EI149" s="1321"/>
    </row>
    <row r="150" spans="1:139" s="180" customFormat="1" ht="12.75" customHeight="1" x14ac:dyDescent="0.2">
      <c r="A150" s="210"/>
      <c r="B150" s="211" t="s">
        <v>442</v>
      </c>
      <c r="C150" s="361"/>
      <c r="D150" s="361"/>
      <c r="E150" s="361"/>
      <c r="F150" s="361"/>
      <c r="G150" s="361"/>
      <c r="H150" s="361"/>
      <c r="I150" s="362"/>
      <c r="J150" s="362"/>
      <c r="K150" s="362"/>
      <c r="L150" s="544"/>
      <c r="M150" s="299"/>
      <c r="N150" s="299"/>
      <c r="O150" s="334"/>
      <c r="P150" s="297"/>
      <c r="Q150" s="297"/>
      <c r="R150" s="544"/>
      <c r="S150" s="193"/>
      <c r="T150" s="185"/>
      <c r="U150" s="240"/>
      <c r="W150" s="185"/>
      <c r="X150" s="185"/>
      <c r="AG150" s="1321"/>
      <c r="AH150" s="1321"/>
      <c r="AI150" s="1321"/>
      <c r="AJ150" s="1321"/>
      <c r="AK150" s="1321"/>
      <c r="AL150" s="1321"/>
      <c r="AM150" s="1321"/>
      <c r="AN150" s="1321"/>
      <c r="AO150" s="1321"/>
      <c r="AP150" s="1321"/>
      <c r="AQ150" s="1321"/>
      <c r="AR150" s="1321"/>
      <c r="AS150" s="1321"/>
      <c r="AT150" s="1321"/>
      <c r="AU150" s="1321"/>
      <c r="AV150" s="1321"/>
      <c r="AW150" s="1321"/>
      <c r="AX150" s="1321"/>
      <c r="AY150" s="1321"/>
      <c r="AZ150" s="1321"/>
      <c r="BA150" s="1321"/>
      <c r="BB150" s="1321"/>
      <c r="BC150" s="1321"/>
      <c r="BD150" s="1321"/>
      <c r="BE150" s="1321"/>
      <c r="BF150" s="1321"/>
      <c r="BG150" s="1321"/>
      <c r="BH150" s="1321"/>
      <c r="BI150" s="1321"/>
      <c r="BJ150" s="1321"/>
      <c r="BK150" s="1321"/>
      <c r="BL150" s="1321"/>
      <c r="BM150" s="1321"/>
      <c r="BN150" s="1321"/>
      <c r="BO150" s="1321"/>
      <c r="BP150" s="1321"/>
      <c r="BQ150" s="1321"/>
      <c r="BR150" s="1321"/>
      <c r="BS150" s="1321"/>
      <c r="BT150" s="1321"/>
      <c r="BU150" s="1321"/>
      <c r="BV150" s="1321"/>
      <c r="BW150" s="1321"/>
      <c r="BX150" s="1321"/>
      <c r="BY150" s="1321"/>
      <c r="BZ150" s="1321"/>
      <c r="CA150" s="1321"/>
      <c r="CB150" s="1321"/>
      <c r="CC150" s="1321"/>
      <c r="CD150" s="1321"/>
      <c r="CE150" s="1321"/>
      <c r="CF150" s="1321"/>
      <c r="CG150" s="1321"/>
      <c r="CH150" s="1321"/>
      <c r="CI150" s="1321"/>
      <c r="CJ150" s="1321"/>
      <c r="CK150" s="1321"/>
      <c r="CL150" s="1321"/>
      <c r="CM150" s="1321"/>
      <c r="CN150" s="1321"/>
      <c r="CO150" s="1321"/>
      <c r="CP150" s="1321"/>
      <c r="CQ150" s="1321"/>
      <c r="CR150" s="1321"/>
      <c r="CS150" s="1321"/>
      <c r="CT150" s="1321"/>
      <c r="CU150" s="1321"/>
      <c r="CV150" s="1321"/>
      <c r="CW150" s="1321"/>
      <c r="CX150" s="1321"/>
      <c r="CY150" s="1321"/>
      <c r="CZ150" s="1321"/>
      <c r="DA150" s="1321"/>
      <c r="DB150" s="1321"/>
      <c r="DC150" s="1321"/>
      <c r="DD150" s="1321"/>
      <c r="DE150" s="1321"/>
      <c r="DF150" s="1321"/>
      <c r="DG150" s="1321"/>
      <c r="DH150" s="1321"/>
      <c r="DI150" s="1321"/>
      <c r="DJ150" s="1321"/>
      <c r="DK150" s="1321"/>
      <c r="DL150" s="1321"/>
      <c r="DM150" s="1321"/>
      <c r="DN150" s="1321"/>
      <c r="DO150" s="1321"/>
      <c r="DP150" s="1321"/>
      <c r="DQ150" s="1321"/>
      <c r="DR150" s="1321"/>
      <c r="DS150" s="1321"/>
      <c r="DT150" s="1321"/>
      <c r="DU150" s="1321"/>
      <c r="DV150" s="1321"/>
      <c r="DW150" s="1321"/>
      <c r="DX150" s="1321"/>
      <c r="DY150" s="1321"/>
      <c r="DZ150" s="1321"/>
      <c r="EA150" s="1321"/>
      <c r="EB150" s="1321"/>
      <c r="EC150" s="1321"/>
      <c r="ED150" s="1321"/>
      <c r="EE150" s="1321"/>
      <c r="EF150" s="1321"/>
      <c r="EG150" s="1321"/>
      <c r="EH150" s="1321"/>
      <c r="EI150" s="1321"/>
    </row>
    <row r="151" spans="1:139" s="180" customFormat="1" ht="12.75" customHeight="1" x14ac:dyDescent="0.2">
      <c r="A151" s="210"/>
      <c r="B151" s="211" t="s">
        <v>443</v>
      </c>
      <c r="C151" s="275">
        <v>0</v>
      </c>
      <c r="D151" s="352">
        <v>0.5</v>
      </c>
      <c r="E151" s="352">
        <v>1</v>
      </c>
      <c r="F151" s="352">
        <v>0</v>
      </c>
      <c r="G151" s="352">
        <v>0</v>
      </c>
      <c r="H151" s="352">
        <f>SUM(C151:G151)</f>
        <v>1.5</v>
      </c>
      <c r="I151" s="353"/>
      <c r="J151" s="353"/>
      <c r="K151" s="353"/>
      <c r="L151" s="526">
        <f>((C151*$C$10)+(D151*$D$10)+(E151*$E$10)+(F151*$F$10))</f>
        <v>87.647999999999996</v>
      </c>
      <c r="M151" s="291">
        <v>0</v>
      </c>
      <c r="N151" s="291">
        <v>0</v>
      </c>
      <c r="O151" s="333">
        <f>'Table 1'!L170</f>
        <v>5.7</v>
      </c>
      <c r="P151" s="290">
        <f>(C151+D151+E151+F151)*O151</f>
        <v>8.5500000000000007</v>
      </c>
      <c r="Q151" s="291">
        <f>(M151+N151)*O151</f>
        <v>0</v>
      </c>
      <c r="R151" s="526">
        <f>(L151+M151+N151)*O151</f>
        <v>499.59359999999998</v>
      </c>
      <c r="S151" s="263" t="s">
        <v>199</v>
      </c>
      <c r="T151" s="292" t="str">
        <f t="shared" ref="T151:V152" si="50">IF($S151="RP",O151,"")</f>
        <v/>
      </c>
      <c r="U151" s="293" t="str">
        <f t="shared" si="50"/>
        <v/>
      </c>
      <c r="V151" s="122" t="str">
        <f t="shared" si="50"/>
        <v/>
      </c>
      <c r="W151" s="293">
        <f t="shared" ref="W151:Y152" si="51">IF($S151="RK",O151,"")</f>
        <v>5.7</v>
      </c>
      <c r="X151" s="293">
        <f t="shared" si="51"/>
        <v>8.5500000000000007</v>
      </c>
      <c r="Y151" s="122">
        <f t="shared" si="51"/>
        <v>0</v>
      </c>
      <c r="AG151" s="1321"/>
      <c r="AH151" s="1321"/>
      <c r="AI151" s="1321"/>
      <c r="AJ151" s="1321"/>
      <c r="AK151" s="1321"/>
      <c r="AL151" s="1321"/>
      <c r="AM151" s="1321"/>
      <c r="AN151" s="1321"/>
      <c r="AO151" s="1321"/>
      <c r="AP151" s="1321"/>
      <c r="AQ151" s="1321"/>
      <c r="AR151" s="1321"/>
      <c r="AS151" s="1321"/>
      <c r="AT151" s="1321"/>
      <c r="AU151" s="1321"/>
      <c r="AV151" s="1321"/>
      <c r="AW151" s="1321"/>
      <c r="AX151" s="1321"/>
      <c r="AY151" s="1321"/>
      <c r="AZ151" s="1321"/>
      <c r="BA151" s="1321"/>
      <c r="BB151" s="1321"/>
      <c r="BC151" s="1321"/>
      <c r="BD151" s="1321"/>
      <c r="BE151" s="1321"/>
      <c r="BF151" s="1321"/>
      <c r="BG151" s="1321"/>
      <c r="BH151" s="1321"/>
      <c r="BI151" s="1321"/>
      <c r="BJ151" s="1321"/>
      <c r="BK151" s="1321"/>
      <c r="BL151" s="1321"/>
      <c r="BM151" s="1321"/>
      <c r="BN151" s="1321"/>
      <c r="BO151" s="1321"/>
      <c r="BP151" s="1321"/>
      <c r="BQ151" s="1321"/>
      <c r="BR151" s="1321"/>
      <c r="BS151" s="1321"/>
      <c r="BT151" s="1321"/>
      <c r="BU151" s="1321"/>
      <c r="BV151" s="1321"/>
      <c r="BW151" s="1321"/>
      <c r="BX151" s="1321"/>
      <c r="BY151" s="1321"/>
      <c r="BZ151" s="1321"/>
      <c r="CA151" s="1321"/>
      <c r="CB151" s="1321"/>
      <c r="CC151" s="1321"/>
      <c r="CD151" s="1321"/>
      <c r="CE151" s="1321"/>
      <c r="CF151" s="1321"/>
      <c r="CG151" s="1321"/>
      <c r="CH151" s="1321"/>
      <c r="CI151" s="1321"/>
      <c r="CJ151" s="1321"/>
      <c r="CK151" s="1321"/>
      <c r="CL151" s="1321"/>
      <c r="CM151" s="1321"/>
      <c r="CN151" s="1321"/>
      <c r="CO151" s="1321"/>
      <c r="CP151" s="1321"/>
      <c r="CQ151" s="1321"/>
      <c r="CR151" s="1321"/>
      <c r="CS151" s="1321"/>
      <c r="CT151" s="1321"/>
      <c r="CU151" s="1321"/>
      <c r="CV151" s="1321"/>
      <c r="CW151" s="1321"/>
      <c r="CX151" s="1321"/>
      <c r="CY151" s="1321"/>
      <c r="CZ151" s="1321"/>
      <c r="DA151" s="1321"/>
      <c r="DB151" s="1321"/>
      <c r="DC151" s="1321"/>
      <c r="DD151" s="1321"/>
      <c r="DE151" s="1321"/>
      <c r="DF151" s="1321"/>
      <c r="DG151" s="1321"/>
      <c r="DH151" s="1321"/>
      <c r="DI151" s="1321"/>
      <c r="DJ151" s="1321"/>
      <c r="DK151" s="1321"/>
      <c r="DL151" s="1321"/>
      <c r="DM151" s="1321"/>
      <c r="DN151" s="1321"/>
      <c r="DO151" s="1321"/>
      <c r="DP151" s="1321"/>
      <c r="DQ151" s="1321"/>
      <c r="DR151" s="1321"/>
      <c r="DS151" s="1321"/>
      <c r="DT151" s="1321"/>
      <c r="DU151" s="1321"/>
      <c r="DV151" s="1321"/>
      <c r="DW151" s="1321"/>
      <c r="DX151" s="1321"/>
      <c r="DY151" s="1321"/>
      <c r="DZ151" s="1321"/>
      <c r="EA151" s="1321"/>
      <c r="EB151" s="1321"/>
      <c r="EC151" s="1321"/>
      <c r="ED151" s="1321"/>
      <c r="EE151" s="1321"/>
      <c r="EF151" s="1321"/>
      <c r="EG151" s="1321"/>
      <c r="EH151" s="1321"/>
      <c r="EI151" s="1321"/>
    </row>
    <row r="152" spans="1:139" s="180" customFormat="1" ht="12.75" customHeight="1" x14ac:dyDescent="0.2">
      <c r="A152" s="207"/>
      <c r="B152" s="431" t="s">
        <v>391</v>
      </c>
      <c r="C152" s="318">
        <v>0</v>
      </c>
      <c r="D152" s="318">
        <v>0.25</v>
      </c>
      <c r="E152" s="318">
        <v>0</v>
      </c>
      <c r="F152" s="318">
        <v>0.25</v>
      </c>
      <c r="G152" s="318">
        <v>0</v>
      </c>
      <c r="H152" s="249">
        <f>SUM(C152:G152)</f>
        <v>0.5</v>
      </c>
      <c r="I152" s="250"/>
      <c r="J152" s="250"/>
      <c r="K152" s="250"/>
      <c r="L152" s="533">
        <f>((C152*$C$10)+(D152*$D$10)+(E152*$E$10)+(F152*$F$10))</f>
        <v>24.724</v>
      </c>
      <c r="M152" s="251">
        <v>0</v>
      </c>
      <c r="N152" s="319">
        <v>1</v>
      </c>
      <c r="O152" s="320">
        <f>O151</f>
        <v>5.7</v>
      </c>
      <c r="P152" s="312">
        <f>(C152+D152+E152+F152)*O152</f>
        <v>2.85</v>
      </c>
      <c r="Q152" s="298">
        <f>(M152+N152)*O152</f>
        <v>5.7</v>
      </c>
      <c r="R152" s="559">
        <f>(L152+M152+N152)*O152</f>
        <v>146.6268</v>
      </c>
      <c r="S152" s="263" t="s">
        <v>200</v>
      </c>
      <c r="T152" s="292">
        <f t="shared" si="50"/>
        <v>5.7</v>
      </c>
      <c r="U152" s="293">
        <f t="shared" si="50"/>
        <v>2.85</v>
      </c>
      <c r="V152" s="122">
        <f t="shared" si="50"/>
        <v>5.7</v>
      </c>
      <c r="W152" s="293" t="str">
        <f t="shared" si="51"/>
        <v/>
      </c>
      <c r="X152" s="293" t="str">
        <f t="shared" si="51"/>
        <v/>
      </c>
      <c r="Y152" s="122" t="str">
        <f t="shared" si="51"/>
        <v/>
      </c>
      <c r="AG152" s="1321"/>
      <c r="AH152" s="1321"/>
      <c r="AI152" s="1321"/>
      <c r="AJ152" s="1321"/>
      <c r="AK152" s="1321"/>
      <c r="AL152" s="1321"/>
      <c r="AM152" s="1321"/>
      <c r="AN152" s="1321"/>
      <c r="AO152" s="1321"/>
      <c r="AP152" s="1321"/>
      <c r="AQ152" s="1321"/>
      <c r="AR152" s="1321"/>
      <c r="AS152" s="1321"/>
      <c r="AT152" s="1321"/>
      <c r="AU152" s="1321"/>
      <c r="AV152" s="1321"/>
      <c r="AW152" s="1321"/>
      <c r="AX152" s="1321"/>
      <c r="AY152" s="1321"/>
      <c r="AZ152" s="1321"/>
      <c r="BA152" s="1321"/>
      <c r="BB152" s="1321"/>
      <c r="BC152" s="1321"/>
      <c r="BD152" s="1321"/>
      <c r="BE152" s="1321"/>
      <c r="BF152" s="1321"/>
      <c r="BG152" s="1321"/>
      <c r="BH152" s="1321"/>
      <c r="BI152" s="1321"/>
      <c r="BJ152" s="1321"/>
      <c r="BK152" s="1321"/>
      <c r="BL152" s="1321"/>
      <c r="BM152" s="1321"/>
      <c r="BN152" s="1321"/>
      <c r="BO152" s="1321"/>
      <c r="BP152" s="1321"/>
      <c r="BQ152" s="1321"/>
      <c r="BR152" s="1321"/>
      <c r="BS152" s="1321"/>
      <c r="BT152" s="1321"/>
      <c r="BU152" s="1321"/>
      <c r="BV152" s="1321"/>
      <c r="BW152" s="1321"/>
      <c r="BX152" s="1321"/>
      <c r="BY152" s="1321"/>
      <c r="BZ152" s="1321"/>
      <c r="CA152" s="1321"/>
      <c r="CB152" s="1321"/>
      <c r="CC152" s="1321"/>
      <c r="CD152" s="1321"/>
      <c r="CE152" s="1321"/>
      <c r="CF152" s="1321"/>
      <c r="CG152" s="1321"/>
      <c r="CH152" s="1321"/>
      <c r="CI152" s="1321"/>
      <c r="CJ152" s="1321"/>
      <c r="CK152" s="1321"/>
      <c r="CL152" s="1321"/>
      <c r="CM152" s="1321"/>
      <c r="CN152" s="1321"/>
      <c r="CO152" s="1321"/>
      <c r="CP152" s="1321"/>
      <c r="CQ152" s="1321"/>
      <c r="CR152" s="1321"/>
      <c r="CS152" s="1321"/>
      <c r="CT152" s="1321"/>
      <c r="CU152" s="1321"/>
      <c r="CV152" s="1321"/>
      <c r="CW152" s="1321"/>
      <c r="CX152" s="1321"/>
      <c r="CY152" s="1321"/>
      <c r="CZ152" s="1321"/>
      <c r="DA152" s="1321"/>
      <c r="DB152" s="1321"/>
      <c r="DC152" s="1321"/>
      <c r="DD152" s="1321"/>
      <c r="DE152" s="1321"/>
      <c r="DF152" s="1321"/>
      <c r="DG152" s="1321"/>
      <c r="DH152" s="1321"/>
      <c r="DI152" s="1321"/>
      <c r="DJ152" s="1321"/>
      <c r="DK152" s="1321"/>
      <c r="DL152" s="1321"/>
      <c r="DM152" s="1321"/>
      <c r="DN152" s="1321"/>
      <c r="DO152" s="1321"/>
      <c r="DP152" s="1321"/>
      <c r="DQ152" s="1321"/>
      <c r="DR152" s="1321"/>
      <c r="DS152" s="1321"/>
      <c r="DT152" s="1321"/>
      <c r="DU152" s="1321"/>
      <c r="DV152" s="1321"/>
      <c r="DW152" s="1321"/>
      <c r="DX152" s="1321"/>
      <c r="DY152" s="1321"/>
      <c r="DZ152" s="1321"/>
      <c r="EA152" s="1321"/>
      <c r="EB152" s="1321"/>
      <c r="EC152" s="1321"/>
      <c r="ED152" s="1321"/>
      <c r="EE152" s="1321"/>
      <c r="EF152" s="1321"/>
      <c r="EG152" s="1321"/>
      <c r="EH152" s="1321"/>
      <c r="EI152" s="1321"/>
    </row>
    <row r="153" spans="1:139" s="180" customFormat="1" ht="12.75" customHeight="1" x14ac:dyDescent="0.2">
      <c r="A153" s="435" t="s">
        <v>600</v>
      </c>
      <c r="B153" s="265"/>
      <c r="C153" s="311"/>
      <c r="D153" s="395"/>
      <c r="E153" s="395"/>
      <c r="F153" s="395"/>
      <c r="G153" s="395"/>
      <c r="H153" s="258"/>
      <c r="I153" s="259"/>
      <c r="J153" s="259"/>
      <c r="K153" s="259"/>
      <c r="L153" s="545"/>
      <c r="M153" s="260"/>
      <c r="N153" s="261"/>
      <c r="O153" s="316"/>
      <c r="P153" s="369"/>
      <c r="Q153" s="377"/>
      <c r="R153" s="559"/>
      <c r="S153" s="193"/>
      <c r="T153" s="185"/>
      <c r="U153" s="240"/>
      <c r="W153" s="185"/>
      <c r="X153" s="185"/>
      <c r="AG153" s="1321"/>
      <c r="AH153" s="1321"/>
      <c r="AI153" s="1321"/>
      <c r="AJ153" s="1321"/>
      <c r="AK153" s="1321"/>
      <c r="AL153" s="1321"/>
      <c r="AM153" s="1321"/>
      <c r="AN153" s="1321"/>
      <c r="AO153" s="1321"/>
      <c r="AP153" s="1321"/>
      <c r="AQ153" s="1321"/>
      <c r="AR153" s="1321"/>
      <c r="AS153" s="1321"/>
      <c r="AT153" s="1321"/>
      <c r="AU153" s="1321"/>
      <c r="AV153" s="1321"/>
      <c r="AW153" s="1321"/>
      <c r="AX153" s="1321"/>
      <c r="AY153" s="1321"/>
      <c r="AZ153" s="1321"/>
      <c r="BA153" s="1321"/>
      <c r="BB153" s="1321"/>
      <c r="BC153" s="1321"/>
      <c r="BD153" s="1321"/>
      <c r="BE153" s="1321"/>
      <c r="BF153" s="1321"/>
      <c r="BG153" s="1321"/>
      <c r="BH153" s="1321"/>
      <c r="BI153" s="1321"/>
      <c r="BJ153" s="1321"/>
      <c r="BK153" s="1321"/>
      <c r="BL153" s="1321"/>
      <c r="BM153" s="1321"/>
      <c r="BN153" s="1321"/>
      <c r="BO153" s="1321"/>
      <c r="BP153" s="1321"/>
      <c r="BQ153" s="1321"/>
      <c r="BR153" s="1321"/>
      <c r="BS153" s="1321"/>
      <c r="BT153" s="1321"/>
      <c r="BU153" s="1321"/>
      <c r="BV153" s="1321"/>
      <c r="BW153" s="1321"/>
      <c r="BX153" s="1321"/>
      <c r="BY153" s="1321"/>
      <c r="BZ153" s="1321"/>
      <c r="CA153" s="1321"/>
      <c r="CB153" s="1321"/>
      <c r="CC153" s="1321"/>
      <c r="CD153" s="1321"/>
      <c r="CE153" s="1321"/>
      <c r="CF153" s="1321"/>
      <c r="CG153" s="1321"/>
      <c r="CH153" s="1321"/>
      <c r="CI153" s="1321"/>
      <c r="CJ153" s="1321"/>
      <c r="CK153" s="1321"/>
      <c r="CL153" s="1321"/>
      <c r="CM153" s="1321"/>
      <c r="CN153" s="1321"/>
      <c r="CO153" s="1321"/>
      <c r="CP153" s="1321"/>
      <c r="CQ153" s="1321"/>
      <c r="CR153" s="1321"/>
      <c r="CS153" s="1321"/>
      <c r="CT153" s="1321"/>
      <c r="CU153" s="1321"/>
      <c r="CV153" s="1321"/>
      <c r="CW153" s="1321"/>
      <c r="CX153" s="1321"/>
      <c r="CY153" s="1321"/>
      <c r="CZ153" s="1321"/>
      <c r="DA153" s="1321"/>
      <c r="DB153" s="1321"/>
      <c r="DC153" s="1321"/>
      <c r="DD153" s="1321"/>
      <c r="DE153" s="1321"/>
      <c r="DF153" s="1321"/>
      <c r="DG153" s="1321"/>
      <c r="DH153" s="1321"/>
      <c r="DI153" s="1321"/>
      <c r="DJ153" s="1321"/>
      <c r="DK153" s="1321"/>
      <c r="DL153" s="1321"/>
      <c r="DM153" s="1321"/>
      <c r="DN153" s="1321"/>
      <c r="DO153" s="1321"/>
      <c r="DP153" s="1321"/>
      <c r="DQ153" s="1321"/>
      <c r="DR153" s="1321"/>
      <c r="DS153" s="1321"/>
      <c r="DT153" s="1321"/>
      <c r="DU153" s="1321"/>
      <c r="DV153" s="1321"/>
      <c r="DW153" s="1321"/>
      <c r="DX153" s="1321"/>
      <c r="DY153" s="1321"/>
      <c r="DZ153" s="1321"/>
      <c r="EA153" s="1321"/>
      <c r="EB153" s="1321"/>
      <c r="EC153" s="1321"/>
      <c r="ED153" s="1321"/>
      <c r="EE153" s="1321"/>
      <c r="EF153" s="1321"/>
      <c r="EG153" s="1321"/>
      <c r="EH153" s="1321"/>
      <c r="EI153" s="1321"/>
    </row>
    <row r="154" spans="1:139" s="180" customFormat="1" ht="12.75" customHeight="1" x14ac:dyDescent="0.2">
      <c r="A154" s="436"/>
      <c r="B154" s="437" t="s">
        <v>444</v>
      </c>
      <c r="C154" s="318">
        <v>0</v>
      </c>
      <c r="D154" s="318">
        <v>0.5</v>
      </c>
      <c r="E154" s="318">
        <v>1</v>
      </c>
      <c r="F154" s="318">
        <v>0</v>
      </c>
      <c r="G154" s="318">
        <v>0</v>
      </c>
      <c r="H154" s="249">
        <f>SUM(C154:G154)</f>
        <v>1.5</v>
      </c>
      <c r="I154" s="250"/>
      <c r="J154" s="250"/>
      <c r="K154" s="250"/>
      <c r="L154" s="533">
        <f>((C154*$C$10)+(D154*$D$10)+(E154*$E$10)+(F154*$F$10))</f>
        <v>87.647999999999996</v>
      </c>
      <c r="M154" s="251">
        <v>0</v>
      </c>
      <c r="N154" s="252">
        <v>0</v>
      </c>
      <c r="O154" s="320">
        <f>'Table 1'!L172</f>
        <v>0.57000000000000006</v>
      </c>
      <c r="P154" s="312">
        <f>(C154+D154+E154+F154)*O154</f>
        <v>0.85500000000000009</v>
      </c>
      <c r="Q154" s="291">
        <f>(M154+N154)*O154</f>
        <v>0</v>
      </c>
      <c r="R154" s="559">
        <f>(L154+M154+N154)*O154</f>
        <v>49.959360000000004</v>
      </c>
      <c r="S154" s="263" t="s">
        <v>199</v>
      </c>
      <c r="T154" s="292" t="str">
        <f t="shared" ref="T154:V155" si="52">IF($S154="RP",O154,"")</f>
        <v/>
      </c>
      <c r="U154" s="293" t="str">
        <f t="shared" si="52"/>
        <v/>
      </c>
      <c r="V154" s="122" t="str">
        <f t="shared" si="52"/>
        <v/>
      </c>
      <c r="W154" s="293">
        <f t="shared" ref="W154:Y155" si="53">IF($S154="RK",O154,"")</f>
        <v>0.57000000000000006</v>
      </c>
      <c r="X154" s="293">
        <f t="shared" si="53"/>
        <v>0.85500000000000009</v>
      </c>
      <c r="Y154" s="122">
        <f t="shared" si="53"/>
        <v>0</v>
      </c>
      <c r="AG154" s="1321"/>
      <c r="AH154" s="1321"/>
      <c r="AI154" s="1321"/>
      <c r="AJ154" s="1321"/>
      <c r="AK154" s="1321"/>
      <c r="AL154" s="1321"/>
      <c r="AM154" s="1321"/>
      <c r="AN154" s="1321"/>
      <c r="AO154" s="1321"/>
      <c r="AP154" s="1321"/>
      <c r="AQ154" s="1321"/>
      <c r="AR154" s="1321"/>
      <c r="AS154" s="1321"/>
      <c r="AT154" s="1321"/>
      <c r="AU154" s="1321"/>
      <c r="AV154" s="1321"/>
      <c r="AW154" s="1321"/>
      <c r="AX154" s="1321"/>
      <c r="AY154" s="1321"/>
      <c r="AZ154" s="1321"/>
      <c r="BA154" s="1321"/>
      <c r="BB154" s="1321"/>
      <c r="BC154" s="1321"/>
      <c r="BD154" s="1321"/>
      <c r="BE154" s="1321"/>
      <c r="BF154" s="1321"/>
      <c r="BG154" s="1321"/>
      <c r="BH154" s="1321"/>
      <c r="BI154" s="1321"/>
      <c r="BJ154" s="1321"/>
      <c r="BK154" s="1321"/>
      <c r="BL154" s="1321"/>
      <c r="BM154" s="1321"/>
      <c r="BN154" s="1321"/>
      <c r="BO154" s="1321"/>
      <c r="BP154" s="1321"/>
      <c r="BQ154" s="1321"/>
      <c r="BR154" s="1321"/>
      <c r="BS154" s="1321"/>
      <c r="BT154" s="1321"/>
      <c r="BU154" s="1321"/>
      <c r="BV154" s="1321"/>
      <c r="BW154" s="1321"/>
      <c r="BX154" s="1321"/>
      <c r="BY154" s="1321"/>
      <c r="BZ154" s="1321"/>
      <c r="CA154" s="1321"/>
      <c r="CB154" s="1321"/>
      <c r="CC154" s="1321"/>
      <c r="CD154" s="1321"/>
      <c r="CE154" s="1321"/>
      <c r="CF154" s="1321"/>
      <c r="CG154" s="1321"/>
      <c r="CH154" s="1321"/>
      <c r="CI154" s="1321"/>
      <c r="CJ154" s="1321"/>
      <c r="CK154" s="1321"/>
      <c r="CL154" s="1321"/>
      <c r="CM154" s="1321"/>
      <c r="CN154" s="1321"/>
      <c r="CO154" s="1321"/>
      <c r="CP154" s="1321"/>
      <c r="CQ154" s="1321"/>
      <c r="CR154" s="1321"/>
      <c r="CS154" s="1321"/>
      <c r="CT154" s="1321"/>
      <c r="CU154" s="1321"/>
      <c r="CV154" s="1321"/>
      <c r="CW154" s="1321"/>
      <c r="CX154" s="1321"/>
      <c r="CY154" s="1321"/>
      <c r="CZ154" s="1321"/>
      <c r="DA154" s="1321"/>
      <c r="DB154" s="1321"/>
      <c r="DC154" s="1321"/>
      <c r="DD154" s="1321"/>
      <c r="DE154" s="1321"/>
      <c r="DF154" s="1321"/>
      <c r="DG154" s="1321"/>
      <c r="DH154" s="1321"/>
      <c r="DI154" s="1321"/>
      <c r="DJ154" s="1321"/>
      <c r="DK154" s="1321"/>
      <c r="DL154" s="1321"/>
      <c r="DM154" s="1321"/>
      <c r="DN154" s="1321"/>
      <c r="DO154" s="1321"/>
      <c r="DP154" s="1321"/>
      <c r="DQ154" s="1321"/>
      <c r="DR154" s="1321"/>
      <c r="DS154" s="1321"/>
      <c r="DT154" s="1321"/>
      <c r="DU154" s="1321"/>
      <c r="DV154" s="1321"/>
      <c r="DW154" s="1321"/>
      <c r="DX154" s="1321"/>
      <c r="DY154" s="1321"/>
      <c r="DZ154" s="1321"/>
      <c r="EA154" s="1321"/>
      <c r="EB154" s="1321"/>
      <c r="EC154" s="1321"/>
      <c r="ED154" s="1321"/>
      <c r="EE154" s="1321"/>
      <c r="EF154" s="1321"/>
      <c r="EG154" s="1321"/>
      <c r="EH154" s="1321"/>
      <c r="EI154" s="1321"/>
    </row>
    <row r="155" spans="1:139" s="180" customFormat="1" ht="12.75" customHeight="1" x14ac:dyDescent="0.2">
      <c r="A155" s="224"/>
      <c r="B155" s="225" t="s">
        <v>391</v>
      </c>
      <c r="C155" s="275">
        <v>0</v>
      </c>
      <c r="D155" s="275">
        <v>0.25</v>
      </c>
      <c r="E155" s="275">
        <v>0</v>
      </c>
      <c r="F155" s="275">
        <v>0.25</v>
      </c>
      <c r="G155" s="257">
        <v>0</v>
      </c>
      <c r="H155" s="249">
        <f>SUM(C155:G155)</f>
        <v>0.5</v>
      </c>
      <c r="I155" s="250"/>
      <c r="J155" s="250"/>
      <c r="K155" s="250"/>
      <c r="L155" s="533">
        <f>((C155*$C$10)+(D155*$D$10)+(E155*$E$10)+(F155*$F$10))</f>
        <v>24.724</v>
      </c>
      <c r="M155" s="251">
        <v>0</v>
      </c>
      <c r="N155" s="319">
        <v>1</v>
      </c>
      <c r="O155" s="333">
        <f>O154</f>
        <v>0.57000000000000006</v>
      </c>
      <c r="P155" s="439">
        <f>(C155+D155+E155+F155)*O155</f>
        <v>0.28500000000000003</v>
      </c>
      <c r="Q155" s="298">
        <f>(M155+N155)*O155</f>
        <v>0.57000000000000006</v>
      </c>
      <c r="R155" s="559">
        <f>(L155+M155+N155)*O155</f>
        <v>14.662680000000002</v>
      </c>
      <c r="S155" s="263" t="s">
        <v>200</v>
      </c>
      <c r="T155" s="292">
        <f t="shared" si="52"/>
        <v>0.57000000000000006</v>
      </c>
      <c r="U155" s="293">
        <f t="shared" si="52"/>
        <v>0.28500000000000003</v>
      </c>
      <c r="V155" s="122">
        <f t="shared" si="52"/>
        <v>0.57000000000000006</v>
      </c>
      <c r="W155" s="293" t="str">
        <f t="shared" si="53"/>
        <v/>
      </c>
      <c r="X155" s="293" t="str">
        <f t="shared" si="53"/>
        <v/>
      </c>
      <c r="Y155" s="122" t="str">
        <f t="shared" si="53"/>
        <v/>
      </c>
      <c r="AG155" s="1321"/>
      <c r="AH155" s="1321"/>
      <c r="AI155" s="1321"/>
      <c r="AJ155" s="1321"/>
      <c r="AK155" s="1321"/>
      <c r="AL155" s="1321"/>
      <c r="AM155" s="1321"/>
      <c r="AN155" s="1321"/>
      <c r="AO155" s="1321"/>
      <c r="AP155" s="1321"/>
      <c r="AQ155" s="1321"/>
      <c r="AR155" s="1321"/>
      <c r="AS155" s="1321"/>
      <c r="AT155" s="1321"/>
      <c r="AU155" s="1321"/>
      <c r="AV155" s="1321"/>
      <c r="AW155" s="1321"/>
      <c r="AX155" s="1321"/>
      <c r="AY155" s="1321"/>
      <c r="AZ155" s="1321"/>
      <c r="BA155" s="1321"/>
      <c r="BB155" s="1321"/>
      <c r="BC155" s="1321"/>
      <c r="BD155" s="1321"/>
      <c r="BE155" s="1321"/>
      <c r="BF155" s="1321"/>
      <c r="BG155" s="1321"/>
      <c r="BH155" s="1321"/>
      <c r="BI155" s="1321"/>
      <c r="BJ155" s="1321"/>
      <c r="BK155" s="1321"/>
      <c r="BL155" s="1321"/>
      <c r="BM155" s="1321"/>
      <c r="BN155" s="1321"/>
      <c r="BO155" s="1321"/>
      <c r="BP155" s="1321"/>
      <c r="BQ155" s="1321"/>
      <c r="BR155" s="1321"/>
      <c r="BS155" s="1321"/>
      <c r="BT155" s="1321"/>
      <c r="BU155" s="1321"/>
      <c r="BV155" s="1321"/>
      <c r="BW155" s="1321"/>
      <c r="BX155" s="1321"/>
      <c r="BY155" s="1321"/>
      <c r="BZ155" s="1321"/>
      <c r="CA155" s="1321"/>
      <c r="CB155" s="1321"/>
      <c r="CC155" s="1321"/>
      <c r="CD155" s="1321"/>
      <c r="CE155" s="1321"/>
      <c r="CF155" s="1321"/>
      <c r="CG155" s="1321"/>
      <c r="CH155" s="1321"/>
      <c r="CI155" s="1321"/>
      <c r="CJ155" s="1321"/>
      <c r="CK155" s="1321"/>
      <c r="CL155" s="1321"/>
      <c r="CM155" s="1321"/>
      <c r="CN155" s="1321"/>
      <c r="CO155" s="1321"/>
      <c r="CP155" s="1321"/>
      <c r="CQ155" s="1321"/>
      <c r="CR155" s="1321"/>
      <c r="CS155" s="1321"/>
      <c r="CT155" s="1321"/>
      <c r="CU155" s="1321"/>
      <c r="CV155" s="1321"/>
      <c r="CW155" s="1321"/>
      <c r="CX155" s="1321"/>
      <c r="CY155" s="1321"/>
      <c r="CZ155" s="1321"/>
      <c r="DA155" s="1321"/>
      <c r="DB155" s="1321"/>
      <c r="DC155" s="1321"/>
      <c r="DD155" s="1321"/>
      <c r="DE155" s="1321"/>
      <c r="DF155" s="1321"/>
      <c r="DG155" s="1321"/>
      <c r="DH155" s="1321"/>
      <c r="DI155" s="1321"/>
      <c r="DJ155" s="1321"/>
      <c r="DK155" s="1321"/>
      <c r="DL155" s="1321"/>
      <c r="DM155" s="1321"/>
      <c r="DN155" s="1321"/>
      <c r="DO155" s="1321"/>
      <c r="DP155" s="1321"/>
      <c r="DQ155" s="1321"/>
      <c r="DR155" s="1321"/>
      <c r="DS155" s="1321"/>
      <c r="DT155" s="1321"/>
      <c r="DU155" s="1321"/>
      <c r="DV155" s="1321"/>
      <c r="DW155" s="1321"/>
      <c r="DX155" s="1321"/>
      <c r="DY155" s="1321"/>
      <c r="DZ155" s="1321"/>
      <c r="EA155" s="1321"/>
      <c r="EB155" s="1321"/>
      <c r="EC155" s="1321"/>
      <c r="ED155" s="1321"/>
      <c r="EE155" s="1321"/>
      <c r="EF155" s="1321"/>
      <c r="EG155" s="1321"/>
      <c r="EH155" s="1321"/>
      <c r="EI155" s="1321"/>
    </row>
    <row r="156" spans="1:139" s="180" customFormat="1" ht="12.75" customHeight="1" x14ac:dyDescent="0.2">
      <c r="A156" s="278" t="s">
        <v>602</v>
      </c>
      <c r="B156" s="279"/>
      <c r="C156" s="280"/>
      <c r="D156" s="280"/>
      <c r="E156" s="280"/>
      <c r="F156" s="280"/>
      <c r="G156" s="280"/>
      <c r="H156" s="280"/>
      <c r="I156" s="281"/>
      <c r="J156" s="281"/>
      <c r="K156" s="281"/>
      <c r="L156" s="535"/>
      <c r="M156" s="282"/>
      <c r="N156" s="283"/>
      <c r="O156" s="402"/>
      <c r="P156" s="284"/>
      <c r="Q156" s="284"/>
      <c r="R156" s="562"/>
      <c r="S156" s="283"/>
      <c r="T156" s="440"/>
      <c r="U156" s="440"/>
      <c r="V156" s="283"/>
      <c r="W156" s="440"/>
      <c r="X156" s="440"/>
      <c r="Y156" s="283"/>
      <c r="AG156" s="1321"/>
      <c r="AH156" s="1321"/>
      <c r="AI156" s="1321"/>
      <c r="AJ156" s="1321"/>
      <c r="AK156" s="1321"/>
      <c r="AL156" s="1321"/>
      <c r="AM156" s="1321"/>
      <c r="AN156" s="1321"/>
      <c r="AO156" s="1321"/>
      <c r="AP156" s="1321"/>
      <c r="AQ156" s="1321"/>
      <c r="AR156" s="1321"/>
      <c r="AS156" s="1321"/>
      <c r="AT156" s="1321"/>
      <c r="AU156" s="1321"/>
      <c r="AV156" s="1321"/>
      <c r="AW156" s="1321"/>
      <c r="AX156" s="1321"/>
      <c r="AY156" s="1321"/>
      <c r="AZ156" s="1321"/>
      <c r="BA156" s="1321"/>
      <c r="BB156" s="1321"/>
      <c r="BC156" s="1321"/>
      <c r="BD156" s="1321"/>
      <c r="BE156" s="1321"/>
      <c r="BF156" s="1321"/>
      <c r="BG156" s="1321"/>
      <c r="BH156" s="1321"/>
      <c r="BI156" s="1321"/>
      <c r="BJ156" s="1321"/>
      <c r="BK156" s="1321"/>
      <c r="BL156" s="1321"/>
      <c r="BM156" s="1321"/>
      <c r="BN156" s="1321"/>
      <c r="BO156" s="1321"/>
      <c r="BP156" s="1321"/>
      <c r="BQ156" s="1321"/>
      <c r="BR156" s="1321"/>
      <c r="BS156" s="1321"/>
      <c r="BT156" s="1321"/>
      <c r="BU156" s="1321"/>
      <c r="BV156" s="1321"/>
      <c r="BW156" s="1321"/>
      <c r="BX156" s="1321"/>
      <c r="BY156" s="1321"/>
      <c r="BZ156" s="1321"/>
      <c r="CA156" s="1321"/>
      <c r="CB156" s="1321"/>
      <c r="CC156" s="1321"/>
      <c r="CD156" s="1321"/>
      <c r="CE156" s="1321"/>
      <c r="CF156" s="1321"/>
      <c r="CG156" s="1321"/>
      <c r="CH156" s="1321"/>
      <c r="CI156" s="1321"/>
      <c r="CJ156" s="1321"/>
      <c r="CK156" s="1321"/>
      <c r="CL156" s="1321"/>
      <c r="CM156" s="1321"/>
      <c r="CN156" s="1321"/>
      <c r="CO156" s="1321"/>
      <c r="CP156" s="1321"/>
      <c r="CQ156" s="1321"/>
      <c r="CR156" s="1321"/>
      <c r="CS156" s="1321"/>
      <c r="CT156" s="1321"/>
      <c r="CU156" s="1321"/>
      <c r="CV156" s="1321"/>
      <c r="CW156" s="1321"/>
      <c r="CX156" s="1321"/>
      <c r="CY156" s="1321"/>
      <c r="CZ156" s="1321"/>
      <c r="DA156" s="1321"/>
      <c r="DB156" s="1321"/>
      <c r="DC156" s="1321"/>
      <c r="DD156" s="1321"/>
      <c r="DE156" s="1321"/>
      <c r="DF156" s="1321"/>
      <c r="DG156" s="1321"/>
      <c r="DH156" s="1321"/>
      <c r="DI156" s="1321"/>
      <c r="DJ156" s="1321"/>
      <c r="DK156" s="1321"/>
      <c r="DL156" s="1321"/>
      <c r="DM156" s="1321"/>
      <c r="DN156" s="1321"/>
      <c r="DO156" s="1321"/>
      <c r="DP156" s="1321"/>
      <c r="DQ156" s="1321"/>
      <c r="DR156" s="1321"/>
      <c r="DS156" s="1321"/>
      <c r="DT156" s="1321"/>
      <c r="DU156" s="1321"/>
      <c r="DV156" s="1321"/>
      <c r="DW156" s="1321"/>
      <c r="DX156" s="1321"/>
      <c r="DY156" s="1321"/>
      <c r="DZ156" s="1321"/>
      <c r="EA156" s="1321"/>
      <c r="EB156" s="1321"/>
      <c r="EC156" s="1321"/>
      <c r="ED156" s="1321"/>
      <c r="EE156" s="1321"/>
      <c r="EF156" s="1321"/>
      <c r="EG156" s="1321"/>
      <c r="EH156" s="1321"/>
      <c r="EI156" s="1321"/>
    </row>
    <row r="157" spans="1:139" s="180" customFormat="1" ht="12.75" customHeight="1" x14ac:dyDescent="0.2">
      <c r="A157" s="441"/>
      <c r="B157" s="354" t="s">
        <v>445</v>
      </c>
      <c r="C157" s="442"/>
      <c r="D157" s="442"/>
      <c r="E157" s="442"/>
      <c r="F157" s="442"/>
      <c r="G157" s="442"/>
      <c r="H157" s="442"/>
      <c r="I157" s="423"/>
      <c r="J157" s="423"/>
      <c r="K157" s="423"/>
      <c r="L157" s="553"/>
      <c r="M157" s="443"/>
      <c r="N157" s="443"/>
      <c r="O157" s="444"/>
      <c r="P157" s="442"/>
      <c r="Q157" s="442"/>
      <c r="R157" s="553"/>
      <c r="S157" s="193"/>
      <c r="T157" s="185"/>
      <c r="U157" s="240"/>
      <c r="W157" s="185"/>
      <c r="X157" s="185"/>
      <c r="AG157" s="1321"/>
      <c r="AH157" s="1321"/>
      <c r="AI157" s="1321"/>
      <c r="AJ157" s="1321"/>
      <c r="AK157" s="1321"/>
      <c r="AL157" s="1321"/>
      <c r="AM157" s="1321"/>
      <c r="AN157" s="1321"/>
      <c r="AO157" s="1321"/>
      <c r="AP157" s="1321"/>
      <c r="AQ157" s="1321"/>
      <c r="AR157" s="1321"/>
      <c r="AS157" s="1321"/>
      <c r="AT157" s="1321"/>
      <c r="AU157" s="1321"/>
      <c r="AV157" s="1321"/>
      <c r="AW157" s="1321"/>
      <c r="AX157" s="1321"/>
      <c r="AY157" s="1321"/>
      <c r="AZ157" s="1321"/>
      <c r="BA157" s="1321"/>
      <c r="BB157" s="1321"/>
      <c r="BC157" s="1321"/>
      <c r="BD157" s="1321"/>
      <c r="BE157" s="1321"/>
      <c r="BF157" s="1321"/>
      <c r="BG157" s="1321"/>
      <c r="BH157" s="1321"/>
      <c r="BI157" s="1321"/>
      <c r="BJ157" s="1321"/>
      <c r="BK157" s="1321"/>
      <c r="BL157" s="1321"/>
      <c r="BM157" s="1321"/>
      <c r="BN157" s="1321"/>
      <c r="BO157" s="1321"/>
      <c r="BP157" s="1321"/>
      <c r="BQ157" s="1321"/>
      <c r="BR157" s="1321"/>
      <c r="BS157" s="1321"/>
      <c r="BT157" s="1321"/>
      <c r="BU157" s="1321"/>
      <c r="BV157" s="1321"/>
      <c r="BW157" s="1321"/>
      <c r="BX157" s="1321"/>
      <c r="BY157" s="1321"/>
      <c r="BZ157" s="1321"/>
      <c r="CA157" s="1321"/>
      <c r="CB157" s="1321"/>
      <c r="CC157" s="1321"/>
      <c r="CD157" s="1321"/>
      <c r="CE157" s="1321"/>
      <c r="CF157" s="1321"/>
      <c r="CG157" s="1321"/>
      <c r="CH157" s="1321"/>
      <c r="CI157" s="1321"/>
      <c r="CJ157" s="1321"/>
      <c r="CK157" s="1321"/>
      <c r="CL157" s="1321"/>
      <c r="CM157" s="1321"/>
      <c r="CN157" s="1321"/>
      <c r="CO157" s="1321"/>
      <c r="CP157" s="1321"/>
      <c r="CQ157" s="1321"/>
      <c r="CR157" s="1321"/>
      <c r="CS157" s="1321"/>
      <c r="CT157" s="1321"/>
      <c r="CU157" s="1321"/>
      <c r="CV157" s="1321"/>
      <c r="CW157" s="1321"/>
      <c r="CX157" s="1321"/>
      <c r="CY157" s="1321"/>
      <c r="CZ157" s="1321"/>
      <c r="DA157" s="1321"/>
      <c r="DB157" s="1321"/>
      <c r="DC157" s="1321"/>
      <c r="DD157" s="1321"/>
      <c r="DE157" s="1321"/>
      <c r="DF157" s="1321"/>
      <c r="DG157" s="1321"/>
      <c r="DH157" s="1321"/>
      <c r="DI157" s="1321"/>
      <c r="DJ157" s="1321"/>
      <c r="DK157" s="1321"/>
      <c r="DL157" s="1321"/>
      <c r="DM157" s="1321"/>
      <c r="DN157" s="1321"/>
      <c r="DO157" s="1321"/>
      <c r="DP157" s="1321"/>
      <c r="DQ157" s="1321"/>
      <c r="DR157" s="1321"/>
      <c r="DS157" s="1321"/>
      <c r="DT157" s="1321"/>
      <c r="DU157" s="1321"/>
      <c r="DV157" s="1321"/>
      <c r="DW157" s="1321"/>
      <c r="DX157" s="1321"/>
      <c r="DY157" s="1321"/>
      <c r="DZ157" s="1321"/>
      <c r="EA157" s="1321"/>
      <c r="EB157" s="1321"/>
      <c r="EC157" s="1321"/>
      <c r="ED157" s="1321"/>
      <c r="EE157" s="1321"/>
      <c r="EF157" s="1321"/>
      <c r="EG157" s="1321"/>
      <c r="EH157" s="1321"/>
      <c r="EI157" s="1321"/>
    </row>
    <row r="158" spans="1:139" s="180" customFormat="1" ht="12.75" customHeight="1" x14ac:dyDescent="0.2">
      <c r="A158" s="224"/>
      <c r="B158" s="225" t="s">
        <v>146</v>
      </c>
      <c r="C158" s="275">
        <v>0</v>
      </c>
      <c r="D158" s="275">
        <v>0.25</v>
      </c>
      <c r="E158" s="275">
        <v>5</v>
      </c>
      <c r="F158" s="275">
        <v>0</v>
      </c>
      <c r="G158" s="311">
        <v>0</v>
      </c>
      <c r="H158" s="249">
        <f>SUM(C158:G158)</f>
        <v>5.25</v>
      </c>
      <c r="I158" s="250"/>
      <c r="J158" s="250"/>
      <c r="K158" s="250"/>
      <c r="L158" s="533">
        <f>((C158*$C$10)+(D158*$D$10)+(E158*$E$10)+(F158*$F$10))</f>
        <v>279.47999999999996</v>
      </c>
      <c r="M158" s="251">
        <v>0</v>
      </c>
      <c r="N158" s="252">
        <v>0</v>
      </c>
      <c r="O158" s="525">
        <f>'Table 1'!L175</f>
        <v>14.25</v>
      </c>
      <c r="P158" s="312">
        <f>(C158+D158+E158+F158)*O158</f>
        <v>74.8125</v>
      </c>
      <c r="Q158" s="291">
        <f>(M158+N158)*O158</f>
        <v>0</v>
      </c>
      <c r="R158" s="559">
        <f>(L158+M158+N158)*O158</f>
        <v>3982.5899999999992</v>
      </c>
      <c r="S158" s="263" t="s">
        <v>199</v>
      </c>
      <c r="T158" s="292" t="str">
        <f>IF($S158="RP",O158,"")</f>
        <v/>
      </c>
      <c r="U158" s="293" t="str">
        <f>IF($S158="RP",P158,"")</f>
        <v/>
      </c>
      <c r="V158" s="122" t="str">
        <f>IF($S158="RP",Q158,"")</f>
        <v/>
      </c>
      <c r="W158" s="293">
        <f>IF($S158="RK",O158,"")</f>
        <v>14.25</v>
      </c>
      <c r="X158" s="293">
        <f>IF($S158="RK",P158,"")</f>
        <v>74.8125</v>
      </c>
      <c r="Y158" s="122">
        <f>IF($S158="RK",Q158,"")</f>
        <v>0</v>
      </c>
      <c r="AG158" s="1321"/>
      <c r="AH158" s="1321"/>
      <c r="AI158" s="1321"/>
      <c r="AJ158" s="1321"/>
      <c r="AK158" s="1321"/>
      <c r="AL158" s="1321"/>
      <c r="AM158" s="1321"/>
      <c r="AN158" s="1321"/>
      <c r="AO158" s="1321"/>
      <c r="AP158" s="1321"/>
      <c r="AQ158" s="1321"/>
      <c r="AR158" s="1321"/>
      <c r="AS158" s="1321"/>
      <c r="AT158" s="1321"/>
      <c r="AU158" s="1321"/>
      <c r="AV158" s="1321"/>
      <c r="AW158" s="1321"/>
      <c r="AX158" s="1321"/>
      <c r="AY158" s="1321"/>
      <c r="AZ158" s="1321"/>
      <c r="BA158" s="1321"/>
      <c r="BB158" s="1321"/>
      <c r="BC158" s="1321"/>
      <c r="BD158" s="1321"/>
      <c r="BE158" s="1321"/>
      <c r="BF158" s="1321"/>
      <c r="BG158" s="1321"/>
      <c r="BH158" s="1321"/>
      <c r="BI158" s="1321"/>
      <c r="BJ158" s="1321"/>
      <c r="BK158" s="1321"/>
      <c r="BL158" s="1321"/>
      <c r="BM158" s="1321"/>
      <c r="BN158" s="1321"/>
      <c r="BO158" s="1321"/>
      <c r="BP158" s="1321"/>
      <c r="BQ158" s="1321"/>
      <c r="BR158" s="1321"/>
      <c r="BS158" s="1321"/>
      <c r="BT158" s="1321"/>
      <c r="BU158" s="1321"/>
      <c r="BV158" s="1321"/>
      <c r="BW158" s="1321"/>
      <c r="BX158" s="1321"/>
      <c r="BY158" s="1321"/>
      <c r="BZ158" s="1321"/>
      <c r="CA158" s="1321"/>
      <c r="CB158" s="1321"/>
      <c r="CC158" s="1321"/>
      <c r="CD158" s="1321"/>
      <c r="CE158" s="1321"/>
      <c r="CF158" s="1321"/>
      <c r="CG158" s="1321"/>
      <c r="CH158" s="1321"/>
      <c r="CI158" s="1321"/>
      <c r="CJ158" s="1321"/>
      <c r="CK158" s="1321"/>
      <c r="CL158" s="1321"/>
      <c r="CM158" s="1321"/>
      <c r="CN158" s="1321"/>
      <c r="CO158" s="1321"/>
      <c r="CP158" s="1321"/>
      <c r="CQ158" s="1321"/>
      <c r="CR158" s="1321"/>
      <c r="CS158" s="1321"/>
      <c r="CT158" s="1321"/>
      <c r="CU158" s="1321"/>
      <c r="CV158" s="1321"/>
      <c r="CW158" s="1321"/>
      <c r="CX158" s="1321"/>
      <c r="CY158" s="1321"/>
      <c r="CZ158" s="1321"/>
      <c r="DA158" s="1321"/>
      <c r="DB158" s="1321"/>
      <c r="DC158" s="1321"/>
      <c r="DD158" s="1321"/>
      <c r="DE158" s="1321"/>
      <c r="DF158" s="1321"/>
      <c r="DG158" s="1321"/>
      <c r="DH158" s="1321"/>
      <c r="DI158" s="1321"/>
      <c r="DJ158" s="1321"/>
      <c r="DK158" s="1321"/>
      <c r="DL158" s="1321"/>
      <c r="DM158" s="1321"/>
      <c r="DN158" s="1321"/>
      <c r="DO158" s="1321"/>
      <c r="DP158" s="1321"/>
      <c r="DQ158" s="1321"/>
      <c r="DR158" s="1321"/>
      <c r="DS158" s="1321"/>
      <c r="DT158" s="1321"/>
      <c r="DU158" s="1321"/>
      <c r="DV158" s="1321"/>
      <c r="DW158" s="1321"/>
      <c r="DX158" s="1321"/>
      <c r="DY158" s="1321"/>
      <c r="DZ158" s="1321"/>
      <c r="EA158" s="1321"/>
      <c r="EB158" s="1321"/>
      <c r="EC158" s="1321"/>
      <c r="ED158" s="1321"/>
      <c r="EE158" s="1321"/>
      <c r="EF158" s="1321"/>
      <c r="EG158" s="1321"/>
      <c r="EH158" s="1321"/>
      <c r="EI158" s="1321"/>
    </row>
    <row r="159" spans="1:139" s="180" customFormat="1" ht="12.75" customHeight="1" x14ac:dyDescent="0.2">
      <c r="A159" s="221"/>
      <c r="B159" s="222" t="s">
        <v>446</v>
      </c>
      <c r="C159" s="256"/>
      <c r="D159" s="256"/>
      <c r="E159" s="256"/>
      <c r="F159" s="256"/>
      <c r="G159" s="257"/>
      <c r="H159" s="445"/>
      <c r="I159" s="432"/>
      <c r="J159" s="432"/>
      <c r="K159" s="432"/>
      <c r="L159" s="547"/>
      <c r="M159" s="433"/>
      <c r="N159" s="446"/>
      <c r="O159" s="447"/>
      <c r="P159" s="434"/>
      <c r="Q159" s="434"/>
      <c r="R159" s="542"/>
      <c r="S159" s="193"/>
      <c r="T159" s="185"/>
      <c r="U159" s="240"/>
      <c r="W159" s="185"/>
      <c r="X159" s="185"/>
      <c r="AG159" s="1321"/>
      <c r="AH159" s="1321"/>
      <c r="AI159" s="1321"/>
      <c r="AJ159" s="1321"/>
      <c r="AK159" s="1321"/>
      <c r="AL159" s="1321"/>
      <c r="AM159" s="1321"/>
      <c r="AN159" s="1321"/>
      <c r="AO159" s="1321"/>
      <c r="AP159" s="1321"/>
      <c r="AQ159" s="1321"/>
      <c r="AR159" s="1321"/>
      <c r="AS159" s="1321"/>
      <c r="AT159" s="1321"/>
      <c r="AU159" s="1321"/>
      <c r="AV159" s="1321"/>
      <c r="AW159" s="1321"/>
      <c r="AX159" s="1321"/>
      <c r="AY159" s="1321"/>
      <c r="AZ159" s="1321"/>
      <c r="BA159" s="1321"/>
      <c r="BB159" s="1321"/>
      <c r="BC159" s="1321"/>
      <c r="BD159" s="1321"/>
      <c r="BE159" s="1321"/>
      <c r="BF159" s="1321"/>
      <c r="BG159" s="1321"/>
      <c r="BH159" s="1321"/>
      <c r="BI159" s="1321"/>
      <c r="BJ159" s="1321"/>
      <c r="BK159" s="1321"/>
      <c r="BL159" s="1321"/>
      <c r="BM159" s="1321"/>
      <c r="BN159" s="1321"/>
      <c r="BO159" s="1321"/>
      <c r="BP159" s="1321"/>
      <c r="BQ159" s="1321"/>
      <c r="BR159" s="1321"/>
      <c r="BS159" s="1321"/>
      <c r="BT159" s="1321"/>
      <c r="BU159" s="1321"/>
      <c r="BV159" s="1321"/>
      <c r="BW159" s="1321"/>
      <c r="BX159" s="1321"/>
      <c r="BY159" s="1321"/>
      <c r="BZ159" s="1321"/>
      <c r="CA159" s="1321"/>
      <c r="CB159" s="1321"/>
      <c r="CC159" s="1321"/>
      <c r="CD159" s="1321"/>
      <c r="CE159" s="1321"/>
      <c r="CF159" s="1321"/>
      <c r="CG159" s="1321"/>
      <c r="CH159" s="1321"/>
      <c r="CI159" s="1321"/>
      <c r="CJ159" s="1321"/>
      <c r="CK159" s="1321"/>
      <c r="CL159" s="1321"/>
      <c r="CM159" s="1321"/>
      <c r="CN159" s="1321"/>
      <c r="CO159" s="1321"/>
      <c r="CP159" s="1321"/>
      <c r="CQ159" s="1321"/>
      <c r="CR159" s="1321"/>
      <c r="CS159" s="1321"/>
      <c r="CT159" s="1321"/>
      <c r="CU159" s="1321"/>
      <c r="CV159" s="1321"/>
      <c r="CW159" s="1321"/>
      <c r="CX159" s="1321"/>
      <c r="CY159" s="1321"/>
      <c r="CZ159" s="1321"/>
      <c r="DA159" s="1321"/>
      <c r="DB159" s="1321"/>
      <c r="DC159" s="1321"/>
      <c r="DD159" s="1321"/>
      <c r="DE159" s="1321"/>
      <c r="DF159" s="1321"/>
      <c r="DG159" s="1321"/>
      <c r="DH159" s="1321"/>
      <c r="DI159" s="1321"/>
      <c r="DJ159" s="1321"/>
      <c r="DK159" s="1321"/>
      <c r="DL159" s="1321"/>
      <c r="DM159" s="1321"/>
      <c r="DN159" s="1321"/>
      <c r="DO159" s="1321"/>
      <c r="DP159" s="1321"/>
      <c r="DQ159" s="1321"/>
      <c r="DR159" s="1321"/>
      <c r="DS159" s="1321"/>
      <c r="DT159" s="1321"/>
      <c r="DU159" s="1321"/>
      <c r="DV159" s="1321"/>
      <c r="DW159" s="1321"/>
      <c r="DX159" s="1321"/>
      <c r="DY159" s="1321"/>
      <c r="DZ159" s="1321"/>
      <c r="EA159" s="1321"/>
      <c r="EB159" s="1321"/>
      <c r="EC159" s="1321"/>
      <c r="ED159" s="1321"/>
      <c r="EE159" s="1321"/>
      <c r="EF159" s="1321"/>
      <c r="EG159" s="1321"/>
      <c r="EH159" s="1321"/>
      <c r="EI159" s="1321"/>
    </row>
    <row r="160" spans="1:139" s="180" customFormat="1" ht="12.75" customHeight="1" x14ac:dyDescent="0.2">
      <c r="A160" s="224"/>
      <c r="B160" s="222" t="s">
        <v>447</v>
      </c>
      <c r="C160" s="318">
        <v>0</v>
      </c>
      <c r="D160" s="318">
        <v>0.25</v>
      </c>
      <c r="E160" s="318">
        <v>1</v>
      </c>
      <c r="F160" s="318">
        <v>0</v>
      </c>
      <c r="G160" s="318">
        <v>0</v>
      </c>
      <c r="H160" s="249">
        <f>SUM(C160:G160)</f>
        <v>1.25</v>
      </c>
      <c r="I160" s="250"/>
      <c r="J160" s="250"/>
      <c r="K160" s="250"/>
      <c r="L160" s="533">
        <f>((C160*$C$10)+(D160*$D$10)+(E160*$E$10)+(F160*$F$10))</f>
        <v>70.007999999999996</v>
      </c>
      <c r="M160" s="251">
        <v>0</v>
      </c>
      <c r="N160" s="252">
        <v>0</v>
      </c>
      <c r="O160" s="438">
        <f>'Table 1'!L177</f>
        <v>5.7</v>
      </c>
      <c r="P160" s="312">
        <f>(C160+D160+E160+F160)*O160</f>
        <v>7.125</v>
      </c>
      <c r="Q160" s="291">
        <f>(M160+N160)*O160</f>
        <v>0</v>
      </c>
      <c r="R160" s="559">
        <f>(L160+M160+N160)*O160</f>
        <v>399.04559999999998</v>
      </c>
      <c r="S160" s="263" t="s">
        <v>199</v>
      </c>
      <c r="T160" s="292" t="str">
        <f>IF($S160="RP",O160,"")</f>
        <v/>
      </c>
      <c r="U160" s="293" t="str">
        <f>IF($S160="RP",P160,"")</f>
        <v/>
      </c>
      <c r="V160" s="122" t="str">
        <f>IF($S160="RP",Q160,"")</f>
        <v/>
      </c>
      <c r="W160" s="293">
        <f>IF($S160="RK",O160,"")</f>
        <v>5.7</v>
      </c>
      <c r="X160" s="293">
        <f>IF($S160="RK",P160,"")</f>
        <v>7.125</v>
      </c>
      <c r="Y160" s="122">
        <f>IF($S160="RK",Q160,"")</f>
        <v>0</v>
      </c>
      <c r="AG160" s="1321"/>
      <c r="AH160" s="1321"/>
      <c r="AI160" s="1321"/>
      <c r="AJ160" s="1321"/>
      <c r="AK160" s="1321"/>
      <c r="AL160" s="1321"/>
      <c r="AM160" s="1321"/>
      <c r="AN160" s="1321"/>
      <c r="AO160" s="1321"/>
      <c r="AP160" s="1321"/>
      <c r="AQ160" s="1321"/>
      <c r="AR160" s="1321"/>
      <c r="AS160" s="1321"/>
      <c r="AT160" s="1321"/>
      <c r="AU160" s="1321"/>
      <c r="AV160" s="1321"/>
      <c r="AW160" s="1321"/>
      <c r="AX160" s="1321"/>
      <c r="AY160" s="1321"/>
      <c r="AZ160" s="1321"/>
      <c r="BA160" s="1321"/>
      <c r="BB160" s="1321"/>
      <c r="BC160" s="1321"/>
      <c r="BD160" s="1321"/>
      <c r="BE160" s="1321"/>
      <c r="BF160" s="1321"/>
      <c r="BG160" s="1321"/>
      <c r="BH160" s="1321"/>
      <c r="BI160" s="1321"/>
      <c r="BJ160" s="1321"/>
      <c r="BK160" s="1321"/>
      <c r="BL160" s="1321"/>
      <c r="BM160" s="1321"/>
      <c r="BN160" s="1321"/>
      <c r="BO160" s="1321"/>
      <c r="BP160" s="1321"/>
      <c r="BQ160" s="1321"/>
      <c r="BR160" s="1321"/>
      <c r="BS160" s="1321"/>
      <c r="BT160" s="1321"/>
      <c r="BU160" s="1321"/>
      <c r="BV160" s="1321"/>
      <c r="BW160" s="1321"/>
      <c r="BX160" s="1321"/>
      <c r="BY160" s="1321"/>
      <c r="BZ160" s="1321"/>
      <c r="CA160" s="1321"/>
      <c r="CB160" s="1321"/>
      <c r="CC160" s="1321"/>
      <c r="CD160" s="1321"/>
      <c r="CE160" s="1321"/>
      <c r="CF160" s="1321"/>
      <c r="CG160" s="1321"/>
      <c r="CH160" s="1321"/>
      <c r="CI160" s="1321"/>
      <c r="CJ160" s="1321"/>
      <c r="CK160" s="1321"/>
      <c r="CL160" s="1321"/>
      <c r="CM160" s="1321"/>
      <c r="CN160" s="1321"/>
      <c r="CO160" s="1321"/>
      <c r="CP160" s="1321"/>
      <c r="CQ160" s="1321"/>
      <c r="CR160" s="1321"/>
      <c r="CS160" s="1321"/>
      <c r="CT160" s="1321"/>
      <c r="CU160" s="1321"/>
      <c r="CV160" s="1321"/>
      <c r="CW160" s="1321"/>
      <c r="CX160" s="1321"/>
      <c r="CY160" s="1321"/>
      <c r="CZ160" s="1321"/>
      <c r="DA160" s="1321"/>
      <c r="DB160" s="1321"/>
      <c r="DC160" s="1321"/>
      <c r="DD160" s="1321"/>
      <c r="DE160" s="1321"/>
      <c r="DF160" s="1321"/>
      <c r="DG160" s="1321"/>
      <c r="DH160" s="1321"/>
      <c r="DI160" s="1321"/>
      <c r="DJ160" s="1321"/>
      <c r="DK160" s="1321"/>
      <c r="DL160" s="1321"/>
      <c r="DM160" s="1321"/>
      <c r="DN160" s="1321"/>
      <c r="DO160" s="1321"/>
      <c r="DP160" s="1321"/>
      <c r="DQ160" s="1321"/>
      <c r="DR160" s="1321"/>
      <c r="DS160" s="1321"/>
      <c r="DT160" s="1321"/>
      <c r="DU160" s="1321"/>
      <c r="DV160" s="1321"/>
      <c r="DW160" s="1321"/>
      <c r="DX160" s="1321"/>
      <c r="DY160" s="1321"/>
      <c r="DZ160" s="1321"/>
      <c r="EA160" s="1321"/>
      <c r="EB160" s="1321"/>
      <c r="EC160" s="1321"/>
      <c r="ED160" s="1321"/>
      <c r="EE160" s="1321"/>
      <c r="EF160" s="1321"/>
      <c r="EG160" s="1321"/>
      <c r="EH160" s="1321"/>
      <c r="EI160" s="1321"/>
    </row>
    <row r="161" spans="1:139" s="180" customFormat="1" ht="23.15" customHeight="1" x14ac:dyDescent="0.2">
      <c r="A161" s="1354" t="s">
        <v>604</v>
      </c>
      <c r="B161" s="1355"/>
      <c r="C161" s="280"/>
      <c r="D161" s="280"/>
      <c r="E161" s="280"/>
      <c r="F161" s="280"/>
      <c r="G161" s="280"/>
      <c r="H161" s="280"/>
      <c r="I161" s="281"/>
      <c r="J161" s="281"/>
      <c r="K161" s="281"/>
      <c r="L161" s="535"/>
      <c r="M161" s="282"/>
      <c r="N161" s="283"/>
      <c r="O161" s="402"/>
      <c r="P161" s="284"/>
      <c r="Q161" s="284"/>
      <c r="R161" s="562"/>
      <c r="S161" s="193"/>
      <c r="T161" s="185"/>
      <c r="U161" s="240"/>
      <c r="W161" s="185"/>
      <c r="X161" s="185"/>
      <c r="AG161" s="1321"/>
      <c r="AH161" s="1321"/>
      <c r="AI161" s="1321"/>
      <c r="AJ161" s="1321"/>
      <c r="AK161" s="1321"/>
      <c r="AL161" s="1321"/>
      <c r="AM161" s="1321"/>
      <c r="AN161" s="1321"/>
      <c r="AO161" s="1321"/>
      <c r="AP161" s="1321"/>
      <c r="AQ161" s="1321"/>
      <c r="AR161" s="1321"/>
      <c r="AS161" s="1321"/>
      <c r="AT161" s="1321"/>
      <c r="AU161" s="1321"/>
      <c r="AV161" s="1321"/>
      <c r="AW161" s="1321"/>
      <c r="AX161" s="1321"/>
      <c r="AY161" s="1321"/>
      <c r="AZ161" s="1321"/>
      <c r="BA161" s="1321"/>
      <c r="BB161" s="1321"/>
      <c r="BC161" s="1321"/>
      <c r="BD161" s="1321"/>
      <c r="BE161" s="1321"/>
      <c r="BF161" s="1321"/>
      <c r="BG161" s="1321"/>
      <c r="BH161" s="1321"/>
      <c r="BI161" s="1321"/>
      <c r="BJ161" s="1321"/>
      <c r="BK161" s="1321"/>
      <c r="BL161" s="1321"/>
      <c r="BM161" s="1321"/>
      <c r="BN161" s="1321"/>
      <c r="BO161" s="1321"/>
      <c r="BP161" s="1321"/>
      <c r="BQ161" s="1321"/>
      <c r="BR161" s="1321"/>
      <c r="BS161" s="1321"/>
      <c r="BT161" s="1321"/>
      <c r="BU161" s="1321"/>
      <c r="BV161" s="1321"/>
      <c r="BW161" s="1321"/>
      <c r="BX161" s="1321"/>
      <c r="BY161" s="1321"/>
      <c r="BZ161" s="1321"/>
      <c r="CA161" s="1321"/>
      <c r="CB161" s="1321"/>
      <c r="CC161" s="1321"/>
      <c r="CD161" s="1321"/>
      <c r="CE161" s="1321"/>
      <c r="CF161" s="1321"/>
      <c r="CG161" s="1321"/>
      <c r="CH161" s="1321"/>
      <c r="CI161" s="1321"/>
      <c r="CJ161" s="1321"/>
      <c r="CK161" s="1321"/>
      <c r="CL161" s="1321"/>
      <c r="CM161" s="1321"/>
      <c r="CN161" s="1321"/>
      <c r="CO161" s="1321"/>
      <c r="CP161" s="1321"/>
      <c r="CQ161" s="1321"/>
      <c r="CR161" s="1321"/>
      <c r="CS161" s="1321"/>
      <c r="CT161" s="1321"/>
      <c r="CU161" s="1321"/>
      <c r="CV161" s="1321"/>
      <c r="CW161" s="1321"/>
      <c r="CX161" s="1321"/>
      <c r="CY161" s="1321"/>
      <c r="CZ161" s="1321"/>
      <c r="DA161" s="1321"/>
      <c r="DB161" s="1321"/>
      <c r="DC161" s="1321"/>
      <c r="DD161" s="1321"/>
      <c r="DE161" s="1321"/>
      <c r="DF161" s="1321"/>
      <c r="DG161" s="1321"/>
      <c r="DH161" s="1321"/>
      <c r="DI161" s="1321"/>
      <c r="DJ161" s="1321"/>
      <c r="DK161" s="1321"/>
      <c r="DL161" s="1321"/>
      <c r="DM161" s="1321"/>
      <c r="DN161" s="1321"/>
      <c r="DO161" s="1321"/>
      <c r="DP161" s="1321"/>
      <c r="DQ161" s="1321"/>
      <c r="DR161" s="1321"/>
      <c r="DS161" s="1321"/>
      <c r="DT161" s="1321"/>
      <c r="DU161" s="1321"/>
      <c r="DV161" s="1321"/>
      <c r="DW161" s="1321"/>
      <c r="DX161" s="1321"/>
      <c r="DY161" s="1321"/>
      <c r="DZ161" s="1321"/>
      <c r="EA161" s="1321"/>
      <c r="EB161" s="1321"/>
      <c r="EC161" s="1321"/>
      <c r="ED161" s="1321"/>
      <c r="EE161" s="1321"/>
      <c r="EF161" s="1321"/>
      <c r="EG161" s="1321"/>
      <c r="EH161" s="1321"/>
      <c r="EI161" s="1321"/>
    </row>
    <row r="162" spans="1:139" s="180" customFormat="1" ht="12.75" customHeight="1" x14ac:dyDescent="0.2">
      <c r="A162" s="210"/>
      <c r="B162" s="211" t="s">
        <v>448</v>
      </c>
      <c r="C162" s="256"/>
      <c r="D162" s="256"/>
      <c r="E162" s="256"/>
      <c r="F162" s="256"/>
      <c r="G162" s="256"/>
      <c r="H162" s="256"/>
      <c r="I162" s="274"/>
      <c r="J162" s="274"/>
      <c r="K162" s="274"/>
      <c r="L162" s="554"/>
      <c r="M162" s="245"/>
      <c r="N162" s="245"/>
      <c r="O162" s="334"/>
      <c r="P162" s="378"/>
      <c r="Q162" s="378"/>
      <c r="R162" s="554"/>
      <c r="S162" s="193"/>
      <c r="T162" s="185"/>
      <c r="U162" s="240"/>
      <c r="W162" s="185"/>
      <c r="X162" s="185"/>
      <c r="AG162" s="1321"/>
      <c r="AH162" s="1321"/>
      <c r="AI162" s="1321"/>
      <c r="AJ162" s="1321"/>
      <c r="AK162" s="1321"/>
      <c r="AL162" s="1321"/>
      <c r="AM162" s="1321"/>
      <c r="AN162" s="1321"/>
      <c r="AO162" s="1321"/>
      <c r="AP162" s="1321"/>
      <c r="AQ162" s="1321"/>
      <c r="AR162" s="1321"/>
      <c r="AS162" s="1321"/>
      <c r="AT162" s="1321"/>
      <c r="AU162" s="1321"/>
      <c r="AV162" s="1321"/>
      <c r="AW162" s="1321"/>
      <c r="AX162" s="1321"/>
      <c r="AY162" s="1321"/>
      <c r="AZ162" s="1321"/>
      <c r="BA162" s="1321"/>
      <c r="BB162" s="1321"/>
      <c r="BC162" s="1321"/>
      <c r="BD162" s="1321"/>
      <c r="BE162" s="1321"/>
      <c r="BF162" s="1321"/>
      <c r="BG162" s="1321"/>
      <c r="BH162" s="1321"/>
      <c r="BI162" s="1321"/>
      <c r="BJ162" s="1321"/>
      <c r="BK162" s="1321"/>
      <c r="BL162" s="1321"/>
      <c r="BM162" s="1321"/>
      <c r="BN162" s="1321"/>
      <c r="BO162" s="1321"/>
      <c r="BP162" s="1321"/>
      <c r="BQ162" s="1321"/>
      <c r="BR162" s="1321"/>
      <c r="BS162" s="1321"/>
      <c r="BT162" s="1321"/>
      <c r="BU162" s="1321"/>
      <c r="BV162" s="1321"/>
      <c r="BW162" s="1321"/>
      <c r="BX162" s="1321"/>
      <c r="BY162" s="1321"/>
      <c r="BZ162" s="1321"/>
      <c r="CA162" s="1321"/>
      <c r="CB162" s="1321"/>
      <c r="CC162" s="1321"/>
      <c r="CD162" s="1321"/>
      <c r="CE162" s="1321"/>
      <c r="CF162" s="1321"/>
      <c r="CG162" s="1321"/>
      <c r="CH162" s="1321"/>
      <c r="CI162" s="1321"/>
      <c r="CJ162" s="1321"/>
      <c r="CK162" s="1321"/>
      <c r="CL162" s="1321"/>
      <c r="CM162" s="1321"/>
      <c r="CN162" s="1321"/>
      <c r="CO162" s="1321"/>
      <c r="CP162" s="1321"/>
      <c r="CQ162" s="1321"/>
      <c r="CR162" s="1321"/>
      <c r="CS162" s="1321"/>
      <c r="CT162" s="1321"/>
      <c r="CU162" s="1321"/>
      <c r="CV162" s="1321"/>
      <c r="CW162" s="1321"/>
      <c r="CX162" s="1321"/>
      <c r="CY162" s="1321"/>
      <c r="CZ162" s="1321"/>
      <c r="DA162" s="1321"/>
      <c r="DB162" s="1321"/>
      <c r="DC162" s="1321"/>
      <c r="DD162" s="1321"/>
      <c r="DE162" s="1321"/>
      <c r="DF162" s="1321"/>
      <c r="DG162" s="1321"/>
      <c r="DH162" s="1321"/>
      <c r="DI162" s="1321"/>
      <c r="DJ162" s="1321"/>
      <c r="DK162" s="1321"/>
      <c r="DL162" s="1321"/>
      <c r="DM162" s="1321"/>
      <c r="DN162" s="1321"/>
      <c r="DO162" s="1321"/>
      <c r="DP162" s="1321"/>
      <c r="DQ162" s="1321"/>
      <c r="DR162" s="1321"/>
      <c r="DS162" s="1321"/>
      <c r="DT162" s="1321"/>
      <c r="DU162" s="1321"/>
      <c r="DV162" s="1321"/>
      <c r="DW162" s="1321"/>
      <c r="DX162" s="1321"/>
      <c r="DY162" s="1321"/>
      <c r="DZ162" s="1321"/>
      <c r="EA162" s="1321"/>
      <c r="EB162" s="1321"/>
      <c r="EC162" s="1321"/>
      <c r="ED162" s="1321"/>
      <c r="EE162" s="1321"/>
      <c r="EF162" s="1321"/>
      <c r="EG162" s="1321"/>
      <c r="EH162" s="1321"/>
      <c r="EI162" s="1321"/>
    </row>
    <row r="163" spans="1:139" s="180" customFormat="1" ht="12.75" customHeight="1" x14ac:dyDescent="0.2">
      <c r="A163" s="273"/>
      <c r="B163" s="430" t="s">
        <v>449</v>
      </c>
      <c r="C163" s="275">
        <v>0</v>
      </c>
      <c r="D163" s="275">
        <v>0.25</v>
      </c>
      <c r="E163" s="275">
        <v>5</v>
      </c>
      <c r="F163" s="275">
        <v>0</v>
      </c>
      <c r="G163" s="311">
        <v>0</v>
      </c>
      <c r="H163" s="249">
        <f>SUM(C163:G163)</f>
        <v>5.25</v>
      </c>
      <c r="I163" s="250"/>
      <c r="J163" s="250"/>
      <c r="K163" s="250"/>
      <c r="L163" s="533">
        <f>((C163*$C$10)+(D163*$D$10)+(E163*$E$10)+(F163*$F$10))</f>
        <v>279.47999999999996</v>
      </c>
      <c r="M163" s="272">
        <v>0</v>
      </c>
      <c r="N163" s="272">
        <v>0</v>
      </c>
      <c r="O163" s="333">
        <f>'Table 1'!L180</f>
        <v>57</v>
      </c>
      <c r="P163" s="312">
        <f>(C163+D163+E163+F163)*O163</f>
        <v>299.25</v>
      </c>
      <c r="Q163" s="291">
        <f>(M163+N163)*O163</f>
        <v>0</v>
      </c>
      <c r="R163" s="559">
        <f>(L163+M163+N163)*O163</f>
        <v>15930.359999999997</v>
      </c>
      <c r="S163" s="263" t="s">
        <v>199</v>
      </c>
      <c r="T163" s="292" t="str">
        <f t="shared" ref="T163:V164" si="54">IF($S163="RP",O163,"")</f>
        <v/>
      </c>
      <c r="U163" s="293" t="str">
        <f t="shared" si="54"/>
        <v/>
      </c>
      <c r="V163" s="122" t="str">
        <f t="shared" si="54"/>
        <v/>
      </c>
      <c r="W163" s="293">
        <f t="shared" ref="W163:Y164" si="55">IF($S163="RK",O163,"")</f>
        <v>57</v>
      </c>
      <c r="X163" s="293">
        <f t="shared" si="55"/>
        <v>299.25</v>
      </c>
      <c r="Y163" s="122">
        <f t="shared" si="55"/>
        <v>0</v>
      </c>
      <c r="AG163" s="1321"/>
      <c r="AH163" s="1321"/>
      <c r="AI163" s="1321"/>
      <c r="AJ163" s="1321"/>
      <c r="AK163" s="1321"/>
      <c r="AL163" s="1321"/>
      <c r="AM163" s="1321"/>
      <c r="AN163" s="1321"/>
      <c r="AO163" s="1321"/>
      <c r="AP163" s="1321"/>
      <c r="AQ163" s="1321"/>
      <c r="AR163" s="1321"/>
      <c r="AS163" s="1321"/>
      <c r="AT163" s="1321"/>
      <c r="AU163" s="1321"/>
      <c r="AV163" s="1321"/>
      <c r="AW163" s="1321"/>
      <c r="AX163" s="1321"/>
      <c r="AY163" s="1321"/>
      <c r="AZ163" s="1321"/>
      <c r="BA163" s="1321"/>
      <c r="BB163" s="1321"/>
      <c r="BC163" s="1321"/>
      <c r="BD163" s="1321"/>
      <c r="BE163" s="1321"/>
      <c r="BF163" s="1321"/>
      <c r="BG163" s="1321"/>
      <c r="BH163" s="1321"/>
      <c r="BI163" s="1321"/>
      <c r="BJ163" s="1321"/>
      <c r="BK163" s="1321"/>
      <c r="BL163" s="1321"/>
      <c r="BM163" s="1321"/>
      <c r="BN163" s="1321"/>
      <c r="BO163" s="1321"/>
      <c r="BP163" s="1321"/>
      <c r="BQ163" s="1321"/>
      <c r="BR163" s="1321"/>
      <c r="BS163" s="1321"/>
      <c r="BT163" s="1321"/>
      <c r="BU163" s="1321"/>
      <c r="BV163" s="1321"/>
      <c r="BW163" s="1321"/>
      <c r="BX163" s="1321"/>
      <c r="BY163" s="1321"/>
      <c r="BZ163" s="1321"/>
      <c r="CA163" s="1321"/>
      <c r="CB163" s="1321"/>
      <c r="CC163" s="1321"/>
      <c r="CD163" s="1321"/>
      <c r="CE163" s="1321"/>
      <c r="CF163" s="1321"/>
      <c r="CG163" s="1321"/>
      <c r="CH163" s="1321"/>
      <c r="CI163" s="1321"/>
      <c r="CJ163" s="1321"/>
      <c r="CK163" s="1321"/>
      <c r="CL163" s="1321"/>
      <c r="CM163" s="1321"/>
      <c r="CN163" s="1321"/>
      <c r="CO163" s="1321"/>
      <c r="CP163" s="1321"/>
      <c r="CQ163" s="1321"/>
      <c r="CR163" s="1321"/>
      <c r="CS163" s="1321"/>
      <c r="CT163" s="1321"/>
      <c r="CU163" s="1321"/>
      <c r="CV163" s="1321"/>
      <c r="CW163" s="1321"/>
      <c r="CX163" s="1321"/>
      <c r="CY163" s="1321"/>
      <c r="CZ163" s="1321"/>
      <c r="DA163" s="1321"/>
      <c r="DB163" s="1321"/>
      <c r="DC163" s="1321"/>
      <c r="DD163" s="1321"/>
      <c r="DE163" s="1321"/>
      <c r="DF163" s="1321"/>
      <c r="DG163" s="1321"/>
      <c r="DH163" s="1321"/>
      <c r="DI163" s="1321"/>
      <c r="DJ163" s="1321"/>
      <c r="DK163" s="1321"/>
      <c r="DL163" s="1321"/>
      <c r="DM163" s="1321"/>
      <c r="DN163" s="1321"/>
      <c r="DO163" s="1321"/>
      <c r="DP163" s="1321"/>
      <c r="DQ163" s="1321"/>
      <c r="DR163" s="1321"/>
      <c r="DS163" s="1321"/>
      <c r="DT163" s="1321"/>
      <c r="DU163" s="1321"/>
      <c r="DV163" s="1321"/>
      <c r="DW163" s="1321"/>
      <c r="DX163" s="1321"/>
      <c r="DY163" s="1321"/>
      <c r="DZ163" s="1321"/>
      <c r="EA163" s="1321"/>
      <c r="EB163" s="1321"/>
      <c r="EC163" s="1321"/>
      <c r="ED163" s="1321"/>
      <c r="EE163" s="1321"/>
      <c r="EF163" s="1321"/>
      <c r="EG163" s="1321"/>
      <c r="EH163" s="1321"/>
      <c r="EI163" s="1321"/>
    </row>
    <row r="164" spans="1:139" s="180" customFormat="1" ht="12.75" customHeight="1" x14ac:dyDescent="0.2">
      <c r="A164" s="273"/>
      <c r="B164" s="430" t="s">
        <v>372</v>
      </c>
      <c r="C164" s="275">
        <v>0</v>
      </c>
      <c r="D164" s="275">
        <v>0.25</v>
      </c>
      <c r="E164" s="275">
        <v>0</v>
      </c>
      <c r="F164" s="275">
        <v>0.25</v>
      </c>
      <c r="G164" s="311">
        <v>0</v>
      </c>
      <c r="H164" s="258">
        <f>SUM(C164:G164)</f>
        <v>0.5</v>
      </c>
      <c r="I164" s="250"/>
      <c r="J164" s="250"/>
      <c r="K164" s="250"/>
      <c r="L164" s="533">
        <f>((C164*$C$10)+(D164*$D$10)+(E164*$E$10)+(F164*$F$10))</f>
        <v>24.724</v>
      </c>
      <c r="M164" s="245">
        <v>0</v>
      </c>
      <c r="N164" s="319">
        <v>1</v>
      </c>
      <c r="O164" s="1315">
        <f>O163</f>
        <v>57</v>
      </c>
      <c r="P164" s="1314">
        <f>(C164+D164+E164+F164)*O164</f>
        <v>28.5</v>
      </c>
      <c r="Q164" s="298">
        <f>(M164+N164)*O164</f>
        <v>57</v>
      </c>
      <c r="R164" s="559">
        <f>(L164+M164+N164)*O164</f>
        <v>1466.268</v>
      </c>
      <c r="S164" s="263" t="s">
        <v>200</v>
      </c>
      <c r="T164" s="292">
        <f t="shared" si="54"/>
        <v>57</v>
      </c>
      <c r="U164" s="293">
        <f t="shared" si="54"/>
        <v>28.5</v>
      </c>
      <c r="V164" s="122">
        <f t="shared" si="54"/>
        <v>57</v>
      </c>
      <c r="W164" s="293" t="str">
        <f t="shared" si="55"/>
        <v/>
      </c>
      <c r="X164" s="293" t="str">
        <f t="shared" si="55"/>
        <v/>
      </c>
      <c r="Y164" s="122" t="str">
        <f t="shared" si="55"/>
        <v/>
      </c>
      <c r="AG164" s="1321"/>
      <c r="AH164" s="1321"/>
      <c r="AI164" s="1321"/>
      <c r="AJ164" s="1321"/>
      <c r="AK164" s="1321"/>
      <c r="AL164" s="1321"/>
      <c r="AM164" s="1321"/>
      <c r="AN164" s="1321"/>
      <c r="AO164" s="1321"/>
      <c r="AP164" s="1321"/>
      <c r="AQ164" s="1321"/>
      <c r="AR164" s="1321"/>
      <c r="AS164" s="1321"/>
      <c r="AT164" s="1321"/>
      <c r="AU164" s="1321"/>
      <c r="AV164" s="1321"/>
      <c r="AW164" s="1321"/>
      <c r="AX164" s="1321"/>
      <c r="AY164" s="1321"/>
      <c r="AZ164" s="1321"/>
      <c r="BA164" s="1321"/>
      <c r="BB164" s="1321"/>
      <c r="BC164" s="1321"/>
      <c r="BD164" s="1321"/>
      <c r="BE164" s="1321"/>
      <c r="BF164" s="1321"/>
      <c r="BG164" s="1321"/>
      <c r="BH164" s="1321"/>
      <c r="BI164" s="1321"/>
      <c r="BJ164" s="1321"/>
      <c r="BK164" s="1321"/>
      <c r="BL164" s="1321"/>
      <c r="BM164" s="1321"/>
      <c r="BN164" s="1321"/>
      <c r="BO164" s="1321"/>
      <c r="BP164" s="1321"/>
      <c r="BQ164" s="1321"/>
      <c r="BR164" s="1321"/>
      <c r="BS164" s="1321"/>
      <c r="BT164" s="1321"/>
      <c r="BU164" s="1321"/>
      <c r="BV164" s="1321"/>
      <c r="BW164" s="1321"/>
      <c r="BX164" s="1321"/>
      <c r="BY164" s="1321"/>
      <c r="BZ164" s="1321"/>
      <c r="CA164" s="1321"/>
      <c r="CB164" s="1321"/>
      <c r="CC164" s="1321"/>
      <c r="CD164" s="1321"/>
      <c r="CE164" s="1321"/>
      <c r="CF164" s="1321"/>
      <c r="CG164" s="1321"/>
      <c r="CH164" s="1321"/>
      <c r="CI164" s="1321"/>
      <c r="CJ164" s="1321"/>
      <c r="CK164" s="1321"/>
      <c r="CL164" s="1321"/>
      <c r="CM164" s="1321"/>
      <c r="CN164" s="1321"/>
      <c r="CO164" s="1321"/>
      <c r="CP164" s="1321"/>
      <c r="CQ164" s="1321"/>
      <c r="CR164" s="1321"/>
      <c r="CS164" s="1321"/>
      <c r="CT164" s="1321"/>
      <c r="CU164" s="1321"/>
      <c r="CV164" s="1321"/>
      <c r="CW164" s="1321"/>
      <c r="CX164" s="1321"/>
      <c r="CY164" s="1321"/>
      <c r="CZ164" s="1321"/>
      <c r="DA164" s="1321"/>
      <c r="DB164" s="1321"/>
      <c r="DC164" s="1321"/>
      <c r="DD164" s="1321"/>
      <c r="DE164" s="1321"/>
      <c r="DF164" s="1321"/>
      <c r="DG164" s="1321"/>
      <c r="DH164" s="1321"/>
      <c r="DI164" s="1321"/>
      <c r="DJ164" s="1321"/>
      <c r="DK164" s="1321"/>
      <c r="DL164" s="1321"/>
      <c r="DM164" s="1321"/>
      <c r="DN164" s="1321"/>
      <c r="DO164" s="1321"/>
      <c r="DP164" s="1321"/>
      <c r="DQ164" s="1321"/>
      <c r="DR164" s="1321"/>
      <c r="DS164" s="1321"/>
      <c r="DT164" s="1321"/>
      <c r="DU164" s="1321"/>
      <c r="DV164" s="1321"/>
      <c r="DW164" s="1321"/>
      <c r="DX164" s="1321"/>
      <c r="DY164" s="1321"/>
      <c r="DZ164" s="1321"/>
      <c r="EA164" s="1321"/>
      <c r="EB164" s="1321"/>
      <c r="EC164" s="1321"/>
      <c r="ED164" s="1321"/>
      <c r="EE164" s="1321"/>
      <c r="EF164" s="1321"/>
      <c r="EG164" s="1321"/>
      <c r="EH164" s="1321"/>
      <c r="EI164" s="1321"/>
    </row>
    <row r="165" spans="1:139" s="180" customFormat="1" ht="12.75" customHeight="1" x14ac:dyDescent="0.2">
      <c r="A165" s="273" t="s">
        <v>605</v>
      </c>
      <c r="B165" s="265"/>
      <c r="C165" s="311"/>
      <c r="D165" s="311"/>
      <c r="E165" s="311"/>
      <c r="F165" s="311"/>
      <c r="G165" s="311"/>
      <c r="H165" s="311"/>
      <c r="I165" s="314"/>
      <c r="J165" s="314"/>
      <c r="K165" s="314"/>
      <c r="L165" s="534"/>
      <c r="M165" s="315"/>
      <c r="N165" s="291"/>
      <c r="O165" s="316"/>
      <c r="P165" s="317"/>
      <c r="Q165" s="317"/>
      <c r="R165" s="526"/>
      <c r="S165" s="193"/>
      <c r="T165" s="185"/>
      <c r="U165" s="240"/>
      <c r="W165" s="185"/>
      <c r="X165" s="185"/>
      <c r="AG165" s="1321"/>
      <c r="AH165" s="1321"/>
      <c r="AI165" s="1321"/>
      <c r="AJ165" s="1321"/>
      <c r="AK165" s="1321"/>
      <c r="AL165" s="1321"/>
      <c r="AM165" s="1321"/>
      <c r="AN165" s="1321"/>
      <c r="AO165" s="1321"/>
      <c r="AP165" s="1321"/>
      <c r="AQ165" s="1321"/>
      <c r="AR165" s="1321"/>
      <c r="AS165" s="1321"/>
      <c r="AT165" s="1321"/>
      <c r="AU165" s="1321"/>
      <c r="AV165" s="1321"/>
      <c r="AW165" s="1321"/>
      <c r="AX165" s="1321"/>
      <c r="AY165" s="1321"/>
      <c r="AZ165" s="1321"/>
      <c r="BA165" s="1321"/>
      <c r="BB165" s="1321"/>
      <c r="BC165" s="1321"/>
      <c r="BD165" s="1321"/>
      <c r="BE165" s="1321"/>
      <c r="BF165" s="1321"/>
      <c r="BG165" s="1321"/>
      <c r="BH165" s="1321"/>
      <c r="BI165" s="1321"/>
      <c r="BJ165" s="1321"/>
      <c r="BK165" s="1321"/>
      <c r="BL165" s="1321"/>
      <c r="BM165" s="1321"/>
      <c r="BN165" s="1321"/>
      <c r="BO165" s="1321"/>
      <c r="BP165" s="1321"/>
      <c r="BQ165" s="1321"/>
      <c r="BR165" s="1321"/>
      <c r="BS165" s="1321"/>
      <c r="BT165" s="1321"/>
      <c r="BU165" s="1321"/>
      <c r="BV165" s="1321"/>
      <c r="BW165" s="1321"/>
      <c r="BX165" s="1321"/>
      <c r="BY165" s="1321"/>
      <c r="BZ165" s="1321"/>
      <c r="CA165" s="1321"/>
      <c r="CB165" s="1321"/>
      <c r="CC165" s="1321"/>
      <c r="CD165" s="1321"/>
      <c r="CE165" s="1321"/>
      <c r="CF165" s="1321"/>
      <c r="CG165" s="1321"/>
      <c r="CH165" s="1321"/>
      <c r="CI165" s="1321"/>
      <c r="CJ165" s="1321"/>
      <c r="CK165" s="1321"/>
      <c r="CL165" s="1321"/>
      <c r="CM165" s="1321"/>
      <c r="CN165" s="1321"/>
      <c r="CO165" s="1321"/>
      <c r="CP165" s="1321"/>
      <c r="CQ165" s="1321"/>
      <c r="CR165" s="1321"/>
      <c r="CS165" s="1321"/>
      <c r="CT165" s="1321"/>
      <c r="CU165" s="1321"/>
      <c r="CV165" s="1321"/>
      <c r="CW165" s="1321"/>
      <c r="CX165" s="1321"/>
      <c r="CY165" s="1321"/>
      <c r="CZ165" s="1321"/>
      <c r="DA165" s="1321"/>
      <c r="DB165" s="1321"/>
      <c r="DC165" s="1321"/>
      <c r="DD165" s="1321"/>
      <c r="DE165" s="1321"/>
      <c r="DF165" s="1321"/>
      <c r="DG165" s="1321"/>
      <c r="DH165" s="1321"/>
      <c r="DI165" s="1321"/>
      <c r="DJ165" s="1321"/>
      <c r="DK165" s="1321"/>
      <c r="DL165" s="1321"/>
      <c r="DM165" s="1321"/>
      <c r="DN165" s="1321"/>
      <c r="DO165" s="1321"/>
      <c r="DP165" s="1321"/>
      <c r="DQ165" s="1321"/>
      <c r="DR165" s="1321"/>
      <c r="DS165" s="1321"/>
      <c r="DT165" s="1321"/>
      <c r="DU165" s="1321"/>
      <c r="DV165" s="1321"/>
      <c r="DW165" s="1321"/>
      <c r="DX165" s="1321"/>
      <c r="DY165" s="1321"/>
      <c r="DZ165" s="1321"/>
      <c r="EA165" s="1321"/>
      <c r="EB165" s="1321"/>
      <c r="EC165" s="1321"/>
      <c r="ED165" s="1321"/>
      <c r="EE165" s="1321"/>
      <c r="EF165" s="1321"/>
      <c r="EG165" s="1321"/>
      <c r="EH165" s="1321"/>
      <c r="EI165" s="1321"/>
    </row>
    <row r="166" spans="1:139" s="180" customFormat="1" ht="12.75" customHeight="1" x14ac:dyDescent="0.2">
      <c r="A166" s="448"/>
      <c r="B166" s="336" t="s">
        <v>450</v>
      </c>
      <c r="C166" s="449"/>
      <c r="D166" s="442"/>
      <c r="E166" s="442"/>
      <c r="F166" s="442"/>
      <c r="G166" s="442"/>
      <c r="H166" s="442"/>
      <c r="I166" s="423"/>
      <c r="J166" s="423"/>
      <c r="K166" s="423"/>
      <c r="L166" s="553"/>
      <c r="M166" s="443"/>
      <c r="N166" s="450"/>
      <c r="O166" s="451"/>
      <c r="P166" s="442"/>
      <c r="Q166" s="452"/>
      <c r="R166" s="568"/>
      <c r="S166" s="193"/>
      <c r="T166" s="185"/>
      <c r="U166" s="240"/>
      <c r="W166" s="185"/>
      <c r="X166" s="185"/>
      <c r="AG166" s="1321"/>
      <c r="AH166" s="1321"/>
      <c r="AI166" s="1321"/>
      <c r="AJ166" s="1321"/>
      <c r="AK166" s="1321"/>
      <c r="AL166" s="1321"/>
      <c r="AM166" s="1321"/>
      <c r="AN166" s="1321"/>
      <c r="AO166" s="1321"/>
      <c r="AP166" s="1321"/>
      <c r="AQ166" s="1321"/>
      <c r="AR166" s="1321"/>
      <c r="AS166" s="1321"/>
      <c r="AT166" s="1321"/>
      <c r="AU166" s="1321"/>
      <c r="AV166" s="1321"/>
      <c r="AW166" s="1321"/>
      <c r="AX166" s="1321"/>
      <c r="AY166" s="1321"/>
      <c r="AZ166" s="1321"/>
      <c r="BA166" s="1321"/>
      <c r="BB166" s="1321"/>
      <c r="BC166" s="1321"/>
      <c r="BD166" s="1321"/>
      <c r="BE166" s="1321"/>
      <c r="BF166" s="1321"/>
      <c r="BG166" s="1321"/>
      <c r="BH166" s="1321"/>
      <c r="BI166" s="1321"/>
      <c r="BJ166" s="1321"/>
      <c r="BK166" s="1321"/>
      <c r="BL166" s="1321"/>
      <c r="BM166" s="1321"/>
      <c r="BN166" s="1321"/>
      <c r="BO166" s="1321"/>
      <c r="BP166" s="1321"/>
      <c r="BQ166" s="1321"/>
      <c r="BR166" s="1321"/>
      <c r="BS166" s="1321"/>
      <c r="BT166" s="1321"/>
      <c r="BU166" s="1321"/>
      <c r="BV166" s="1321"/>
      <c r="BW166" s="1321"/>
      <c r="BX166" s="1321"/>
      <c r="BY166" s="1321"/>
      <c r="BZ166" s="1321"/>
      <c r="CA166" s="1321"/>
      <c r="CB166" s="1321"/>
      <c r="CC166" s="1321"/>
      <c r="CD166" s="1321"/>
      <c r="CE166" s="1321"/>
      <c r="CF166" s="1321"/>
      <c r="CG166" s="1321"/>
      <c r="CH166" s="1321"/>
      <c r="CI166" s="1321"/>
      <c r="CJ166" s="1321"/>
      <c r="CK166" s="1321"/>
      <c r="CL166" s="1321"/>
      <c r="CM166" s="1321"/>
      <c r="CN166" s="1321"/>
      <c r="CO166" s="1321"/>
      <c r="CP166" s="1321"/>
      <c r="CQ166" s="1321"/>
      <c r="CR166" s="1321"/>
      <c r="CS166" s="1321"/>
      <c r="CT166" s="1321"/>
      <c r="CU166" s="1321"/>
      <c r="CV166" s="1321"/>
      <c r="CW166" s="1321"/>
      <c r="CX166" s="1321"/>
      <c r="CY166" s="1321"/>
      <c r="CZ166" s="1321"/>
      <c r="DA166" s="1321"/>
      <c r="DB166" s="1321"/>
      <c r="DC166" s="1321"/>
      <c r="DD166" s="1321"/>
      <c r="DE166" s="1321"/>
      <c r="DF166" s="1321"/>
      <c r="DG166" s="1321"/>
      <c r="DH166" s="1321"/>
      <c r="DI166" s="1321"/>
      <c r="DJ166" s="1321"/>
      <c r="DK166" s="1321"/>
      <c r="DL166" s="1321"/>
      <c r="DM166" s="1321"/>
      <c r="DN166" s="1321"/>
      <c r="DO166" s="1321"/>
      <c r="DP166" s="1321"/>
      <c r="DQ166" s="1321"/>
      <c r="DR166" s="1321"/>
      <c r="DS166" s="1321"/>
      <c r="DT166" s="1321"/>
      <c r="DU166" s="1321"/>
      <c r="DV166" s="1321"/>
      <c r="DW166" s="1321"/>
      <c r="DX166" s="1321"/>
      <c r="DY166" s="1321"/>
      <c r="DZ166" s="1321"/>
      <c r="EA166" s="1321"/>
      <c r="EB166" s="1321"/>
      <c r="EC166" s="1321"/>
      <c r="ED166" s="1321"/>
      <c r="EE166" s="1321"/>
      <c r="EF166" s="1321"/>
      <c r="EG166" s="1321"/>
      <c r="EH166" s="1321"/>
      <c r="EI166" s="1321"/>
    </row>
    <row r="167" spans="1:139" s="180" customFormat="1" ht="12.75" customHeight="1" x14ac:dyDescent="0.2">
      <c r="A167" s="273"/>
      <c r="B167" s="430" t="s">
        <v>451</v>
      </c>
      <c r="C167" s="352">
        <v>0</v>
      </c>
      <c r="D167" s="352">
        <v>0.5</v>
      </c>
      <c r="E167" s="352">
        <v>1</v>
      </c>
      <c r="F167" s="352">
        <v>0</v>
      </c>
      <c r="G167" s="352">
        <v>0</v>
      </c>
      <c r="H167" s="352">
        <f>SUM(C167:G167)</f>
        <v>1.5</v>
      </c>
      <c r="I167" s="353"/>
      <c r="J167" s="353"/>
      <c r="K167" s="353"/>
      <c r="L167" s="526">
        <f>((C167*$C$10)+(D167*$D$10)+(E167*$E$10)+(F167*$F$10))</f>
        <v>87.647999999999996</v>
      </c>
      <c r="M167" s="291">
        <v>0</v>
      </c>
      <c r="N167" s="291">
        <v>0</v>
      </c>
      <c r="O167" s="333">
        <f>'Table 1'!L184</f>
        <v>14.25</v>
      </c>
      <c r="P167" s="290">
        <f>(C167+D167+E167+F167)*O167</f>
        <v>21.375</v>
      </c>
      <c r="Q167" s="291">
        <f>(M167+N167)*O167</f>
        <v>0</v>
      </c>
      <c r="R167" s="526">
        <f>(L167+M167+N167)*O167</f>
        <v>1248.9839999999999</v>
      </c>
      <c r="S167" s="263" t="s">
        <v>199</v>
      </c>
      <c r="T167" s="292" t="str">
        <f t="shared" ref="T167:V168" si="56">IF($S167="RP",O167,"")</f>
        <v/>
      </c>
      <c r="U167" s="293" t="str">
        <f t="shared" si="56"/>
        <v/>
      </c>
      <c r="V167" s="122" t="str">
        <f t="shared" si="56"/>
        <v/>
      </c>
      <c r="W167" s="293">
        <f t="shared" ref="W167:Y168" si="57">IF($S167="RK",O167,"")</f>
        <v>14.25</v>
      </c>
      <c r="X167" s="293">
        <f t="shared" si="57"/>
        <v>21.375</v>
      </c>
      <c r="Y167" s="122">
        <f t="shared" si="57"/>
        <v>0</v>
      </c>
      <c r="AG167" s="1321"/>
      <c r="AH167" s="1321"/>
      <c r="AI167" s="1321"/>
      <c r="AJ167" s="1321"/>
      <c r="AK167" s="1321"/>
      <c r="AL167" s="1321"/>
      <c r="AM167" s="1321"/>
      <c r="AN167" s="1321"/>
      <c r="AO167" s="1321"/>
      <c r="AP167" s="1321"/>
      <c r="AQ167" s="1321"/>
      <c r="AR167" s="1321"/>
      <c r="AS167" s="1321"/>
      <c r="AT167" s="1321"/>
      <c r="AU167" s="1321"/>
      <c r="AV167" s="1321"/>
      <c r="AW167" s="1321"/>
      <c r="AX167" s="1321"/>
      <c r="AY167" s="1321"/>
      <c r="AZ167" s="1321"/>
      <c r="BA167" s="1321"/>
      <c r="BB167" s="1321"/>
      <c r="BC167" s="1321"/>
      <c r="BD167" s="1321"/>
      <c r="BE167" s="1321"/>
      <c r="BF167" s="1321"/>
      <c r="BG167" s="1321"/>
      <c r="BH167" s="1321"/>
      <c r="BI167" s="1321"/>
      <c r="BJ167" s="1321"/>
      <c r="BK167" s="1321"/>
      <c r="BL167" s="1321"/>
      <c r="BM167" s="1321"/>
      <c r="BN167" s="1321"/>
      <c r="BO167" s="1321"/>
      <c r="BP167" s="1321"/>
      <c r="BQ167" s="1321"/>
      <c r="BR167" s="1321"/>
      <c r="BS167" s="1321"/>
      <c r="BT167" s="1321"/>
      <c r="BU167" s="1321"/>
      <c r="BV167" s="1321"/>
      <c r="BW167" s="1321"/>
      <c r="BX167" s="1321"/>
      <c r="BY167" s="1321"/>
      <c r="BZ167" s="1321"/>
      <c r="CA167" s="1321"/>
      <c r="CB167" s="1321"/>
      <c r="CC167" s="1321"/>
      <c r="CD167" s="1321"/>
      <c r="CE167" s="1321"/>
      <c r="CF167" s="1321"/>
      <c r="CG167" s="1321"/>
      <c r="CH167" s="1321"/>
      <c r="CI167" s="1321"/>
      <c r="CJ167" s="1321"/>
      <c r="CK167" s="1321"/>
      <c r="CL167" s="1321"/>
      <c r="CM167" s="1321"/>
      <c r="CN167" s="1321"/>
      <c r="CO167" s="1321"/>
      <c r="CP167" s="1321"/>
      <c r="CQ167" s="1321"/>
      <c r="CR167" s="1321"/>
      <c r="CS167" s="1321"/>
      <c r="CT167" s="1321"/>
      <c r="CU167" s="1321"/>
      <c r="CV167" s="1321"/>
      <c r="CW167" s="1321"/>
      <c r="CX167" s="1321"/>
      <c r="CY167" s="1321"/>
      <c r="CZ167" s="1321"/>
      <c r="DA167" s="1321"/>
      <c r="DB167" s="1321"/>
      <c r="DC167" s="1321"/>
      <c r="DD167" s="1321"/>
      <c r="DE167" s="1321"/>
      <c r="DF167" s="1321"/>
      <c r="DG167" s="1321"/>
      <c r="DH167" s="1321"/>
      <c r="DI167" s="1321"/>
      <c r="DJ167" s="1321"/>
      <c r="DK167" s="1321"/>
      <c r="DL167" s="1321"/>
      <c r="DM167" s="1321"/>
      <c r="DN167" s="1321"/>
      <c r="DO167" s="1321"/>
      <c r="DP167" s="1321"/>
      <c r="DQ167" s="1321"/>
      <c r="DR167" s="1321"/>
      <c r="DS167" s="1321"/>
      <c r="DT167" s="1321"/>
      <c r="DU167" s="1321"/>
      <c r="DV167" s="1321"/>
      <c r="DW167" s="1321"/>
      <c r="DX167" s="1321"/>
      <c r="DY167" s="1321"/>
      <c r="DZ167" s="1321"/>
      <c r="EA167" s="1321"/>
      <c r="EB167" s="1321"/>
      <c r="EC167" s="1321"/>
      <c r="ED167" s="1321"/>
      <c r="EE167" s="1321"/>
      <c r="EF167" s="1321"/>
      <c r="EG167" s="1321"/>
      <c r="EH167" s="1321"/>
      <c r="EI167" s="1321"/>
    </row>
    <row r="168" spans="1:139" s="180" customFormat="1" ht="12.75" customHeight="1" x14ac:dyDescent="0.2">
      <c r="A168" s="207"/>
      <c r="B168" s="225" t="s">
        <v>391</v>
      </c>
      <c r="C168" s="396">
        <v>0</v>
      </c>
      <c r="D168" s="513">
        <v>0.25</v>
      </c>
      <c r="E168" s="1316">
        <v>0</v>
      </c>
      <c r="F168" s="1316">
        <v>0.25</v>
      </c>
      <c r="G168" s="1316">
        <v>0</v>
      </c>
      <c r="H168" s="418">
        <f>SUM(C168:G168)</f>
        <v>0.5</v>
      </c>
      <c r="I168" s="419"/>
      <c r="J168" s="419"/>
      <c r="K168" s="419"/>
      <c r="L168" s="552">
        <f>((C168*$C$10)+(D168*$D$10)+(E168*$E$10)+(F168*$F$10))</f>
        <v>24.724</v>
      </c>
      <c r="M168" s="420">
        <v>0</v>
      </c>
      <c r="N168" s="422">
        <v>1</v>
      </c>
      <c r="O168" s="402">
        <f>O167</f>
        <v>14.25</v>
      </c>
      <c r="P168" s="421">
        <f>(C168+D168+E168+F168)*O168</f>
        <v>7.125</v>
      </c>
      <c r="Q168" s="242">
        <f>(M168+N168)*O168</f>
        <v>14.25</v>
      </c>
      <c r="R168" s="563">
        <f>(L168+M168+N168)*O168</f>
        <v>366.56700000000001</v>
      </c>
      <c r="S168" s="263" t="s">
        <v>199</v>
      </c>
      <c r="T168" s="292" t="str">
        <f t="shared" si="56"/>
        <v/>
      </c>
      <c r="U168" s="293" t="str">
        <f t="shared" si="56"/>
        <v/>
      </c>
      <c r="V168" s="122" t="str">
        <f t="shared" si="56"/>
        <v/>
      </c>
      <c r="W168" s="293">
        <f t="shared" si="57"/>
        <v>14.25</v>
      </c>
      <c r="X168" s="293">
        <f t="shared" si="57"/>
        <v>7.125</v>
      </c>
      <c r="Y168" s="122">
        <f t="shared" si="57"/>
        <v>14.25</v>
      </c>
      <c r="AG168" s="1321"/>
      <c r="AH168" s="1321"/>
      <c r="AI168" s="1321"/>
      <c r="AJ168" s="1321"/>
      <c r="AK168" s="1321"/>
      <c r="AL168" s="1321"/>
      <c r="AM168" s="1321"/>
      <c r="AN168" s="1321"/>
      <c r="AO168" s="1321"/>
      <c r="AP168" s="1321"/>
      <c r="AQ168" s="1321"/>
      <c r="AR168" s="1321"/>
      <c r="AS168" s="1321"/>
      <c r="AT168" s="1321"/>
      <c r="AU168" s="1321"/>
      <c r="AV168" s="1321"/>
      <c r="AW168" s="1321"/>
      <c r="AX168" s="1321"/>
      <c r="AY168" s="1321"/>
      <c r="AZ168" s="1321"/>
      <c r="BA168" s="1321"/>
      <c r="BB168" s="1321"/>
      <c r="BC168" s="1321"/>
      <c r="BD168" s="1321"/>
      <c r="BE168" s="1321"/>
      <c r="BF168" s="1321"/>
      <c r="BG168" s="1321"/>
      <c r="BH168" s="1321"/>
      <c r="BI168" s="1321"/>
      <c r="BJ168" s="1321"/>
      <c r="BK168" s="1321"/>
      <c r="BL168" s="1321"/>
      <c r="BM168" s="1321"/>
      <c r="BN168" s="1321"/>
      <c r="BO168" s="1321"/>
      <c r="BP168" s="1321"/>
      <c r="BQ168" s="1321"/>
      <c r="BR168" s="1321"/>
      <c r="BS168" s="1321"/>
      <c r="BT168" s="1321"/>
      <c r="BU168" s="1321"/>
      <c r="BV168" s="1321"/>
      <c r="BW168" s="1321"/>
      <c r="BX168" s="1321"/>
      <c r="BY168" s="1321"/>
      <c r="BZ168" s="1321"/>
      <c r="CA168" s="1321"/>
      <c r="CB168" s="1321"/>
      <c r="CC168" s="1321"/>
      <c r="CD168" s="1321"/>
      <c r="CE168" s="1321"/>
      <c r="CF168" s="1321"/>
      <c r="CG168" s="1321"/>
      <c r="CH168" s="1321"/>
      <c r="CI168" s="1321"/>
      <c r="CJ168" s="1321"/>
      <c r="CK168" s="1321"/>
      <c r="CL168" s="1321"/>
      <c r="CM168" s="1321"/>
      <c r="CN168" s="1321"/>
      <c r="CO168" s="1321"/>
      <c r="CP168" s="1321"/>
      <c r="CQ168" s="1321"/>
      <c r="CR168" s="1321"/>
      <c r="CS168" s="1321"/>
      <c r="CT168" s="1321"/>
      <c r="CU168" s="1321"/>
      <c r="CV168" s="1321"/>
      <c r="CW168" s="1321"/>
      <c r="CX168" s="1321"/>
      <c r="CY168" s="1321"/>
      <c r="CZ168" s="1321"/>
      <c r="DA168" s="1321"/>
      <c r="DB168" s="1321"/>
      <c r="DC168" s="1321"/>
      <c r="DD168" s="1321"/>
      <c r="DE168" s="1321"/>
      <c r="DF168" s="1321"/>
      <c r="DG168" s="1321"/>
      <c r="DH168" s="1321"/>
      <c r="DI168" s="1321"/>
      <c r="DJ168" s="1321"/>
      <c r="DK168" s="1321"/>
      <c r="DL168" s="1321"/>
      <c r="DM168" s="1321"/>
      <c r="DN168" s="1321"/>
      <c r="DO168" s="1321"/>
      <c r="DP168" s="1321"/>
      <c r="DQ168" s="1321"/>
      <c r="DR168" s="1321"/>
      <c r="DS168" s="1321"/>
      <c r="DT168" s="1321"/>
      <c r="DU168" s="1321"/>
      <c r="DV168" s="1321"/>
      <c r="DW168" s="1321"/>
      <c r="DX168" s="1321"/>
      <c r="DY168" s="1321"/>
      <c r="DZ168" s="1321"/>
      <c r="EA168" s="1321"/>
      <c r="EB168" s="1321"/>
      <c r="EC168" s="1321"/>
      <c r="ED168" s="1321"/>
      <c r="EE168" s="1321"/>
      <c r="EF168" s="1321"/>
      <c r="EG168" s="1321"/>
      <c r="EH168" s="1321"/>
      <c r="EI168" s="1321"/>
    </row>
    <row r="169" spans="1:139" s="180" customFormat="1" ht="12.75" customHeight="1" x14ac:dyDescent="0.2">
      <c r="A169" s="210" t="s">
        <v>606</v>
      </c>
      <c r="B169" s="265"/>
      <c r="C169" s="311"/>
      <c r="D169" s="311"/>
      <c r="E169" s="311"/>
      <c r="F169" s="311"/>
      <c r="G169" s="311"/>
      <c r="H169" s="311"/>
      <c r="I169" s="314"/>
      <c r="J169" s="314"/>
      <c r="K169" s="314"/>
      <c r="L169" s="534"/>
      <c r="M169" s="315"/>
      <c r="N169" s="291"/>
      <c r="O169" s="316"/>
      <c r="P169" s="317"/>
      <c r="Q169" s="317"/>
      <c r="R169" s="526"/>
      <c r="S169" s="291"/>
      <c r="T169" s="353"/>
      <c r="U169" s="353"/>
      <c r="V169" s="291"/>
      <c r="W169" s="353"/>
      <c r="X169" s="353"/>
      <c r="Y169" s="291"/>
      <c r="AG169" s="1321"/>
      <c r="AH169" s="1321"/>
      <c r="AI169" s="1321"/>
      <c r="AJ169" s="1321"/>
      <c r="AK169" s="1321"/>
      <c r="AL169" s="1321"/>
      <c r="AM169" s="1321"/>
      <c r="AN169" s="1321"/>
      <c r="AO169" s="1321"/>
      <c r="AP169" s="1321"/>
      <c r="AQ169" s="1321"/>
      <c r="AR169" s="1321"/>
      <c r="AS169" s="1321"/>
      <c r="AT169" s="1321"/>
      <c r="AU169" s="1321"/>
      <c r="AV169" s="1321"/>
      <c r="AW169" s="1321"/>
      <c r="AX169" s="1321"/>
      <c r="AY169" s="1321"/>
      <c r="AZ169" s="1321"/>
      <c r="BA169" s="1321"/>
      <c r="BB169" s="1321"/>
      <c r="BC169" s="1321"/>
      <c r="BD169" s="1321"/>
      <c r="BE169" s="1321"/>
      <c r="BF169" s="1321"/>
      <c r="BG169" s="1321"/>
      <c r="BH169" s="1321"/>
      <c r="BI169" s="1321"/>
      <c r="BJ169" s="1321"/>
      <c r="BK169" s="1321"/>
      <c r="BL169" s="1321"/>
      <c r="BM169" s="1321"/>
      <c r="BN169" s="1321"/>
      <c r="BO169" s="1321"/>
      <c r="BP169" s="1321"/>
      <c r="BQ169" s="1321"/>
      <c r="BR169" s="1321"/>
      <c r="BS169" s="1321"/>
      <c r="BT169" s="1321"/>
      <c r="BU169" s="1321"/>
      <c r="BV169" s="1321"/>
      <c r="BW169" s="1321"/>
      <c r="BX169" s="1321"/>
      <c r="BY169" s="1321"/>
      <c r="BZ169" s="1321"/>
      <c r="CA169" s="1321"/>
      <c r="CB169" s="1321"/>
      <c r="CC169" s="1321"/>
      <c r="CD169" s="1321"/>
      <c r="CE169" s="1321"/>
      <c r="CF169" s="1321"/>
      <c r="CG169" s="1321"/>
      <c r="CH169" s="1321"/>
      <c r="CI169" s="1321"/>
      <c r="CJ169" s="1321"/>
      <c r="CK169" s="1321"/>
      <c r="CL169" s="1321"/>
      <c r="CM169" s="1321"/>
      <c r="CN169" s="1321"/>
      <c r="CO169" s="1321"/>
      <c r="CP169" s="1321"/>
      <c r="CQ169" s="1321"/>
      <c r="CR169" s="1321"/>
      <c r="CS169" s="1321"/>
      <c r="CT169" s="1321"/>
      <c r="CU169" s="1321"/>
      <c r="CV169" s="1321"/>
      <c r="CW169" s="1321"/>
      <c r="CX169" s="1321"/>
      <c r="CY169" s="1321"/>
      <c r="CZ169" s="1321"/>
      <c r="DA169" s="1321"/>
      <c r="DB169" s="1321"/>
      <c r="DC169" s="1321"/>
      <c r="DD169" s="1321"/>
      <c r="DE169" s="1321"/>
      <c r="DF169" s="1321"/>
      <c r="DG169" s="1321"/>
      <c r="DH169" s="1321"/>
      <c r="DI169" s="1321"/>
      <c r="DJ169" s="1321"/>
      <c r="DK169" s="1321"/>
      <c r="DL169" s="1321"/>
      <c r="DM169" s="1321"/>
      <c r="DN169" s="1321"/>
      <c r="DO169" s="1321"/>
      <c r="DP169" s="1321"/>
      <c r="DQ169" s="1321"/>
      <c r="DR169" s="1321"/>
      <c r="DS169" s="1321"/>
      <c r="DT169" s="1321"/>
      <c r="DU169" s="1321"/>
      <c r="DV169" s="1321"/>
      <c r="DW169" s="1321"/>
      <c r="DX169" s="1321"/>
      <c r="DY169" s="1321"/>
      <c r="DZ169" s="1321"/>
      <c r="EA169" s="1321"/>
      <c r="EB169" s="1321"/>
      <c r="EC169" s="1321"/>
      <c r="ED169" s="1321"/>
      <c r="EE169" s="1321"/>
      <c r="EF169" s="1321"/>
      <c r="EG169" s="1321"/>
      <c r="EH169" s="1321"/>
      <c r="EI169" s="1321"/>
    </row>
    <row r="170" spans="1:139" s="180" customFormat="1" ht="12.75" customHeight="1" x14ac:dyDescent="0.2">
      <c r="A170" s="309"/>
      <c r="B170" s="310" t="s">
        <v>452</v>
      </c>
      <c r="C170" s="318">
        <v>0</v>
      </c>
      <c r="D170" s="318">
        <v>0.5</v>
      </c>
      <c r="E170" s="318">
        <v>5</v>
      </c>
      <c r="F170" s="318">
        <v>0</v>
      </c>
      <c r="G170" s="318">
        <v>0</v>
      </c>
      <c r="H170" s="249">
        <f>SUM(C170:G170)</f>
        <v>5.5</v>
      </c>
      <c r="I170" s="250"/>
      <c r="J170" s="250"/>
      <c r="K170" s="250"/>
      <c r="L170" s="533">
        <f>((C170*$C$10)+(D170*$D$10)+(E170*$E$10)+(F170*$F$10))</f>
        <v>297.12</v>
      </c>
      <c r="M170" s="251">
        <v>0</v>
      </c>
      <c r="N170" s="252">
        <v>0</v>
      </c>
      <c r="O170" s="320">
        <f>'Table 1'!L192</f>
        <v>0</v>
      </c>
      <c r="P170" s="312">
        <f>(C170+D170+E170+F170)*O170</f>
        <v>0</v>
      </c>
      <c r="Q170" s="291">
        <f>(M170+N170)*O170</f>
        <v>0</v>
      </c>
      <c r="R170" s="261">
        <f>(L170+M170+N170)*O170</f>
        <v>0</v>
      </c>
      <c r="S170" s="263" t="s">
        <v>199</v>
      </c>
      <c r="T170" s="292" t="str">
        <f t="shared" ref="T170:V171" si="58">IF($S170="RP",O170,"")</f>
        <v/>
      </c>
      <c r="U170" s="293" t="str">
        <f t="shared" si="58"/>
        <v/>
      </c>
      <c r="V170" s="122" t="str">
        <f t="shared" si="58"/>
        <v/>
      </c>
      <c r="W170" s="293">
        <f t="shared" ref="W170:Y171" si="59">IF($S170="RK",O170,"")</f>
        <v>0</v>
      </c>
      <c r="X170" s="293">
        <f t="shared" si="59"/>
        <v>0</v>
      </c>
      <c r="Y170" s="122">
        <f t="shared" si="59"/>
        <v>0</v>
      </c>
      <c r="AG170" s="1321"/>
      <c r="AH170" s="1321"/>
      <c r="AI170" s="1321"/>
      <c r="AJ170" s="1321"/>
      <c r="AK170" s="1321"/>
      <c r="AL170" s="1321"/>
      <c r="AM170" s="1321"/>
      <c r="AN170" s="1321"/>
      <c r="AO170" s="1321"/>
      <c r="AP170" s="1321"/>
      <c r="AQ170" s="1321"/>
      <c r="AR170" s="1321"/>
      <c r="AS170" s="1321"/>
      <c r="AT170" s="1321"/>
      <c r="AU170" s="1321"/>
      <c r="AV170" s="1321"/>
      <c r="AW170" s="1321"/>
      <c r="AX170" s="1321"/>
      <c r="AY170" s="1321"/>
      <c r="AZ170" s="1321"/>
      <c r="BA170" s="1321"/>
      <c r="BB170" s="1321"/>
      <c r="BC170" s="1321"/>
      <c r="BD170" s="1321"/>
      <c r="BE170" s="1321"/>
      <c r="BF170" s="1321"/>
      <c r="BG170" s="1321"/>
      <c r="BH170" s="1321"/>
      <c r="BI170" s="1321"/>
      <c r="BJ170" s="1321"/>
      <c r="BK170" s="1321"/>
      <c r="BL170" s="1321"/>
      <c r="BM170" s="1321"/>
      <c r="BN170" s="1321"/>
      <c r="BO170" s="1321"/>
      <c r="BP170" s="1321"/>
      <c r="BQ170" s="1321"/>
      <c r="BR170" s="1321"/>
      <c r="BS170" s="1321"/>
      <c r="BT170" s="1321"/>
      <c r="BU170" s="1321"/>
      <c r="BV170" s="1321"/>
      <c r="BW170" s="1321"/>
      <c r="BX170" s="1321"/>
      <c r="BY170" s="1321"/>
      <c r="BZ170" s="1321"/>
      <c r="CA170" s="1321"/>
      <c r="CB170" s="1321"/>
      <c r="CC170" s="1321"/>
      <c r="CD170" s="1321"/>
      <c r="CE170" s="1321"/>
      <c r="CF170" s="1321"/>
      <c r="CG170" s="1321"/>
      <c r="CH170" s="1321"/>
      <c r="CI170" s="1321"/>
      <c r="CJ170" s="1321"/>
      <c r="CK170" s="1321"/>
      <c r="CL170" s="1321"/>
      <c r="CM170" s="1321"/>
      <c r="CN170" s="1321"/>
      <c r="CO170" s="1321"/>
      <c r="CP170" s="1321"/>
      <c r="CQ170" s="1321"/>
      <c r="CR170" s="1321"/>
      <c r="CS170" s="1321"/>
      <c r="CT170" s="1321"/>
      <c r="CU170" s="1321"/>
      <c r="CV170" s="1321"/>
      <c r="CW170" s="1321"/>
      <c r="CX170" s="1321"/>
      <c r="CY170" s="1321"/>
      <c r="CZ170" s="1321"/>
      <c r="DA170" s="1321"/>
      <c r="DB170" s="1321"/>
      <c r="DC170" s="1321"/>
      <c r="DD170" s="1321"/>
      <c r="DE170" s="1321"/>
      <c r="DF170" s="1321"/>
      <c r="DG170" s="1321"/>
      <c r="DH170" s="1321"/>
      <c r="DI170" s="1321"/>
      <c r="DJ170" s="1321"/>
      <c r="DK170" s="1321"/>
      <c r="DL170" s="1321"/>
      <c r="DM170" s="1321"/>
      <c r="DN170" s="1321"/>
      <c r="DO170" s="1321"/>
      <c r="DP170" s="1321"/>
      <c r="DQ170" s="1321"/>
      <c r="DR170" s="1321"/>
      <c r="DS170" s="1321"/>
      <c r="DT170" s="1321"/>
      <c r="DU170" s="1321"/>
      <c r="DV170" s="1321"/>
      <c r="DW170" s="1321"/>
      <c r="DX170" s="1321"/>
      <c r="DY170" s="1321"/>
      <c r="DZ170" s="1321"/>
      <c r="EA170" s="1321"/>
      <c r="EB170" s="1321"/>
      <c r="EC170" s="1321"/>
      <c r="ED170" s="1321"/>
      <c r="EE170" s="1321"/>
      <c r="EF170" s="1321"/>
      <c r="EG170" s="1321"/>
      <c r="EH170" s="1321"/>
      <c r="EI170" s="1321"/>
    </row>
    <row r="171" spans="1:139" s="180" customFormat="1" ht="12.75" customHeight="1" x14ac:dyDescent="0.2">
      <c r="A171" s="309"/>
      <c r="B171" s="431" t="s">
        <v>372</v>
      </c>
      <c r="C171" s="318">
        <v>0</v>
      </c>
      <c r="D171" s="318">
        <v>0.25</v>
      </c>
      <c r="E171" s="318">
        <v>0</v>
      </c>
      <c r="F171" s="318">
        <v>0.25</v>
      </c>
      <c r="G171" s="318">
        <v>0</v>
      </c>
      <c r="H171" s="249">
        <f>SUM(C171:G171)</f>
        <v>0.5</v>
      </c>
      <c r="I171" s="250"/>
      <c r="J171" s="250"/>
      <c r="K171" s="250"/>
      <c r="L171" s="555">
        <f>((C171*$C$10)+(D171*$D$10)+(E171*$E$10)+(F171*$F$10))</f>
        <v>24.724</v>
      </c>
      <c r="M171" s="251">
        <v>0</v>
      </c>
      <c r="N171" s="319">
        <v>1</v>
      </c>
      <c r="O171" s="320">
        <f>O170</f>
        <v>0</v>
      </c>
      <c r="P171" s="312">
        <f>(C171+D171+E171+F171)*O171</f>
        <v>0</v>
      </c>
      <c r="Q171" s="298">
        <f>(M171+N171)*O171</f>
        <v>0</v>
      </c>
      <c r="R171" s="261">
        <f>(L171+M171+N171)*O171</f>
        <v>0</v>
      </c>
      <c r="S171" s="263" t="s">
        <v>200</v>
      </c>
      <c r="T171" s="292">
        <f t="shared" si="58"/>
        <v>0</v>
      </c>
      <c r="U171" s="293">
        <f t="shared" si="58"/>
        <v>0</v>
      </c>
      <c r="V171" s="122">
        <f t="shared" si="58"/>
        <v>0</v>
      </c>
      <c r="W171" s="293" t="str">
        <f t="shared" si="59"/>
        <v/>
      </c>
      <c r="X171" s="293" t="str">
        <f t="shared" si="59"/>
        <v/>
      </c>
      <c r="Y171" s="122" t="str">
        <f t="shared" si="59"/>
        <v/>
      </c>
      <c r="AG171" s="1321"/>
      <c r="AH171" s="1321"/>
      <c r="AI171" s="1321"/>
      <c r="AJ171" s="1321"/>
      <c r="AK171" s="1321"/>
      <c r="AL171" s="1321"/>
      <c r="AM171" s="1321"/>
      <c r="AN171" s="1321"/>
      <c r="AO171" s="1321"/>
      <c r="AP171" s="1321"/>
      <c r="AQ171" s="1321"/>
      <c r="AR171" s="1321"/>
      <c r="AS171" s="1321"/>
      <c r="AT171" s="1321"/>
      <c r="AU171" s="1321"/>
      <c r="AV171" s="1321"/>
      <c r="AW171" s="1321"/>
      <c r="AX171" s="1321"/>
      <c r="AY171" s="1321"/>
      <c r="AZ171" s="1321"/>
      <c r="BA171" s="1321"/>
      <c r="BB171" s="1321"/>
      <c r="BC171" s="1321"/>
      <c r="BD171" s="1321"/>
      <c r="BE171" s="1321"/>
      <c r="BF171" s="1321"/>
      <c r="BG171" s="1321"/>
      <c r="BH171" s="1321"/>
      <c r="BI171" s="1321"/>
      <c r="BJ171" s="1321"/>
      <c r="BK171" s="1321"/>
      <c r="BL171" s="1321"/>
      <c r="BM171" s="1321"/>
      <c r="BN171" s="1321"/>
      <c r="BO171" s="1321"/>
      <c r="BP171" s="1321"/>
      <c r="BQ171" s="1321"/>
      <c r="BR171" s="1321"/>
      <c r="BS171" s="1321"/>
      <c r="BT171" s="1321"/>
      <c r="BU171" s="1321"/>
      <c r="BV171" s="1321"/>
      <c r="BW171" s="1321"/>
      <c r="BX171" s="1321"/>
      <c r="BY171" s="1321"/>
      <c r="BZ171" s="1321"/>
      <c r="CA171" s="1321"/>
      <c r="CB171" s="1321"/>
      <c r="CC171" s="1321"/>
      <c r="CD171" s="1321"/>
      <c r="CE171" s="1321"/>
      <c r="CF171" s="1321"/>
      <c r="CG171" s="1321"/>
      <c r="CH171" s="1321"/>
      <c r="CI171" s="1321"/>
      <c r="CJ171" s="1321"/>
      <c r="CK171" s="1321"/>
      <c r="CL171" s="1321"/>
      <c r="CM171" s="1321"/>
      <c r="CN171" s="1321"/>
      <c r="CO171" s="1321"/>
      <c r="CP171" s="1321"/>
      <c r="CQ171" s="1321"/>
      <c r="CR171" s="1321"/>
      <c r="CS171" s="1321"/>
      <c r="CT171" s="1321"/>
      <c r="CU171" s="1321"/>
      <c r="CV171" s="1321"/>
      <c r="CW171" s="1321"/>
      <c r="CX171" s="1321"/>
      <c r="CY171" s="1321"/>
      <c r="CZ171" s="1321"/>
      <c r="DA171" s="1321"/>
      <c r="DB171" s="1321"/>
      <c r="DC171" s="1321"/>
      <c r="DD171" s="1321"/>
      <c r="DE171" s="1321"/>
      <c r="DF171" s="1321"/>
      <c r="DG171" s="1321"/>
      <c r="DH171" s="1321"/>
      <c r="DI171" s="1321"/>
      <c r="DJ171" s="1321"/>
      <c r="DK171" s="1321"/>
      <c r="DL171" s="1321"/>
      <c r="DM171" s="1321"/>
      <c r="DN171" s="1321"/>
      <c r="DO171" s="1321"/>
      <c r="DP171" s="1321"/>
      <c r="DQ171" s="1321"/>
      <c r="DR171" s="1321"/>
      <c r="DS171" s="1321"/>
      <c r="DT171" s="1321"/>
      <c r="DU171" s="1321"/>
      <c r="DV171" s="1321"/>
      <c r="DW171" s="1321"/>
      <c r="DX171" s="1321"/>
      <c r="DY171" s="1321"/>
      <c r="DZ171" s="1321"/>
      <c r="EA171" s="1321"/>
      <c r="EB171" s="1321"/>
      <c r="EC171" s="1321"/>
      <c r="ED171" s="1321"/>
      <c r="EE171" s="1321"/>
      <c r="EF171" s="1321"/>
      <c r="EG171" s="1321"/>
      <c r="EH171" s="1321"/>
      <c r="EI171" s="1321"/>
    </row>
    <row r="172" spans="1:139" s="180" customFormat="1" ht="12.75" customHeight="1" x14ac:dyDescent="0.2">
      <c r="A172" s="210" t="s">
        <v>607</v>
      </c>
      <c r="C172" s="417"/>
      <c r="D172" s="417"/>
      <c r="E172" s="417"/>
      <c r="F172" s="417"/>
      <c r="G172" s="417"/>
      <c r="H172" s="417"/>
      <c r="I172" s="453"/>
      <c r="J172" s="453"/>
      <c r="K172" s="453"/>
      <c r="L172" s="556"/>
      <c r="M172" s="454"/>
      <c r="N172" s="365"/>
      <c r="O172" s="402"/>
      <c r="P172" s="455"/>
      <c r="Q172" s="455"/>
      <c r="R172" s="365"/>
      <c r="S172" s="193"/>
      <c r="T172" s="185"/>
      <c r="U172" s="240"/>
      <c r="W172" s="185"/>
      <c r="X172" s="185"/>
      <c r="AG172" s="1321"/>
      <c r="AH172" s="1321"/>
      <c r="AI172" s="1321"/>
      <c r="AJ172" s="1321"/>
      <c r="AK172" s="1321"/>
      <c r="AL172" s="1321"/>
      <c r="AM172" s="1321"/>
      <c r="AN172" s="1321"/>
      <c r="AO172" s="1321"/>
      <c r="AP172" s="1321"/>
      <c r="AQ172" s="1321"/>
      <c r="AR172" s="1321"/>
      <c r="AS172" s="1321"/>
      <c r="AT172" s="1321"/>
      <c r="AU172" s="1321"/>
      <c r="AV172" s="1321"/>
      <c r="AW172" s="1321"/>
      <c r="AX172" s="1321"/>
      <c r="AY172" s="1321"/>
      <c r="AZ172" s="1321"/>
      <c r="BA172" s="1321"/>
      <c r="BB172" s="1321"/>
      <c r="BC172" s="1321"/>
      <c r="BD172" s="1321"/>
      <c r="BE172" s="1321"/>
      <c r="BF172" s="1321"/>
      <c r="BG172" s="1321"/>
      <c r="BH172" s="1321"/>
      <c r="BI172" s="1321"/>
      <c r="BJ172" s="1321"/>
      <c r="BK172" s="1321"/>
      <c r="BL172" s="1321"/>
      <c r="BM172" s="1321"/>
      <c r="BN172" s="1321"/>
      <c r="BO172" s="1321"/>
      <c r="BP172" s="1321"/>
      <c r="BQ172" s="1321"/>
      <c r="BR172" s="1321"/>
      <c r="BS172" s="1321"/>
      <c r="BT172" s="1321"/>
      <c r="BU172" s="1321"/>
      <c r="BV172" s="1321"/>
      <c r="BW172" s="1321"/>
      <c r="BX172" s="1321"/>
      <c r="BY172" s="1321"/>
      <c r="BZ172" s="1321"/>
      <c r="CA172" s="1321"/>
      <c r="CB172" s="1321"/>
      <c r="CC172" s="1321"/>
      <c r="CD172" s="1321"/>
      <c r="CE172" s="1321"/>
      <c r="CF172" s="1321"/>
      <c r="CG172" s="1321"/>
      <c r="CH172" s="1321"/>
      <c r="CI172" s="1321"/>
      <c r="CJ172" s="1321"/>
      <c r="CK172" s="1321"/>
      <c r="CL172" s="1321"/>
      <c r="CM172" s="1321"/>
      <c r="CN172" s="1321"/>
      <c r="CO172" s="1321"/>
      <c r="CP172" s="1321"/>
      <c r="CQ172" s="1321"/>
      <c r="CR172" s="1321"/>
      <c r="CS172" s="1321"/>
      <c r="CT172" s="1321"/>
      <c r="CU172" s="1321"/>
      <c r="CV172" s="1321"/>
      <c r="CW172" s="1321"/>
      <c r="CX172" s="1321"/>
      <c r="CY172" s="1321"/>
      <c r="CZ172" s="1321"/>
      <c r="DA172" s="1321"/>
      <c r="DB172" s="1321"/>
      <c r="DC172" s="1321"/>
      <c r="DD172" s="1321"/>
      <c r="DE172" s="1321"/>
      <c r="DF172" s="1321"/>
      <c r="DG172" s="1321"/>
      <c r="DH172" s="1321"/>
      <c r="DI172" s="1321"/>
      <c r="DJ172" s="1321"/>
      <c r="DK172" s="1321"/>
      <c r="DL172" s="1321"/>
      <c r="DM172" s="1321"/>
      <c r="DN172" s="1321"/>
      <c r="DO172" s="1321"/>
      <c r="DP172" s="1321"/>
      <c r="DQ172" s="1321"/>
      <c r="DR172" s="1321"/>
      <c r="DS172" s="1321"/>
      <c r="DT172" s="1321"/>
      <c r="DU172" s="1321"/>
      <c r="DV172" s="1321"/>
      <c r="DW172" s="1321"/>
      <c r="DX172" s="1321"/>
      <c r="DY172" s="1321"/>
      <c r="DZ172" s="1321"/>
      <c r="EA172" s="1321"/>
      <c r="EB172" s="1321"/>
      <c r="EC172" s="1321"/>
      <c r="ED172" s="1321"/>
      <c r="EE172" s="1321"/>
      <c r="EF172" s="1321"/>
      <c r="EG172" s="1321"/>
      <c r="EH172" s="1321"/>
      <c r="EI172" s="1321"/>
    </row>
    <row r="173" spans="1:139" s="180" customFormat="1" ht="12.75" customHeight="1" x14ac:dyDescent="0.2">
      <c r="A173" s="348"/>
      <c r="B173" s="354" t="s">
        <v>453</v>
      </c>
      <c r="C173" s="361"/>
      <c r="D173" s="361"/>
      <c r="E173" s="361"/>
      <c r="F173" s="361"/>
      <c r="G173" s="361"/>
      <c r="H173" s="361"/>
      <c r="I173" s="362"/>
      <c r="J173" s="362"/>
      <c r="K173" s="362"/>
      <c r="L173" s="544"/>
      <c r="M173" s="299"/>
      <c r="N173" s="299"/>
      <c r="O173" s="334"/>
      <c r="P173" s="297"/>
      <c r="Q173" s="297"/>
      <c r="R173" s="299"/>
      <c r="S173" s="193"/>
      <c r="T173" s="185"/>
      <c r="U173" s="240"/>
      <c r="W173" s="185"/>
      <c r="X173" s="185"/>
      <c r="AG173" s="1321"/>
      <c r="AH173" s="1321"/>
      <c r="AI173" s="1321"/>
      <c r="AJ173" s="1321"/>
      <c r="AK173" s="1321"/>
      <c r="AL173" s="1321"/>
      <c r="AM173" s="1321"/>
      <c r="AN173" s="1321"/>
      <c r="AO173" s="1321"/>
      <c r="AP173" s="1321"/>
      <c r="AQ173" s="1321"/>
      <c r="AR173" s="1321"/>
      <c r="AS173" s="1321"/>
      <c r="AT173" s="1321"/>
      <c r="AU173" s="1321"/>
      <c r="AV173" s="1321"/>
      <c r="AW173" s="1321"/>
      <c r="AX173" s="1321"/>
      <c r="AY173" s="1321"/>
      <c r="AZ173" s="1321"/>
      <c r="BA173" s="1321"/>
      <c r="BB173" s="1321"/>
      <c r="BC173" s="1321"/>
      <c r="BD173" s="1321"/>
      <c r="BE173" s="1321"/>
      <c r="BF173" s="1321"/>
      <c r="BG173" s="1321"/>
      <c r="BH173" s="1321"/>
      <c r="BI173" s="1321"/>
      <c r="BJ173" s="1321"/>
      <c r="BK173" s="1321"/>
      <c r="BL173" s="1321"/>
      <c r="BM173" s="1321"/>
      <c r="BN173" s="1321"/>
      <c r="BO173" s="1321"/>
      <c r="BP173" s="1321"/>
      <c r="BQ173" s="1321"/>
      <c r="BR173" s="1321"/>
      <c r="BS173" s="1321"/>
      <c r="BT173" s="1321"/>
      <c r="BU173" s="1321"/>
      <c r="BV173" s="1321"/>
      <c r="BW173" s="1321"/>
      <c r="BX173" s="1321"/>
      <c r="BY173" s="1321"/>
      <c r="BZ173" s="1321"/>
      <c r="CA173" s="1321"/>
      <c r="CB173" s="1321"/>
      <c r="CC173" s="1321"/>
      <c r="CD173" s="1321"/>
      <c r="CE173" s="1321"/>
      <c r="CF173" s="1321"/>
      <c r="CG173" s="1321"/>
      <c r="CH173" s="1321"/>
      <c r="CI173" s="1321"/>
      <c r="CJ173" s="1321"/>
      <c r="CK173" s="1321"/>
      <c r="CL173" s="1321"/>
      <c r="CM173" s="1321"/>
      <c r="CN173" s="1321"/>
      <c r="CO173" s="1321"/>
      <c r="CP173" s="1321"/>
      <c r="CQ173" s="1321"/>
      <c r="CR173" s="1321"/>
      <c r="CS173" s="1321"/>
      <c r="CT173" s="1321"/>
      <c r="CU173" s="1321"/>
      <c r="CV173" s="1321"/>
      <c r="CW173" s="1321"/>
      <c r="CX173" s="1321"/>
      <c r="CY173" s="1321"/>
      <c r="CZ173" s="1321"/>
      <c r="DA173" s="1321"/>
      <c r="DB173" s="1321"/>
      <c r="DC173" s="1321"/>
      <c r="DD173" s="1321"/>
      <c r="DE173" s="1321"/>
      <c r="DF173" s="1321"/>
      <c r="DG173" s="1321"/>
      <c r="DH173" s="1321"/>
      <c r="DI173" s="1321"/>
      <c r="DJ173" s="1321"/>
      <c r="DK173" s="1321"/>
      <c r="DL173" s="1321"/>
      <c r="DM173" s="1321"/>
      <c r="DN173" s="1321"/>
      <c r="DO173" s="1321"/>
      <c r="DP173" s="1321"/>
      <c r="DQ173" s="1321"/>
      <c r="DR173" s="1321"/>
      <c r="DS173" s="1321"/>
      <c r="DT173" s="1321"/>
      <c r="DU173" s="1321"/>
      <c r="DV173" s="1321"/>
      <c r="DW173" s="1321"/>
      <c r="DX173" s="1321"/>
      <c r="DY173" s="1321"/>
      <c r="DZ173" s="1321"/>
      <c r="EA173" s="1321"/>
      <c r="EB173" s="1321"/>
      <c r="EC173" s="1321"/>
      <c r="ED173" s="1321"/>
      <c r="EE173" s="1321"/>
      <c r="EF173" s="1321"/>
      <c r="EG173" s="1321"/>
      <c r="EH173" s="1321"/>
      <c r="EI173" s="1321"/>
    </row>
    <row r="174" spans="1:139" s="180" customFormat="1" ht="12.75" customHeight="1" x14ac:dyDescent="0.2">
      <c r="A174" s="224"/>
      <c r="B174" s="430" t="s">
        <v>454</v>
      </c>
      <c r="C174" s="318">
        <v>0</v>
      </c>
      <c r="D174" s="318">
        <v>1</v>
      </c>
      <c r="E174" s="318">
        <v>4</v>
      </c>
      <c r="F174" s="318">
        <v>0</v>
      </c>
      <c r="G174" s="318">
        <v>0</v>
      </c>
      <c r="H174" s="249">
        <f>SUM(C174:G174)</f>
        <v>5</v>
      </c>
      <c r="I174" s="250"/>
      <c r="J174" s="250"/>
      <c r="K174" s="250"/>
      <c r="L174" s="533">
        <f>((C174*$C$10)+(D174*$D$10)+(E174*$E$10)+(F174*$F$10))</f>
        <v>280.03199999999998</v>
      </c>
      <c r="M174" s="251">
        <v>0</v>
      </c>
      <c r="N174" s="252">
        <v>0</v>
      </c>
      <c r="O174" s="320">
        <f>'Table 1'!L195</f>
        <v>0</v>
      </c>
      <c r="P174" s="312">
        <f>(C174+D174+E174+F174)*O174</f>
        <v>0</v>
      </c>
      <c r="Q174" s="291">
        <f>(M174+N174)*O174</f>
        <v>0</v>
      </c>
      <c r="R174" s="261">
        <f>(L174+M174+N174)*O174</f>
        <v>0</v>
      </c>
      <c r="S174" s="263" t="s">
        <v>199</v>
      </c>
      <c r="T174" s="292" t="str">
        <f t="shared" ref="T174:V175" si="60">IF($S174="RP",O174,"")</f>
        <v/>
      </c>
      <c r="U174" s="293" t="str">
        <f t="shared" si="60"/>
        <v/>
      </c>
      <c r="V174" s="122" t="str">
        <f t="shared" si="60"/>
        <v/>
      </c>
      <c r="W174" s="293">
        <f t="shared" ref="W174:Y175" si="61">IF($S174="RK",O174,"")</f>
        <v>0</v>
      </c>
      <c r="X174" s="293">
        <f t="shared" si="61"/>
        <v>0</v>
      </c>
      <c r="Y174" s="122">
        <f t="shared" si="61"/>
        <v>0</v>
      </c>
      <c r="AG174" s="1321"/>
      <c r="AH174" s="1321"/>
      <c r="AI174" s="1321"/>
      <c r="AJ174" s="1321"/>
      <c r="AK174" s="1321"/>
      <c r="AL174" s="1321"/>
      <c r="AM174" s="1321"/>
      <c r="AN174" s="1321"/>
      <c r="AO174" s="1321"/>
      <c r="AP174" s="1321"/>
      <c r="AQ174" s="1321"/>
      <c r="AR174" s="1321"/>
      <c r="AS174" s="1321"/>
      <c r="AT174" s="1321"/>
      <c r="AU174" s="1321"/>
      <c r="AV174" s="1321"/>
      <c r="AW174" s="1321"/>
      <c r="AX174" s="1321"/>
      <c r="AY174" s="1321"/>
      <c r="AZ174" s="1321"/>
      <c r="BA174" s="1321"/>
      <c r="BB174" s="1321"/>
      <c r="BC174" s="1321"/>
      <c r="BD174" s="1321"/>
      <c r="BE174" s="1321"/>
      <c r="BF174" s="1321"/>
      <c r="BG174" s="1321"/>
      <c r="BH174" s="1321"/>
      <c r="BI174" s="1321"/>
      <c r="BJ174" s="1321"/>
      <c r="BK174" s="1321"/>
      <c r="BL174" s="1321"/>
      <c r="BM174" s="1321"/>
      <c r="BN174" s="1321"/>
      <c r="BO174" s="1321"/>
      <c r="BP174" s="1321"/>
      <c r="BQ174" s="1321"/>
      <c r="BR174" s="1321"/>
      <c r="BS174" s="1321"/>
      <c r="BT174" s="1321"/>
      <c r="BU174" s="1321"/>
      <c r="BV174" s="1321"/>
      <c r="BW174" s="1321"/>
      <c r="BX174" s="1321"/>
      <c r="BY174" s="1321"/>
      <c r="BZ174" s="1321"/>
      <c r="CA174" s="1321"/>
      <c r="CB174" s="1321"/>
      <c r="CC174" s="1321"/>
      <c r="CD174" s="1321"/>
      <c r="CE174" s="1321"/>
      <c r="CF174" s="1321"/>
      <c r="CG174" s="1321"/>
      <c r="CH174" s="1321"/>
      <c r="CI174" s="1321"/>
      <c r="CJ174" s="1321"/>
      <c r="CK174" s="1321"/>
      <c r="CL174" s="1321"/>
      <c r="CM174" s="1321"/>
      <c r="CN174" s="1321"/>
      <c r="CO174" s="1321"/>
      <c r="CP174" s="1321"/>
      <c r="CQ174" s="1321"/>
      <c r="CR174" s="1321"/>
      <c r="CS174" s="1321"/>
      <c r="CT174" s="1321"/>
      <c r="CU174" s="1321"/>
      <c r="CV174" s="1321"/>
      <c r="CW174" s="1321"/>
      <c r="CX174" s="1321"/>
      <c r="CY174" s="1321"/>
      <c r="CZ174" s="1321"/>
      <c r="DA174" s="1321"/>
      <c r="DB174" s="1321"/>
      <c r="DC174" s="1321"/>
      <c r="DD174" s="1321"/>
      <c r="DE174" s="1321"/>
      <c r="DF174" s="1321"/>
      <c r="DG174" s="1321"/>
      <c r="DH174" s="1321"/>
      <c r="DI174" s="1321"/>
      <c r="DJ174" s="1321"/>
      <c r="DK174" s="1321"/>
      <c r="DL174" s="1321"/>
      <c r="DM174" s="1321"/>
      <c r="DN174" s="1321"/>
      <c r="DO174" s="1321"/>
      <c r="DP174" s="1321"/>
      <c r="DQ174" s="1321"/>
      <c r="DR174" s="1321"/>
      <c r="DS174" s="1321"/>
      <c r="DT174" s="1321"/>
      <c r="DU174" s="1321"/>
      <c r="DV174" s="1321"/>
      <c r="DW174" s="1321"/>
      <c r="DX174" s="1321"/>
      <c r="DY174" s="1321"/>
      <c r="DZ174" s="1321"/>
      <c r="EA174" s="1321"/>
      <c r="EB174" s="1321"/>
      <c r="EC174" s="1321"/>
      <c r="ED174" s="1321"/>
      <c r="EE174" s="1321"/>
      <c r="EF174" s="1321"/>
      <c r="EG174" s="1321"/>
      <c r="EH174" s="1321"/>
      <c r="EI174" s="1321"/>
    </row>
    <row r="175" spans="1:139" s="180" customFormat="1" ht="12.75" customHeight="1" x14ac:dyDescent="0.2">
      <c r="A175" s="221"/>
      <c r="B175" s="211" t="s">
        <v>391</v>
      </c>
      <c r="C175" s="396">
        <v>0</v>
      </c>
      <c r="D175" s="396">
        <v>0.25</v>
      </c>
      <c r="E175" s="396">
        <v>0</v>
      </c>
      <c r="F175" s="396">
        <v>0.25</v>
      </c>
      <c r="G175" s="396">
        <v>0</v>
      </c>
      <c r="H175" s="267">
        <f>SUM(C175:G175)</f>
        <v>0.5</v>
      </c>
      <c r="I175" s="268"/>
      <c r="J175" s="268"/>
      <c r="K175" s="268"/>
      <c r="L175" s="547">
        <f>((C175*$C$10)+(D175*$D$10)+(E175*$E$10)+(F175*$F$10))</f>
        <v>24.724</v>
      </c>
      <c r="M175" s="269">
        <v>0</v>
      </c>
      <c r="N175" s="270">
        <v>1</v>
      </c>
      <c r="O175" s="399">
        <f>O174</f>
        <v>0</v>
      </c>
      <c r="P175" s="373">
        <f>(C175+D175+E175+F175)*O175</f>
        <v>0</v>
      </c>
      <c r="Q175" s="488">
        <f>(M175+N175)*O175</f>
        <v>0</v>
      </c>
      <c r="R175" s="488">
        <f>(L175+M175+N175)*O175</f>
        <v>0</v>
      </c>
      <c r="S175" s="456" t="s">
        <v>200</v>
      </c>
      <c r="T175" s="292">
        <f t="shared" si="60"/>
        <v>0</v>
      </c>
      <c r="U175" s="293">
        <f t="shared" si="60"/>
        <v>0</v>
      </c>
      <c r="V175" s="122">
        <f t="shared" si="60"/>
        <v>0</v>
      </c>
      <c r="W175" s="293" t="str">
        <f t="shared" si="61"/>
        <v/>
      </c>
      <c r="X175" s="293" t="str">
        <f t="shared" si="61"/>
        <v/>
      </c>
      <c r="Y175" s="122" t="str">
        <f t="shared" si="61"/>
        <v/>
      </c>
      <c r="AG175" s="1321"/>
      <c r="AH175" s="1321"/>
      <c r="AI175" s="1321"/>
      <c r="AJ175" s="1321"/>
      <c r="AK175" s="1321"/>
      <c r="AL175" s="1321"/>
      <c r="AM175" s="1321"/>
      <c r="AN175" s="1321"/>
      <c r="AO175" s="1321"/>
      <c r="AP175" s="1321"/>
      <c r="AQ175" s="1321"/>
      <c r="AR175" s="1321"/>
      <c r="AS175" s="1321"/>
      <c r="AT175" s="1321"/>
      <c r="AU175" s="1321"/>
      <c r="AV175" s="1321"/>
      <c r="AW175" s="1321"/>
      <c r="AX175" s="1321"/>
      <c r="AY175" s="1321"/>
      <c r="AZ175" s="1321"/>
      <c r="BA175" s="1321"/>
      <c r="BB175" s="1321"/>
      <c r="BC175" s="1321"/>
      <c r="BD175" s="1321"/>
      <c r="BE175" s="1321"/>
      <c r="BF175" s="1321"/>
      <c r="BG175" s="1321"/>
      <c r="BH175" s="1321"/>
      <c r="BI175" s="1321"/>
      <c r="BJ175" s="1321"/>
      <c r="BK175" s="1321"/>
      <c r="BL175" s="1321"/>
      <c r="BM175" s="1321"/>
      <c r="BN175" s="1321"/>
      <c r="BO175" s="1321"/>
      <c r="BP175" s="1321"/>
      <c r="BQ175" s="1321"/>
      <c r="BR175" s="1321"/>
      <c r="BS175" s="1321"/>
      <c r="BT175" s="1321"/>
      <c r="BU175" s="1321"/>
      <c r="BV175" s="1321"/>
      <c r="BW175" s="1321"/>
      <c r="BX175" s="1321"/>
      <c r="BY175" s="1321"/>
      <c r="BZ175" s="1321"/>
      <c r="CA175" s="1321"/>
      <c r="CB175" s="1321"/>
      <c r="CC175" s="1321"/>
      <c r="CD175" s="1321"/>
      <c r="CE175" s="1321"/>
      <c r="CF175" s="1321"/>
      <c r="CG175" s="1321"/>
      <c r="CH175" s="1321"/>
      <c r="CI175" s="1321"/>
      <c r="CJ175" s="1321"/>
      <c r="CK175" s="1321"/>
      <c r="CL175" s="1321"/>
      <c r="CM175" s="1321"/>
      <c r="CN175" s="1321"/>
      <c r="CO175" s="1321"/>
      <c r="CP175" s="1321"/>
      <c r="CQ175" s="1321"/>
      <c r="CR175" s="1321"/>
      <c r="CS175" s="1321"/>
      <c r="CT175" s="1321"/>
      <c r="CU175" s="1321"/>
      <c r="CV175" s="1321"/>
      <c r="CW175" s="1321"/>
      <c r="CX175" s="1321"/>
      <c r="CY175" s="1321"/>
      <c r="CZ175" s="1321"/>
      <c r="DA175" s="1321"/>
      <c r="DB175" s="1321"/>
      <c r="DC175" s="1321"/>
      <c r="DD175" s="1321"/>
      <c r="DE175" s="1321"/>
      <c r="DF175" s="1321"/>
      <c r="DG175" s="1321"/>
      <c r="DH175" s="1321"/>
      <c r="DI175" s="1321"/>
      <c r="DJ175" s="1321"/>
      <c r="DK175" s="1321"/>
      <c r="DL175" s="1321"/>
      <c r="DM175" s="1321"/>
      <c r="DN175" s="1321"/>
      <c r="DO175" s="1321"/>
      <c r="DP175" s="1321"/>
      <c r="DQ175" s="1321"/>
      <c r="DR175" s="1321"/>
      <c r="DS175" s="1321"/>
      <c r="DT175" s="1321"/>
      <c r="DU175" s="1321"/>
      <c r="DV175" s="1321"/>
      <c r="DW175" s="1321"/>
      <c r="DX175" s="1321"/>
      <c r="DY175" s="1321"/>
      <c r="DZ175" s="1321"/>
      <c r="EA175" s="1321"/>
      <c r="EB175" s="1321"/>
      <c r="EC175" s="1321"/>
      <c r="ED175" s="1321"/>
      <c r="EE175" s="1321"/>
      <c r="EF175" s="1321"/>
      <c r="EG175" s="1321"/>
      <c r="EH175" s="1321"/>
      <c r="EI175" s="1321"/>
    </row>
    <row r="176" spans="1:139" s="180" customFormat="1" ht="12.75" customHeight="1" x14ac:dyDescent="0.2">
      <c r="A176" s="276" t="s">
        <v>608</v>
      </c>
      <c r="B176" s="309"/>
      <c r="C176" s="417"/>
      <c r="D176" s="417"/>
      <c r="E176" s="417"/>
      <c r="F176" s="417"/>
      <c r="G176" s="417"/>
      <c r="H176" s="417"/>
      <c r="I176" s="453"/>
      <c r="J176" s="453"/>
      <c r="K176" s="453"/>
      <c r="L176" s="556"/>
      <c r="M176" s="454"/>
      <c r="N176" s="365"/>
      <c r="O176" s="402"/>
      <c r="P176" s="455"/>
      <c r="Q176" s="455"/>
      <c r="R176" s="527"/>
      <c r="S176" s="193"/>
      <c r="T176" s="292">
        <f t="shared" ref="T176:V177" si="62">IF($S176="RP",O176,"")</f>
        <v>0</v>
      </c>
      <c r="U176" s="293">
        <f t="shared" si="62"/>
        <v>0</v>
      </c>
      <c r="V176" s="122">
        <f t="shared" si="62"/>
        <v>0</v>
      </c>
      <c r="W176" s="293">
        <f t="shared" ref="W176:Y177" si="63">IF($S176="RK",O176,"")</f>
        <v>0</v>
      </c>
      <c r="X176" s="293">
        <f t="shared" si="63"/>
        <v>0</v>
      </c>
      <c r="Y176" s="122">
        <f t="shared" si="63"/>
        <v>0</v>
      </c>
      <c r="AG176" s="1321"/>
      <c r="AH176" s="1321"/>
      <c r="AI176" s="1321"/>
      <c r="AJ176" s="1321"/>
      <c r="AK176" s="1321"/>
      <c r="AL176" s="1321"/>
      <c r="AM176" s="1321"/>
      <c r="AN176" s="1321"/>
      <c r="AO176" s="1321"/>
      <c r="AP176" s="1321"/>
      <c r="AQ176" s="1321"/>
      <c r="AR176" s="1321"/>
      <c r="AS176" s="1321"/>
      <c r="AT176" s="1321"/>
      <c r="AU176" s="1321"/>
      <c r="AV176" s="1321"/>
      <c r="AW176" s="1321"/>
      <c r="AX176" s="1321"/>
      <c r="AY176" s="1321"/>
      <c r="AZ176" s="1321"/>
      <c r="BA176" s="1321"/>
      <c r="BB176" s="1321"/>
      <c r="BC176" s="1321"/>
      <c r="BD176" s="1321"/>
      <c r="BE176" s="1321"/>
      <c r="BF176" s="1321"/>
      <c r="BG176" s="1321"/>
      <c r="BH176" s="1321"/>
      <c r="BI176" s="1321"/>
      <c r="BJ176" s="1321"/>
      <c r="BK176" s="1321"/>
      <c r="BL176" s="1321"/>
      <c r="BM176" s="1321"/>
      <c r="BN176" s="1321"/>
      <c r="BO176" s="1321"/>
      <c r="BP176" s="1321"/>
      <c r="BQ176" s="1321"/>
      <c r="BR176" s="1321"/>
      <c r="BS176" s="1321"/>
      <c r="BT176" s="1321"/>
      <c r="BU176" s="1321"/>
      <c r="BV176" s="1321"/>
      <c r="BW176" s="1321"/>
      <c r="BX176" s="1321"/>
      <c r="BY176" s="1321"/>
      <c r="BZ176" s="1321"/>
      <c r="CA176" s="1321"/>
      <c r="CB176" s="1321"/>
      <c r="CC176" s="1321"/>
      <c r="CD176" s="1321"/>
      <c r="CE176" s="1321"/>
      <c r="CF176" s="1321"/>
      <c r="CG176" s="1321"/>
      <c r="CH176" s="1321"/>
      <c r="CI176" s="1321"/>
      <c r="CJ176" s="1321"/>
      <c r="CK176" s="1321"/>
      <c r="CL176" s="1321"/>
      <c r="CM176" s="1321"/>
      <c r="CN176" s="1321"/>
      <c r="CO176" s="1321"/>
      <c r="CP176" s="1321"/>
      <c r="CQ176" s="1321"/>
      <c r="CR176" s="1321"/>
      <c r="CS176" s="1321"/>
      <c r="CT176" s="1321"/>
      <c r="CU176" s="1321"/>
      <c r="CV176" s="1321"/>
      <c r="CW176" s="1321"/>
      <c r="CX176" s="1321"/>
      <c r="CY176" s="1321"/>
      <c r="CZ176" s="1321"/>
      <c r="DA176" s="1321"/>
      <c r="DB176" s="1321"/>
      <c r="DC176" s="1321"/>
      <c r="DD176" s="1321"/>
      <c r="DE176" s="1321"/>
      <c r="DF176" s="1321"/>
      <c r="DG176" s="1321"/>
      <c r="DH176" s="1321"/>
      <c r="DI176" s="1321"/>
      <c r="DJ176" s="1321"/>
      <c r="DK176" s="1321"/>
      <c r="DL176" s="1321"/>
      <c r="DM176" s="1321"/>
      <c r="DN176" s="1321"/>
      <c r="DO176" s="1321"/>
      <c r="DP176" s="1321"/>
      <c r="DQ176" s="1321"/>
      <c r="DR176" s="1321"/>
      <c r="DS176" s="1321"/>
      <c r="DT176" s="1321"/>
      <c r="DU176" s="1321"/>
      <c r="DV176" s="1321"/>
      <c r="DW176" s="1321"/>
      <c r="DX176" s="1321"/>
      <c r="DY176" s="1321"/>
      <c r="DZ176" s="1321"/>
      <c r="EA176" s="1321"/>
      <c r="EB176" s="1321"/>
      <c r="EC176" s="1321"/>
      <c r="ED176" s="1321"/>
      <c r="EE176" s="1321"/>
      <c r="EF176" s="1321"/>
      <c r="EG176" s="1321"/>
      <c r="EH176" s="1321"/>
      <c r="EI176" s="1321"/>
    </row>
    <row r="177" spans="1:139" s="180" customFormat="1" ht="12.75" customHeight="1" thickBot="1" x14ac:dyDescent="0.3">
      <c r="A177" s="425"/>
      <c r="B177" s="426" t="s">
        <v>455</v>
      </c>
      <c r="C177" s="418">
        <v>0</v>
      </c>
      <c r="D177" s="418">
        <v>3</v>
      </c>
      <c r="E177" s="418">
        <v>20</v>
      </c>
      <c r="F177" s="418">
        <v>2</v>
      </c>
      <c r="G177" s="418">
        <v>0</v>
      </c>
      <c r="H177" s="418">
        <f>SUM(C177:G177)</f>
        <v>25</v>
      </c>
      <c r="I177" s="453"/>
      <c r="J177" s="453"/>
      <c r="K177" s="453"/>
      <c r="L177" s="552">
        <f>((C177*$C$10)+(D177*$D$10)+(E177*$E$10)+(F177*$F$10))</f>
        <v>1315.712</v>
      </c>
      <c r="M177" s="454">
        <v>0</v>
      </c>
      <c r="N177" s="487">
        <v>1</v>
      </c>
      <c r="O177" s="402">
        <f>'Table 1'!L197</f>
        <v>14.25</v>
      </c>
      <c r="P177" s="427">
        <f>(C177+D177+E177+F177)*O177</f>
        <v>356.25</v>
      </c>
      <c r="Q177" s="487">
        <f>(M177+N177)*O177</f>
        <v>14.25</v>
      </c>
      <c r="R177" s="527">
        <f>(L177+M177+N177)*O177</f>
        <v>18763.146000000001</v>
      </c>
      <c r="S177" s="456" t="s">
        <v>199</v>
      </c>
      <c r="T177" s="292" t="str">
        <f t="shared" si="62"/>
        <v/>
      </c>
      <c r="U177" s="293" t="str">
        <f t="shared" si="62"/>
        <v/>
      </c>
      <c r="V177" s="122" t="str">
        <f t="shared" si="62"/>
        <v/>
      </c>
      <c r="W177" s="293">
        <f t="shared" si="63"/>
        <v>14.25</v>
      </c>
      <c r="X177" s="293">
        <f t="shared" si="63"/>
        <v>356.25</v>
      </c>
      <c r="Y177" s="122">
        <f t="shared" si="63"/>
        <v>14.25</v>
      </c>
      <c r="AG177" s="1321"/>
      <c r="AH177" s="1321"/>
      <c r="AI177" s="1321"/>
      <c r="AJ177" s="1321"/>
      <c r="AK177" s="1321"/>
      <c r="AL177" s="1321"/>
      <c r="AM177" s="1321"/>
      <c r="AN177" s="1321"/>
      <c r="AO177" s="1321"/>
      <c r="AP177" s="1321"/>
      <c r="AQ177" s="1321"/>
      <c r="AR177" s="1321"/>
      <c r="AS177" s="1321"/>
      <c r="AT177" s="1321"/>
      <c r="AU177" s="1321"/>
      <c r="AV177" s="1321"/>
      <c r="AW177" s="1321"/>
      <c r="AX177" s="1321"/>
      <c r="AY177" s="1321"/>
      <c r="AZ177" s="1321"/>
      <c r="BA177" s="1321"/>
      <c r="BB177" s="1321"/>
      <c r="BC177" s="1321"/>
      <c r="BD177" s="1321"/>
      <c r="BE177" s="1321"/>
      <c r="BF177" s="1321"/>
      <c r="BG177" s="1321"/>
      <c r="BH177" s="1321"/>
      <c r="BI177" s="1321"/>
      <c r="BJ177" s="1321"/>
      <c r="BK177" s="1321"/>
      <c r="BL177" s="1321"/>
      <c r="BM177" s="1321"/>
      <c r="BN177" s="1321"/>
      <c r="BO177" s="1321"/>
      <c r="BP177" s="1321"/>
      <c r="BQ177" s="1321"/>
      <c r="BR177" s="1321"/>
      <c r="BS177" s="1321"/>
      <c r="BT177" s="1321"/>
      <c r="BU177" s="1321"/>
      <c r="BV177" s="1321"/>
      <c r="BW177" s="1321"/>
      <c r="BX177" s="1321"/>
      <c r="BY177" s="1321"/>
      <c r="BZ177" s="1321"/>
      <c r="CA177" s="1321"/>
      <c r="CB177" s="1321"/>
      <c r="CC177" s="1321"/>
      <c r="CD177" s="1321"/>
      <c r="CE177" s="1321"/>
      <c r="CF177" s="1321"/>
      <c r="CG177" s="1321"/>
      <c r="CH177" s="1321"/>
      <c r="CI177" s="1321"/>
      <c r="CJ177" s="1321"/>
      <c r="CK177" s="1321"/>
      <c r="CL177" s="1321"/>
      <c r="CM177" s="1321"/>
      <c r="CN177" s="1321"/>
      <c r="CO177" s="1321"/>
      <c r="CP177" s="1321"/>
      <c r="CQ177" s="1321"/>
      <c r="CR177" s="1321"/>
      <c r="CS177" s="1321"/>
      <c r="CT177" s="1321"/>
      <c r="CU177" s="1321"/>
      <c r="CV177" s="1321"/>
      <c r="CW177" s="1321"/>
      <c r="CX177" s="1321"/>
      <c r="CY177" s="1321"/>
      <c r="CZ177" s="1321"/>
      <c r="DA177" s="1321"/>
      <c r="DB177" s="1321"/>
      <c r="DC177" s="1321"/>
      <c r="DD177" s="1321"/>
      <c r="DE177" s="1321"/>
      <c r="DF177" s="1321"/>
      <c r="DG177" s="1321"/>
      <c r="DH177" s="1321"/>
      <c r="DI177" s="1321"/>
      <c r="DJ177" s="1321"/>
      <c r="DK177" s="1321"/>
      <c r="DL177" s="1321"/>
      <c r="DM177" s="1321"/>
      <c r="DN177" s="1321"/>
      <c r="DO177" s="1321"/>
      <c r="DP177" s="1321"/>
      <c r="DQ177" s="1321"/>
      <c r="DR177" s="1321"/>
      <c r="DS177" s="1321"/>
      <c r="DT177" s="1321"/>
      <c r="DU177" s="1321"/>
      <c r="DV177" s="1321"/>
      <c r="DW177" s="1321"/>
      <c r="DX177" s="1321"/>
      <c r="DY177" s="1321"/>
      <c r="DZ177" s="1321"/>
      <c r="EA177" s="1321"/>
      <c r="EB177" s="1321"/>
      <c r="EC177" s="1321"/>
      <c r="ED177" s="1321"/>
      <c r="EE177" s="1321"/>
      <c r="EF177" s="1321"/>
      <c r="EG177" s="1321"/>
      <c r="EH177" s="1321"/>
      <c r="EI177" s="1321"/>
    </row>
    <row r="178" spans="1:139" s="346" customFormat="1" ht="12.75" customHeight="1" thickTop="1" x14ac:dyDescent="0.2">
      <c r="A178" s="657" t="s">
        <v>609</v>
      </c>
      <c r="B178" s="633"/>
      <c r="C178" s="257"/>
      <c r="D178" s="257"/>
      <c r="E178" s="257"/>
      <c r="F178" s="257"/>
      <c r="G178" s="257"/>
      <c r="H178" s="257"/>
      <c r="I178" s="432"/>
      <c r="J178" s="432"/>
      <c r="K178" s="432"/>
      <c r="L178" s="557"/>
      <c r="M178" s="433"/>
      <c r="N178" s="299"/>
      <c r="O178" s="473"/>
      <c r="P178" s="434"/>
      <c r="Q178" s="434"/>
      <c r="R178" s="544"/>
      <c r="S178" s="457"/>
      <c r="T178" s="458"/>
      <c r="U178" s="459"/>
      <c r="V178" s="460"/>
      <c r="W178" s="459"/>
      <c r="X178" s="459"/>
      <c r="Y178" s="460"/>
      <c r="AG178" s="1321"/>
      <c r="AH178" s="1321"/>
      <c r="AI178" s="1321"/>
      <c r="AJ178" s="1321"/>
      <c r="AK178" s="1321"/>
      <c r="AL178" s="1321"/>
      <c r="AM178" s="1321"/>
      <c r="AN178" s="1321"/>
      <c r="AO178" s="1321"/>
      <c r="AP178" s="1321"/>
      <c r="AQ178" s="1321"/>
      <c r="AR178" s="1321"/>
      <c r="AS178" s="1321"/>
      <c r="AT178" s="1321"/>
      <c r="AU178" s="1321"/>
      <c r="AV178" s="1321"/>
      <c r="AW178" s="1321"/>
      <c r="AX178" s="1321"/>
      <c r="AY178" s="1321"/>
      <c r="AZ178" s="1321"/>
      <c r="BA178" s="1321"/>
      <c r="BB178" s="1321"/>
      <c r="BC178" s="1321"/>
      <c r="BD178" s="1321"/>
      <c r="BE178" s="1321"/>
      <c r="BF178" s="1321"/>
      <c r="BG178" s="1321"/>
      <c r="BH178" s="1321"/>
      <c r="BI178" s="1321"/>
      <c r="BJ178" s="1321"/>
      <c r="BK178" s="1321"/>
      <c r="BL178" s="1321"/>
      <c r="BM178" s="1321"/>
      <c r="BN178" s="1321"/>
      <c r="BO178" s="1321"/>
      <c r="BP178" s="1321"/>
      <c r="BQ178" s="1321"/>
      <c r="BR178" s="1321"/>
      <c r="BS178" s="1321"/>
      <c r="BT178" s="1321"/>
      <c r="BU178" s="1321"/>
      <c r="BV178" s="1321"/>
      <c r="BW178" s="1321"/>
      <c r="BX178" s="1321"/>
      <c r="BY178" s="1321"/>
      <c r="BZ178" s="1321"/>
      <c r="CA178" s="1321"/>
      <c r="CB178" s="1321"/>
      <c r="CC178" s="1321"/>
      <c r="CD178" s="1321"/>
      <c r="CE178" s="1321"/>
      <c r="CF178" s="1321"/>
      <c r="CG178" s="1321"/>
      <c r="CH178" s="1321"/>
      <c r="CI178" s="1321"/>
      <c r="CJ178" s="1321"/>
      <c r="CK178" s="1321"/>
      <c r="CL178" s="1321"/>
      <c r="CM178" s="1321"/>
      <c r="CN178" s="1321"/>
      <c r="CO178" s="1321"/>
      <c r="CP178" s="1321"/>
      <c r="CQ178" s="1321"/>
      <c r="CR178" s="1321"/>
      <c r="CS178" s="1321"/>
      <c r="CT178" s="1321"/>
      <c r="CU178" s="1321"/>
      <c r="CV178" s="1321"/>
      <c r="CW178" s="1321"/>
      <c r="CX178" s="1321"/>
      <c r="CY178" s="1321"/>
      <c r="CZ178" s="1321"/>
      <c r="DA178" s="1321"/>
      <c r="DB178" s="1321"/>
      <c r="DC178" s="1321"/>
      <c r="DD178" s="1321"/>
      <c r="DE178" s="1321"/>
      <c r="DF178" s="1321"/>
      <c r="DG178" s="1321"/>
      <c r="DH178" s="1321"/>
      <c r="DI178" s="1321"/>
      <c r="DJ178" s="1321"/>
      <c r="DK178" s="1321"/>
      <c r="DL178" s="1321"/>
      <c r="DM178" s="1321"/>
      <c r="DN178" s="1321"/>
      <c r="DO178" s="1321"/>
      <c r="DP178" s="1321"/>
      <c r="DQ178" s="1321"/>
      <c r="DR178" s="1321"/>
      <c r="DS178" s="1321"/>
      <c r="DT178" s="1321"/>
      <c r="DU178" s="1321"/>
      <c r="DV178" s="1321"/>
      <c r="DW178" s="1321"/>
      <c r="DX178" s="1321"/>
      <c r="DY178" s="1321"/>
      <c r="DZ178" s="1321"/>
      <c r="EA178" s="1321"/>
      <c r="EB178" s="1321"/>
      <c r="EC178" s="1321"/>
      <c r="ED178" s="1321"/>
      <c r="EE178" s="1321"/>
      <c r="EF178" s="1321"/>
      <c r="EG178" s="1321"/>
      <c r="EH178" s="1321"/>
      <c r="EI178" s="1321"/>
    </row>
    <row r="179" spans="1:139" s="180" customFormat="1" ht="12.75" customHeight="1" x14ac:dyDescent="0.2">
      <c r="A179" s="435"/>
      <c r="B179" s="461" t="s">
        <v>456</v>
      </c>
      <c r="C179" s="382"/>
      <c r="D179" s="382"/>
      <c r="E179" s="382"/>
      <c r="F179" s="382"/>
      <c r="G179" s="382"/>
      <c r="H179" s="382"/>
      <c r="I179" s="383"/>
      <c r="J179" s="383"/>
      <c r="K179" s="383"/>
      <c r="L179" s="548"/>
      <c r="M179" s="384"/>
      <c r="N179" s="384"/>
      <c r="O179" s="342"/>
      <c r="P179" s="385"/>
      <c r="Q179" s="385"/>
      <c r="R179" s="548"/>
      <c r="S179" s="193"/>
      <c r="T179" s="239"/>
      <c r="U179" s="240"/>
      <c r="W179" s="185"/>
      <c r="X179" s="185"/>
      <c r="AG179" s="1321"/>
      <c r="AH179" s="1321"/>
      <c r="AI179" s="1321"/>
      <c r="AJ179" s="1321"/>
      <c r="AK179" s="1321"/>
      <c r="AL179" s="1321"/>
      <c r="AM179" s="1321"/>
      <c r="AN179" s="1321"/>
      <c r="AO179" s="1321"/>
      <c r="AP179" s="1321"/>
      <c r="AQ179" s="1321"/>
      <c r="AR179" s="1321"/>
      <c r="AS179" s="1321"/>
      <c r="AT179" s="1321"/>
      <c r="AU179" s="1321"/>
      <c r="AV179" s="1321"/>
      <c r="AW179" s="1321"/>
      <c r="AX179" s="1321"/>
      <c r="AY179" s="1321"/>
      <c r="AZ179" s="1321"/>
      <c r="BA179" s="1321"/>
      <c r="BB179" s="1321"/>
      <c r="BC179" s="1321"/>
      <c r="BD179" s="1321"/>
      <c r="BE179" s="1321"/>
      <c r="BF179" s="1321"/>
      <c r="BG179" s="1321"/>
      <c r="BH179" s="1321"/>
      <c r="BI179" s="1321"/>
      <c r="BJ179" s="1321"/>
      <c r="BK179" s="1321"/>
      <c r="BL179" s="1321"/>
      <c r="BM179" s="1321"/>
      <c r="BN179" s="1321"/>
      <c r="BO179" s="1321"/>
      <c r="BP179" s="1321"/>
      <c r="BQ179" s="1321"/>
      <c r="BR179" s="1321"/>
      <c r="BS179" s="1321"/>
      <c r="BT179" s="1321"/>
      <c r="BU179" s="1321"/>
      <c r="BV179" s="1321"/>
      <c r="BW179" s="1321"/>
      <c r="BX179" s="1321"/>
      <c r="BY179" s="1321"/>
      <c r="BZ179" s="1321"/>
      <c r="CA179" s="1321"/>
      <c r="CB179" s="1321"/>
      <c r="CC179" s="1321"/>
      <c r="CD179" s="1321"/>
      <c r="CE179" s="1321"/>
      <c r="CF179" s="1321"/>
      <c r="CG179" s="1321"/>
      <c r="CH179" s="1321"/>
      <c r="CI179" s="1321"/>
      <c r="CJ179" s="1321"/>
      <c r="CK179" s="1321"/>
      <c r="CL179" s="1321"/>
      <c r="CM179" s="1321"/>
      <c r="CN179" s="1321"/>
      <c r="CO179" s="1321"/>
      <c r="CP179" s="1321"/>
      <c r="CQ179" s="1321"/>
      <c r="CR179" s="1321"/>
      <c r="CS179" s="1321"/>
      <c r="CT179" s="1321"/>
      <c r="CU179" s="1321"/>
      <c r="CV179" s="1321"/>
      <c r="CW179" s="1321"/>
      <c r="CX179" s="1321"/>
      <c r="CY179" s="1321"/>
      <c r="CZ179" s="1321"/>
      <c r="DA179" s="1321"/>
      <c r="DB179" s="1321"/>
      <c r="DC179" s="1321"/>
      <c r="DD179" s="1321"/>
      <c r="DE179" s="1321"/>
      <c r="DF179" s="1321"/>
      <c r="DG179" s="1321"/>
      <c r="DH179" s="1321"/>
      <c r="DI179" s="1321"/>
      <c r="DJ179" s="1321"/>
      <c r="DK179" s="1321"/>
      <c r="DL179" s="1321"/>
      <c r="DM179" s="1321"/>
      <c r="DN179" s="1321"/>
      <c r="DO179" s="1321"/>
      <c r="DP179" s="1321"/>
      <c r="DQ179" s="1321"/>
      <c r="DR179" s="1321"/>
      <c r="DS179" s="1321"/>
      <c r="DT179" s="1321"/>
      <c r="DU179" s="1321"/>
      <c r="DV179" s="1321"/>
      <c r="DW179" s="1321"/>
      <c r="DX179" s="1321"/>
      <c r="DY179" s="1321"/>
      <c r="DZ179" s="1321"/>
      <c r="EA179" s="1321"/>
      <c r="EB179" s="1321"/>
      <c r="EC179" s="1321"/>
      <c r="ED179" s="1321"/>
      <c r="EE179" s="1321"/>
      <c r="EF179" s="1321"/>
      <c r="EG179" s="1321"/>
      <c r="EH179" s="1321"/>
      <c r="EI179" s="1321"/>
    </row>
    <row r="180" spans="1:139" s="180" customFormat="1" ht="12.75" customHeight="1" thickBot="1" x14ac:dyDescent="0.25">
      <c r="A180" s="372"/>
      <c r="B180" s="370" t="s">
        <v>457</v>
      </c>
      <c r="C180" s="243"/>
      <c r="D180" s="243"/>
      <c r="E180" s="243"/>
      <c r="F180" s="243"/>
      <c r="G180" s="243"/>
      <c r="H180" s="243"/>
      <c r="I180" s="244"/>
      <c r="J180" s="244"/>
      <c r="K180" s="244"/>
      <c r="L180" s="546"/>
      <c r="M180" s="245"/>
      <c r="N180" s="245"/>
      <c r="O180" s="334"/>
      <c r="P180" s="371"/>
      <c r="Q180" s="371"/>
      <c r="R180" s="554"/>
      <c r="S180" s="193"/>
      <c r="T180" s="239"/>
      <c r="U180" s="240"/>
      <c r="W180" s="185"/>
      <c r="X180" s="185"/>
      <c r="AG180" s="1321"/>
      <c r="AH180" s="1321"/>
      <c r="AI180" s="1321"/>
      <c r="AJ180" s="1321"/>
      <c r="AK180" s="1321"/>
      <c r="AL180" s="1321"/>
      <c r="AM180" s="1321"/>
      <c r="AN180" s="1321"/>
      <c r="AO180" s="1321"/>
      <c r="AP180" s="1321"/>
      <c r="AQ180" s="1321"/>
      <c r="AR180" s="1321"/>
      <c r="AS180" s="1321"/>
      <c r="AT180" s="1321"/>
      <c r="AU180" s="1321"/>
      <c r="AV180" s="1321"/>
      <c r="AW180" s="1321"/>
      <c r="AX180" s="1321"/>
      <c r="AY180" s="1321"/>
      <c r="AZ180" s="1321"/>
      <c r="BA180" s="1321"/>
      <c r="BB180" s="1321"/>
      <c r="BC180" s="1321"/>
      <c r="BD180" s="1321"/>
      <c r="BE180" s="1321"/>
      <c r="BF180" s="1321"/>
      <c r="BG180" s="1321"/>
      <c r="BH180" s="1321"/>
      <c r="BI180" s="1321"/>
      <c r="BJ180" s="1321"/>
      <c r="BK180" s="1321"/>
      <c r="BL180" s="1321"/>
      <c r="BM180" s="1321"/>
      <c r="BN180" s="1321"/>
      <c r="BO180" s="1321"/>
      <c r="BP180" s="1321"/>
      <c r="BQ180" s="1321"/>
      <c r="BR180" s="1321"/>
      <c r="BS180" s="1321"/>
      <c r="BT180" s="1321"/>
      <c r="BU180" s="1321"/>
      <c r="BV180" s="1321"/>
      <c r="BW180" s="1321"/>
      <c r="BX180" s="1321"/>
      <c r="BY180" s="1321"/>
      <c r="BZ180" s="1321"/>
      <c r="CA180" s="1321"/>
      <c r="CB180" s="1321"/>
      <c r="CC180" s="1321"/>
      <c r="CD180" s="1321"/>
      <c r="CE180" s="1321"/>
      <c r="CF180" s="1321"/>
      <c r="CG180" s="1321"/>
      <c r="CH180" s="1321"/>
      <c r="CI180" s="1321"/>
      <c r="CJ180" s="1321"/>
      <c r="CK180" s="1321"/>
      <c r="CL180" s="1321"/>
      <c r="CM180" s="1321"/>
      <c r="CN180" s="1321"/>
      <c r="CO180" s="1321"/>
      <c r="CP180" s="1321"/>
      <c r="CQ180" s="1321"/>
      <c r="CR180" s="1321"/>
      <c r="CS180" s="1321"/>
      <c r="CT180" s="1321"/>
      <c r="CU180" s="1321"/>
      <c r="CV180" s="1321"/>
      <c r="CW180" s="1321"/>
      <c r="CX180" s="1321"/>
      <c r="CY180" s="1321"/>
      <c r="CZ180" s="1321"/>
      <c r="DA180" s="1321"/>
      <c r="DB180" s="1321"/>
      <c r="DC180" s="1321"/>
      <c r="DD180" s="1321"/>
      <c r="DE180" s="1321"/>
      <c r="DF180" s="1321"/>
      <c r="DG180" s="1321"/>
      <c r="DH180" s="1321"/>
      <c r="DI180" s="1321"/>
      <c r="DJ180" s="1321"/>
      <c r="DK180" s="1321"/>
      <c r="DL180" s="1321"/>
      <c r="DM180" s="1321"/>
      <c r="DN180" s="1321"/>
      <c r="DO180" s="1321"/>
      <c r="DP180" s="1321"/>
      <c r="DQ180" s="1321"/>
      <c r="DR180" s="1321"/>
      <c r="DS180" s="1321"/>
      <c r="DT180" s="1321"/>
      <c r="DU180" s="1321"/>
      <c r="DV180" s="1321"/>
      <c r="DW180" s="1321"/>
      <c r="DX180" s="1321"/>
      <c r="DY180" s="1321"/>
      <c r="DZ180" s="1321"/>
      <c r="EA180" s="1321"/>
      <c r="EB180" s="1321"/>
      <c r="EC180" s="1321"/>
      <c r="ED180" s="1321"/>
      <c r="EE180" s="1321"/>
      <c r="EF180" s="1321"/>
      <c r="EG180" s="1321"/>
      <c r="EH180" s="1321"/>
      <c r="EI180" s="1321"/>
    </row>
    <row r="181" spans="1:139" s="180" customFormat="1" ht="12.75" customHeight="1" thickBot="1" x14ac:dyDescent="0.25">
      <c r="A181" s="375"/>
      <c r="B181" s="376" t="s">
        <v>458</v>
      </c>
      <c r="C181" s="247">
        <v>0</v>
      </c>
      <c r="D181" s="247">
        <v>0.5</v>
      </c>
      <c r="E181" s="247">
        <v>2</v>
      </c>
      <c r="F181" s="247">
        <v>0</v>
      </c>
      <c r="G181" s="248">
        <v>0</v>
      </c>
      <c r="H181" s="249">
        <f>SUM(C181:G181)</f>
        <v>2.5</v>
      </c>
      <c r="I181" s="250"/>
      <c r="J181" s="250"/>
      <c r="K181" s="250"/>
      <c r="L181" s="533">
        <f>((C181*$C$10)+(D181*$D$10)+(E181*$E$10)+(F181*$F$10))</f>
        <v>140.01599999999999</v>
      </c>
      <c r="M181" s="251">
        <v>0</v>
      </c>
      <c r="N181" s="252">
        <v>0</v>
      </c>
      <c r="O181" s="333">
        <f>'Table 1'!L211</f>
        <v>2.85</v>
      </c>
      <c r="P181" s="253">
        <f>(C181+D181+E181+F181)*O181</f>
        <v>7.125</v>
      </c>
      <c r="Q181" s="291">
        <f>(M181+N181)*O181</f>
        <v>0</v>
      </c>
      <c r="R181" s="569">
        <f>(L181+M181+N181)*O181</f>
        <v>399.04559999999998</v>
      </c>
      <c r="S181" s="193" t="s">
        <v>199</v>
      </c>
      <c r="T181" s="236" t="str">
        <f t="shared" ref="T181:V182" si="64">IF($S181="RP",O181,"")</f>
        <v/>
      </c>
      <c r="U181" s="237" t="str">
        <f t="shared" si="64"/>
        <v/>
      </c>
      <c r="V181" s="238" t="str">
        <f t="shared" si="64"/>
        <v/>
      </c>
      <c r="W181" s="237">
        <f t="shared" ref="W181:Y182" si="65">IF($S181="RK",O181,"")</f>
        <v>2.85</v>
      </c>
      <c r="X181" s="237">
        <f t="shared" si="65"/>
        <v>7.125</v>
      </c>
      <c r="Y181" s="238">
        <f t="shared" si="65"/>
        <v>0</v>
      </c>
      <c r="AG181" s="1321"/>
      <c r="AH181" s="1321"/>
      <c r="AI181" s="1321"/>
      <c r="AJ181" s="1321"/>
      <c r="AK181" s="1321"/>
      <c r="AL181" s="1321"/>
      <c r="AM181" s="1321"/>
      <c r="AN181" s="1321"/>
      <c r="AO181" s="1321"/>
      <c r="AP181" s="1321"/>
      <c r="AQ181" s="1321"/>
      <c r="AR181" s="1321"/>
      <c r="AS181" s="1321"/>
      <c r="AT181" s="1321"/>
      <c r="AU181" s="1321"/>
      <c r="AV181" s="1321"/>
      <c r="AW181" s="1321"/>
      <c r="AX181" s="1321"/>
      <c r="AY181" s="1321"/>
      <c r="AZ181" s="1321"/>
      <c r="BA181" s="1321"/>
      <c r="BB181" s="1321"/>
      <c r="BC181" s="1321"/>
      <c r="BD181" s="1321"/>
      <c r="BE181" s="1321"/>
      <c r="BF181" s="1321"/>
      <c r="BG181" s="1321"/>
      <c r="BH181" s="1321"/>
      <c r="BI181" s="1321"/>
      <c r="BJ181" s="1321"/>
      <c r="BK181" s="1321"/>
      <c r="BL181" s="1321"/>
      <c r="BM181" s="1321"/>
      <c r="BN181" s="1321"/>
      <c r="BO181" s="1321"/>
      <c r="BP181" s="1321"/>
      <c r="BQ181" s="1321"/>
      <c r="BR181" s="1321"/>
      <c r="BS181" s="1321"/>
      <c r="BT181" s="1321"/>
      <c r="BU181" s="1321"/>
      <c r="BV181" s="1321"/>
      <c r="BW181" s="1321"/>
      <c r="BX181" s="1321"/>
      <c r="BY181" s="1321"/>
      <c r="BZ181" s="1321"/>
      <c r="CA181" s="1321"/>
      <c r="CB181" s="1321"/>
      <c r="CC181" s="1321"/>
      <c r="CD181" s="1321"/>
      <c r="CE181" s="1321"/>
      <c r="CF181" s="1321"/>
      <c r="CG181" s="1321"/>
      <c r="CH181" s="1321"/>
      <c r="CI181" s="1321"/>
      <c r="CJ181" s="1321"/>
      <c r="CK181" s="1321"/>
      <c r="CL181" s="1321"/>
      <c r="CM181" s="1321"/>
      <c r="CN181" s="1321"/>
      <c r="CO181" s="1321"/>
      <c r="CP181" s="1321"/>
      <c r="CQ181" s="1321"/>
      <c r="CR181" s="1321"/>
      <c r="CS181" s="1321"/>
      <c r="CT181" s="1321"/>
      <c r="CU181" s="1321"/>
      <c r="CV181" s="1321"/>
      <c r="CW181" s="1321"/>
      <c r="CX181" s="1321"/>
      <c r="CY181" s="1321"/>
      <c r="CZ181" s="1321"/>
      <c r="DA181" s="1321"/>
      <c r="DB181" s="1321"/>
      <c r="DC181" s="1321"/>
      <c r="DD181" s="1321"/>
      <c r="DE181" s="1321"/>
      <c r="DF181" s="1321"/>
      <c r="DG181" s="1321"/>
      <c r="DH181" s="1321"/>
      <c r="DI181" s="1321"/>
      <c r="DJ181" s="1321"/>
      <c r="DK181" s="1321"/>
      <c r="DL181" s="1321"/>
      <c r="DM181" s="1321"/>
      <c r="DN181" s="1321"/>
      <c r="DO181" s="1321"/>
      <c r="DP181" s="1321"/>
      <c r="DQ181" s="1321"/>
      <c r="DR181" s="1321"/>
      <c r="DS181" s="1321"/>
      <c r="DT181" s="1321"/>
      <c r="DU181" s="1321"/>
      <c r="DV181" s="1321"/>
      <c r="DW181" s="1321"/>
      <c r="DX181" s="1321"/>
      <c r="DY181" s="1321"/>
      <c r="DZ181" s="1321"/>
      <c r="EA181" s="1321"/>
      <c r="EB181" s="1321"/>
      <c r="EC181" s="1321"/>
      <c r="ED181" s="1321"/>
      <c r="EE181" s="1321"/>
      <c r="EF181" s="1321"/>
      <c r="EG181" s="1321"/>
      <c r="EH181" s="1321"/>
      <c r="EI181" s="1321"/>
    </row>
    <row r="182" spans="1:139" s="180" customFormat="1" ht="12.75" customHeight="1" thickBot="1" x14ac:dyDescent="0.25">
      <c r="A182" s="462"/>
      <c r="B182" s="370" t="s">
        <v>372</v>
      </c>
      <c r="C182" s="256">
        <v>0</v>
      </c>
      <c r="D182" s="256">
        <v>0.25</v>
      </c>
      <c r="E182" s="256">
        <v>0</v>
      </c>
      <c r="F182" s="256">
        <v>0.25</v>
      </c>
      <c r="G182" s="257">
        <v>0</v>
      </c>
      <c r="H182" s="249">
        <f>SUM(C182:G182)</f>
        <v>0.5</v>
      </c>
      <c r="I182" s="250"/>
      <c r="J182" s="250"/>
      <c r="K182" s="250"/>
      <c r="L182" s="533">
        <f>((C182*$C$10)+(D182*$D$10)+(E182*$E$10)+(F182*$F$10))</f>
        <v>24.724</v>
      </c>
      <c r="M182" s="251">
        <v>0</v>
      </c>
      <c r="N182" s="319">
        <v>1</v>
      </c>
      <c r="O182" s="334">
        <f>O181</f>
        <v>2.85</v>
      </c>
      <c r="P182" s="253">
        <f>(C182+D182+E182+F182)*O182</f>
        <v>1.425</v>
      </c>
      <c r="Q182" s="298">
        <f>(M182+N182)*O182</f>
        <v>2.85</v>
      </c>
      <c r="R182" s="569">
        <f>(L182+M182+N182)*O182</f>
        <v>73.313400000000001</v>
      </c>
      <c r="S182" s="193" t="s">
        <v>200</v>
      </c>
      <c r="T182" s="236">
        <f t="shared" si="64"/>
        <v>2.85</v>
      </c>
      <c r="U182" s="237">
        <f t="shared" si="64"/>
        <v>1.425</v>
      </c>
      <c r="V182" s="238">
        <f t="shared" si="64"/>
        <v>2.85</v>
      </c>
      <c r="W182" s="237" t="str">
        <f t="shared" si="65"/>
        <v/>
      </c>
      <c r="X182" s="237" t="str">
        <f t="shared" si="65"/>
        <v/>
      </c>
      <c r="Y182" s="238" t="str">
        <f t="shared" si="65"/>
        <v/>
      </c>
      <c r="AG182" s="1321"/>
      <c r="AH182" s="1321"/>
      <c r="AI182" s="1321"/>
      <c r="AJ182" s="1321"/>
      <c r="AK182" s="1321"/>
      <c r="AL182" s="1321"/>
      <c r="AM182" s="1321"/>
      <c r="AN182" s="1321"/>
      <c r="AO182" s="1321"/>
      <c r="AP182" s="1321"/>
      <c r="AQ182" s="1321"/>
      <c r="AR182" s="1321"/>
      <c r="AS182" s="1321"/>
      <c r="AT182" s="1321"/>
      <c r="AU182" s="1321"/>
      <c r="AV182" s="1321"/>
      <c r="AW182" s="1321"/>
      <c r="AX182" s="1321"/>
      <c r="AY182" s="1321"/>
      <c r="AZ182" s="1321"/>
      <c r="BA182" s="1321"/>
      <c r="BB182" s="1321"/>
      <c r="BC182" s="1321"/>
      <c r="BD182" s="1321"/>
      <c r="BE182" s="1321"/>
      <c r="BF182" s="1321"/>
      <c r="BG182" s="1321"/>
      <c r="BH182" s="1321"/>
      <c r="BI182" s="1321"/>
      <c r="BJ182" s="1321"/>
      <c r="BK182" s="1321"/>
      <c r="BL182" s="1321"/>
      <c r="BM182" s="1321"/>
      <c r="BN182" s="1321"/>
      <c r="BO182" s="1321"/>
      <c r="BP182" s="1321"/>
      <c r="BQ182" s="1321"/>
      <c r="BR182" s="1321"/>
      <c r="BS182" s="1321"/>
      <c r="BT182" s="1321"/>
      <c r="BU182" s="1321"/>
      <c r="BV182" s="1321"/>
      <c r="BW182" s="1321"/>
      <c r="BX182" s="1321"/>
      <c r="BY182" s="1321"/>
      <c r="BZ182" s="1321"/>
      <c r="CA182" s="1321"/>
      <c r="CB182" s="1321"/>
      <c r="CC182" s="1321"/>
      <c r="CD182" s="1321"/>
      <c r="CE182" s="1321"/>
      <c r="CF182" s="1321"/>
      <c r="CG182" s="1321"/>
      <c r="CH182" s="1321"/>
      <c r="CI182" s="1321"/>
      <c r="CJ182" s="1321"/>
      <c r="CK182" s="1321"/>
      <c r="CL182" s="1321"/>
      <c r="CM182" s="1321"/>
      <c r="CN182" s="1321"/>
      <c r="CO182" s="1321"/>
      <c r="CP182" s="1321"/>
      <c r="CQ182" s="1321"/>
      <c r="CR182" s="1321"/>
      <c r="CS182" s="1321"/>
      <c r="CT182" s="1321"/>
      <c r="CU182" s="1321"/>
      <c r="CV182" s="1321"/>
      <c r="CW182" s="1321"/>
      <c r="CX182" s="1321"/>
      <c r="CY182" s="1321"/>
      <c r="CZ182" s="1321"/>
      <c r="DA182" s="1321"/>
      <c r="DB182" s="1321"/>
      <c r="DC182" s="1321"/>
      <c r="DD182" s="1321"/>
      <c r="DE182" s="1321"/>
      <c r="DF182" s="1321"/>
      <c r="DG182" s="1321"/>
      <c r="DH182" s="1321"/>
      <c r="DI182" s="1321"/>
      <c r="DJ182" s="1321"/>
      <c r="DK182" s="1321"/>
      <c r="DL182" s="1321"/>
      <c r="DM182" s="1321"/>
      <c r="DN182" s="1321"/>
      <c r="DO182" s="1321"/>
      <c r="DP182" s="1321"/>
      <c r="DQ182" s="1321"/>
      <c r="DR182" s="1321"/>
      <c r="DS182" s="1321"/>
      <c r="DT182" s="1321"/>
      <c r="DU182" s="1321"/>
      <c r="DV182" s="1321"/>
      <c r="DW182" s="1321"/>
      <c r="DX182" s="1321"/>
      <c r="DY182" s="1321"/>
      <c r="DZ182" s="1321"/>
      <c r="EA182" s="1321"/>
      <c r="EB182" s="1321"/>
      <c r="EC182" s="1321"/>
      <c r="ED182" s="1321"/>
      <c r="EE182" s="1321"/>
      <c r="EF182" s="1321"/>
      <c r="EG182" s="1321"/>
      <c r="EH182" s="1321"/>
      <c r="EI182" s="1321"/>
    </row>
    <row r="183" spans="1:139" s="180" customFormat="1" ht="12.75" customHeight="1" x14ac:dyDescent="0.2">
      <c r="A183" s="278" t="s">
        <v>610</v>
      </c>
      <c r="B183" s="279"/>
      <c r="C183" s="280"/>
      <c r="D183" s="280"/>
      <c r="E183" s="280"/>
      <c r="F183" s="280"/>
      <c r="G183" s="280"/>
      <c r="H183" s="280"/>
      <c r="I183" s="281"/>
      <c r="J183" s="281"/>
      <c r="K183" s="281"/>
      <c r="L183" s="535"/>
      <c r="M183" s="282"/>
      <c r="N183" s="283"/>
      <c r="O183" s="402"/>
      <c r="P183" s="284"/>
      <c r="Q183" s="284"/>
      <c r="R183" s="562"/>
      <c r="S183" s="193"/>
      <c r="T183" s="239"/>
      <c r="U183" s="240"/>
      <c r="W183" s="185"/>
      <c r="X183" s="185"/>
      <c r="AG183" s="1321"/>
      <c r="AH183" s="1321"/>
      <c r="AI183" s="1321"/>
      <c r="AJ183" s="1321"/>
      <c r="AK183" s="1321"/>
      <c r="AL183" s="1321"/>
      <c r="AM183" s="1321"/>
      <c r="AN183" s="1321"/>
      <c r="AO183" s="1321"/>
      <c r="AP183" s="1321"/>
      <c r="AQ183" s="1321"/>
      <c r="AR183" s="1321"/>
      <c r="AS183" s="1321"/>
      <c r="AT183" s="1321"/>
      <c r="AU183" s="1321"/>
      <c r="AV183" s="1321"/>
      <c r="AW183" s="1321"/>
      <c r="AX183" s="1321"/>
      <c r="AY183" s="1321"/>
      <c r="AZ183" s="1321"/>
      <c r="BA183" s="1321"/>
      <c r="BB183" s="1321"/>
      <c r="BC183" s="1321"/>
      <c r="BD183" s="1321"/>
      <c r="BE183" s="1321"/>
      <c r="BF183" s="1321"/>
      <c r="BG183" s="1321"/>
      <c r="BH183" s="1321"/>
      <c r="BI183" s="1321"/>
      <c r="BJ183" s="1321"/>
      <c r="BK183" s="1321"/>
      <c r="BL183" s="1321"/>
      <c r="BM183" s="1321"/>
      <c r="BN183" s="1321"/>
      <c r="BO183" s="1321"/>
      <c r="BP183" s="1321"/>
      <c r="BQ183" s="1321"/>
      <c r="BR183" s="1321"/>
      <c r="BS183" s="1321"/>
      <c r="BT183" s="1321"/>
      <c r="BU183" s="1321"/>
      <c r="BV183" s="1321"/>
      <c r="BW183" s="1321"/>
      <c r="BX183" s="1321"/>
      <c r="BY183" s="1321"/>
      <c r="BZ183" s="1321"/>
      <c r="CA183" s="1321"/>
      <c r="CB183" s="1321"/>
      <c r="CC183" s="1321"/>
      <c r="CD183" s="1321"/>
      <c r="CE183" s="1321"/>
      <c r="CF183" s="1321"/>
      <c r="CG183" s="1321"/>
      <c r="CH183" s="1321"/>
      <c r="CI183" s="1321"/>
      <c r="CJ183" s="1321"/>
      <c r="CK183" s="1321"/>
      <c r="CL183" s="1321"/>
      <c r="CM183" s="1321"/>
      <c r="CN183" s="1321"/>
      <c r="CO183" s="1321"/>
      <c r="CP183" s="1321"/>
      <c r="CQ183" s="1321"/>
      <c r="CR183" s="1321"/>
      <c r="CS183" s="1321"/>
      <c r="CT183" s="1321"/>
      <c r="CU183" s="1321"/>
      <c r="CV183" s="1321"/>
      <c r="CW183" s="1321"/>
      <c r="CX183" s="1321"/>
      <c r="CY183" s="1321"/>
      <c r="CZ183" s="1321"/>
      <c r="DA183" s="1321"/>
      <c r="DB183" s="1321"/>
      <c r="DC183" s="1321"/>
      <c r="DD183" s="1321"/>
      <c r="DE183" s="1321"/>
      <c r="DF183" s="1321"/>
      <c r="DG183" s="1321"/>
      <c r="DH183" s="1321"/>
      <c r="DI183" s="1321"/>
      <c r="DJ183" s="1321"/>
      <c r="DK183" s="1321"/>
      <c r="DL183" s="1321"/>
      <c r="DM183" s="1321"/>
      <c r="DN183" s="1321"/>
      <c r="DO183" s="1321"/>
      <c r="DP183" s="1321"/>
      <c r="DQ183" s="1321"/>
      <c r="DR183" s="1321"/>
      <c r="DS183" s="1321"/>
      <c r="DT183" s="1321"/>
      <c r="DU183" s="1321"/>
      <c r="DV183" s="1321"/>
      <c r="DW183" s="1321"/>
      <c r="DX183" s="1321"/>
      <c r="DY183" s="1321"/>
      <c r="DZ183" s="1321"/>
      <c r="EA183" s="1321"/>
      <c r="EB183" s="1321"/>
      <c r="EC183" s="1321"/>
      <c r="ED183" s="1321"/>
      <c r="EE183" s="1321"/>
      <c r="EF183" s="1321"/>
      <c r="EG183" s="1321"/>
      <c r="EH183" s="1321"/>
      <c r="EI183" s="1321"/>
    </row>
    <row r="184" spans="1:139" s="265" customFormat="1" ht="12.75" customHeight="1" x14ac:dyDescent="0.2">
      <c r="A184" s="285"/>
      <c r="B184" s="286" t="s">
        <v>459</v>
      </c>
      <c r="C184" s="287">
        <v>0</v>
      </c>
      <c r="D184" s="287">
        <v>0.25</v>
      </c>
      <c r="E184" s="287">
        <v>2</v>
      </c>
      <c r="F184" s="287">
        <v>0</v>
      </c>
      <c r="G184" s="275">
        <v>0</v>
      </c>
      <c r="H184" s="275">
        <f>SUM(C184:G184)</f>
        <v>2.25</v>
      </c>
      <c r="I184" s="331"/>
      <c r="J184" s="331"/>
      <c r="K184" s="331"/>
      <c r="L184" s="538">
        <f>((C184*$C$10)+(D184*$D$10)+(E184*$E$10)+(F184*$F$10))</f>
        <v>122.37599999999999</v>
      </c>
      <c r="M184" s="272">
        <v>0</v>
      </c>
      <c r="N184" s="272">
        <v>0</v>
      </c>
      <c r="O184" s="333">
        <f>'Table 1'!L216</f>
        <v>1</v>
      </c>
      <c r="P184" s="332">
        <f>(C184+D184+E184+F184)*O184</f>
        <v>2.25</v>
      </c>
      <c r="Q184" s="291">
        <f>(M184+N184)*O184</f>
        <v>0</v>
      </c>
      <c r="R184" s="526">
        <f>(L184+M184+N184)*O184</f>
        <v>122.37599999999999</v>
      </c>
      <c r="S184" s="263" t="s">
        <v>199</v>
      </c>
      <c r="T184" s="292" t="str">
        <f t="shared" ref="T184:V185" si="66">IF($S184="RP",O184,"")</f>
        <v/>
      </c>
      <c r="U184" s="293" t="str">
        <f t="shared" si="66"/>
        <v/>
      </c>
      <c r="V184" s="122" t="str">
        <f t="shared" si="66"/>
        <v/>
      </c>
      <c r="W184" s="293">
        <f t="shared" ref="W184:Y185" si="67">IF($S184="RK",O184,"")</f>
        <v>1</v>
      </c>
      <c r="X184" s="293">
        <f t="shared" si="67"/>
        <v>2.25</v>
      </c>
      <c r="Y184" s="122">
        <f t="shared" si="67"/>
        <v>0</v>
      </c>
      <c r="AG184" s="1321"/>
      <c r="AH184" s="1321"/>
      <c r="AI184" s="1321"/>
      <c r="AJ184" s="1321"/>
      <c r="AK184" s="1321"/>
      <c r="AL184" s="1321"/>
      <c r="AM184" s="1321"/>
      <c r="AN184" s="1321"/>
      <c r="AO184" s="1321"/>
      <c r="AP184" s="1321"/>
      <c r="AQ184" s="1321"/>
      <c r="AR184" s="1321"/>
      <c r="AS184" s="1321"/>
      <c r="AT184" s="1321"/>
      <c r="AU184" s="1321"/>
      <c r="AV184" s="1321"/>
      <c r="AW184" s="1321"/>
      <c r="AX184" s="1321"/>
      <c r="AY184" s="1321"/>
      <c r="AZ184" s="1321"/>
      <c r="BA184" s="1321"/>
      <c r="BB184" s="1321"/>
      <c r="BC184" s="1321"/>
      <c r="BD184" s="1321"/>
      <c r="BE184" s="1321"/>
      <c r="BF184" s="1321"/>
      <c r="BG184" s="1321"/>
      <c r="BH184" s="1321"/>
      <c r="BI184" s="1321"/>
      <c r="BJ184" s="1321"/>
      <c r="BK184" s="1321"/>
      <c r="BL184" s="1321"/>
      <c r="BM184" s="1321"/>
      <c r="BN184" s="1321"/>
      <c r="BO184" s="1321"/>
      <c r="BP184" s="1321"/>
      <c r="BQ184" s="1321"/>
      <c r="BR184" s="1321"/>
      <c r="BS184" s="1321"/>
      <c r="BT184" s="1321"/>
      <c r="BU184" s="1321"/>
      <c r="BV184" s="1321"/>
      <c r="BW184" s="1321"/>
      <c r="BX184" s="1321"/>
      <c r="BY184" s="1321"/>
      <c r="BZ184" s="1321"/>
      <c r="CA184" s="1321"/>
      <c r="CB184" s="1321"/>
      <c r="CC184" s="1321"/>
      <c r="CD184" s="1321"/>
      <c r="CE184" s="1321"/>
      <c r="CF184" s="1321"/>
      <c r="CG184" s="1321"/>
      <c r="CH184" s="1321"/>
      <c r="CI184" s="1321"/>
      <c r="CJ184" s="1321"/>
      <c r="CK184" s="1321"/>
      <c r="CL184" s="1321"/>
      <c r="CM184" s="1321"/>
      <c r="CN184" s="1321"/>
      <c r="CO184" s="1321"/>
      <c r="CP184" s="1321"/>
      <c r="CQ184" s="1321"/>
      <c r="CR184" s="1321"/>
      <c r="CS184" s="1321"/>
      <c r="CT184" s="1321"/>
      <c r="CU184" s="1321"/>
      <c r="CV184" s="1321"/>
      <c r="CW184" s="1321"/>
      <c r="CX184" s="1321"/>
      <c r="CY184" s="1321"/>
      <c r="CZ184" s="1321"/>
      <c r="DA184" s="1321"/>
      <c r="DB184" s="1321"/>
      <c r="DC184" s="1321"/>
      <c r="DD184" s="1321"/>
      <c r="DE184" s="1321"/>
      <c r="DF184" s="1321"/>
      <c r="DG184" s="1321"/>
      <c r="DH184" s="1321"/>
      <c r="DI184" s="1321"/>
      <c r="DJ184" s="1321"/>
      <c r="DK184" s="1321"/>
      <c r="DL184" s="1321"/>
      <c r="DM184" s="1321"/>
      <c r="DN184" s="1321"/>
      <c r="DO184" s="1321"/>
      <c r="DP184" s="1321"/>
      <c r="DQ184" s="1321"/>
      <c r="DR184" s="1321"/>
      <c r="DS184" s="1321"/>
      <c r="DT184" s="1321"/>
      <c r="DU184" s="1321"/>
      <c r="DV184" s="1321"/>
      <c r="DW184" s="1321"/>
      <c r="DX184" s="1321"/>
      <c r="DY184" s="1321"/>
      <c r="DZ184" s="1321"/>
      <c r="EA184" s="1321"/>
      <c r="EB184" s="1321"/>
      <c r="EC184" s="1321"/>
      <c r="ED184" s="1321"/>
      <c r="EE184" s="1321"/>
      <c r="EF184" s="1321"/>
      <c r="EG184" s="1321"/>
      <c r="EH184" s="1321"/>
      <c r="EI184" s="1321"/>
    </row>
    <row r="185" spans="1:139" s="180" customFormat="1" ht="12.75" customHeight="1" x14ac:dyDescent="0.2">
      <c r="A185" s="207"/>
      <c r="B185" s="211" t="s">
        <v>372</v>
      </c>
      <c r="C185" s="256">
        <v>0</v>
      </c>
      <c r="D185" s="256">
        <v>0.25</v>
      </c>
      <c r="E185" s="256">
        <v>0</v>
      </c>
      <c r="F185" s="256">
        <v>0.25</v>
      </c>
      <c r="G185" s="257">
        <v>0</v>
      </c>
      <c r="H185" s="249">
        <f>SUM(C185:G185)</f>
        <v>0.5</v>
      </c>
      <c r="I185" s="250"/>
      <c r="J185" s="250"/>
      <c r="K185" s="250"/>
      <c r="L185" s="533">
        <f>((C185*$C$10)+(D185*$D$10)+(E185*$E$10)+(F185*$F$10))</f>
        <v>24.724</v>
      </c>
      <c r="M185" s="251">
        <v>0</v>
      </c>
      <c r="N185" s="319">
        <v>1</v>
      </c>
      <c r="O185" s="334">
        <f>O184</f>
        <v>1</v>
      </c>
      <c r="P185" s="312">
        <f>(C185+D185+E185+F185)*O185</f>
        <v>0.5</v>
      </c>
      <c r="Q185" s="298">
        <f>(M185+N185)*O185</f>
        <v>1</v>
      </c>
      <c r="R185" s="559">
        <f>(L185+M185+N185)*O185</f>
        <v>25.724</v>
      </c>
      <c r="S185" s="193" t="s">
        <v>200</v>
      </c>
      <c r="T185" s="292">
        <f t="shared" si="66"/>
        <v>1</v>
      </c>
      <c r="U185" s="293">
        <f t="shared" si="66"/>
        <v>0.5</v>
      </c>
      <c r="V185" s="122">
        <f t="shared" si="66"/>
        <v>1</v>
      </c>
      <c r="W185" s="293" t="str">
        <f t="shared" si="67"/>
        <v/>
      </c>
      <c r="X185" s="293" t="str">
        <f t="shared" si="67"/>
        <v/>
      </c>
      <c r="Y185" s="122" t="str">
        <f t="shared" si="67"/>
        <v/>
      </c>
      <c r="AG185" s="1321"/>
      <c r="AH185" s="1321"/>
      <c r="AI185" s="1321"/>
      <c r="AJ185" s="1321"/>
      <c r="AK185" s="1321"/>
      <c r="AL185" s="1321"/>
      <c r="AM185" s="1321"/>
      <c r="AN185" s="1321"/>
      <c r="AO185" s="1321"/>
      <c r="AP185" s="1321"/>
      <c r="AQ185" s="1321"/>
      <c r="AR185" s="1321"/>
      <c r="AS185" s="1321"/>
      <c r="AT185" s="1321"/>
      <c r="AU185" s="1321"/>
      <c r="AV185" s="1321"/>
      <c r="AW185" s="1321"/>
      <c r="AX185" s="1321"/>
      <c r="AY185" s="1321"/>
      <c r="AZ185" s="1321"/>
      <c r="BA185" s="1321"/>
      <c r="BB185" s="1321"/>
      <c r="BC185" s="1321"/>
      <c r="BD185" s="1321"/>
      <c r="BE185" s="1321"/>
      <c r="BF185" s="1321"/>
      <c r="BG185" s="1321"/>
      <c r="BH185" s="1321"/>
      <c r="BI185" s="1321"/>
      <c r="BJ185" s="1321"/>
      <c r="BK185" s="1321"/>
      <c r="BL185" s="1321"/>
      <c r="BM185" s="1321"/>
      <c r="BN185" s="1321"/>
      <c r="BO185" s="1321"/>
      <c r="BP185" s="1321"/>
      <c r="BQ185" s="1321"/>
      <c r="BR185" s="1321"/>
      <c r="BS185" s="1321"/>
      <c r="BT185" s="1321"/>
      <c r="BU185" s="1321"/>
      <c r="BV185" s="1321"/>
      <c r="BW185" s="1321"/>
      <c r="BX185" s="1321"/>
      <c r="BY185" s="1321"/>
      <c r="BZ185" s="1321"/>
      <c r="CA185" s="1321"/>
      <c r="CB185" s="1321"/>
      <c r="CC185" s="1321"/>
      <c r="CD185" s="1321"/>
      <c r="CE185" s="1321"/>
      <c r="CF185" s="1321"/>
      <c r="CG185" s="1321"/>
      <c r="CH185" s="1321"/>
      <c r="CI185" s="1321"/>
      <c r="CJ185" s="1321"/>
      <c r="CK185" s="1321"/>
      <c r="CL185" s="1321"/>
      <c r="CM185" s="1321"/>
      <c r="CN185" s="1321"/>
      <c r="CO185" s="1321"/>
      <c r="CP185" s="1321"/>
      <c r="CQ185" s="1321"/>
      <c r="CR185" s="1321"/>
      <c r="CS185" s="1321"/>
      <c r="CT185" s="1321"/>
      <c r="CU185" s="1321"/>
      <c r="CV185" s="1321"/>
      <c r="CW185" s="1321"/>
      <c r="CX185" s="1321"/>
      <c r="CY185" s="1321"/>
      <c r="CZ185" s="1321"/>
      <c r="DA185" s="1321"/>
      <c r="DB185" s="1321"/>
      <c r="DC185" s="1321"/>
      <c r="DD185" s="1321"/>
      <c r="DE185" s="1321"/>
      <c r="DF185" s="1321"/>
      <c r="DG185" s="1321"/>
      <c r="DH185" s="1321"/>
      <c r="DI185" s="1321"/>
      <c r="DJ185" s="1321"/>
      <c r="DK185" s="1321"/>
      <c r="DL185" s="1321"/>
      <c r="DM185" s="1321"/>
      <c r="DN185" s="1321"/>
      <c r="DO185" s="1321"/>
      <c r="DP185" s="1321"/>
      <c r="DQ185" s="1321"/>
      <c r="DR185" s="1321"/>
      <c r="DS185" s="1321"/>
      <c r="DT185" s="1321"/>
      <c r="DU185" s="1321"/>
      <c r="DV185" s="1321"/>
      <c r="DW185" s="1321"/>
      <c r="DX185" s="1321"/>
      <c r="DY185" s="1321"/>
      <c r="DZ185" s="1321"/>
      <c r="EA185" s="1321"/>
      <c r="EB185" s="1321"/>
      <c r="EC185" s="1321"/>
      <c r="ED185" s="1321"/>
      <c r="EE185" s="1321"/>
      <c r="EF185" s="1321"/>
      <c r="EG185" s="1321"/>
      <c r="EH185" s="1321"/>
      <c r="EI185" s="1321"/>
    </row>
    <row r="186" spans="1:139" s="180" customFormat="1" ht="12.75" customHeight="1" x14ac:dyDescent="0.2">
      <c r="A186" s="278" t="s">
        <v>611</v>
      </c>
      <c r="B186" s="279"/>
      <c r="C186" s="280"/>
      <c r="D186" s="280"/>
      <c r="E186" s="280"/>
      <c r="F186" s="280"/>
      <c r="G186" s="280"/>
      <c r="H186" s="280"/>
      <c r="I186" s="281"/>
      <c r="J186" s="281"/>
      <c r="K186" s="281"/>
      <c r="L186" s="535"/>
      <c r="M186" s="282"/>
      <c r="N186" s="283"/>
      <c r="O186" s="402"/>
      <c r="P186" s="284"/>
      <c r="Q186" s="284"/>
      <c r="R186" s="562"/>
      <c r="S186" s="193"/>
      <c r="T186" s="185"/>
      <c r="U186" s="240"/>
      <c r="W186" s="185"/>
      <c r="X186" s="185"/>
      <c r="AG186" s="1321"/>
      <c r="AH186" s="1321"/>
      <c r="AI186" s="1321"/>
      <c r="AJ186" s="1321"/>
      <c r="AK186" s="1321"/>
      <c r="AL186" s="1321"/>
      <c r="AM186" s="1321"/>
      <c r="AN186" s="1321"/>
      <c r="AO186" s="1321"/>
      <c r="AP186" s="1321"/>
      <c r="AQ186" s="1321"/>
      <c r="AR186" s="1321"/>
      <c r="AS186" s="1321"/>
      <c r="AT186" s="1321"/>
      <c r="AU186" s="1321"/>
      <c r="AV186" s="1321"/>
      <c r="AW186" s="1321"/>
      <c r="AX186" s="1321"/>
      <c r="AY186" s="1321"/>
      <c r="AZ186" s="1321"/>
      <c r="BA186" s="1321"/>
      <c r="BB186" s="1321"/>
      <c r="BC186" s="1321"/>
      <c r="BD186" s="1321"/>
      <c r="BE186" s="1321"/>
      <c r="BF186" s="1321"/>
      <c r="BG186" s="1321"/>
      <c r="BH186" s="1321"/>
      <c r="BI186" s="1321"/>
      <c r="BJ186" s="1321"/>
      <c r="BK186" s="1321"/>
      <c r="BL186" s="1321"/>
      <c r="BM186" s="1321"/>
      <c r="BN186" s="1321"/>
      <c r="BO186" s="1321"/>
      <c r="BP186" s="1321"/>
      <c r="BQ186" s="1321"/>
      <c r="BR186" s="1321"/>
      <c r="BS186" s="1321"/>
      <c r="BT186" s="1321"/>
      <c r="BU186" s="1321"/>
      <c r="BV186" s="1321"/>
      <c r="BW186" s="1321"/>
      <c r="BX186" s="1321"/>
      <c r="BY186" s="1321"/>
      <c r="BZ186" s="1321"/>
      <c r="CA186" s="1321"/>
      <c r="CB186" s="1321"/>
      <c r="CC186" s="1321"/>
      <c r="CD186" s="1321"/>
      <c r="CE186" s="1321"/>
      <c r="CF186" s="1321"/>
      <c r="CG186" s="1321"/>
      <c r="CH186" s="1321"/>
      <c r="CI186" s="1321"/>
      <c r="CJ186" s="1321"/>
      <c r="CK186" s="1321"/>
      <c r="CL186" s="1321"/>
      <c r="CM186" s="1321"/>
      <c r="CN186" s="1321"/>
      <c r="CO186" s="1321"/>
      <c r="CP186" s="1321"/>
      <c r="CQ186" s="1321"/>
      <c r="CR186" s="1321"/>
      <c r="CS186" s="1321"/>
      <c r="CT186" s="1321"/>
      <c r="CU186" s="1321"/>
      <c r="CV186" s="1321"/>
      <c r="CW186" s="1321"/>
      <c r="CX186" s="1321"/>
      <c r="CY186" s="1321"/>
      <c r="CZ186" s="1321"/>
      <c r="DA186" s="1321"/>
      <c r="DB186" s="1321"/>
      <c r="DC186" s="1321"/>
      <c r="DD186" s="1321"/>
      <c r="DE186" s="1321"/>
      <c r="DF186" s="1321"/>
      <c r="DG186" s="1321"/>
      <c r="DH186" s="1321"/>
      <c r="DI186" s="1321"/>
      <c r="DJ186" s="1321"/>
      <c r="DK186" s="1321"/>
      <c r="DL186" s="1321"/>
      <c r="DM186" s="1321"/>
      <c r="DN186" s="1321"/>
      <c r="DO186" s="1321"/>
      <c r="DP186" s="1321"/>
      <c r="DQ186" s="1321"/>
      <c r="DR186" s="1321"/>
      <c r="DS186" s="1321"/>
      <c r="DT186" s="1321"/>
      <c r="DU186" s="1321"/>
      <c r="DV186" s="1321"/>
      <c r="DW186" s="1321"/>
      <c r="DX186" s="1321"/>
      <c r="DY186" s="1321"/>
      <c r="DZ186" s="1321"/>
      <c r="EA186" s="1321"/>
      <c r="EB186" s="1321"/>
      <c r="EC186" s="1321"/>
      <c r="ED186" s="1321"/>
      <c r="EE186" s="1321"/>
      <c r="EF186" s="1321"/>
      <c r="EG186" s="1321"/>
      <c r="EH186" s="1321"/>
      <c r="EI186" s="1321"/>
    </row>
    <row r="187" spans="1:139" s="265" customFormat="1" ht="12.75" customHeight="1" x14ac:dyDescent="0.2">
      <c r="A187" s="285"/>
      <c r="B187" s="286" t="s">
        <v>460</v>
      </c>
      <c r="C187" s="287">
        <v>0</v>
      </c>
      <c r="D187" s="287">
        <v>0.25</v>
      </c>
      <c r="E187" s="287">
        <v>15</v>
      </c>
      <c r="F187" s="287">
        <v>0</v>
      </c>
      <c r="G187" s="287">
        <v>0</v>
      </c>
      <c r="H187" s="287">
        <f>SUM(C187:G187)</f>
        <v>15.25</v>
      </c>
      <c r="I187" s="288"/>
      <c r="J187" s="288"/>
      <c r="K187" s="288"/>
      <c r="L187" s="530">
        <f>((C187*$C$10)+(D187*$D$10)+(E187*$E$10)+(F187*$F$10))</f>
        <v>803.16</v>
      </c>
      <c r="M187" s="289">
        <v>0</v>
      </c>
      <c r="N187" s="272">
        <v>0</v>
      </c>
      <c r="O187" s="333">
        <f>'Table 1'!L290</f>
        <v>5.7</v>
      </c>
      <c r="P187" s="290">
        <f>(C187+D187+E187+F187)*O187</f>
        <v>86.924999999999997</v>
      </c>
      <c r="Q187" s="291">
        <f>(M187+N187)*O187</f>
        <v>0</v>
      </c>
      <c r="R187" s="526">
        <f>(L187+M187+N187)*O187</f>
        <v>4578.0119999999997</v>
      </c>
      <c r="S187" s="263" t="s">
        <v>199</v>
      </c>
      <c r="T187" s="292" t="str">
        <f t="shared" ref="T187:V188" si="68">IF($S187="RP",O187,"")</f>
        <v/>
      </c>
      <c r="U187" s="293" t="str">
        <f t="shared" si="68"/>
        <v/>
      </c>
      <c r="V187" s="122" t="str">
        <f t="shared" si="68"/>
        <v/>
      </c>
      <c r="W187" s="293">
        <f t="shared" ref="W187:Y188" si="69">IF($S187="RK",O187,"")</f>
        <v>5.7</v>
      </c>
      <c r="X187" s="293">
        <f t="shared" si="69"/>
        <v>86.924999999999997</v>
      </c>
      <c r="Y187" s="122">
        <f t="shared" si="69"/>
        <v>0</v>
      </c>
      <c r="AG187" s="1321"/>
      <c r="AH187" s="1321"/>
      <c r="AI187" s="1321"/>
      <c r="AJ187" s="1321"/>
      <c r="AK187" s="1321"/>
      <c r="AL187" s="1321"/>
      <c r="AM187" s="1321"/>
      <c r="AN187" s="1321"/>
      <c r="AO187" s="1321"/>
      <c r="AP187" s="1321"/>
      <c r="AQ187" s="1321"/>
      <c r="AR187" s="1321"/>
      <c r="AS187" s="1321"/>
      <c r="AT187" s="1321"/>
      <c r="AU187" s="1321"/>
      <c r="AV187" s="1321"/>
      <c r="AW187" s="1321"/>
      <c r="AX187" s="1321"/>
      <c r="AY187" s="1321"/>
      <c r="AZ187" s="1321"/>
      <c r="BA187" s="1321"/>
      <c r="BB187" s="1321"/>
      <c r="BC187" s="1321"/>
      <c r="BD187" s="1321"/>
      <c r="BE187" s="1321"/>
      <c r="BF187" s="1321"/>
      <c r="BG187" s="1321"/>
      <c r="BH187" s="1321"/>
      <c r="BI187" s="1321"/>
      <c r="BJ187" s="1321"/>
      <c r="BK187" s="1321"/>
      <c r="BL187" s="1321"/>
      <c r="BM187" s="1321"/>
      <c r="BN187" s="1321"/>
      <c r="BO187" s="1321"/>
      <c r="BP187" s="1321"/>
      <c r="BQ187" s="1321"/>
      <c r="BR187" s="1321"/>
      <c r="BS187" s="1321"/>
      <c r="BT187" s="1321"/>
      <c r="BU187" s="1321"/>
      <c r="BV187" s="1321"/>
      <c r="BW187" s="1321"/>
      <c r="BX187" s="1321"/>
      <c r="BY187" s="1321"/>
      <c r="BZ187" s="1321"/>
      <c r="CA187" s="1321"/>
      <c r="CB187" s="1321"/>
      <c r="CC187" s="1321"/>
      <c r="CD187" s="1321"/>
      <c r="CE187" s="1321"/>
      <c r="CF187" s="1321"/>
      <c r="CG187" s="1321"/>
      <c r="CH187" s="1321"/>
      <c r="CI187" s="1321"/>
      <c r="CJ187" s="1321"/>
      <c r="CK187" s="1321"/>
      <c r="CL187" s="1321"/>
      <c r="CM187" s="1321"/>
      <c r="CN187" s="1321"/>
      <c r="CO187" s="1321"/>
      <c r="CP187" s="1321"/>
      <c r="CQ187" s="1321"/>
      <c r="CR187" s="1321"/>
      <c r="CS187" s="1321"/>
      <c r="CT187" s="1321"/>
      <c r="CU187" s="1321"/>
      <c r="CV187" s="1321"/>
      <c r="CW187" s="1321"/>
      <c r="CX187" s="1321"/>
      <c r="CY187" s="1321"/>
      <c r="CZ187" s="1321"/>
      <c r="DA187" s="1321"/>
      <c r="DB187" s="1321"/>
      <c r="DC187" s="1321"/>
      <c r="DD187" s="1321"/>
      <c r="DE187" s="1321"/>
      <c r="DF187" s="1321"/>
      <c r="DG187" s="1321"/>
      <c r="DH187" s="1321"/>
      <c r="DI187" s="1321"/>
      <c r="DJ187" s="1321"/>
      <c r="DK187" s="1321"/>
      <c r="DL187" s="1321"/>
      <c r="DM187" s="1321"/>
      <c r="DN187" s="1321"/>
      <c r="DO187" s="1321"/>
      <c r="DP187" s="1321"/>
      <c r="DQ187" s="1321"/>
      <c r="DR187" s="1321"/>
      <c r="DS187" s="1321"/>
      <c r="DT187" s="1321"/>
      <c r="DU187" s="1321"/>
      <c r="DV187" s="1321"/>
      <c r="DW187" s="1321"/>
      <c r="DX187" s="1321"/>
      <c r="DY187" s="1321"/>
      <c r="DZ187" s="1321"/>
      <c r="EA187" s="1321"/>
      <c r="EB187" s="1321"/>
      <c r="EC187" s="1321"/>
      <c r="ED187" s="1321"/>
      <c r="EE187" s="1321"/>
      <c r="EF187" s="1321"/>
      <c r="EG187" s="1321"/>
      <c r="EH187" s="1321"/>
      <c r="EI187" s="1321"/>
    </row>
    <row r="188" spans="1:139" s="265" customFormat="1" ht="13" customHeight="1" x14ac:dyDescent="0.2">
      <c r="A188" s="285"/>
      <c r="B188" s="286" t="s">
        <v>372</v>
      </c>
      <c r="C188" s="294">
        <v>0</v>
      </c>
      <c r="D188" s="294">
        <v>0.25</v>
      </c>
      <c r="E188" s="294">
        <v>0</v>
      </c>
      <c r="F188" s="294">
        <v>0.25</v>
      </c>
      <c r="G188" s="294">
        <v>0</v>
      </c>
      <c r="H188" s="294">
        <f>SUM(C188:G188)</f>
        <v>0.5</v>
      </c>
      <c r="I188" s="295"/>
      <c r="J188" s="295"/>
      <c r="K188" s="295"/>
      <c r="L188" s="537">
        <f>((C188*$C$10)+(D188*$D$10)+(E188*$E$10)+(F188*$F$10))</f>
        <v>24.724</v>
      </c>
      <c r="M188" s="296">
        <v>0</v>
      </c>
      <c r="N188" s="246">
        <v>20</v>
      </c>
      <c r="O188" s="334">
        <f>O187</f>
        <v>5.7</v>
      </c>
      <c r="P188" s="297">
        <f>(C188+D188+E188+F188)*O188</f>
        <v>2.85</v>
      </c>
      <c r="Q188" s="298">
        <f>(M188+N188)*O188</f>
        <v>114</v>
      </c>
      <c r="R188" s="544">
        <f>(L188+M188+N188)*O188</f>
        <v>254.92680000000004</v>
      </c>
      <c r="S188" s="263" t="s">
        <v>200</v>
      </c>
      <c r="T188" s="292">
        <f t="shared" si="68"/>
        <v>5.7</v>
      </c>
      <c r="U188" s="293">
        <f t="shared" si="68"/>
        <v>2.85</v>
      </c>
      <c r="V188" s="122">
        <f t="shared" si="68"/>
        <v>114</v>
      </c>
      <c r="W188" s="293" t="str">
        <f t="shared" si="69"/>
        <v/>
      </c>
      <c r="X188" s="293" t="str">
        <f t="shared" si="69"/>
        <v/>
      </c>
      <c r="Y188" s="122" t="str">
        <f t="shared" si="69"/>
        <v/>
      </c>
      <c r="AG188" s="1321"/>
      <c r="AH188" s="1321"/>
      <c r="AI188" s="1321"/>
      <c r="AJ188" s="1321"/>
      <c r="AK188" s="1321"/>
      <c r="AL188" s="1321"/>
      <c r="AM188" s="1321"/>
      <c r="AN188" s="1321"/>
      <c r="AO188" s="1321"/>
      <c r="AP188" s="1321"/>
      <c r="AQ188" s="1321"/>
      <c r="AR188" s="1321"/>
      <c r="AS188" s="1321"/>
      <c r="AT188" s="1321"/>
      <c r="AU188" s="1321"/>
      <c r="AV188" s="1321"/>
      <c r="AW188" s="1321"/>
      <c r="AX188" s="1321"/>
      <c r="AY188" s="1321"/>
      <c r="AZ188" s="1321"/>
      <c r="BA188" s="1321"/>
      <c r="BB188" s="1321"/>
      <c r="BC188" s="1321"/>
      <c r="BD188" s="1321"/>
      <c r="BE188" s="1321"/>
      <c r="BF188" s="1321"/>
      <c r="BG188" s="1321"/>
      <c r="BH188" s="1321"/>
      <c r="BI188" s="1321"/>
      <c r="BJ188" s="1321"/>
      <c r="BK188" s="1321"/>
      <c r="BL188" s="1321"/>
      <c r="BM188" s="1321"/>
      <c r="BN188" s="1321"/>
      <c r="BO188" s="1321"/>
      <c r="BP188" s="1321"/>
      <c r="BQ188" s="1321"/>
      <c r="BR188" s="1321"/>
      <c r="BS188" s="1321"/>
      <c r="BT188" s="1321"/>
      <c r="BU188" s="1321"/>
      <c r="BV188" s="1321"/>
      <c r="BW188" s="1321"/>
      <c r="BX188" s="1321"/>
      <c r="BY188" s="1321"/>
      <c r="BZ188" s="1321"/>
      <c r="CA188" s="1321"/>
      <c r="CB188" s="1321"/>
      <c r="CC188" s="1321"/>
      <c r="CD188" s="1321"/>
      <c r="CE188" s="1321"/>
      <c r="CF188" s="1321"/>
      <c r="CG188" s="1321"/>
      <c r="CH188" s="1321"/>
      <c r="CI188" s="1321"/>
      <c r="CJ188" s="1321"/>
      <c r="CK188" s="1321"/>
      <c r="CL188" s="1321"/>
      <c r="CM188" s="1321"/>
      <c r="CN188" s="1321"/>
      <c r="CO188" s="1321"/>
      <c r="CP188" s="1321"/>
      <c r="CQ188" s="1321"/>
      <c r="CR188" s="1321"/>
      <c r="CS188" s="1321"/>
      <c r="CT188" s="1321"/>
      <c r="CU188" s="1321"/>
      <c r="CV188" s="1321"/>
      <c r="CW188" s="1321"/>
      <c r="CX188" s="1321"/>
      <c r="CY188" s="1321"/>
      <c r="CZ188" s="1321"/>
      <c r="DA188" s="1321"/>
      <c r="DB188" s="1321"/>
      <c r="DC188" s="1321"/>
      <c r="DD188" s="1321"/>
      <c r="DE188" s="1321"/>
      <c r="DF188" s="1321"/>
      <c r="DG188" s="1321"/>
      <c r="DH188" s="1321"/>
      <c r="DI188" s="1321"/>
      <c r="DJ188" s="1321"/>
      <c r="DK188" s="1321"/>
      <c r="DL188" s="1321"/>
      <c r="DM188" s="1321"/>
      <c r="DN188" s="1321"/>
      <c r="DO188" s="1321"/>
      <c r="DP188" s="1321"/>
      <c r="DQ188" s="1321"/>
      <c r="DR188" s="1321"/>
      <c r="DS188" s="1321"/>
      <c r="DT188" s="1321"/>
      <c r="DU188" s="1321"/>
      <c r="DV188" s="1321"/>
      <c r="DW188" s="1321"/>
      <c r="DX188" s="1321"/>
      <c r="DY188" s="1321"/>
      <c r="DZ188" s="1321"/>
      <c r="EA188" s="1321"/>
      <c r="EB188" s="1321"/>
      <c r="EC188" s="1321"/>
      <c r="ED188" s="1321"/>
      <c r="EE188" s="1321"/>
      <c r="EF188" s="1321"/>
      <c r="EG188" s="1321"/>
      <c r="EH188" s="1321"/>
      <c r="EI188" s="1321"/>
    </row>
    <row r="189" spans="1:139" s="180" customFormat="1" ht="13.5" customHeight="1" thickBot="1" x14ac:dyDescent="0.3">
      <c r="A189" s="485" t="s">
        <v>670</v>
      </c>
      <c r="B189" s="482"/>
      <c r="C189" s="482"/>
      <c r="D189" s="482"/>
      <c r="E189" s="482"/>
      <c r="F189" s="482"/>
      <c r="G189" s="482"/>
      <c r="H189" s="482"/>
      <c r="I189" s="482"/>
      <c r="J189" s="482"/>
      <c r="K189" s="482"/>
      <c r="L189" s="482"/>
      <c r="M189" s="482"/>
      <c r="N189" s="483"/>
      <c r="O189" s="482"/>
      <c r="P189" s="484"/>
      <c r="Q189" s="344"/>
      <c r="R189" s="328">
        <f>ROUND(SUM(Q20:Q189),-1)</f>
        <v>2150</v>
      </c>
      <c r="S189" s="433"/>
      <c r="T189" s="432"/>
      <c r="U189" s="432"/>
      <c r="V189" s="433"/>
      <c r="W189" s="432"/>
      <c r="X189" s="432"/>
      <c r="Y189" s="433"/>
      <c r="AG189" s="1321"/>
      <c r="AH189" s="1321"/>
      <c r="AI189" s="1321"/>
      <c r="AJ189" s="1321"/>
      <c r="AK189" s="1321"/>
      <c r="AL189" s="1321"/>
      <c r="AM189" s="1321"/>
      <c r="AN189" s="1321"/>
      <c r="AO189" s="1321"/>
      <c r="AP189" s="1321"/>
      <c r="AQ189" s="1321"/>
      <c r="AR189" s="1321"/>
      <c r="AS189" s="1321"/>
      <c r="AT189" s="1321"/>
      <c r="AU189" s="1321"/>
      <c r="AV189" s="1321"/>
      <c r="AW189" s="1321"/>
      <c r="AX189" s="1321"/>
      <c r="AY189" s="1321"/>
      <c r="AZ189" s="1321"/>
      <c r="BA189" s="1321"/>
      <c r="BB189" s="1321"/>
      <c r="BC189" s="1321"/>
      <c r="BD189" s="1321"/>
      <c r="BE189" s="1321"/>
      <c r="BF189" s="1321"/>
      <c r="BG189" s="1321"/>
      <c r="BH189" s="1321"/>
      <c r="BI189" s="1321"/>
      <c r="BJ189" s="1321"/>
      <c r="BK189" s="1321"/>
      <c r="BL189" s="1321"/>
      <c r="BM189" s="1321"/>
      <c r="BN189" s="1321"/>
      <c r="BO189" s="1321"/>
      <c r="BP189" s="1321"/>
      <c r="BQ189" s="1321"/>
      <c r="BR189" s="1321"/>
      <c r="BS189" s="1321"/>
      <c r="BT189" s="1321"/>
      <c r="BU189" s="1321"/>
      <c r="BV189" s="1321"/>
      <c r="BW189" s="1321"/>
      <c r="BX189" s="1321"/>
      <c r="BY189" s="1321"/>
      <c r="BZ189" s="1321"/>
      <c r="CA189" s="1321"/>
      <c r="CB189" s="1321"/>
      <c r="CC189" s="1321"/>
      <c r="CD189" s="1321"/>
      <c r="CE189" s="1321"/>
      <c r="CF189" s="1321"/>
      <c r="CG189" s="1321"/>
      <c r="CH189" s="1321"/>
      <c r="CI189" s="1321"/>
      <c r="CJ189" s="1321"/>
      <c r="CK189" s="1321"/>
      <c r="CL189" s="1321"/>
      <c r="CM189" s="1321"/>
      <c r="CN189" s="1321"/>
      <c r="CO189" s="1321"/>
      <c r="CP189" s="1321"/>
      <c r="CQ189" s="1321"/>
      <c r="CR189" s="1321"/>
      <c r="CS189" s="1321"/>
      <c r="CT189" s="1321"/>
      <c r="CU189" s="1321"/>
      <c r="CV189" s="1321"/>
      <c r="CW189" s="1321"/>
      <c r="CX189" s="1321"/>
      <c r="CY189" s="1321"/>
      <c r="CZ189" s="1321"/>
      <c r="DA189" s="1321"/>
      <c r="DB189" s="1321"/>
      <c r="DC189" s="1321"/>
      <c r="DD189" s="1321"/>
      <c r="DE189" s="1321"/>
      <c r="DF189" s="1321"/>
      <c r="DG189" s="1321"/>
      <c r="DH189" s="1321"/>
      <c r="DI189" s="1321"/>
      <c r="DJ189" s="1321"/>
      <c r="DK189" s="1321"/>
      <c r="DL189" s="1321"/>
      <c r="DM189" s="1321"/>
      <c r="DN189" s="1321"/>
      <c r="DO189" s="1321"/>
      <c r="DP189" s="1321"/>
      <c r="DQ189" s="1321"/>
      <c r="DR189" s="1321"/>
      <c r="DS189" s="1321"/>
      <c r="DT189" s="1321"/>
      <c r="DU189" s="1321"/>
      <c r="DV189" s="1321"/>
      <c r="DW189" s="1321"/>
      <c r="DX189" s="1321"/>
      <c r="DY189" s="1321"/>
      <c r="DZ189" s="1321"/>
      <c r="EA189" s="1321"/>
      <c r="EB189" s="1321"/>
      <c r="EC189" s="1321"/>
      <c r="ED189" s="1321"/>
      <c r="EE189" s="1321"/>
      <c r="EF189" s="1321"/>
      <c r="EG189" s="1321"/>
      <c r="EH189" s="1321"/>
      <c r="EI189" s="1321"/>
    </row>
    <row r="190" spans="1:139" ht="12.75" customHeight="1" thickBot="1" x14ac:dyDescent="0.3">
      <c r="A190" s="486" t="s">
        <v>657</v>
      </c>
      <c r="B190" s="482"/>
      <c r="C190" s="482"/>
      <c r="D190" s="482"/>
      <c r="E190" s="482"/>
      <c r="F190" s="482"/>
      <c r="G190" s="482"/>
      <c r="H190" s="482"/>
      <c r="I190" s="482"/>
      <c r="J190" s="482"/>
      <c r="K190" s="482"/>
      <c r="L190" s="482"/>
      <c r="M190" s="482"/>
      <c r="N190" s="483"/>
      <c r="O190" s="482"/>
      <c r="P190" s="1317">
        <f>ROUND(SUM(P20:P188),-1)</f>
        <v>7870</v>
      </c>
      <c r="Q190" s="522"/>
      <c r="R190" s="523">
        <f>ROUND(SUM(R20:R189),-3)</f>
        <v>428000</v>
      </c>
      <c r="S190" s="464"/>
      <c r="T190" s="463"/>
      <c r="U190" s="463"/>
      <c r="V190" s="465"/>
      <c r="W190" s="463"/>
      <c r="X190" s="463"/>
      <c r="Y190" s="465"/>
    </row>
    <row r="191" spans="1:139" ht="31.5" customHeight="1" x14ac:dyDescent="0.2">
      <c r="A191" s="511" t="s">
        <v>467</v>
      </c>
      <c r="B191" s="1353" t="s">
        <v>743</v>
      </c>
      <c r="C191" s="1353"/>
      <c r="D191" s="1353"/>
      <c r="E191" s="1353"/>
      <c r="F191" s="1353"/>
      <c r="G191" s="1353"/>
      <c r="H191" s="1353"/>
      <c r="I191" s="1353"/>
      <c r="J191" s="1353"/>
      <c r="K191" s="1353"/>
      <c r="L191" s="1353"/>
      <c r="M191" s="1353"/>
      <c r="N191" s="1353"/>
      <c r="O191" s="1353"/>
      <c r="P191" s="1353"/>
      <c r="Q191" s="1353"/>
      <c r="R191" s="1353"/>
      <c r="S191" s="1353"/>
      <c r="T191" s="1353"/>
      <c r="U191" s="1353"/>
    </row>
    <row r="192" spans="1:139" ht="33.65" customHeight="1" x14ac:dyDescent="0.2">
      <c r="A192" s="528" t="s">
        <v>468</v>
      </c>
      <c r="B192" s="1349" t="s">
        <v>551</v>
      </c>
      <c r="C192" s="1349"/>
      <c r="D192" s="1349"/>
      <c r="E192" s="1349"/>
      <c r="F192" s="1349"/>
      <c r="G192" s="1349"/>
      <c r="H192" s="1349"/>
      <c r="I192" s="1349"/>
      <c r="J192" s="1349"/>
      <c r="K192" s="1349"/>
      <c r="L192" s="1349"/>
      <c r="M192" s="1349"/>
      <c r="N192" s="1349"/>
      <c r="O192" s="1349"/>
      <c r="P192" s="1349"/>
      <c r="Q192" s="1349"/>
      <c r="R192" s="1349"/>
      <c r="S192" s="481"/>
      <c r="T192" s="481"/>
      <c r="U192" s="481"/>
    </row>
    <row r="193" spans="1:21" ht="12.75" customHeight="1" x14ac:dyDescent="0.2">
      <c r="A193" s="528" t="s">
        <v>469</v>
      </c>
      <c r="B193" s="481" t="s">
        <v>613</v>
      </c>
      <c r="C193" s="481"/>
      <c r="D193" s="481"/>
      <c r="E193" s="481"/>
      <c r="F193" s="481"/>
      <c r="G193" s="481"/>
      <c r="H193" s="481"/>
      <c r="I193" s="481"/>
      <c r="J193" s="481"/>
      <c r="K193" s="481"/>
      <c r="L193" s="481"/>
      <c r="M193" s="481"/>
      <c r="N193" s="481"/>
      <c r="O193" s="481"/>
      <c r="P193" s="481"/>
      <c r="Q193" s="481"/>
      <c r="R193" s="481"/>
      <c r="S193" s="481"/>
      <c r="T193" s="481"/>
      <c r="U193" s="481"/>
    </row>
    <row r="194" spans="1:21" ht="22" customHeight="1" x14ac:dyDescent="0.2">
      <c r="A194" s="528" t="s">
        <v>554</v>
      </c>
      <c r="B194" s="1349" t="s">
        <v>672</v>
      </c>
      <c r="C194" s="1349"/>
      <c r="D194" s="1349"/>
      <c r="E194" s="1349"/>
      <c r="F194" s="1349"/>
      <c r="G194" s="1349"/>
      <c r="H194" s="1349"/>
      <c r="I194" s="1349"/>
      <c r="J194" s="1349"/>
      <c r="K194" s="1349"/>
      <c r="L194" s="1349"/>
      <c r="M194" s="1349"/>
      <c r="N194" s="1349"/>
      <c r="O194" s="1349"/>
      <c r="P194" s="1349"/>
      <c r="Q194" s="1349"/>
      <c r="R194" s="1349"/>
      <c r="S194" s="481"/>
      <c r="T194" s="481"/>
      <c r="U194" s="481"/>
    </row>
    <row r="195" spans="1:21" ht="23.15" customHeight="1" x14ac:dyDescent="0.2">
      <c r="A195" s="528" t="s">
        <v>473</v>
      </c>
      <c r="B195" s="1349" t="s">
        <v>529</v>
      </c>
      <c r="C195" s="1349"/>
      <c r="D195" s="1349"/>
      <c r="E195" s="1349"/>
      <c r="F195" s="1349"/>
      <c r="G195" s="1349"/>
      <c r="H195" s="1349"/>
      <c r="I195" s="1349"/>
      <c r="J195" s="1349"/>
      <c r="K195" s="1349"/>
      <c r="L195" s="1349"/>
      <c r="M195" s="1349"/>
      <c r="N195" s="1349"/>
      <c r="O195" s="1349"/>
      <c r="P195" s="1349"/>
      <c r="Q195" s="1349"/>
      <c r="R195" s="1349"/>
      <c r="S195" s="481"/>
      <c r="T195" s="481"/>
      <c r="U195" s="481"/>
    </row>
    <row r="196" spans="1:21" ht="12.75" customHeight="1" x14ac:dyDescent="0.2">
      <c r="A196" s="528" t="s">
        <v>474</v>
      </c>
      <c r="B196" s="481" t="s">
        <v>486</v>
      </c>
      <c r="C196" s="481"/>
      <c r="D196" s="481"/>
      <c r="E196" s="481"/>
      <c r="F196" s="481"/>
      <c r="G196" s="481"/>
      <c r="H196" s="481"/>
      <c r="I196" s="481"/>
      <c r="J196" s="481"/>
      <c r="K196" s="481"/>
      <c r="L196" s="481"/>
      <c r="M196" s="481"/>
      <c r="N196" s="481"/>
      <c r="O196" s="481"/>
      <c r="P196" s="481"/>
      <c r="Q196" s="481"/>
      <c r="R196" s="481"/>
      <c r="S196" s="481"/>
      <c r="T196" s="481"/>
      <c r="U196" s="481"/>
    </row>
    <row r="197" spans="1:21" ht="12.75" customHeight="1" x14ac:dyDescent="0.2">
      <c r="A197" s="528" t="s">
        <v>558</v>
      </c>
      <c r="B197" s="481" t="s">
        <v>616</v>
      </c>
      <c r="C197" s="481"/>
      <c r="D197" s="481"/>
      <c r="E197" s="481"/>
      <c r="F197" s="481"/>
      <c r="G197" s="481"/>
      <c r="H197" s="481"/>
      <c r="I197" s="481"/>
      <c r="J197" s="481"/>
      <c r="K197" s="481"/>
      <c r="L197" s="481"/>
      <c r="M197" s="481"/>
      <c r="N197" s="481"/>
      <c r="O197" s="481"/>
      <c r="P197" s="481"/>
      <c r="Q197" s="481"/>
      <c r="R197" s="481"/>
      <c r="S197" s="481"/>
      <c r="T197" s="481"/>
      <c r="U197" s="481"/>
    </row>
    <row r="198" spans="1:21" ht="12.75" customHeight="1" x14ac:dyDescent="0.2">
      <c r="A198" s="528" t="s">
        <v>475</v>
      </c>
      <c r="B198" s="481" t="s">
        <v>560</v>
      </c>
      <c r="C198" s="481"/>
      <c r="D198" s="481"/>
      <c r="E198" s="481"/>
      <c r="F198" s="481"/>
      <c r="G198" s="481"/>
      <c r="H198" s="481"/>
      <c r="I198" s="481"/>
      <c r="J198" s="481"/>
      <c r="K198" s="481"/>
      <c r="L198" s="481"/>
      <c r="M198" s="481"/>
      <c r="N198" s="481"/>
      <c r="O198" s="481"/>
      <c r="P198" s="481"/>
      <c r="Q198" s="481"/>
      <c r="R198" s="481"/>
      <c r="S198" s="481"/>
      <c r="T198" s="481"/>
      <c r="U198" s="481"/>
    </row>
    <row r="199" spans="1:21" ht="12.75" customHeight="1" x14ac:dyDescent="0.2">
      <c r="A199" s="528" t="s">
        <v>561</v>
      </c>
      <c r="B199" s="481" t="s">
        <v>562</v>
      </c>
      <c r="C199" s="481"/>
      <c r="D199" s="481"/>
      <c r="E199" s="481"/>
      <c r="F199" s="481"/>
      <c r="G199" s="481"/>
      <c r="H199" s="481"/>
      <c r="I199" s="481"/>
      <c r="J199" s="481"/>
      <c r="K199" s="481"/>
      <c r="L199" s="481"/>
      <c r="M199" s="481"/>
      <c r="N199" s="481"/>
      <c r="O199" s="481"/>
      <c r="P199" s="481"/>
      <c r="Q199" s="481"/>
      <c r="R199" s="481"/>
      <c r="S199" s="481"/>
      <c r="T199" s="481"/>
      <c r="U199" s="481"/>
    </row>
    <row r="200" spans="1:21" ht="12.75" customHeight="1" x14ac:dyDescent="0.2">
      <c r="A200" s="528" t="s">
        <v>479</v>
      </c>
      <c r="B200" s="481" t="s">
        <v>619</v>
      </c>
      <c r="C200" s="481"/>
      <c r="D200" s="481"/>
      <c r="E200" s="481"/>
      <c r="F200" s="481"/>
      <c r="G200" s="481"/>
      <c r="H200" s="481"/>
      <c r="I200" s="481"/>
      <c r="J200" s="481"/>
      <c r="K200" s="481"/>
      <c r="L200" s="481"/>
      <c r="M200" s="481"/>
      <c r="N200" s="481"/>
      <c r="O200" s="481"/>
      <c r="P200" s="481"/>
      <c r="Q200" s="481"/>
      <c r="R200" s="481"/>
      <c r="S200" s="481"/>
      <c r="T200" s="481"/>
      <c r="U200" s="481"/>
    </row>
    <row r="201" spans="1:21" ht="12.75" customHeight="1" x14ac:dyDescent="0.2">
      <c r="A201" s="528" t="s">
        <v>481</v>
      </c>
      <c r="B201" s="481" t="s">
        <v>565</v>
      </c>
      <c r="C201" s="481"/>
      <c r="D201" s="481"/>
      <c r="E201" s="481"/>
      <c r="F201" s="481"/>
      <c r="G201" s="481"/>
      <c r="H201" s="481"/>
      <c r="I201" s="481"/>
      <c r="J201" s="481"/>
      <c r="K201" s="481"/>
      <c r="L201" s="481"/>
      <c r="M201" s="481"/>
      <c r="N201" s="481"/>
      <c r="O201" s="481"/>
      <c r="P201" s="481"/>
      <c r="Q201" s="481"/>
      <c r="R201" s="481"/>
      <c r="S201" s="481"/>
      <c r="T201" s="481"/>
      <c r="U201" s="481"/>
    </row>
    <row r="202" spans="1:21" ht="12.75" customHeight="1" x14ac:dyDescent="0.2">
      <c r="A202" s="528" t="s">
        <v>567</v>
      </c>
      <c r="B202" s="481" t="s">
        <v>620</v>
      </c>
      <c r="C202" s="481"/>
      <c r="D202" s="481"/>
      <c r="E202" s="481"/>
      <c r="F202" s="481"/>
      <c r="G202" s="481"/>
      <c r="H202" s="481"/>
      <c r="I202" s="481"/>
      <c r="J202" s="481"/>
      <c r="K202" s="481"/>
      <c r="L202" s="481"/>
      <c r="M202" s="481"/>
      <c r="N202" s="481"/>
      <c r="O202" s="481"/>
      <c r="P202" s="481"/>
      <c r="Q202" s="481"/>
      <c r="R202" s="481"/>
      <c r="S202" s="481"/>
      <c r="T202" s="481"/>
      <c r="U202" s="481"/>
    </row>
    <row r="203" spans="1:21" ht="21.65" customHeight="1" x14ac:dyDescent="0.2">
      <c r="A203" s="528" t="s">
        <v>569</v>
      </c>
      <c r="B203" s="1349" t="s">
        <v>494</v>
      </c>
      <c r="C203" s="1349"/>
      <c r="D203" s="1349"/>
      <c r="E203" s="1349"/>
      <c r="F203" s="1349"/>
      <c r="G203" s="1349"/>
      <c r="H203" s="1349"/>
      <c r="I203" s="1349"/>
      <c r="J203" s="1349"/>
      <c r="K203" s="1349"/>
      <c r="L203" s="1349"/>
      <c r="M203" s="1349"/>
      <c r="N203" s="1349"/>
      <c r="O203" s="1349"/>
      <c r="P203" s="1349"/>
      <c r="Q203" s="1349"/>
      <c r="R203" s="1349"/>
      <c r="S203" s="481"/>
      <c r="T203" s="481"/>
      <c r="U203" s="481"/>
    </row>
    <row r="204" spans="1:21" ht="12.75" customHeight="1" x14ac:dyDescent="0.2">
      <c r="A204" s="528" t="s">
        <v>571</v>
      </c>
      <c r="B204" s="481" t="s">
        <v>621</v>
      </c>
      <c r="C204" s="481"/>
      <c r="D204" s="481"/>
      <c r="E204" s="481"/>
      <c r="F204" s="481"/>
      <c r="G204" s="481"/>
      <c r="H204" s="481"/>
      <c r="I204" s="481"/>
      <c r="J204" s="481"/>
      <c r="K204" s="481"/>
      <c r="L204" s="481"/>
      <c r="M204" s="481"/>
      <c r="N204" s="481"/>
      <c r="O204" s="481"/>
      <c r="P204" s="481"/>
      <c r="Q204" s="481"/>
      <c r="R204" s="481"/>
      <c r="S204" s="481"/>
      <c r="T204" s="481"/>
      <c r="U204" s="481"/>
    </row>
    <row r="205" spans="1:21" ht="12.75" customHeight="1" x14ac:dyDescent="0.2">
      <c r="A205" s="528" t="s">
        <v>573</v>
      </c>
      <c r="B205" s="481" t="s">
        <v>503</v>
      </c>
      <c r="C205" s="481"/>
      <c r="D205" s="481"/>
      <c r="E205" s="481"/>
      <c r="F205" s="481"/>
      <c r="G205" s="481"/>
      <c r="H205" s="481"/>
      <c r="I205" s="481"/>
      <c r="J205" s="481"/>
      <c r="K205" s="481"/>
      <c r="L205" s="481"/>
      <c r="M205" s="481"/>
      <c r="N205" s="481"/>
      <c r="O205" s="481"/>
      <c r="P205" s="481"/>
      <c r="Q205" s="481"/>
      <c r="R205" s="481"/>
      <c r="S205" s="481"/>
      <c r="T205" s="481"/>
      <c r="U205" s="481"/>
    </row>
    <row r="206" spans="1:21" ht="12.75" customHeight="1" x14ac:dyDescent="0.2">
      <c r="A206" s="528" t="s">
        <v>575</v>
      </c>
      <c r="B206" s="481" t="s">
        <v>505</v>
      </c>
      <c r="C206" s="481"/>
      <c r="D206" s="481"/>
      <c r="E206" s="481"/>
      <c r="F206" s="481"/>
      <c r="G206" s="481"/>
      <c r="H206" s="481"/>
      <c r="I206" s="481"/>
      <c r="J206" s="481"/>
      <c r="K206" s="481"/>
      <c r="L206" s="481"/>
      <c r="M206" s="481"/>
      <c r="N206" s="481"/>
      <c r="O206" s="481"/>
      <c r="P206" s="481"/>
      <c r="Q206" s="481"/>
      <c r="R206" s="481"/>
      <c r="S206" s="481"/>
      <c r="T206" s="481"/>
      <c r="U206" s="481"/>
    </row>
    <row r="207" spans="1:21" ht="27" customHeight="1" x14ac:dyDescent="0.2">
      <c r="A207" s="528" t="s">
        <v>491</v>
      </c>
      <c r="B207" s="1349" t="s">
        <v>577</v>
      </c>
      <c r="C207" s="1349"/>
      <c r="D207" s="1349"/>
      <c r="E207" s="1349"/>
      <c r="F207" s="1349"/>
      <c r="G207" s="1349"/>
      <c r="H207" s="1349"/>
      <c r="I207" s="1349"/>
      <c r="J207" s="1349"/>
      <c r="K207" s="1349"/>
      <c r="L207" s="1349"/>
      <c r="M207" s="1349"/>
      <c r="N207" s="1349"/>
      <c r="O207" s="1349"/>
      <c r="P207" s="1349"/>
      <c r="Q207" s="1349"/>
      <c r="R207" s="1349"/>
      <c r="S207" s="481"/>
      <c r="T207" s="481"/>
      <c r="U207" s="481"/>
    </row>
    <row r="208" spans="1:21" ht="12.75" customHeight="1" x14ac:dyDescent="0.25">
      <c r="A208" s="529" t="s">
        <v>492</v>
      </c>
      <c r="B208" s="481" t="s">
        <v>623</v>
      </c>
      <c r="C208" s="481"/>
      <c r="D208" s="481"/>
      <c r="E208" s="481"/>
      <c r="F208" s="481"/>
      <c r="G208" s="481"/>
      <c r="H208" s="481"/>
      <c r="I208" s="481"/>
      <c r="J208" s="481"/>
      <c r="K208" s="481"/>
      <c r="L208" s="481"/>
      <c r="M208" s="481"/>
      <c r="N208" s="481"/>
      <c r="O208" s="481"/>
      <c r="P208" s="481"/>
      <c r="Q208" s="481"/>
      <c r="R208" s="481"/>
      <c r="S208" s="481"/>
      <c r="T208" s="481"/>
      <c r="U208" s="481"/>
    </row>
    <row r="209" spans="1:21" ht="12.75" customHeight="1" x14ac:dyDescent="0.25">
      <c r="A209" s="529" t="s">
        <v>493</v>
      </c>
      <c r="B209" s="481" t="s">
        <v>510</v>
      </c>
      <c r="C209" s="481"/>
      <c r="D209" s="481"/>
      <c r="E209" s="481"/>
      <c r="F209" s="481"/>
      <c r="G209" s="481"/>
      <c r="H209" s="481"/>
      <c r="I209" s="481"/>
      <c r="J209" s="481"/>
      <c r="K209" s="481"/>
      <c r="L209" s="481"/>
      <c r="M209" s="481"/>
      <c r="N209" s="481"/>
      <c r="O209" s="481"/>
      <c r="P209" s="481"/>
      <c r="Q209" s="481"/>
      <c r="R209" s="481"/>
      <c r="S209" s="481"/>
      <c r="T209" s="481"/>
      <c r="U209" s="481"/>
    </row>
    <row r="210" spans="1:21" ht="23.5" customHeight="1" x14ac:dyDescent="0.2">
      <c r="A210" s="528" t="s">
        <v>588</v>
      </c>
      <c r="B210" s="1349" t="s">
        <v>589</v>
      </c>
      <c r="C210" s="1349"/>
      <c r="D210" s="1349"/>
      <c r="E210" s="1349"/>
      <c r="F210" s="1349"/>
      <c r="G210" s="1349"/>
      <c r="H210" s="1349"/>
      <c r="I210" s="1349"/>
      <c r="J210" s="1349"/>
      <c r="K210" s="1349"/>
      <c r="L210" s="1349"/>
      <c r="M210" s="1349"/>
      <c r="N210" s="1349"/>
      <c r="O210" s="1349"/>
      <c r="P210" s="1349"/>
      <c r="Q210" s="1349"/>
      <c r="R210" s="1349"/>
      <c r="S210" s="481"/>
      <c r="T210" s="481"/>
      <c r="U210" s="481"/>
    </row>
    <row r="211" spans="1:21" ht="23.5" customHeight="1" x14ac:dyDescent="0.2">
      <c r="A211" s="528" t="s">
        <v>592</v>
      </c>
      <c r="B211" s="1349" t="s">
        <v>476</v>
      </c>
      <c r="C211" s="1349"/>
      <c r="D211" s="1349"/>
      <c r="E211" s="1349"/>
      <c r="F211" s="1349"/>
      <c r="G211" s="1349"/>
      <c r="H211" s="1349"/>
      <c r="I211" s="1349"/>
      <c r="J211" s="1349"/>
      <c r="K211" s="1349"/>
      <c r="L211" s="1349"/>
      <c r="M211" s="1349"/>
      <c r="N211" s="1349"/>
      <c r="O211" s="1349"/>
      <c r="P211" s="1349"/>
      <c r="Q211" s="1349"/>
      <c r="R211" s="1349"/>
      <c r="S211" s="481"/>
      <c r="T211" s="481"/>
      <c r="U211" s="481"/>
    </row>
    <row r="212" spans="1:21" ht="23.15" customHeight="1" x14ac:dyDescent="0.25">
      <c r="A212" s="529" t="s">
        <v>595</v>
      </c>
      <c r="B212" s="1349" t="s">
        <v>514</v>
      </c>
      <c r="C212" s="1349"/>
      <c r="D212" s="1349"/>
      <c r="E212" s="1349"/>
      <c r="F212" s="1349"/>
      <c r="G212" s="1349"/>
      <c r="H212" s="1349"/>
      <c r="I212" s="1349"/>
      <c r="J212" s="1349"/>
      <c r="K212" s="1349"/>
      <c r="L212" s="1349"/>
      <c r="M212" s="1349"/>
      <c r="N212" s="1349"/>
      <c r="O212" s="1349"/>
      <c r="P212" s="1349"/>
      <c r="Q212" s="1349"/>
      <c r="R212" s="1349"/>
      <c r="S212" s="481"/>
      <c r="T212" s="481"/>
      <c r="U212" s="481"/>
    </row>
    <row r="213" spans="1:21" ht="12.75" customHeight="1" x14ac:dyDescent="0.25">
      <c r="A213" s="529" t="s">
        <v>597</v>
      </c>
      <c r="B213" s="481" t="s">
        <v>516</v>
      </c>
      <c r="C213" s="481"/>
      <c r="D213" s="481"/>
      <c r="E213" s="481"/>
      <c r="F213" s="481"/>
      <c r="G213" s="481"/>
      <c r="H213" s="481"/>
      <c r="I213" s="481"/>
      <c r="J213" s="481"/>
      <c r="K213" s="481"/>
      <c r="L213" s="481"/>
      <c r="M213" s="481"/>
      <c r="N213" s="481"/>
      <c r="O213" s="481"/>
      <c r="P213" s="481"/>
      <c r="Q213" s="481"/>
      <c r="R213" s="481"/>
      <c r="S213" s="481"/>
      <c r="T213" s="481"/>
      <c r="U213" s="481"/>
    </row>
    <row r="214" spans="1:21" ht="12.75" customHeight="1" x14ac:dyDescent="0.25">
      <c r="A214" s="529" t="s">
        <v>501</v>
      </c>
      <c r="B214" s="481" t="s">
        <v>518</v>
      </c>
      <c r="C214" s="481"/>
      <c r="D214" s="481"/>
      <c r="E214" s="481"/>
      <c r="F214" s="481"/>
      <c r="G214" s="481"/>
      <c r="H214" s="481"/>
      <c r="I214" s="481"/>
      <c r="J214" s="481"/>
      <c r="K214" s="481"/>
      <c r="L214" s="481"/>
      <c r="M214" s="481"/>
      <c r="N214" s="481"/>
      <c r="O214" s="481"/>
      <c r="P214" s="481"/>
      <c r="Q214" s="481"/>
      <c r="R214" s="481"/>
      <c r="S214" s="481"/>
      <c r="T214" s="481"/>
      <c r="U214" s="481"/>
    </row>
    <row r="215" spans="1:21" ht="12.75" customHeight="1" x14ac:dyDescent="0.25">
      <c r="A215" s="529" t="s">
        <v>502</v>
      </c>
      <c r="B215" s="481" t="s">
        <v>520</v>
      </c>
      <c r="C215" s="481"/>
      <c r="D215" s="481"/>
      <c r="E215" s="481"/>
      <c r="F215" s="481"/>
      <c r="G215" s="481"/>
      <c r="H215" s="481"/>
      <c r="I215" s="481"/>
      <c r="J215" s="481"/>
      <c r="K215" s="481"/>
      <c r="L215" s="481"/>
      <c r="M215" s="481"/>
      <c r="N215" s="481"/>
      <c r="O215" s="481"/>
      <c r="P215" s="481"/>
      <c r="Q215" s="481"/>
      <c r="R215" s="481"/>
      <c r="S215" s="481"/>
      <c r="T215" s="481"/>
      <c r="U215" s="481"/>
    </row>
    <row r="216" spans="1:21" ht="12.75" customHeight="1" x14ac:dyDescent="0.25">
      <c r="A216" s="529" t="s">
        <v>601</v>
      </c>
      <c r="B216" s="481" t="s">
        <v>624</v>
      </c>
      <c r="C216" s="481"/>
      <c r="D216" s="481"/>
      <c r="E216" s="481"/>
      <c r="F216" s="481"/>
      <c r="G216" s="481"/>
      <c r="H216" s="481"/>
      <c r="I216" s="481"/>
      <c r="J216" s="481"/>
      <c r="K216" s="481"/>
      <c r="L216" s="481"/>
      <c r="M216" s="481"/>
      <c r="N216" s="481"/>
      <c r="O216" s="481"/>
      <c r="P216" s="481"/>
      <c r="Q216" s="481"/>
      <c r="R216" s="481"/>
      <c r="S216" s="481"/>
      <c r="T216" s="481"/>
      <c r="U216" s="481"/>
    </row>
    <row r="217" spans="1:21" ht="36" customHeight="1" x14ac:dyDescent="0.2">
      <c r="A217" s="528" t="s">
        <v>603</v>
      </c>
      <c r="B217" s="1349" t="s">
        <v>523</v>
      </c>
      <c r="C217" s="1349"/>
      <c r="D217" s="1349"/>
      <c r="E217" s="1349"/>
      <c r="F217" s="1349"/>
      <c r="G217" s="1349"/>
      <c r="H217" s="1349"/>
      <c r="I217" s="1349"/>
      <c r="J217" s="1349"/>
      <c r="K217" s="1349"/>
      <c r="L217" s="1349"/>
      <c r="M217" s="1349"/>
      <c r="N217" s="1349"/>
      <c r="O217" s="1349"/>
      <c r="P217" s="1349"/>
      <c r="Q217" s="1349"/>
      <c r="R217" s="1349"/>
      <c r="S217" s="481"/>
      <c r="T217" s="481"/>
      <c r="U217" s="481"/>
    </row>
    <row r="218" spans="1:21" ht="12.75" customHeight="1" x14ac:dyDescent="0.25">
      <c r="A218" s="529" t="s">
        <v>507</v>
      </c>
      <c r="B218" s="481" t="s">
        <v>525</v>
      </c>
      <c r="C218" s="481"/>
      <c r="D218" s="481"/>
      <c r="E218" s="481"/>
      <c r="F218" s="481"/>
      <c r="G218" s="481"/>
      <c r="H218" s="481"/>
      <c r="I218" s="481"/>
      <c r="J218" s="481"/>
      <c r="K218" s="481"/>
      <c r="L218" s="481"/>
      <c r="M218" s="481"/>
      <c r="N218" s="481"/>
      <c r="O218" s="481"/>
      <c r="P218" s="481"/>
      <c r="Q218" s="481"/>
      <c r="R218" s="481"/>
      <c r="S218" s="481"/>
      <c r="T218" s="481"/>
      <c r="U218" s="481"/>
    </row>
    <row r="219" spans="1:21" ht="12.75" customHeight="1" x14ac:dyDescent="0.25">
      <c r="A219" s="529" t="s">
        <v>509</v>
      </c>
      <c r="B219" s="481" t="s">
        <v>527</v>
      </c>
      <c r="C219" s="481"/>
      <c r="D219" s="481"/>
      <c r="E219" s="481"/>
      <c r="F219" s="481"/>
      <c r="G219" s="481"/>
      <c r="H219" s="481"/>
      <c r="I219" s="481"/>
      <c r="J219" s="481"/>
      <c r="K219" s="481"/>
      <c r="L219" s="481"/>
      <c r="M219" s="481"/>
      <c r="N219" s="481"/>
      <c r="O219" s="481"/>
      <c r="P219" s="481"/>
      <c r="Q219" s="481"/>
      <c r="R219" s="481"/>
      <c r="S219" s="481"/>
      <c r="T219" s="481"/>
      <c r="U219" s="481"/>
    </row>
    <row r="220" spans="1:21" ht="12.75" customHeight="1" x14ac:dyDescent="0.25">
      <c r="A220" s="529" t="s">
        <v>511</v>
      </c>
      <c r="B220" s="481" t="s">
        <v>482</v>
      </c>
      <c r="C220" s="481"/>
      <c r="D220" s="481"/>
      <c r="E220" s="481"/>
      <c r="F220" s="481"/>
      <c r="G220" s="481"/>
      <c r="H220" s="481"/>
      <c r="I220" s="481"/>
      <c r="J220" s="481"/>
      <c r="K220" s="481"/>
      <c r="L220" s="481"/>
      <c r="M220" s="481"/>
      <c r="N220" s="481"/>
      <c r="O220" s="481"/>
      <c r="P220" s="481"/>
      <c r="Q220" s="481"/>
      <c r="R220" s="481"/>
      <c r="S220" s="481"/>
      <c r="T220" s="481"/>
      <c r="U220" s="481"/>
    </row>
    <row r="221" spans="1:21" ht="12.75" customHeight="1" x14ac:dyDescent="0.25">
      <c r="A221" s="529" t="s">
        <v>513</v>
      </c>
      <c r="B221" s="481" t="s">
        <v>531</v>
      </c>
      <c r="C221" s="481"/>
      <c r="D221" s="481"/>
      <c r="E221" s="481"/>
      <c r="F221" s="481"/>
      <c r="G221" s="481"/>
      <c r="H221" s="481"/>
      <c r="I221" s="481"/>
      <c r="J221" s="481"/>
      <c r="K221" s="481"/>
      <c r="L221" s="481"/>
      <c r="M221" s="481"/>
      <c r="N221" s="481"/>
      <c r="O221" s="481"/>
      <c r="P221" s="481"/>
      <c r="Q221" s="481"/>
      <c r="R221" s="481"/>
      <c r="S221" s="481"/>
      <c r="T221" s="481"/>
      <c r="U221" s="481"/>
    </row>
    <row r="222" spans="1:21" ht="12.75" customHeight="1" x14ac:dyDescent="0.25">
      <c r="A222" s="529" t="s">
        <v>515</v>
      </c>
      <c r="B222" s="481" t="s">
        <v>533</v>
      </c>
      <c r="C222" s="481"/>
      <c r="D222" s="481"/>
      <c r="E222" s="481"/>
      <c r="F222" s="481"/>
      <c r="G222" s="481"/>
      <c r="H222" s="481"/>
      <c r="I222" s="481"/>
      <c r="J222" s="481"/>
      <c r="K222" s="481"/>
      <c r="L222" s="481"/>
      <c r="M222" s="481"/>
      <c r="N222" s="481"/>
      <c r="O222" s="481"/>
      <c r="P222" s="481"/>
      <c r="Q222" s="481"/>
      <c r="R222" s="481"/>
      <c r="S222" s="481"/>
      <c r="T222" s="481"/>
      <c r="U222" s="481"/>
    </row>
    <row r="223" spans="1:21" ht="12.75" customHeight="1" x14ac:dyDescent="0.25">
      <c r="A223" s="529" t="s">
        <v>517</v>
      </c>
      <c r="B223" s="481" t="s">
        <v>535</v>
      </c>
      <c r="C223" s="481"/>
      <c r="D223" s="481"/>
      <c r="E223" s="481"/>
      <c r="F223" s="481"/>
      <c r="G223" s="481"/>
      <c r="H223" s="481"/>
      <c r="I223" s="481"/>
      <c r="J223" s="481"/>
      <c r="K223" s="481"/>
      <c r="L223" s="481"/>
      <c r="M223" s="481"/>
      <c r="N223" s="481"/>
      <c r="O223" s="481"/>
      <c r="P223" s="481"/>
      <c r="Q223" s="481"/>
      <c r="R223" s="481"/>
      <c r="S223" s="481"/>
      <c r="T223" s="481"/>
      <c r="U223" s="481"/>
    </row>
    <row r="224" spans="1:21" ht="12.75" customHeight="1" x14ac:dyDescent="0.25">
      <c r="A224" s="529" t="s">
        <v>519</v>
      </c>
      <c r="B224" s="481" t="s">
        <v>538</v>
      </c>
      <c r="C224" s="481"/>
      <c r="D224" s="481"/>
      <c r="E224" s="481"/>
      <c r="F224" s="481"/>
      <c r="G224" s="481"/>
      <c r="H224" s="481"/>
      <c r="I224" s="481"/>
      <c r="J224" s="481"/>
      <c r="K224" s="481"/>
      <c r="L224" s="481"/>
      <c r="M224" s="481"/>
      <c r="N224" s="481"/>
      <c r="O224" s="481"/>
      <c r="P224" s="481"/>
      <c r="Q224" s="481"/>
      <c r="R224" s="481"/>
      <c r="S224" s="481"/>
      <c r="T224" s="481"/>
      <c r="U224" s="481"/>
    </row>
    <row r="225" spans="1:21" ht="12.75" customHeight="1" x14ac:dyDescent="0.25">
      <c r="A225" s="529" t="s">
        <v>521</v>
      </c>
      <c r="B225" s="481" t="s">
        <v>612</v>
      </c>
      <c r="C225" s="481"/>
      <c r="D225" s="481"/>
      <c r="E225" s="481"/>
      <c r="F225" s="481"/>
      <c r="G225" s="481"/>
      <c r="H225" s="481"/>
      <c r="I225" s="481"/>
      <c r="J225" s="481"/>
      <c r="K225" s="481"/>
      <c r="L225" s="481"/>
      <c r="M225" s="481"/>
      <c r="N225" s="481"/>
      <c r="O225" s="481"/>
      <c r="P225" s="481"/>
      <c r="Q225" s="481"/>
      <c r="R225" s="481"/>
      <c r="S225" s="481"/>
      <c r="T225" s="481"/>
      <c r="U225" s="481"/>
    </row>
    <row r="226" spans="1:21" ht="12.75" customHeight="1" x14ac:dyDescent="0.25">
      <c r="A226" s="529" t="s">
        <v>522</v>
      </c>
      <c r="B226" s="478" t="s">
        <v>656</v>
      </c>
      <c r="C226" s="481"/>
      <c r="D226" s="481"/>
      <c r="E226" s="481"/>
      <c r="F226" s="481"/>
      <c r="G226" s="481"/>
      <c r="H226" s="481"/>
      <c r="I226" s="481"/>
      <c r="J226" s="481"/>
      <c r="K226" s="481"/>
      <c r="L226" s="481"/>
      <c r="M226" s="481"/>
      <c r="N226" s="481"/>
      <c r="O226" s="481"/>
      <c r="P226" s="481"/>
      <c r="Q226" s="481"/>
      <c r="R226" s="481"/>
      <c r="S226" s="481"/>
      <c r="T226" s="481"/>
      <c r="U226" s="481"/>
    </row>
    <row r="227" spans="1:21" ht="12.75" customHeight="1" x14ac:dyDescent="0.25">
      <c r="A227" s="529" t="s">
        <v>524</v>
      </c>
      <c r="B227" s="178" t="s">
        <v>529</v>
      </c>
    </row>
  </sheetData>
  <mergeCells count="20">
    <mergeCell ref="A24:B24"/>
    <mergeCell ref="B194:R194"/>
    <mergeCell ref="B203:R203"/>
    <mergeCell ref="B211:R211"/>
    <mergeCell ref="B217:R217"/>
    <mergeCell ref="B212:R212"/>
    <mergeCell ref="S14:S17"/>
    <mergeCell ref="B191:U191"/>
    <mergeCell ref="B192:R192"/>
    <mergeCell ref="B207:R207"/>
    <mergeCell ref="B210:R210"/>
    <mergeCell ref="B195:R195"/>
    <mergeCell ref="A161:B161"/>
    <mergeCell ref="A149:B149"/>
    <mergeCell ref="A144:B144"/>
    <mergeCell ref="A126:B126"/>
    <mergeCell ref="A76:B76"/>
    <mergeCell ref="A58:B58"/>
    <mergeCell ref="A37:B37"/>
    <mergeCell ref="A34:B34"/>
  </mergeCells>
  <printOptions horizontalCentered="1"/>
  <pageMargins left="0.17" right="0.19" top="0.5" bottom="0.75" header="0.5" footer="0.5"/>
  <pageSetup scale="65" orientation="landscape" horizontalDpi="4294967292" verticalDpi="4294967292" r:id="rId1"/>
  <headerFooter alignWithMargins="0">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1"/>
  <sheetViews>
    <sheetView zoomScaleNormal="100" workbookViewId="0">
      <selection sqref="A1:E1"/>
    </sheetView>
  </sheetViews>
  <sheetFormatPr defaultColWidth="9.33203125" defaultRowHeight="11.5" x14ac:dyDescent="0.25"/>
  <cols>
    <col min="1" max="1" width="2" style="663" customWidth="1"/>
    <col min="2" max="2" width="61.44140625" style="742" customWidth="1"/>
    <col min="3" max="3" width="17.109375" style="663" customWidth="1"/>
    <col min="4" max="4" width="27" style="670" customWidth="1"/>
    <col min="5" max="5" width="25.33203125" style="663" customWidth="1"/>
    <col min="6" max="16384" width="9.33203125" style="663"/>
  </cols>
  <sheetData>
    <row r="1" spans="1:8" x14ac:dyDescent="0.25">
      <c r="A1" s="1362" t="s">
        <v>739</v>
      </c>
      <c r="B1" s="1362"/>
      <c r="C1" s="1362"/>
      <c r="D1" s="1362"/>
      <c r="E1" s="1362"/>
    </row>
    <row r="2" spans="1:8" ht="57.5" x14ac:dyDescent="0.25">
      <c r="A2" s="1371" t="s">
        <v>742</v>
      </c>
      <c r="B2" s="1372"/>
      <c r="C2" s="664" t="s">
        <v>652</v>
      </c>
      <c r="D2" s="665" t="s">
        <v>625</v>
      </c>
      <c r="E2" s="666" t="s">
        <v>650</v>
      </c>
    </row>
    <row r="3" spans="1:8" hidden="1" x14ac:dyDescent="0.25">
      <c r="A3" s="667" t="s">
        <v>346</v>
      </c>
      <c r="B3" s="668"/>
      <c r="C3" s="669"/>
      <c r="E3" s="671"/>
    </row>
    <row r="4" spans="1:8" x14ac:dyDescent="0.25">
      <c r="A4" s="672" t="s">
        <v>628</v>
      </c>
      <c r="B4" s="673"/>
      <c r="C4" s="674">
        <f>C5</f>
        <v>1</v>
      </c>
      <c r="D4" s="675">
        <f>D5</f>
        <v>0</v>
      </c>
      <c r="E4" s="676">
        <f>E5</f>
        <v>1</v>
      </c>
    </row>
    <row r="5" spans="1:8" ht="23" hidden="1" x14ac:dyDescent="0.25">
      <c r="A5" s="677"/>
      <c r="B5" s="678" t="s">
        <v>309</v>
      </c>
      <c r="C5" s="674">
        <f>'Table 1'!L54</f>
        <v>1</v>
      </c>
      <c r="D5" s="679">
        <v>0</v>
      </c>
      <c r="E5" s="680">
        <f>C5+D5</f>
        <v>1</v>
      </c>
      <c r="H5" s="663">
        <f>VLOOKUP(B5,'Table 1'!A27:X297,19)</f>
        <v>0</v>
      </c>
    </row>
    <row r="6" spans="1:8" x14ac:dyDescent="0.25">
      <c r="A6" s="1376" t="s">
        <v>693</v>
      </c>
      <c r="B6" s="1377"/>
      <c r="C6" s="681">
        <f>SUM(C7:C8)</f>
        <v>13.333333333333336</v>
      </c>
      <c r="D6" s="681">
        <f>SUM(D7:D8)</f>
        <v>0</v>
      </c>
      <c r="E6" s="681">
        <f>SUM(E7:E8)</f>
        <v>13.333333333333336</v>
      </c>
    </row>
    <row r="7" spans="1:8" hidden="1" x14ac:dyDescent="0.25">
      <c r="A7" s="682"/>
      <c r="B7" s="683" t="s">
        <v>91</v>
      </c>
      <c r="C7" s="674">
        <f>'Table 1'!L56</f>
        <v>6.6666666666666679</v>
      </c>
      <c r="D7" s="679">
        <v>0</v>
      </c>
      <c r="E7" s="684">
        <f>C7+D7</f>
        <v>6.6666666666666679</v>
      </c>
    </row>
    <row r="8" spans="1:8" hidden="1" x14ac:dyDescent="0.25">
      <c r="A8" s="682"/>
      <c r="B8" s="683" t="s">
        <v>21</v>
      </c>
      <c r="C8" s="674">
        <f>'Table 1'!L57</f>
        <v>6.6666666666666679</v>
      </c>
      <c r="D8" s="685">
        <v>0</v>
      </c>
      <c r="E8" s="684">
        <f>C8+D8</f>
        <v>6.6666666666666679</v>
      </c>
    </row>
    <row r="9" spans="1:8" x14ac:dyDescent="0.25">
      <c r="A9" s="686" t="s">
        <v>629</v>
      </c>
      <c r="B9" s="683"/>
      <c r="C9" s="681">
        <f>C10</f>
        <v>28.5</v>
      </c>
      <c r="D9" s="681">
        <f>D10</f>
        <v>0</v>
      </c>
      <c r="E9" s="681">
        <f>E10</f>
        <v>28.5</v>
      </c>
    </row>
    <row r="10" spans="1:8" ht="23" hidden="1" x14ac:dyDescent="0.25">
      <c r="A10" s="677"/>
      <c r="B10" s="678" t="s">
        <v>310</v>
      </c>
      <c r="C10" s="684">
        <f>'Table 1'!L60</f>
        <v>28.5</v>
      </c>
      <c r="D10" s="679">
        <v>0</v>
      </c>
      <c r="E10" s="684">
        <f>C10+D10</f>
        <v>28.5</v>
      </c>
    </row>
    <row r="11" spans="1:8" x14ac:dyDescent="0.25">
      <c r="A11" s="1363" t="s">
        <v>630</v>
      </c>
      <c r="B11" s="1378"/>
      <c r="C11" s="681">
        <f>SUM(C12:C13)</f>
        <v>28.5</v>
      </c>
      <c r="D11" s="681">
        <f>SUM(D12:D13)</f>
        <v>2.85</v>
      </c>
      <c r="E11" s="681">
        <f>SUM(E12:E13)</f>
        <v>31.35</v>
      </c>
    </row>
    <row r="12" spans="1:8" ht="46" hidden="1" x14ac:dyDescent="0.25">
      <c r="A12" s="687"/>
      <c r="B12" s="683" t="s">
        <v>311</v>
      </c>
      <c r="C12" s="684">
        <f>'Table 1'!L66</f>
        <v>28.5</v>
      </c>
      <c r="D12" s="679">
        <v>0</v>
      </c>
      <c r="E12" s="684">
        <f>C12+D12</f>
        <v>28.5</v>
      </c>
    </row>
    <row r="13" spans="1:8" s="690" customFormat="1" ht="23" hidden="1" x14ac:dyDescent="0.25">
      <c r="A13" s="688"/>
      <c r="B13" s="678" t="s">
        <v>351</v>
      </c>
      <c r="C13" s="689">
        <v>0</v>
      </c>
      <c r="D13" s="685">
        <f>'Table 1'!L211</f>
        <v>2.85</v>
      </c>
      <c r="E13" s="689">
        <f>C13+D13</f>
        <v>2.85</v>
      </c>
    </row>
    <row r="14" spans="1:8" x14ac:dyDescent="0.25">
      <c r="A14" s="1363" t="s">
        <v>631</v>
      </c>
      <c r="B14" s="1364"/>
      <c r="C14" s="681">
        <f>SUM(C15:C16)</f>
        <v>12.350000000000001</v>
      </c>
      <c r="D14" s="681">
        <f>SUM(D15:D16)</f>
        <v>0</v>
      </c>
      <c r="E14" s="681">
        <f>SUM(E15:E16)</f>
        <v>12.350000000000001</v>
      </c>
    </row>
    <row r="15" spans="1:8" hidden="1" x14ac:dyDescent="0.25">
      <c r="A15" s="691"/>
      <c r="B15" s="683" t="s">
        <v>312</v>
      </c>
      <c r="C15" s="684">
        <f>'Table 1'!L69</f>
        <v>12.350000000000001</v>
      </c>
      <c r="D15" s="679">
        <v>0</v>
      </c>
      <c r="E15" s="684">
        <f>C15+D15</f>
        <v>12.350000000000001</v>
      </c>
    </row>
    <row r="16" spans="1:8" hidden="1" x14ac:dyDescent="0.25">
      <c r="A16" s="692"/>
      <c r="B16" s="693" t="s">
        <v>89</v>
      </c>
      <c r="C16" s="684">
        <f>'Table 1'!L70</f>
        <v>0</v>
      </c>
      <c r="D16" s="679">
        <v>0</v>
      </c>
      <c r="E16" s="689">
        <f>C16+D16</f>
        <v>0</v>
      </c>
    </row>
    <row r="17" spans="1:5" ht="21" customHeight="1" x14ac:dyDescent="0.25">
      <c r="A17" s="1363" t="s">
        <v>90</v>
      </c>
      <c r="B17" s="1364"/>
      <c r="C17" s="681">
        <f>C18</f>
        <v>0</v>
      </c>
      <c r="D17" s="681">
        <f>D18</f>
        <v>0</v>
      </c>
      <c r="E17" s="681">
        <f>E18</f>
        <v>0</v>
      </c>
    </row>
    <row r="18" spans="1:5" ht="23" hidden="1" x14ac:dyDescent="0.25">
      <c r="A18" s="691"/>
      <c r="B18" s="693" t="s">
        <v>313</v>
      </c>
      <c r="C18" s="684">
        <f>'Table 1'!L73</f>
        <v>0</v>
      </c>
      <c r="D18" s="679">
        <v>0</v>
      </c>
      <c r="E18" s="684">
        <f>C18+D18</f>
        <v>0</v>
      </c>
    </row>
    <row r="19" spans="1:5" x14ac:dyDescent="0.25">
      <c r="A19" s="686" t="s">
        <v>692</v>
      </c>
      <c r="B19" s="683"/>
      <c r="C19" s="681">
        <f>SUM(C20:C21)</f>
        <v>12.4</v>
      </c>
      <c r="D19" s="681">
        <f>SUM(D20:D21)</f>
        <v>0</v>
      </c>
      <c r="E19" s="681">
        <f>SUM(E20:E21)</f>
        <v>12.4</v>
      </c>
    </row>
    <row r="20" spans="1:5" hidden="1" x14ac:dyDescent="0.25">
      <c r="A20" s="691"/>
      <c r="B20" s="683" t="s">
        <v>314</v>
      </c>
      <c r="C20" s="684">
        <f>'Table 1'!L75</f>
        <v>6.7</v>
      </c>
      <c r="D20" s="679">
        <v>0</v>
      </c>
      <c r="E20" s="684">
        <f>C20+D20</f>
        <v>6.7</v>
      </c>
    </row>
    <row r="21" spans="1:5" hidden="1" x14ac:dyDescent="0.25">
      <c r="A21" s="691"/>
      <c r="B21" s="683" t="s">
        <v>158</v>
      </c>
      <c r="C21" s="684">
        <f>'Table 1'!L76</f>
        <v>5.7</v>
      </c>
      <c r="D21" s="679">
        <v>0</v>
      </c>
      <c r="E21" s="684">
        <f>C21+D21</f>
        <v>5.7</v>
      </c>
    </row>
    <row r="22" spans="1:5" ht="24.75" customHeight="1" x14ac:dyDescent="0.25">
      <c r="A22" s="1369" t="s">
        <v>691</v>
      </c>
      <c r="B22" s="1370"/>
      <c r="C22" s="689">
        <f>SUM(C23:C26)</f>
        <v>5.7</v>
      </c>
      <c r="D22" s="689">
        <f>SUM(D23:D26)</f>
        <v>85.5</v>
      </c>
      <c r="E22" s="689">
        <f>SUM(E23:E26)</f>
        <v>91.2</v>
      </c>
    </row>
    <row r="23" spans="1:5" ht="23" hidden="1" x14ac:dyDescent="0.25">
      <c r="A23" s="682"/>
      <c r="B23" s="683" t="s">
        <v>316</v>
      </c>
      <c r="C23" s="684">
        <f>'Table 1'!L80</f>
        <v>5.7</v>
      </c>
      <c r="D23" s="679">
        <v>0</v>
      </c>
      <c r="E23" s="684">
        <f>C23+D23</f>
        <v>5.7</v>
      </c>
    </row>
    <row r="24" spans="1:5" s="690" customFormat="1" ht="34.5" hidden="1" x14ac:dyDescent="0.25">
      <c r="A24" s="682"/>
      <c r="B24" s="683" t="s">
        <v>626</v>
      </c>
      <c r="C24" s="694">
        <v>0</v>
      </c>
      <c r="D24" s="685">
        <f>'Table 1'!L226</f>
        <v>28.5</v>
      </c>
      <c r="E24" s="684">
        <f>C24+D24</f>
        <v>28.5</v>
      </c>
    </row>
    <row r="25" spans="1:5" s="690" customFormat="1" ht="23" hidden="1" x14ac:dyDescent="0.25">
      <c r="A25" s="691"/>
      <c r="B25" s="683" t="s">
        <v>349</v>
      </c>
      <c r="C25" s="694">
        <v>0</v>
      </c>
      <c r="D25" s="685">
        <f>'Table 1'!L228</f>
        <v>28.5</v>
      </c>
      <c r="E25" s="684">
        <f>C25+D25</f>
        <v>28.5</v>
      </c>
    </row>
    <row r="26" spans="1:5" s="690" customFormat="1" ht="15" hidden="1" customHeight="1" x14ac:dyDescent="0.25">
      <c r="A26" s="682"/>
      <c r="B26" s="695" t="s">
        <v>350</v>
      </c>
      <c r="C26" s="694">
        <v>0</v>
      </c>
      <c r="D26" s="685">
        <f>'Table 1'!L230</f>
        <v>28.5</v>
      </c>
      <c r="E26" s="684">
        <f>C26+D26</f>
        <v>28.5</v>
      </c>
    </row>
    <row r="27" spans="1:5" s="690" customFormat="1" x14ac:dyDescent="0.25">
      <c r="A27" s="1368" t="s">
        <v>690</v>
      </c>
      <c r="B27" s="1374"/>
      <c r="C27" s="694">
        <v>0</v>
      </c>
      <c r="D27" s="685">
        <f>'Table 1'!L232</f>
        <v>114</v>
      </c>
      <c r="E27" s="684">
        <f>C27+D27</f>
        <v>114</v>
      </c>
    </row>
    <row r="28" spans="1:5" x14ac:dyDescent="0.25">
      <c r="A28" s="696" t="s">
        <v>689</v>
      </c>
      <c r="B28" s="673"/>
      <c r="C28" s="681">
        <f>SUM(C29:C30)</f>
        <v>33.5</v>
      </c>
      <c r="D28" s="681">
        <f>SUM(D29:D30)</f>
        <v>11.166666666666666</v>
      </c>
      <c r="E28" s="681">
        <f>SUM(E29:E30)</f>
        <v>44.666666666666664</v>
      </c>
    </row>
    <row r="29" spans="1:5" ht="34.5" hidden="1" x14ac:dyDescent="0.25">
      <c r="A29" s="697"/>
      <c r="B29" s="698" t="s">
        <v>315</v>
      </c>
      <c r="C29" s="684">
        <f>'Table 1'!L84</f>
        <v>33.5</v>
      </c>
      <c r="D29" s="679">
        <v>0</v>
      </c>
      <c r="E29" s="684">
        <f>C29+D29</f>
        <v>33.5</v>
      </c>
    </row>
    <row r="30" spans="1:5" hidden="1" x14ac:dyDescent="0.25">
      <c r="A30" s="699"/>
      <c r="B30" s="700" t="s">
        <v>348</v>
      </c>
      <c r="C30" s="694">
        <v>0</v>
      </c>
      <c r="D30" s="679">
        <f>'Table 1'!L235</f>
        <v>11.166666666666666</v>
      </c>
      <c r="E30" s="684">
        <f>C30+D30</f>
        <v>11.166666666666666</v>
      </c>
    </row>
    <row r="31" spans="1:5" x14ac:dyDescent="0.25">
      <c r="A31" s="701" t="s">
        <v>688</v>
      </c>
      <c r="B31" s="702"/>
      <c r="C31" s="681">
        <f>SUM(C32:C33)</f>
        <v>28.5</v>
      </c>
      <c r="D31" s="681">
        <f>SUM(D32:D33)</f>
        <v>28.5</v>
      </c>
      <c r="E31" s="681">
        <f>SUM(E32:E33)</f>
        <v>57</v>
      </c>
    </row>
    <row r="32" spans="1:5" ht="23" hidden="1" x14ac:dyDescent="0.25">
      <c r="A32" s="699"/>
      <c r="B32" s="703" t="s">
        <v>317</v>
      </c>
      <c r="C32" s="684">
        <f>'Table 1'!L87</f>
        <v>28.5</v>
      </c>
      <c r="D32" s="679">
        <v>0</v>
      </c>
      <c r="E32" s="684">
        <f>C32+D32</f>
        <v>28.5</v>
      </c>
    </row>
    <row r="33" spans="1:5" ht="23" hidden="1" x14ac:dyDescent="0.25">
      <c r="A33" s="682"/>
      <c r="B33" s="683" t="s">
        <v>299</v>
      </c>
      <c r="C33" s="694">
        <v>0</v>
      </c>
      <c r="D33" s="679">
        <f>'Table 1'!L242</f>
        <v>28.5</v>
      </c>
      <c r="E33" s="684">
        <f>C33+D33</f>
        <v>28.5</v>
      </c>
    </row>
    <row r="34" spans="1:5" x14ac:dyDescent="0.25">
      <c r="A34" s="704" t="s">
        <v>687</v>
      </c>
      <c r="B34" s="705"/>
      <c r="C34" s="681">
        <f>C35</f>
        <v>0</v>
      </c>
      <c r="D34" s="681">
        <f>D35</f>
        <v>57</v>
      </c>
      <c r="E34" s="681">
        <f>E35</f>
        <v>57</v>
      </c>
    </row>
    <row r="35" spans="1:5" ht="23" hidden="1" x14ac:dyDescent="0.25">
      <c r="A35" s="682"/>
      <c r="B35" s="683" t="s">
        <v>627</v>
      </c>
      <c r="C35" s="694">
        <v>0</v>
      </c>
      <c r="D35" s="679">
        <f>'Table 1'!L292</f>
        <v>57</v>
      </c>
      <c r="E35" s="684">
        <f>C35+D35</f>
        <v>57</v>
      </c>
    </row>
    <row r="36" spans="1:5" x14ac:dyDescent="0.25">
      <c r="A36" s="704" t="s">
        <v>632</v>
      </c>
      <c r="B36" s="705"/>
      <c r="C36" s="681">
        <f>SUM(C37:C39)</f>
        <v>11.399999999999999</v>
      </c>
      <c r="D36" s="681">
        <f>SUM(D37:D39)</f>
        <v>18.099999999999998</v>
      </c>
      <c r="E36" s="681">
        <f>SUM(E37:E39)</f>
        <v>29.499999999999996</v>
      </c>
    </row>
    <row r="37" spans="1:5" ht="23" hidden="1" x14ac:dyDescent="0.25">
      <c r="A37" s="706"/>
      <c r="B37" s="707" t="s">
        <v>231</v>
      </c>
      <c r="C37" s="674">
        <f>'Table 1'!L89</f>
        <v>11.399999999999999</v>
      </c>
      <c r="D37" s="679">
        <v>0</v>
      </c>
      <c r="E37" s="684">
        <f>C37+D37</f>
        <v>11.399999999999999</v>
      </c>
    </row>
    <row r="38" spans="1:5" ht="23" hidden="1" x14ac:dyDescent="0.25">
      <c r="A38" s="682"/>
      <c r="B38" s="700" t="s">
        <v>347</v>
      </c>
      <c r="C38" s="689">
        <v>0</v>
      </c>
      <c r="D38" s="685">
        <f>'Table 1'!L245</f>
        <v>6.7</v>
      </c>
      <c r="E38" s="684">
        <f>C38+D38</f>
        <v>6.7</v>
      </c>
    </row>
    <row r="39" spans="1:5" hidden="1" x14ac:dyDescent="0.25">
      <c r="A39" s="706"/>
      <c r="B39" s="708" t="s">
        <v>298</v>
      </c>
      <c r="C39" s="709">
        <v>0</v>
      </c>
      <c r="D39" s="685">
        <f>'Table 1'!L246</f>
        <v>11.399999999999999</v>
      </c>
      <c r="E39" s="684">
        <f>C39+D39</f>
        <v>11.399999999999999</v>
      </c>
    </row>
    <row r="40" spans="1:5" x14ac:dyDescent="0.25">
      <c r="A40" s="686" t="s">
        <v>686</v>
      </c>
      <c r="B40" s="703"/>
      <c r="C40" s="689">
        <f>SUM(C41:C44)</f>
        <v>52.3</v>
      </c>
      <c r="D40" s="689">
        <f>SUM(D41:D44)</f>
        <v>0</v>
      </c>
      <c r="E40" s="689">
        <f>SUM(E41:E44)</f>
        <v>52.3</v>
      </c>
    </row>
    <row r="41" spans="1:5" ht="23" hidden="1" x14ac:dyDescent="0.25">
      <c r="A41" s="682"/>
      <c r="B41" s="703" t="s">
        <v>318</v>
      </c>
      <c r="C41" s="684">
        <f>'Table 1'!L93</f>
        <v>34.199999999999996</v>
      </c>
      <c r="D41" s="679">
        <v>0</v>
      </c>
      <c r="E41" s="684">
        <f>C41+D41</f>
        <v>34.199999999999996</v>
      </c>
    </row>
    <row r="42" spans="1:5" hidden="1" x14ac:dyDescent="0.25">
      <c r="A42" s="691"/>
      <c r="B42" s="703" t="s">
        <v>174</v>
      </c>
      <c r="C42" s="684">
        <f>'Table 1'!L94</f>
        <v>1</v>
      </c>
      <c r="D42" s="685">
        <v>0</v>
      </c>
      <c r="E42" s="684">
        <f>C42+D42</f>
        <v>1</v>
      </c>
    </row>
    <row r="43" spans="1:5" hidden="1" x14ac:dyDescent="0.25">
      <c r="A43" s="691"/>
      <c r="B43" s="703" t="s">
        <v>105</v>
      </c>
      <c r="C43" s="689">
        <f>'Table 1'!L95</f>
        <v>11.4</v>
      </c>
      <c r="D43" s="679">
        <v>0</v>
      </c>
      <c r="E43" s="684">
        <f>C43+D43</f>
        <v>11.4</v>
      </c>
    </row>
    <row r="44" spans="1:5" hidden="1" x14ac:dyDescent="0.25">
      <c r="A44" s="691"/>
      <c r="B44" s="703" t="s">
        <v>106</v>
      </c>
      <c r="C44" s="689">
        <f>'Table 1'!L96</f>
        <v>5.7</v>
      </c>
      <c r="D44" s="679">
        <v>0</v>
      </c>
      <c r="E44" s="684">
        <f>C44+D44</f>
        <v>5.7</v>
      </c>
    </row>
    <row r="45" spans="1:5" x14ac:dyDescent="0.25">
      <c r="A45" s="686" t="s">
        <v>633</v>
      </c>
      <c r="B45" s="710"/>
      <c r="C45" s="674">
        <f>C46</f>
        <v>29.4</v>
      </c>
      <c r="D45" s="674">
        <f>D46</f>
        <v>0</v>
      </c>
      <c r="E45" s="674">
        <f>E46</f>
        <v>29.4</v>
      </c>
    </row>
    <row r="46" spans="1:5" ht="23" hidden="1" x14ac:dyDescent="0.25">
      <c r="A46" s="682"/>
      <c r="B46" s="703" t="s">
        <v>319</v>
      </c>
      <c r="C46" s="684">
        <f>'Table 1'!L100</f>
        <v>29.4</v>
      </c>
      <c r="D46" s="679">
        <v>0</v>
      </c>
      <c r="E46" s="684">
        <f>C46+D46</f>
        <v>29.4</v>
      </c>
    </row>
    <row r="47" spans="1:5" x14ac:dyDescent="0.25">
      <c r="A47" s="686" t="s">
        <v>634</v>
      </c>
      <c r="B47" s="683"/>
      <c r="C47" s="681">
        <f>C48</f>
        <v>5.7</v>
      </c>
      <c r="D47" s="681">
        <f>D48</f>
        <v>0</v>
      </c>
      <c r="E47" s="681">
        <f>E48</f>
        <v>5.7</v>
      </c>
    </row>
    <row r="48" spans="1:5" ht="23" hidden="1" x14ac:dyDescent="0.25">
      <c r="A48" s="711"/>
      <c r="B48" s="678" t="s">
        <v>320</v>
      </c>
      <c r="C48" s="684">
        <f>'Table 1'!L104</f>
        <v>5.7</v>
      </c>
      <c r="D48" s="679">
        <v>0</v>
      </c>
      <c r="E48" s="684">
        <f>C48+D48</f>
        <v>5.7</v>
      </c>
    </row>
    <row r="49" spans="1:5" x14ac:dyDescent="0.25">
      <c r="A49" s="1363" t="s">
        <v>685</v>
      </c>
      <c r="B49" s="1364"/>
      <c r="C49" s="681">
        <f>SUM(C50:C53)</f>
        <v>92.339999999999989</v>
      </c>
      <c r="D49" s="681">
        <f>SUM(D50:D53)</f>
        <v>0</v>
      </c>
      <c r="E49" s="681">
        <f>SUM(E50:E53)</f>
        <v>92.339999999999989</v>
      </c>
    </row>
    <row r="50" spans="1:5" ht="23" hidden="1" x14ac:dyDescent="0.25">
      <c r="A50" s="682"/>
      <c r="B50" s="695" t="s">
        <v>321</v>
      </c>
      <c r="C50" s="684">
        <f>'Table 1'!L107</f>
        <v>34.199999999999996</v>
      </c>
      <c r="D50" s="679">
        <v>0</v>
      </c>
      <c r="E50" s="684">
        <f>C50+D50</f>
        <v>34.199999999999996</v>
      </c>
    </row>
    <row r="51" spans="1:5" ht="23" hidden="1" x14ac:dyDescent="0.25">
      <c r="A51" s="682"/>
      <c r="B51" s="683" t="s">
        <v>322</v>
      </c>
      <c r="C51" s="689">
        <f>'Table 1'!L109</f>
        <v>3.42</v>
      </c>
      <c r="D51" s="679">
        <v>0</v>
      </c>
      <c r="E51" s="684">
        <f>C51+D51</f>
        <v>3.42</v>
      </c>
    </row>
    <row r="52" spans="1:5" hidden="1" x14ac:dyDescent="0.25">
      <c r="A52" s="691"/>
      <c r="B52" s="683" t="s">
        <v>323</v>
      </c>
      <c r="C52" s="689">
        <f>'Table 1'!L111</f>
        <v>34.199999999999996</v>
      </c>
      <c r="D52" s="679">
        <v>0</v>
      </c>
      <c r="E52" s="684">
        <f>C52+D52</f>
        <v>34.199999999999996</v>
      </c>
    </row>
    <row r="53" spans="1:5" hidden="1" x14ac:dyDescent="0.25">
      <c r="A53" s="682"/>
      <c r="B53" s="683" t="s">
        <v>324</v>
      </c>
      <c r="C53" s="681">
        <f>'Table 1'!L113</f>
        <v>20.52</v>
      </c>
      <c r="D53" s="679">
        <v>0</v>
      </c>
      <c r="E53" s="684">
        <f>C53+D53</f>
        <v>20.52</v>
      </c>
    </row>
    <row r="54" spans="1:5" x14ac:dyDescent="0.25">
      <c r="A54" s="1369" t="s">
        <v>684</v>
      </c>
      <c r="B54" s="1373"/>
      <c r="C54" s="681">
        <f>SUM(C55:C56)</f>
        <v>62.7</v>
      </c>
      <c r="D54" s="681">
        <f>SUM(D55:D56)</f>
        <v>0</v>
      </c>
      <c r="E54" s="681">
        <f>SUM(E55:E56)</f>
        <v>62.7</v>
      </c>
    </row>
    <row r="55" spans="1:5" hidden="1" x14ac:dyDescent="0.25">
      <c r="A55" s="682"/>
      <c r="B55" s="683" t="s">
        <v>61</v>
      </c>
      <c r="C55" s="684">
        <f>'Table 1'!L115</f>
        <v>57</v>
      </c>
      <c r="D55" s="679">
        <v>0</v>
      </c>
      <c r="E55" s="684">
        <f>C55+D55</f>
        <v>57</v>
      </c>
    </row>
    <row r="56" spans="1:5" hidden="1" x14ac:dyDescent="0.25">
      <c r="A56" s="691"/>
      <c r="B56" s="683" t="s">
        <v>325</v>
      </c>
      <c r="C56" s="684">
        <f>'Table 1'!L117</f>
        <v>5.7</v>
      </c>
      <c r="D56" s="679">
        <v>0</v>
      </c>
      <c r="E56" s="684">
        <f>C56+D56</f>
        <v>5.7</v>
      </c>
    </row>
    <row r="57" spans="1:5" x14ac:dyDescent="0.25">
      <c r="A57" s="1365" t="s">
        <v>635</v>
      </c>
      <c r="B57" s="1366"/>
      <c r="C57" s="681">
        <f>SUM(C58:C59)</f>
        <v>11.4</v>
      </c>
      <c r="D57" s="681">
        <f>SUM(D58:D59)</f>
        <v>0</v>
      </c>
      <c r="E57" s="681">
        <f>SUM(E58:E59)</f>
        <v>11.4</v>
      </c>
    </row>
    <row r="58" spans="1:5" ht="23" hidden="1" x14ac:dyDescent="0.25">
      <c r="A58" s="682"/>
      <c r="B58" s="683" t="s">
        <v>326</v>
      </c>
      <c r="C58" s="674">
        <f>'Table 1'!L120</f>
        <v>5.7</v>
      </c>
      <c r="D58" s="679">
        <v>0</v>
      </c>
      <c r="E58" s="684">
        <f>C58+D58</f>
        <v>5.7</v>
      </c>
    </row>
    <row r="59" spans="1:5" hidden="1" x14ac:dyDescent="0.25">
      <c r="A59" s="691"/>
      <c r="B59" s="683" t="s">
        <v>98</v>
      </c>
      <c r="C59" s="674">
        <f>'Table 1'!L121</f>
        <v>5.7</v>
      </c>
      <c r="D59" s="679">
        <v>0</v>
      </c>
      <c r="E59" s="684">
        <f>C59+D59</f>
        <v>5.7</v>
      </c>
    </row>
    <row r="60" spans="1:5" x14ac:dyDescent="0.25">
      <c r="A60" s="704" t="s">
        <v>636</v>
      </c>
      <c r="B60" s="705"/>
      <c r="C60" s="681">
        <f>C61</f>
        <v>0</v>
      </c>
      <c r="D60" s="681">
        <f>D61</f>
        <v>0</v>
      </c>
      <c r="E60" s="689">
        <f>E61</f>
        <v>0</v>
      </c>
    </row>
    <row r="61" spans="1:5" hidden="1" x14ac:dyDescent="0.25">
      <c r="A61" s="691"/>
      <c r="B61" s="683" t="s">
        <v>327</v>
      </c>
      <c r="C61" s="674">
        <f>'Table 1'!L124</f>
        <v>0</v>
      </c>
      <c r="D61" s="679">
        <v>0</v>
      </c>
      <c r="E61" s="684">
        <f>C61+D61</f>
        <v>0</v>
      </c>
    </row>
    <row r="62" spans="1:5" x14ac:dyDescent="0.25">
      <c r="A62" s="1369" t="s">
        <v>637</v>
      </c>
      <c r="B62" s="1373"/>
      <c r="C62" s="712">
        <f>SUM(C63:C64)</f>
        <v>5.7</v>
      </c>
      <c r="D62" s="712">
        <f>SUM(D63:D64)</f>
        <v>0</v>
      </c>
      <c r="E62" s="681">
        <f>SUM(E63:E64)</f>
        <v>5.7</v>
      </c>
    </row>
    <row r="63" spans="1:5" ht="23" hidden="1" x14ac:dyDescent="0.25">
      <c r="A63" s="691"/>
      <c r="B63" s="683" t="s">
        <v>328</v>
      </c>
      <c r="C63" s="694">
        <f>'Table 1'!L127</f>
        <v>5.7</v>
      </c>
      <c r="D63" s="679">
        <v>0</v>
      </c>
      <c r="E63" s="684">
        <f>C63+D63</f>
        <v>5.7</v>
      </c>
    </row>
    <row r="64" spans="1:5" hidden="1" x14ac:dyDescent="0.25">
      <c r="A64" s="691"/>
      <c r="B64" s="683" t="s">
        <v>69</v>
      </c>
      <c r="C64" s="694">
        <f>'Table 1'!L128</f>
        <v>0</v>
      </c>
      <c r="D64" s="679">
        <v>0</v>
      </c>
      <c r="E64" s="684">
        <f>C64+D64</f>
        <v>0</v>
      </c>
    </row>
    <row r="65" spans="1:5" x14ac:dyDescent="0.25">
      <c r="A65" s="1369" t="s">
        <v>638</v>
      </c>
      <c r="B65" s="1370"/>
      <c r="C65" s="681">
        <f>SUM(C66:C67)</f>
        <v>0</v>
      </c>
      <c r="D65" s="681">
        <f>SUM(D66:D67)</f>
        <v>0</v>
      </c>
      <c r="E65" s="681">
        <f>SUM(E66:E67)</f>
        <v>0</v>
      </c>
    </row>
    <row r="66" spans="1:5" ht="23" hidden="1" x14ac:dyDescent="0.25">
      <c r="A66" s="691"/>
      <c r="B66" s="683" t="s">
        <v>328</v>
      </c>
      <c r="C66" s="684">
        <f>'Table 1'!L131</f>
        <v>0</v>
      </c>
      <c r="D66" s="679">
        <v>0</v>
      </c>
      <c r="E66" s="684">
        <f>C66+D66</f>
        <v>0</v>
      </c>
    </row>
    <row r="67" spans="1:5" hidden="1" x14ac:dyDescent="0.25">
      <c r="A67" s="691"/>
      <c r="B67" s="683" t="s">
        <v>69</v>
      </c>
      <c r="C67" s="684">
        <f>'Table 1'!L132</f>
        <v>0</v>
      </c>
      <c r="D67" s="679">
        <v>0</v>
      </c>
      <c r="E67" s="684">
        <f>C67+D67</f>
        <v>0</v>
      </c>
    </row>
    <row r="68" spans="1:5" x14ac:dyDescent="0.25">
      <c r="A68" s="1369" t="s">
        <v>683</v>
      </c>
      <c r="B68" s="1370"/>
      <c r="C68" s="681">
        <f>SUM(C69:C70)</f>
        <v>11.4</v>
      </c>
      <c r="D68" s="681">
        <f>SUM(D69:D70)</f>
        <v>0</v>
      </c>
      <c r="E68" s="689">
        <f>SUM(E69:E70)</f>
        <v>11.4</v>
      </c>
    </row>
    <row r="69" spans="1:5" hidden="1" x14ac:dyDescent="0.25">
      <c r="A69" s="691"/>
      <c r="B69" s="683" t="s">
        <v>329</v>
      </c>
      <c r="C69" s="684">
        <f>'Table 1'!L134</f>
        <v>5.7</v>
      </c>
      <c r="D69" s="679">
        <v>0</v>
      </c>
      <c r="E69" s="684">
        <f>C69+D69</f>
        <v>5.7</v>
      </c>
    </row>
    <row r="70" spans="1:5" ht="23" hidden="1" x14ac:dyDescent="0.25">
      <c r="A70" s="713"/>
      <c r="B70" s="678" t="s">
        <v>330</v>
      </c>
      <c r="C70" s="684">
        <f>'Table 1'!L136</f>
        <v>5.7</v>
      </c>
      <c r="D70" s="679">
        <v>0</v>
      </c>
      <c r="E70" s="684">
        <f>C70+D70</f>
        <v>5.7</v>
      </c>
    </row>
    <row r="71" spans="1:5" x14ac:dyDescent="0.25">
      <c r="A71" s="704" t="s">
        <v>682</v>
      </c>
      <c r="B71" s="705"/>
      <c r="C71" s="689">
        <f>SUM(C72:C74)</f>
        <v>0</v>
      </c>
      <c r="D71" s="689">
        <f>SUM(D72:D74)</f>
        <v>0</v>
      </c>
      <c r="E71" s="689">
        <f>SUM(E72:E74)</f>
        <v>0</v>
      </c>
    </row>
    <row r="72" spans="1:5" ht="23" hidden="1" x14ac:dyDescent="0.25">
      <c r="A72" s="691"/>
      <c r="B72" s="683" t="s">
        <v>300</v>
      </c>
      <c r="C72" s="684">
        <v>0</v>
      </c>
      <c r="D72" s="679">
        <f>'Table 1'!L253</f>
        <v>0</v>
      </c>
      <c r="E72" s="684">
        <f>C72+D72</f>
        <v>0</v>
      </c>
    </row>
    <row r="73" spans="1:5" ht="34.5" hidden="1" x14ac:dyDescent="0.25">
      <c r="A73" s="691"/>
      <c r="B73" s="683" t="s">
        <v>301</v>
      </c>
      <c r="C73" s="684">
        <v>0</v>
      </c>
      <c r="D73" s="679">
        <f>'Table 1'!L256</f>
        <v>0</v>
      </c>
      <c r="E73" s="684">
        <f>C73+D73</f>
        <v>0</v>
      </c>
    </row>
    <row r="74" spans="1:5" ht="34.5" hidden="1" x14ac:dyDescent="0.25">
      <c r="A74" s="706"/>
      <c r="B74" s="700" t="s">
        <v>302</v>
      </c>
      <c r="C74" s="684">
        <v>0</v>
      </c>
      <c r="D74" s="679">
        <f>'Table 1'!L259</f>
        <v>0</v>
      </c>
      <c r="E74" s="684">
        <f>C74+D74</f>
        <v>0</v>
      </c>
    </row>
    <row r="75" spans="1:5" x14ac:dyDescent="0.25">
      <c r="A75" s="714" t="s">
        <v>681</v>
      </c>
      <c r="B75" s="715"/>
      <c r="C75" s="681">
        <f>SUM(C76:C77)</f>
        <v>5.7</v>
      </c>
      <c r="D75" s="689">
        <f>SUM(D76:D77)</f>
        <v>0</v>
      </c>
      <c r="E75" s="689">
        <f>SUM(E76:E77)</f>
        <v>5.7</v>
      </c>
    </row>
    <row r="76" spans="1:5" ht="23" hidden="1" x14ac:dyDescent="0.25">
      <c r="A76" s="706"/>
      <c r="B76" s="703" t="s">
        <v>331</v>
      </c>
      <c r="C76" s="684">
        <f>'Table 1'!L138</f>
        <v>5.7</v>
      </c>
      <c r="D76" s="679">
        <v>0</v>
      </c>
      <c r="E76" s="684">
        <f>C76+D76</f>
        <v>5.7</v>
      </c>
    </row>
    <row r="77" spans="1:5" ht="34.5" hidden="1" x14ac:dyDescent="0.25">
      <c r="A77" s="706"/>
      <c r="B77" s="703" t="s">
        <v>303</v>
      </c>
      <c r="C77" s="684">
        <v>0</v>
      </c>
      <c r="D77" s="679">
        <f>'Table 1'!L263</f>
        <v>0</v>
      </c>
      <c r="E77" s="684">
        <f>C77+D77</f>
        <v>0</v>
      </c>
    </row>
    <row r="78" spans="1:5" x14ac:dyDescent="0.25">
      <c r="A78" s="1367" t="s">
        <v>639</v>
      </c>
      <c r="B78" s="1368"/>
      <c r="C78" s="681">
        <f>C79</f>
        <v>0</v>
      </c>
      <c r="D78" s="681">
        <f>D79</f>
        <v>28.5</v>
      </c>
      <c r="E78" s="681">
        <f>E79</f>
        <v>28.5</v>
      </c>
    </row>
    <row r="79" spans="1:5" ht="23" hidden="1" x14ac:dyDescent="0.25">
      <c r="A79" s="691"/>
      <c r="B79" s="683" t="s">
        <v>304</v>
      </c>
      <c r="C79" s="684">
        <v>0</v>
      </c>
      <c r="D79" s="679">
        <f>'Table 1'!L266</f>
        <v>28.5</v>
      </c>
      <c r="E79" s="684">
        <f>C79+D79</f>
        <v>28.5</v>
      </c>
    </row>
    <row r="80" spans="1:5" x14ac:dyDescent="0.25">
      <c r="A80" s="704" t="s">
        <v>640</v>
      </c>
      <c r="B80" s="705"/>
      <c r="C80" s="681">
        <f>C81</f>
        <v>28.5</v>
      </c>
      <c r="D80" s="681">
        <f>D81</f>
        <v>0</v>
      </c>
      <c r="E80" s="681">
        <f>E81</f>
        <v>28.5</v>
      </c>
    </row>
    <row r="81" spans="1:5" hidden="1" x14ac:dyDescent="0.25">
      <c r="A81" s="713"/>
      <c r="B81" s="678" t="s">
        <v>332</v>
      </c>
      <c r="C81" s="684">
        <f>'Table 1'!L141</f>
        <v>28.5</v>
      </c>
      <c r="D81" s="679">
        <v>0</v>
      </c>
      <c r="E81" s="684">
        <f>C81+D81</f>
        <v>28.5</v>
      </c>
    </row>
    <row r="82" spans="1:5" x14ac:dyDescent="0.25">
      <c r="A82" s="686" t="s">
        <v>641</v>
      </c>
      <c r="B82" s="705"/>
      <c r="C82" s="681">
        <f>C83</f>
        <v>28.5</v>
      </c>
      <c r="D82" s="681">
        <f>D83</f>
        <v>0</v>
      </c>
      <c r="E82" s="681">
        <f>E83</f>
        <v>28.5</v>
      </c>
    </row>
    <row r="83" spans="1:5" ht="23" hidden="1" x14ac:dyDescent="0.25">
      <c r="A83" s="691"/>
      <c r="B83" s="683" t="s">
        <v>333</v>
      </c>
      <c r="C83" s="684">
        <f>'Table 1'!L144</f>
        <v>28.5</v>
      </c>
      <c r="D83" s="679">
        <v>0</v>
      </c>
      <c r="E83" s="684">
        <f>C83+D83</f>
        <v>28.5</v>
      </c>
    </row>
    <row r="84" spans="1:5" x14ac:dyDescent="0.25">
      <c r="A84" s="1363" t="s">
        <v>642</v>
      </c>
      <c r="B84" s="1364"/>
      <c r="C84" s="681">
        <f>C85</f>
        <v>34.199999999999996</v>
      </c>
      <c r="D84" s="681">
        <f>D85</f>
        <v>0</v>
      </c>
      <c r="E84" s="689">
        <f>E85</f>
        <v>34.199999999999996</v>
      </c>
    </row>
    <row r="85" spans="1:5" hidden="1" x14ac:dyDescent="0.25">
      <c r="A85" s="691"/>
      <c r="B85" s="703" t="s">
        <v>334</v>
      </c>
      <c r="C85" s="684">
        <f>'Table 1'!L147</f>
        <v>34.199999999999996</v>
      </c>
      <c r="D85" s="679">
        <v>0</v>
      </c>
      <c r="E85" s="684">
        <f>C85+D85</f>
        <v>34.199999999999996</v>
      </c>
    </row>
    <row r="86" spans="1:5" x14ac:dyDescent="0.25">
      <c r="A86" s="716" t="s">
        <v>680</v>
      </c>
      <c r="B86" s="673"/>
      <c r="C86" s="681">
        <f>SUM(C87:C90)</f>
        <v>34.199999999999996</v>
      </c>
      <c r="D86" s="689">
        <f>SUM(D87:D90)</f>
        <v>0</v>
      </c>
      <c r="E86" s="689">
        <f>SUM(E87:E90)</f>
        <v>34.199999999999996</v>
      </c>
    </row>
    <row r="87" spans="1:5" hidden="1" x14ac:dyDescent="0.25">
      <c r="A87" s="713"/>
      <c r="B87" s="717" t="s">
        <v>1</v>
      </c>
      <c r="C87" s="674"/>
      <c r="D87" s="718"/>
      <c r="E87" s="719"/>
    </row>
    <row r="88" spans="1:5" hidden="1" x14ac:dyDescent="0.25">
      <c r="A88" s="692"/>
      <c r="B88" s="673" t="s">
        <v>2</v>
      </c>
      <c r="C88" s="684">
        <f>'Table 1'!L150</f>
        <v>34.199999999999996</v>
      </c>
      <c r="D88" s="718">
        <v>0</v>
      </c>
      <c r="E88" s="689">
        <f>C88+D88</f>
        <v>34.199999999999996</v>
      </c>
    </row>
    <row r="89" spans="1:5" hidden="1" x14ac:dyDescent="0.25">
      <c r="A89" s="713"/>
      <c r="B89" s="717" t="s">
        <v>3</v>
      </c>
      <c r="C89" s="674"/>
      <c r="D89" s="718"/>
      <c r="E89" s="719"/>
    </row>
    <row r="90" spans="1:5" hidden="1" x14ac:dyDescent="0.25">
      <c r="A90" s="692"/>
      <c r="B90" s="673" t="s">
        <v>186</v>
      </c>
      <c r="C90" s="674">
        <f>'Table 1'!L152</f>
        <v>0</v>
      </c>
      <c r="D90" s="718">
        <v>0</v>
      </c>
      <c r="E90" s="689">
        <f>C90+D90</f>
        <v>0</v>
      </c>
    </row>
    <row r="91" spans="1:5" x14ac:dyDescent="0.25">
      <c r="A91" s="686" t="s">
        <v>679</v>
      </c>
      <c r="B91" s="703"/>
      <c r="C91" s="681">
        <f>SUM(C92:C96)</f>
        <v>5</v>
      </c>
      <c r="D91" s="681">
        <f>SUM(D92:D96)</f>
        <v>0</v>
      </c>
      <c r="E91" s="681">
        <f>SUM(E92:E96)</f>
        <v>5</v>
      </c>
    </row>
    <row r="92" spans="1:5" hidden="1" x14ac:dyDescent="0.25">
      <c r="A92" s="720"/>
      <c r="B92" s="703" t="s">
        <v>161</v>
      </c>
      <c r="C92" s="684">
        <f>'Table 1'!L154</f>
        <v>1</v>
      </c>
      <c r="D92" s="679">
        <v>0</v>
      </c>
      <c r="E92" s="684">
        <f>C92+D92</f>
        <v>1</v>
      </c>
    </row>
    <row r="93" spans="1:5" hidden="1" x14ac:dyDescent="0.25">
      <c r="A93" s="720"/>
      <c r="B93" s="683" t="s">
        <v>162</v>
      </c>
      <c r="C93" s="684">
        <f>'Table 1'!L155</f>
        <v>1</v>
      </c>
      <c r="D93" s="685">
        <v>0</v>
      </c>
      <c r="E93" s="684">
        <f>C93+D93</f>
        <v>1</v>
      </c>
    </row>
    <row r="94" spans="1:5" hidden="1" x14ac:dyDescent="0.25">
      <c r="A94" s="720"/>
      <c r="B94" s="683" t="s">
        <v>163</v>
      </c>
      <c r="C94" s="684">
        <f>'Table 1'!L156</f>
        <v>1</v>
      </c>
      <c r="D94" s="685">
        <v>0</v>
      </c>
      <c r="E94" s="684">
        <f>C94+D94</f>
        <v>1</v>
      </c>
    </row>
    <row r="95" spans="1:5" hidden="1" x14ac:dyDescent="0.25">
      <c r="A95" s="720"/>
      <c r="B95" s="683" t="s">
        <v>164</v>
      </c>
      <c r="C95" s="684">
        <f>'Table 1'!L157</f>
        <v>1</v>
      </c>
      <c r="D95" s="685">
        <v>0</v>
      </c>
      <c r="E95" s="684">
        <f>C95+D95</f>
        <v>1</v>
      </c>
    </row>
    <row r="96" spans="1:5" hidden="1" x14ac:dyDescent="0.25">
      <c r="A96" s="720"/>
      <c r="B96" s="683" t="s">
        <v>165</v>
      </c>
      <c r="C96" s="684">
        <f>'Table 1'!L158</f>
        <v>1</v>
      </c>
      <c r="D96" s="675">
        <v>0</v>
      </c>
      <c r="E96" s="684">
        <f>C96+D96</f>
        <v>1</v>
      </c>
    </row>
    <row r="97" spans="1:5" x14ac:dyDescent="0.25">
      <c r="A97" s="704" t="s">
        <v>678</v>
      </c>
      <c r="B97" s="721"/>
      <c r="C97" s="689">
        <f>SUM(C98:C100)</f>
        <v>3</v>
      </c>
      <c r="D97" s="689">
        <f>SUM(D98:D100)</f>
        <v>0</v>
      </c>
      <c r="E97" s="689">
        <f>SUM(E98:E100)</f>
        <v>3</v>
      </c>
    </row>
    <row r="98" spans="1:5" hidden="1" x14ac:dyDescent="0.25">
      <c r="A98" s="722"/>
      <c r="B98" s="723" t="s">
        <v>110</v>
      </c>
      <c r="C98" s="709">
        <f>'Table 1'!L160</f>
        <v>1</v>
      </c>
      <c r="D98" s="724">
        <v>0</v>
      </c>
      <c r="E98" s="725">
        <f>C98+D98</f>
        <v>1</v>
      </c>
    </row>
    <row r="99" spans="1:5" ht="23" hidden="1" x14ac:dyDescent="0.25">
      <c r="A99" s="726"/>
      <c r="B99" s="727" t="s">
        <v>335</v>
      </c>
      <c r="C99" s="709">
        <f>'Table 1'!L162</f>
        <v>1</v>
      </c>
      <c r="D99" s="724">
        <v>0</v>
      </c>
      <c r="E99" s="684">
        <f>C99+D99</f>
        <v>1</v>
      </c>
    </row>
    <row r="100" spans="1:5" ht="23" hidden="1" x14ac:dyDescent="0.25">
      <c r="A100" s="726"/>
      <c r="B100" s="727" t="s">
        <v>336</v>
      </c>
      <c r="C100" s="709">
        <f>'Table 1'!L164</f>
        <v>1</v>
      </c>
      <c r="D100" s="728">
        <v>0</v>
      </c>
      <c r="E100" s="684">
        <f>C100+D100</f>
        <v>1</v>
      </c>
    </row>
    <row r="101" spans="1:5" x14ac:dyDescent="0.25">
      <c r="A101" s="1363" t="s">
        <v>643</v>
      </c>
      <c r="B101" s="1364"/>
      <c r="C101" s="689">
        <f>C102</f>
        <v>14.25</v>
      </c>
      <c r="D101" s="689">
        <f>D102</f>
        <v>0</v>
      </c>
      <c r="E101" s="689">
        <f>E102</f>
        <v>14.25</v>
      </c>
    </row>
    <row r="102" spans="1:5" ht="23" hidden="1" x14ac:dyDescent="0.25">
      <c r="A102" s="691"/>
      <c r="B102" s="683" t="s">
        <v>337</v>
      </c>
      <c r="C102" s="684">
        <f>'Table 1'!L167</f>
        <v>14.25</v>
      </c>
      <c r="D102" s="728">
        <v>0</v>
      </c>
      <c r="E102" s="684">
        <f>C102+D102</f>
        <v>14.25</v>
      </c>
    </row>
    <row r="103" spans="1:5" x14ac:dyDescent="0.25">
      <c r="A103" s="1363" t="s">
        <v>644</v>
      </c>
      <c r="B103" s="1364"/>
      <c r="C103" s="674">
        <f>'Table 1'!L170</f>
        <v>5.7</v>
      </c>
      <c r="D103" s="728">
        <v>0</v>
      </c>
      <c r="E103" s="684">
        <f>C103+D103</f>
        <v>5.7</v>
      </c>
    </row>
    <row r="104" spans="1:5" x14ac:dyDescent="0.25">
      <c r="A104" s="704" t="s">
        <v>677</v>
      </c>
      <c r="B104" s="705"/>
      <c r="C104" s="712">
        <f>SUM(C105:C106)</f>
        <v>19.95</v>
      </c>
      <c r="D104" s="712">
        <f>SUM(D105:D106)</f>
        <v>0</v>
      </c>
      <c r="E104" s="712">
        <f>SUM(E105:E106)</f>
        <v>19.95</v>
      </c>
    </row>
    <row r="105" spans="1:5" ht="23" hidden="1" x14ac:dyDescent="0.25">
      <c r="A105" s="691"/>
      <c r="B105" s="683" t="s">
        <v>338</v>
      </c>
      <c r="C105" s="694">
        <f>'Table 1'!L175</f>
        <v>14.25</v>
      </c>
      <c r="D105" s="679">
        <v>0</v>
      </c>
      <c r="E105" s="684">
        <f>C105+D105</f>
        <v>14.25</v>
      </c>
    </row>
    <row r="106" spans="1:5" ht="23" hidden="1" x14ac:dyDescent="0.25">
      <c r="A106" s="729"/>
      <c r="B106" s="730" t="s">
        <v>339</v>
      </c>
      <c r="C106" s="684">
        <f>'Table 1'!L177</f>
        <v>5.7</v>
      </c>
      <c r="D106" s="728">
        <v>0</v>
      </c>
      <c r="E106" s="684">
        <f>C106+D106</f>
        <v>5.7</v>
      </c>
    </row>
    <row r="107" spans="1:5" x14ac:dyDescent="0.25">
      <c r="A107" s="1363" t="s">
        <v>645</v>
      </c>
      <c r="B107" s="1364"/>
      <c r="C107" s="689">
        <f>C108</f>
        <v>57</v>
      </c>
      <c r="D107" s="689">
        <f>D108</f>
        <v>0</v>
      </c>
      <c r="E107" s="689">
        <f>E108</f>
        <v>57</v>
      </c>
    </row>
    <row r="108" spans="1:5" ht="23" hidden="1" x14ac:dyDescent="0.25">
      <c r="A108" s="691"/>
      <c r="B108" s="683" t="s">
        <v>340</v>
      </c>
      <c r="C108" s="684">
        <f>'Table 1'!L180</f>
        <v>57</v>
      </c>
      <c r="D108" s="728">
        <v>0</v>
      </c>
      <c r="E108" s="684">
        <f>C108+D108</f>
        <v>57</v>
      </c>
    </row>
    <row r="109" spans="1:5" x14ac:dyDescent="0.25">
      <c r="A109" s="686" t="s">
        <v>676</v>
      </c>
      <c r="B109" s="683"/>
      <c r="C109" s="689">
        <f>C110</f>
        <v>14.25</v>
      </c>
      <c r="D109" s="689">
        <f>D110</f>
        <v>0</v>
      </c>
      <c r="E109" s="689">
        <f>E110</f>
        <v>14.25</v>
      </c>
    </row>
    <row r="110" spans="1:5" ht="34.5" hidden="1" x14ac:dyDescent="0.25">
      <c r="A110" s="729"/>
      <c r="B110" s="730" t="s">
        <v>341</v>
      </c>
      <c r="C110" s="674">
        <f>'Table 1'!L184</f>
        <v>14.25</v>
      </c>
      <c r="D110" s="728">
        <v>0</v>
      </c>
      <c r="E110" s="684">
        <f>C110+D110</f>
        <v>14.25</v>
      </c>
    </row>
    <row r="111" spans="1:5" s="731" customFormat="1" x14ac:dyDescent="0.25">
      <c r="A111" s="1363" t="s">
        <v>653</v>
      </c>
      <c r="B111" s="1364"/>
      <c r="C111" s="681">
        <f>SUM(C112:C113)</f>
        <v>11.4</v>
      </c>
      <c r="D111" s="681">
        <f>SUM(D112:D113)</f>
        <v>0</v>
      </c>
      <c r="E111" s="681">
        <f>SUM(E112:E113)</f>
        <v>11.4</v>
      </c>
    </row>
    <row r="112" spans="1:5" ht="23" hidden="1" x14ac:dyDescent="0.25">
      <c r="A112" s="682"/>
      <c r="B112" s="732" t="s">
        <v>342</v>
      </c>
      <c r="C112" s="674">
        <f>'Table 1'!L187</f>
        <v>5.7</v>
      </c>
      <c r="D112" s="679">
        <v>0</v>
      </c>
      <c r="E112" s="684">
        <f>C112+D112</f>
        <v>5.7</v>
      </c>
    </row>
    <row r="113" spans="1:5" ht="23" hidden="1" x14ac:dyDescent="0.25">
      <c r="A113" s="677"/>
      <c r="B113" s="733" t="s">
        <v>343</v>
      </c>
      <c r="C113" s="689">
        <f>'Table 1'!L189</f>
        <v>5.7</v>
      </c>
      <c r="D113" s="728">
        <v>0</v>
      </c>
      <c r="E113" s="684">
        <f>C113+D113</f>
        <v>5.7</v>
      </c>
    </row>
    <row r="114" spans="1:5" x14ac:dyDescent="0.25">
      <c r="A114" s="686" t="s">
        <v>675</v>
      </c>
      <c r="B114" s="683"/>
      <c r="C114" s="689">
        <f>C115</f>
        <v>0</v>
      </c>
      <c r="D114" s="689">
        <f>D115</f>
        <v>0</v>
      </c>
      <c r="E114" s="689">
        <f>E115</f>
        <v>0</v>
      </c>
    </row>
    <row r="115" spans="1:5" s="690" customFormat="1" ht="23" hidden="1" x14ac:dyDescent="0.25">
      <c r="A115" s="682"/>
      <c r="B115" s="683" t="s">
        <v>344</v>
      </c>
      <c r="C115" s="684">
        <f>'Table 1'!L192</f>
        <v>0</v>
      </c>
      <c r="D115" s="728">
        <v>0</v>
      </c>
      <c r="E115" s="684">
        <f>C115+D115</f>
        <v>0</v>
      </c>
    </row>
    <row r="116" spans="1:5" x14ac:dyDescent="0.25">
      <c r="A116" s="1365" t="s">
        <v>674</v>
      </c>
      <c r="B116" s="1366"/>
      <c r="C116" s="689">
        <f>C117</f>
        <v>0</v>
      </c>
      <c r="D116" s="689">
        <f>D117</f>
        <v>0</v>
      </c>
      <c r="E116" s="689">
        <f>E117</f>
        <v>0</v>
      </c>
    </row>
    <row r="117" spans="1:5" hidden="1" x14ac:dyDescent="0.25">
      <c r="A117" s="691" t="s">
        <v>345</v>
      </c>
      <c r="B117" s="683"/>
      <c r="C117" s="684">
        <f>'Table 1'!L195</f>
        <v>0</v>
      </c>
      <c r="D117" s="728">
        <v>0</v>
      </c>
      <c r="E117" s="684">
        <f>C117+D117</f>
        <v>0</v>
      </c>
    </row>
    <row r="118" spans="1:5" x14ac:dyDescent="0.25">
      <c r="A118" s="734" t="s">
        <v>673</v>
      </c>
      <c r="B118" s="717"/>
      <c r="C118" s="681">
        <f>C119</f>
        <v>14.25</v>
      </c>
      <c r="D118" s="681">
        <f>D119</f>
        <v>0</v>
      </c>
      <c r="E118" s="681">
        <f>E119</f>
        <v>14.25</v>
      </c>
    </row>
    <row r="119" spans="1:5" hidden="1" x14ac:dyDescent="0.25">
      <c r="A119" s="691"/>
      <c r="B119" s="683" t="s">
        <v>166</v>
      </c>
      <c r="C119" s="684">
        <f>'Table 1'!L197</f>
        <v>14.25</v>
      </c>
      <c r="D119" s="728">
        <v>0</v>
      </c>
      <c r="E119" s="684">
        <f>C119+D119</f>
        <v>14.25</v>
      </c>
    </row>
    <row r="120" spans="1:5" x14ac:dyDescent="0.25">
      <c r="A120" s="686" t="s">
        <v>128</v>
      </c>
      <c r="B120" s="683"/>
      <c r="C120" s="689">
        <f>C121</f>
        <v>0</v>
      </c>
      <c r="D120" s="689">
        <f>D121</f>
        <v>57</v>
      </c>
      <c r="E120" s="689">
        <f>E121</f>
        <v>57</v>
      </c>
    </row>
    <row r="121" spans="1:5" ht="23" hidden="1" x14ac:dyDescent="0.25">
      <c r="A121" s="691"/>
      <c r="B121" s="683" t="s">
        <v>305</v>
      </c>
      <c r="C121" s="674">
        <v>0</v>
      </c>
      <c r="D121" s="679">
        <f>'Table 1'!L272</f>
        <v>57</v>
      </c>
      <c r="E121" s="684">
        <f>C121+D121</f>
        <v>57</v>
      </c>
    </row>
    <row r="122" spans="1:5" x14ac:dyDescent="0.25">
      <c r="A122" s="704" t="s">
        <v>131</v>
      </c>
      <c r="B122" s="727"/>
      <c r="C122" s="681">
        <f>C123</f>
        <v>0</v>
      </c>
      <c r="D122" s="681">
        <f>D123</f>
        <v>57</v>
      </c>
      <c r="E122" s="681">
        <f>E123</f>
        <v>57</v>
      </c>
    </row>
    <row r="123" spans="1:5" hidden="1" x14ac:dyDescent="0.25">
      <c r="A123" s="691"/>
      <c r="B123" s="683" t="s">
        <v>153</v>
      </c>
      <c r="C123" s="674">
        <v>0</v>
      </c>
      <c r="D123" s="679">
        <f>'Table 1'!L275</f>
        <v>57</v>
      </c>
      <c r="E123" s="684">
        <f>C123+D123</f>
        <v>57</v>
      </c>
    </row>
    <row r="124" spans="1:5" x14ac:dyDescent="0.25">
      <c r="A124" s="716" t="s">
        <v>118</v>
      </c>
      <c r="B124" s="735"/>
      <c r="C124" s="681">
        <f>C125</f>
        <v>0.57000000000000006</v>
      </c>
      <c r="D124" s="681">
        <f>D125</f>
        <v>0</v>
      </c>
      <c r="E124" s="681">
        <f>E125</f>
        <v>0</v>
      </c>
    </row>
    <row r="125" spans="1:5" hidden="1" x14ac:dyDescent="0.25">
      <c r="A125" s="692"/>
      <c r="B125" s="693" t="s">
        <v>119</v>
      </c>
      <c r="C125" s="684">
        <f>'Table 1'!L172</f>
        <v>0.57000000000000006</v>
      </c>
      <c r="D125" s="684">
        <v>0</v>
      </c>
      <c r="E125" s="684">
        <v>0</v>
      </c>
    </row>
    <row r="126" spans="1:5" x14ac:dyDescent="0.25">
      <c r="A126" s="686" t="s">
        <v>646</v>
      </c>
      <c r="B126" s="683"/>
      <c r="C126" s="689">
        <f>C127</f>
        <v>0</v>
      </c>
      <c r="D126" s="689">
        <f>D127</f>
        <v>57</v>
      </c>
      <c r="E126" s="689">
        <f>E127</f>
        <v>57</v>
      </c>
    </row>
    <row r="127" spans="1:5" ht="23" hidden="1" x14ac:dyDescent="0.25">
      <c r="A127" s="691"/>
      <c r="B127" s="693" t="s">
        <v>306</v>
      </c>
      <c r="C127" s="674">
        <v>0</v>
      </c>
      <c r="D127" s="679">
        <f>'Table 1'!L278</f>
        <v>57</v>
      </c>
      <c r="E127" s="684">
        <f>C127+D127</f>
        <v>57</v>
      </c>
    </row>
    <row r="128" spans="1:5" x14ac:dyDescent="0.25">
      <c r="A128" s="1365" t="s">
        <v>648</v>
      </c>
      <c r="B128" s="1375"/>
      <c r="C128" s="681">
        <f>C129</f>
        <v>0</v>
      </c>
      <c r="D128" s="681">
        <f>D129</f>
        <v>57</v>
      </c>
      <c r="E128" s="681">
        <f>E129</f>
        <v>57</v>
      </c>
    </row>
    <row r="129" spans="1:6" hidden="1" x14ac:dyDescent="0.25">
      <c r="A129" s="736"/>
      <c r="B129" s="683" t="s">
        <v>137</v>
      </c>
      <c r="C129" s="674">
        <v>0</v>
      </c>
      <c r="D129" s="679">
        <f>'Table 1'!L280</f>
        <v>57</v>
      </c>
      <c r="E129" s="684">
        <f>C129+D129</f>
        <v>57</v>
      </c>
    </row>
    <row r="130" spans="1:6" x14ac:dyDescent="0.25">
      <c r="A130" s="1365" t="s">
        <v>647</v>
      </c>
      <c r="B130" s="1375"/>
      <c r="C130" s="681">
        <f>C131</f>
        <v>0</v>
      </c>
      <c r="D130" s="681">
        <f>D131</f>
        <v>57</v>
      </c>
      <c r="E130" s="681">
        <f>E131</f>
        <v>57</v>
      </c>
    </row>
    <row r="131" spans="1:6" hidden="1" x14ac:dyDescent="0.25">
      <c r="A131" s="736"/>
      <c r="B131" s="683" t="s">
        <v>140</v>
      </c>
      <c r="C131" s="674">
        <v>0</v>
      </c>
      <c r="D131" s="679">
        <f>'Table 1'!L282</f>
        <v>57</v>
      </c>
      <c r="E131" s="684">
        <f>C131+D131</f>
        <v>57</v>
      </c>
    </row>
    <row r="132" spans="1:6" x14ac:dyDescent="0.25">
      <c r="A132" s="1365" t="s">
        <v>649</v>
      </c>
      <c r="B132" s="1375"/>
      <c r="C132" s="681">
        <f>SUM(C133:C134)</f>
        <v>0</v>
      </c>
      <c r="D132" s="681">
        <f>SUM(D133:D134)</f>
        <v>114</v>
      </c>
      <c r="E132" s="681">
        <f>SUM(E133:E134)</f>
        <v>114</v>
      </c>
    </row>
    <row r="133" spans="1:6" ht="23" hidden="1" x14ac:dyDescent="0.25">
      <c r="A133" s="682"/>
      <c r="B133" s="683" t="s">
        <v>307</v>
      </c>
      <c r="C133" s="674">
        <v>0</v>
      </c>
      <c r="D133" s="679">
        <f>'Table 1'!L285</f>
        <v>57</v>
      </c>
      <c r="E133" s="684">
        <f>C133+D133</f>
        <v>57</v>
      </c>
    </row>
    <row r="134" spans="1:6" ht="23" hidden="1" x14ac:dyDescent="0.25">
      <c r="A134" s="677"/>
      <c r="B134" s="678" t="s">
        <v>308</v>
      </c>
      <c r="C134" s="681">
        <v>0</v>
      </c>
      <c r="D134" s="728">
        <f>'Table 1'!L287</f>
        <v>57</v>
      </c>
      <c r="E134" s="684">
        <f>C134+D134</f>
        <v>57</v>
      </c>
    </row>
    <row r="135" spans="1:6" x14ac:dyDescent="0.25">
      <c r="A135" s="682"/>
      <c r="B135" s="683"/>
      <c r="C135" s="737"/>
      <c r="D135" s="738" t="s">
        <v>11</v>
      </c>
      <c r="E135" s="739">
        <f>SUM(E4,E6,E9,E11,E14,E17,E19,E22,E27,E28,E31,E34,E36,E40,E45,E47,E49,E54,E57,E60,E62,E65,E68,E71,E75,E78,E80,E82,E84,E86,E91,E97,E101,E103,E104,E107,E109,E111,E114,E116,E118,E120,E122,E124,E126,E128,E130,E132)</f>
        <v>1466.6400000000003</v>
      </c>
    </row>
    <row r="136" spans="1:6" x14ac:dyDescent="0.25">
      <c r="B136" s="740"/>
      <c r="C136" s="741"/>
    </row>
    <row r="137" spans="1:6" x14ac:dyDescent="0.25">
      <c r="C137" s="741"/>
      <c r="E137" s="741">
        <f>'Table 1'!M295/E135</f>
        <v>40.29618720340369</v>
      </c>
      <c r="F137" s="663" t="s">
        <v>651</v>
      </c>
    </row>
    <row r="138" spans="1:6" x14ac:dyDescent="0.25">
      <c r="C138" s="741"/>
    </row>
    <row r="139" spans="1:6" x14ac:dyDescent="0.25">
      <c r="C139" s="741"/>
    </row>
    <row r="140" spans="1:6" x14ac:dyDescent="0.25">
      <c r="C140" s="741"/>
    </row>
    <row r="141" spans="1:6" x14ac:dyDescent="0.25">
      <c r="C141" s="741"/>
    </row>
    <row r="142" spans="1:6" x14ac:dyDescent="0.25">
      <c r="C142" s="741"/>
    </row>
    <row r="143" spans="1:6" x14ac:dyDescent="0.25">
      <c r="C143" s="741"/>
    </row>
    <row r="144" spans="1:6" x14ac:dyDescent="0.25">
      <c r="C144" s="741"/>
    </row>
    <row r="145" spans="3:3" x14ac:dyDescent="0.25">
      <c r="C145" s="741"/>
    </row>
    <row r="146" spans="3:3" x14ac:dyDescent="0.25">
      <c r="C146" s="741"/>
    </row>
    <row r="147" spans="3:3" x14ac:dyDescent="0.25">
      <c r="C147" s="741"/>
    </row>
    <row r="148" spans="3:3" x14ac:dyDescent="0.25">
      <c r="C148" s="741"/>
    </row>
    <row r="149" spans="3:3" x14ac:dyDescent="0.25">
      <c r="C149" s="741"/>
    </row>
    <row r="150" spans="3:3" x14ac:dyDescent="0.25">
      <c r="C150" s="741"/>
    </row>
    <row r="151" spans="3:3" x14ac:dyDescent="0.25">
      <c r="C151" s="741"/>
    </row>
    <row r="152" spans="3:3" x14ac:dyDescent="0.25">
      <c r="C152" s="741"/>
    </row>
    <row r="153" spans="3:3" x14ac:dyDescent="0.25">
      <c r="C153" s="741"/>
    </row>
    <row r="154" spans="3:3" x14ac:dyDescent="0.25">
      <c r="C154" s="741"/>
    </row>
    <row r="155" spans="3:3" x14ac:dyDescent="0.25">
      <c r="C155" s="741"/>
    </row>
    <row r="156" spans="3:3" x14ac:dyDescent="0.25">
      <c r="C156" s="741"/>
    </row>
    <row r="157" spans="3:3" x14ac:dyDescent="0.25">
      <c r="C157" s="741"/>
    </row>
    <row r="158" spans="3:3" x14ac:dyDescent="0.25">
      <c r="C158" s="741"/>
    </row>
    <row r="159" spans="3:3" x14ac:dyDescent="0.25">
      <c r="C159" s="741"/>
    </row>
    <row r="160" spans="3:3" x14ac:dyDescent="0.25">
      <c r="C160" s="741"/>
    </row>
    <row r="161" spans="3:3" x14ac:dyDescent="0.25">
      <c r="C161" s="741"/>
    </row>
    <row r="162" spans="3:3" x14ac:dyDescent="0.25">
      <c r="C162" s="741"/>
    </row>
    <row r="163" spans="3:3" x14ac:dyDescent="0.25">
      <c r="C163" s="741"/>
    </row>
    <row r="164" spans="3:3" x14ac:dyDescent="0.25">
      <c r="C164" s="741"/>
    </row>
    <row r="165" spans="3:3" x14ac:dyDescent="0.25">
      <c r="C165" s="741"/>
    </row>
    <row r="166" spans="3:3" x14ac:dyDescent="0.25">
      <c r="C166" s="741"/>
    </row>
    <row r="167" spans="3:3" x14ac:dyDescent="0.25">
      <c r="C167" s="741"/>
    </row>
    <row r="168" spans="3:3" x14ac:dyDescent="0.25">
      <c r="C168" s="741"/>
    </row>
    <row r="169" spans="3:3" x14ac:dyDescent="0.25">
      <c r="C169" s="741"/>
    </row>
    <row r="170" spans="3:3" x14ac:dyDescent="0.25">
      <c r="C170" s="741"/>
    </row>
    <row r="171" spans="3:3" x14ac:dyDescent="0.25">
      <c r="C171" s="741"/>
    </row>
    <row r="172" spans="3:3" x14ac:dyDescent="0.25">
      <c r="C172" s="741"/>
    </row>
    <row r="173" spans="3:3" x14ac:dyDescent="0.25">
      <c r="C173" s="741"/>
    </row>
    <row r="174" spans="3:3" x14ac:dyDescent="0.25">
      <c r="C174" s="741"/>
    </row>
    <row r="175" spans="3:3" x14ac:dyDescent="0.25">
      <c r="C175" s="741"/>
    </row>
    <row r="176" spans="3:3" x14ac:dyDescent="0.25">
      <c r="C176" s="741"/>
    </row>
    <row r="177" spans="3:3" x14ac:dyDescent="0.25">
      <c r="C177" s="741"/>
    </row>
    <row r="178" spans="3:3" x14ac:dyDescent="0.25">
      <c r="C178" s="741"/>
    </row>
    <row r="179" spans="3:3" x14ac:dyDescent="0.25">
      <c r="C179" s="741"/>
    </row>
    <row r="180" spans="3:3" x14ac:dyDescent="0.25">
      <c r="C180" s="741"/>
    </row>
    <row r="181" spans="3:3" x14ac:dyDescent="0.25">
      <c r="C181" s="741"/>
    </row>
    <row r="182" spans="3:3" x14ac:dyDescent="0.25">
      <c r="C182" s="741"/>
    </row>
    <row r="183" spans="3:3" x14ac:dyDescent="0.25">
      <c r="C183" s="741"/>
    </row>
    <row r="184" spans="3:3" x14ac:dyDescent="0.25">
      <c r="C184" s="741"/>
    </row>
    <row r="185" spans="3:3" x14ac:dyDescent="0.25">
      <c r="C185" s="741"/>
    </row>
    <row r="186" spans="3:3" x14ac:dyDescent="0.25">
      <c r="C186" s="741"/>
    </row>
    <row r="187" spans="3:3" x14ac:dyDescent="0.25">
      <c r="C187" s="741"/>
    </row>
    <row r="188" spans="3:3" x14ac:dyDescent="0.25">
      <c r="C188" s="741"/>
    </row>
    <row r="189" spans="3:3" x14ac:dyDescent="0.25">
      <c r="C189" s="741"/>
    </row>
    <row r="190" spans="3:3" x14ac:dyDescent="0.25">
      <c r="C190" s="741"/>
    </row>
    <row r="191" spans="3:3" x14ac:dyDescent="0.25">
      <c r="C191" s="741"/>
    </row>
    <row r="192" spans="3:3" x14ac:dyDescent="0.25">
      <c r="C192" s="741"/>
    </row>
    <row r="193" spans="3:3" x14ac:dyDescent="0.25">
      <c r="C193" s="741"/>
    </row>
    <row r="194" spans="3:3" x14ac:dyDescent="0.25">
      <c r="C194" s="741"/>
    </row>
    <row r="195" spans="3:3" x14ac:dyDescent="0.25">
      <c r="C195" s="741"/>
    </row>
    <row r="196" spans="3:3" x14ac:dyDescent="0.25">
      <c r="C196" s="741"/>
    </row>
    <row r="197" spans="3:3" x14ac:dyDescent="0.25">
      <c r="C197" s="741"/>
    </row>
    <row r="198" spans="3:3" x14ac:dyDescent="0.25">
      <c r="C198" s="741"/>
    </row>
    <row r="199" spans="3:3" x14ac:dyDescent="0.25">
      <c r="C199" s="741"/>
    </row>
    <row r="200" spans="3:3" x14ac:dyDescent="0.25">
      <c r="C200" s="741"/>
    </row>
    <row r="201" spans="3:3" x14ac:dyDescent="0.25">
      <c r="C201" s="741"/>
    </row>
    <row r="202" spans="3:3" x14ac:dyDescent="0.25">
      <c r="C202" s="741"/>
    </row>
    <row r="203" spans="3:3" x14ac:dyDescent="0.25">
      <c r="C203" s="741"/>
    </row>
    <row r="204" spans="3:3" x14ac:dyDescent="0.25">
      <c r="C204" s="741"/>
    </row>
    <row r="205" spans="3:3" x14ac:dyDescent="0.25">
      <c r="C205" s="741"/>
    </row>
    <row r="206" spans="3:3" x14ac:dyDescent="0.25">
      <c r="C206" s="741"/>
    </row>
    <row r="207" spans="3:3" x14ac:dyDescent="0.25">
      <c r="C207" s="741"/>
    </row>
    <row r="208" spans="3:3" x14ac:dyDescent="0.25">
      <c r="C208" s="741"/>
    </row>
    <row r="209" spans="3:3" x14ac:dyDescent="0.25">
      <c r="C209" s="741"/>
    </row>
    <row r="210" spans="3:3" x14ac:dyDescent="0.25">
      <c r="C210" s="741"/>
    </row>
    <row r="211" spans="3:3" x14ac:dyDescent="0.25">
      <c r="C211" s="741"/>
    </row>
    <row r="212" spans="3:3" x14ac:dyDescent="0.25">
      <c r="C212" s="741"/>
    </row>
    <row r="213" spans="3:3" x14ac:dyDescent="0.25">
      <c r="C213" s="741"/>
    </row>
    <row r="214" spans="3:3" x14ac:dyDescent="0.25">
      <c r="C214" s="741"/>
    </row>
    <row r="215" spans="3:3" x14ac:dyDescent="0.25">
      <c r="C215" s="741"/>
    </row>
    <row r="216" spans="3:3" x14ac:dyDescent="0.25">
      <c r="C216" s="741"/>
    </row>
    <row r="217" spans="3:3" x14ac:dyDescent="0.25">
      <c r="C217" s="741"/>
    </row>
    <row r="218" spans="3:3" x14ac:dyDescent="0.25">
      <c r="C218" s="741"/>
    </row>
    <row r="219" spans="3:3" x14ac:dyDescent="0.25">
      <c r="C219" s="741"/>
    </row>
    <row r="220" spans="3:3" x14ac:dyDescent="0.25">
      <c r="C220" s="741"/>
    </row>
    <row r="221" spans="3:3" x14ac:dyDescent="0.25">
      <c r="C221" s="741"/>
    </row>
    <row r="222" spans="3:3" x14ac:dyDescent="0.25">
      <c r="C222" s="741"/>
    </row>
    <row r="223" spans="3:3" x14ac:dyDescent="0.25">
      <c r="C223" s="741"/>
    </row>
    <row r="224" spans="3:3" x14ac:dyDescent="0.25">
      <c r="C224" s="741"/>
    </row>
    <row r="225" spans="3:3" x14ac:dyDescent="0.25">
      <c r="C225" s="741"/>
    </row>
    <row r="226" spans="3:3" x14ac:dyDescent="0.25">
      <c r="C226" s="741"/>
    </row>
    <row r="227" spans="3:3" x14ac:dyDescent="0.25">
      <c r="C227" s="741"/>
    </row>
    <row r="228" spans="3:3" x14ac:dyDescent="0.25">
      <c r="C228" s="741"/>
    </row>
    <row r="229" spans="3:3" x14ac:dyDescent="0.25">
      <c r="C229" s="741"/>
    </row>
    <row r="230" spans="3:3" x14ac:dyDescent="0.25">
      <c r="C230" s="741"/>
    </row>
    <row r="231" spans="3:3" x14ac:dyDescent="0.25">
      <c r="C231" s="741"/>
    </row>
    <row r="232" spans="3:3" x14ac:dyDescent="0.25">
      <c r="C232" s="741"/>
    </row>
    <row r="233" spans="3:3" x14ac:dyDescent="0.25">
      <c r="C233" s="741"/>
    </row>
    <row r="234" spans="3:3" x14ac:dyDescent="0.25">
      <c r="C234" s="741"/>
    </row>
    <row r="235" spans="3:3" x14ac:dyDescent="0.25">
      <c r="C235" s="741"/>
    </row>
    <row r="236" spans="3:3" x14ac:dyDescent="0.25">
      <c r="C236" s="741"/>
    </row>
    <row r="237" spans="3:3" x14ac:dyDescent="0.25">
      <c r="C237" s="741"/>
    </row>
    <row r="238" spans="3:3" x14ac:dyDescent="0.25">
      <c r="C238" s="741"/>
    </row>
    <row r="239" spans="3:3" x14ac:dyDescent="0.25">
      <c r="C239" s="741"/>
    </row>
    <row r="240" spans="3:3" x14ac:dyDescent="0.25">
      <c r="C240" s="741"/>
    </row>
    <row r="241" spans="3:3" x14ac:dyDescent="0.25">
      <c r="C241" s="741"/>
    </row>
    <row r="242" spans="3:3" x14ac:dyDescent="0.25">
      <c r="C242" s="741"/>
    </row>
    <row r="243" spans="3:3" x14ac:dyDescent="0.25">
      <c r="C243" s="741"/>
    </row>
    <row r="244" spans="3:3" x14ac:dyDescent="0.25">
      <c r="C244" s="741"/>
    </row>
    <row r="245" spans="3:3" x14ac:dyDescent="0.25">
      <c r="C245" s="741"/>
    </row>
    <row r="246" spans="3:3" x14ac:dyDescent="0.25">
      <c r="C246" s="741"/>
    </row>
    <row r="247" spans="3:3" x14ac:dyDescent="0.25">
      <c r="C247" s="741"/>
    </row>
    <row r="248" spans="3:3" x14ac:dyDescent="0.25">
      <c r="C248" s="741"/>
    </row>
    <row r="249" spans="3:3" x14ac:dyDescent="0.25">
      <c r="C249" s="741"/>
    </row>
    <row r="250" spans="3:3" x14ac:dyDescent="0.25">
      <c r="C250" s="741"/>
    </row>
    <row r="251" spans="3:3" x14ac:dyDescent="0.25">
      <c r="C251" s="741"/>
    </row>
    <row r="252" spans="3:3" x14ac:dyDescent="0.25">
      <c r="C252" s="741"/>
    </row>
    <row r="253" spans="3:3" x14ac:dyDescent="0.25">
      <c r="C253" s="741"/>
    </row>
    <row r="254" spans="3:3" x14ac:dyDescent="0.25">
      <c r="C254" s="741"/>
    </row>
    <row r="255" spans="3:3" x14ac:dyDescent="0.25">
      <c r="C255" s="741"/>
    </row>
    <row r="256" spans="3:3" x14ac:dyDescent="0.25">
      <c r="C256" s="741"/>
    </row>
    <row r="257" spans="3:3" x14ac:dyDescent="0.25">
      <c r="C257" s="741"/>
    </row>
    <row r="258" spans="3:3" x14ac:dyDescent="0.25">
      <c r="C258" s="741"/>
    </row>
    <row r="259" spans="3:3" x14ac:dyDescent="0.25">
      <c r="C259" s="741"/>
    </row>
    <row r="260" spans="3:3" x14ac:dyDescent="0.25">
      <c r="C260" s="741"/>
    </row>
    <row r="261" spans="3:3" x14ac:dyDescent="0.25">
      <c r="C261" s="741"/>
    </row>
    <row r="262" spans="3:3" x14ac:dyDescent="0.25">
      <c r="C262" s="741"/>
    </row>
    <row r="263" spans="3:3" x14ac:dyDescent="0.25">
      <c r="C263" s="741"/>
    </row>
    <row r="264" spans="3:3" x14ac:dyDescent="0.25">
      <c r="C264" s="741"/>
    </row>
    <row r="265" spans="3:3" x14ac:dyDescent="0.25">
      <c r="C265" s="741"/>
    </row>
    <row r="266" spans="3:3" x14ac:dyDescent="0.25">
      <c r="C266" s="741"/>
    </row>
    <row r="267" spans="3:3" x14ac:dyDescent="0.25">
      <c r="C267" s="741"/>
    </row>
    <row r="268" spans="3:3" x14ac:dyDescent="0.25">
      <c r="C268" s="741"/>
    </row>
    <row r="269" spans="3:3" x14ac:dyDescent="0.25">
      <c r="C269" s="741"/>
    </row>
    <row r="270" spans="3:3" x14ac:dyDescent="0.25">
      <c r="C270" s="741"/>
    </row>
    <row r="271" spans="3:3" x14ac:dyDescent="0.25">
      <c r="C271" s="741"/>
    </row>
    <row r="272" spans="3:3" x14ac:dyDescent="0.25">
      <c r="C272" s="741"/>
    </row>
    <row r="273" spans="3:3" x14ac:dyDescent="0.25">
      <c r="C273" s="741"/>
    </row>
    <row r="274" spans="3:3" x14ac:dyDescent="0.25">
      <c r="C274" s="741"/>
    </row>
    <row r="275" spans="3:3" x14ac:dyDescent="0.25">
      <c r="C275" s="741"/>
    </row>
    <row r="276" spans="3:3" x14ac:dyDescent="0.25">
      <c r="C276" s="741"/>
    </row>
    <row r="277" spans="3:3" x14ac:dyDescent="0.25">
      <c r="C277" s="741"/>
    </row>
    <row r="278" spans="3:3" x14ac:dyDescent="0.25">
      <c r="C278" s="741"/>
    </row>
    <row r="279" spans="3:3" x14ac:dyDescent="0.25">
      <c r="C279" s="741"/>
    </row>
    <row r="280" spans="3:3" x14ac:dyDescent="0.25">
      <c r="C280" s="741"/>
    </row>
    <row r="281" spans="3:3" x14ac:dyDescent="0.25">
      <c r="C281" s="741"/>
    </row>
    <row r="282" spans="3:3" x14ac:dyDescent="0.25">
      <c r="C282" s="741"/>
    </row>
    <row r="283" spans="3:3" x14ac:dyDescent="0.25">
      <c r="C283" s="741"/>
    </row>
    <row r="284" spans="3:3" x14ac:dyDescent="0.25">
      <c r="C284" s="741"/>
    </row>
    <row r="285" spans="3:3" x14ac:dyDescent="0.25">
      <c r="C285" s="741"/>
    </row>
    <row r="286" spans="3:3" x14ac:dyDescent="0.25">
      <c r="C286" s="741"/>
    </row>
    <row r="287" spans="3:3" x14ac:dyDescent="0.25">
      <c r="C287" s="741"/>
    </row>
    <row r="288" spans="3:3" x14ac:dyDescent="0.25">
      <c r="C288" s="741"/>
    </row>
    <row r="289" spans="3:3" x14ac:dyDescent="0.25">
      <c r="C289" s="741"/>
    </row>
    <row r="290" spans="3:3" x14ac:dyDescent="0.25">
      <c r="C290" s="741"/>
    </row>
    <row r="291" spans="3:3" x14ac:dyDescent="0.25">
      <c r="C291" s="741"/>
    </row>
  </sheetData>
  <mergeCells count="24">
    <mergeCell ref="A130:B130"/>
    <mergeCell ref="A132:B132"/>
    <mergeCell ref="A128:B128"/>
    <mergeCell ref="A6:B6"/>
    <mergeCell ref="A11:B11"/>
    <mergeCell ref="A54:B54"/>
    <mergeCell ref="A14:B14"/>
    <mergeCell ref="A49:B49"/>
    <mergeCell ref="A1:E1"/>
    <mergeCell ref="A111:B111"/>
    <mergeCell ref="A116:B116"/>
    <mergeCell ref="A57:B57"/>
    <mergeCell ref="A78:B78"/>
    <mergeCell ref="A65:B65"/>
    <mergeCell ref="A68:B68"/>
    <mergeCell ref="A84:B84"/>
    <mergeCell ref="A101:B101"/>
    <mergeCell ref="A103:B103"/>
    <mergeCell ref="A107:B107"/>
    <mergeCell ref="A2:B2"/>
    <mergeCell ref="A17:B17"/>
    <mergeCell ref="A62:B62"/>
    <mergeCell ref="A27:B27"/>
    <mergeCell ref="A22:B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82"/>
  <sheetViews>
    <sheetView workbookViewId="0">
      <selection activeCell="J18" sqref="J18"/>
    </sheetView>
  </sheetViews>
  <sheetFormatPr defaultRowHeight="10.5" x14ac:dyDescent="0.25"/>
  <cols>
    <col min="2" max="2" width="16.44140625" customWidth="1"/>
    <col min="3" max="3" width="29.77734375" customWidth="1"/>
    <col min="4" max="4" width="15.44140625" customWidth="1"/>
    <col min="5" max="5" width="16.109375" customWidth="1"/>
    <col min="6" max="6" width="16" customWidth="1"/>
    <col min="7" max="7" width="19" customWidth="1"/>
    <col min="8" max="8" width="19.44140625" customWidth="1"/>
    <col min="10" max="10" width="13.44140625" bestFit="1" customWidth="1"/>
  </cols>
  <sheetData>
    <row r="2" spans="2:9" ht="11" thickBot="1" x14ac:dyDescent="0.3"/>
    <row r="3" spans="2:9" ht="13" x14ac:dyDescent="0.25">
      <c r="B3" s="1379"/>
      <c r="C3" s="1380"/>
      <c r="D3" s="1380"/>
      <c r="E3" s="1380"/>
      <c r="F3" s="1380"/>
      <c r="G3" s="1380"/>
      <c r="H3" s="1381"/>
    </row>
    <row r="4" spans="2:9" ht="13.5" thickBot="1" x14ac:dyDescent="0.3">
      <c r="B4" s="1382" t="s">
        <v>232</v>
      </c>
      <c r="C4" s="1383"/>
      <c r="D4" s="1383"/>
      <c r="E4" s="1383"/>
      <c r="F4" s="1383"/>
      <c r="G4" s="1383"/>
      <c r="H4" s="1384"/>
    </row>
    <row r="5" spans="2:9" ht="13" x14ac:dyDescent="0.25">
      <c r="B5" s="161"/>
      <c r="C5" s="158"/>
      <c r="D5" s="158"/>
      <c r="E5" s="158"/>
      <c r="F5" s="158"/>
      <c r="G5" s="158"/>
      <c r="H5" s="162"/>
    </row>
    <row r="6" spans="2:9" ht="13" x14ac:dyDescent="0.25">
      <c r="B6" s="163" t="s">
        <v>233</v>
      </c>
      <c r="C6" s="159" t="s">
        <v>235</v>
      </c>
      <c r="D6" s="159" t="s">
        <v>237</v>
      </c>
      <c r="E6" s="159" t="s">
        <v>239</v>
      </c>
      <c r="F6" s="159" t="s">
        <v>241</v>
      </c>
      <c r="G6" s="159" t="s">
        <v>243</v>
      </c>
      <c r="H6" s="164" t="s">
        <v>245</v>
      </c>
    </row>
    <row r="7" spans="2:9" ht="39" x14ac:dyDescent="0.25">
      <c r="B7" s="165" t="s">
        <v>234</v>
      </c>
      <c r="C7" s="160" t="s">
        <v>236</v>
      </c>
      <c r="D7" s="160" t="s">
        <v>238</v>
      </c>
      <c r="E7" s="160" t="s">
        <v>240</v>
      </c>
      <c r="F7" s="160" t="s">
        <v>242</v>
      </c>
      <c r="G7" s="160" t="s">
        <v>244</v>
      </c>
      <c r="H7" s="166" t="s">
        <v>247</v>
      </c>
    </row>
    <row r="8" spans="2:9" ht="26" x14ac:dyDescent="0.25">
      <c r="B8" s="167" t="s">
        <v>246</v>
      </c>
      <c r="C8" s="176">
        <v>6000</v>
      </c>
      <c r="D8" s="475">
        <v>1</v>
      </c>
      <c r="E8" s="177">
        <f>C8*D8</f>
        <v>6000</v>
      </c>
      <c r="F8" s="176">
        <v>500</v>
      </c>
      <c r="G8" s="659">
        <f>'Table 1'!L89</f>
        <v>11.399999999999999</v>
      </c>
      <c r="H8" s="168">
        <f t="shared" ref="H8:H16" si="0">F8*G8</f>
        <v>5699.9999999999991</v>
      </c>
    </row>
    <row r="9" spans="2:9" ht="26" x14ac:dyDescent="0.25">
      <c r="B9" s="167" t="s">
        <v>248</v>
      </c>
      <c r="C9" s="176">
        <v>18000</v>
      </c>
      <c r="D9" s="172">
        <v>1</v>
      </c>
      <c r="E9" s="177">
        <f t="shared" ref="E9:E16" si="1">C9*D9</f>
        <v>18000</v>
      </c>
      <c r="F9" s="176">
        <v>2000</v>
      </c>
      <c r="G9" s="172">
        <f>'Table 1'!L69</f>
        <v>12.350000000000001</v>
      </c>
      <c r="H9" s="168">
        <f t="shared" si="0"/>
        <v>24700.000000000004</v>
      </c>
      <c r="I9" s="626"/>
    </row>
    <row r="10" spans="2:9" ht="28.5" x14ac:dyDescent="0.25">
      <c r="B10" s="167" t="s">
        <v>732</v>
      </c>
      <c r="C10" s="176">
        <v>137547</v>
      </c>
      <c r="D10" s="172">
        <v>1</v>
      </c>
      <c r="E10" s="604">
        <f t="shared" si="1"/>
        <v>137547</v>
      </c>
      <c r="F10" s="176">
        <v>26729</v>
      </c>
      <c r="G10" s="172">
        <v>1</v>
      </c>
      <c r="H10" s="171">
        <f t="shared" si="0"/>
        <v>26729</v>
      </c>
      <c r="I10" s="626"/>
    </row>
    <row r="11" spans="2:9" ht="28.5" x14ac:dyDescent="0.25">
      <c r="B11" s="167" t="s">
        <v>744</v>
      </c>
      <c r="C11" s="176">
        <v>51949</v>
      </c>
      <c r="D11" s="172">
        <v>1</v>
      </c>
      <c r="E11" s="604">
        <f t="shared" si="1"/>
        <v>51949</v>
      </c>
      <c r="F11" s="176">
        <v>14725</v>
      </c>
      <c r="G11" s="172">
        <f>'Table 1'!L152</f>
        <v>0</v>
      </c>
      <c r="H11" s="171">
        <f t="shared" si="0"/>
        <v>0</v>
      </c>
      <c r="I11" s="626"/>
    </row>
    <row r="12" spans="2:9" ht="15.5" x14ac:dyDescent="0.25">
      <c r="B12" s="167" t="s">
        <v>733</v>
      </c>
      <c r="C12" s="176">
        <v>158000</v>
      </c>
      <c r="D12" s="172">
        <v>1</v>
      </c>
      <c r="E12" s="604">
        <f t="shared" si="1"/>
        <v>158000</v>
      </c>
      <c r="F12" s="176">
        <v>34165</v>
      </c>
      <c r="G12" s="172">
        <v>1</v>
      </c>
      <c r="H12" s="171">
        <f t="shared" si="0"/>
        <v>34165</v>
      </c>
      <c r="I12" s="626"/>
    </row>
    <row r="13" spans="2:9" ht="13" x14ac:dyDescent="0.25">
      <c r="B13" s="167" t="s">
        <v>462</v>
      </c>
      <c r="C13" s="176">
        <v>43500</v>
      </c>
      <c r="D13" s="172">
        <v>1</v>
      </c>
      <c r="E13" s="604">
        <f t="shared" si="1"/>
        <v>43500</v>
      </c>
      <c r="F13" s="176">
        <v>9700</v>
      </c>
      <c r="G13" s="172">
        <v>1</v>
      </c>
      <c r="H13" s="171">
        <f t="shared" si="0"/>
        <v>9700</v>
      </c>
      <c r="I13" s="489"/>
    </row>
    <row r="14" spans="2:9" ht="39" x14ac:dyDescent="0.25">
      <c r="B14" s="167" t="s">
        <v>249</v>
      </c>
      <c r="C14" s="170">
        <v>0</v>
      </c>
      <c r="D14" s="167">
        <v>0</v>
      </c>
      <c r="E14" s="168">
        <f t="shared" si="1"/>
        <v>0</v>
      </c>
      <c r="F14" s="170">
        <v>60000</v>
      </c>
      <c r="G14" s="475">
        <f>'Table 1'!L93</f>
        <v>34.199999999999996</v>
      </c>
      <c r="H14" s="168">
        <f t="shared" si="0"/>
        <v>2051999.9999999998</v>
      </c>
    </row>
    <row r="15" spans="2:9" ht="52" x14ac:dyDescent="0.25">
      <c r="B15" s="167" t="s">
        <v>290</v>
      </c>
      <c r="C15" s="170">
        <v>0</v>
      </c>
      <c r="D15" s="167">
        <v>0</v>
      </c>
      <c r="E15" s="168">
        <f t="shared" si="1"/>
        <v>0</v>
      </c>
      <c r="F15" s="170">
        <v>5000</v>
      </c>
      <c r="G15" s="475">
        <f>'Table 1'!L94</f>
        <v>1</v>
      </c>
      <c r="H15" s="168">
        <f t="shared" si="0"/>
        <v>5000</v>
      </c>
    </row>
    <row r="16" spans="2:9" ht="39" x14ac:dyDescent="0.25">
      <c r="B16" s="167" t="s">
        <v>258</v>
      </c>
      <c r="C16" s="170">
        <v>0</v>
      </c>
      <c r="D16" s="167">
        <v>0</v>
      </c>
      <c r="E16" s="168">
        <f t="shared" si="1"/>
        <v>0</v>
      </c>
      <c r="F16" s="170">
        <v>6000</v>
      </c>
      <c r="G16" s="475">
        <f>'Table 1'!L100</f>
        <v>29.4</v>
      </c>
      <c r="H16" s="168">
        <f t="shared" si="0"/>
        <v>176400</v>
      </c>
    </row>
    <row r="17" spans="2:10" ht="13.5" x14ac:dyDescent="0.25">
      <c r="B17" s="1385" t="s">
        <v>701</v>
      </c>
      <c r="C17" s="1386"/>
      <c r="D17" s="1386"/>
      <c r="E17" s="1386"/>
      <c r="F17" s="1386"/>
      <c r="G17" s="1386"/>
      <c r="H17" s="1387"/>
    </row>
    <row r="18" spans="2:10" ht="52" x14ac:dyDescent="0.25">
      <c r="B18" s="167" t="s">
        <v>700</v>
      </c>
      <c r="C18" s="170">
        <f>SUM(C19:C57)</f>
        <v>0</v>
      </c>
      <c r="D18" s="169">
        <f>SUM(D19:D57)</f>
        <v>0</v>
      </c>
      <c r="E18" s="170">
        <f>SUM(E19:E57)</f>
        <v>0</v>
      </c>
      <c r="F18" s="170">
        <f>F19</f>
        <v>8</v>
      </c>
      <c r="G18" s="169">
        <f>SUM(G19:G57)</f>
        <v>497.37333333333316</v>
      </c>
      <c r="H18" s="170">
        <f>SUM(H19:H57)</f>
        <v>3978.9866666666653</v>
      </c>
      <c r="J18" s="1319"/>
    </row>
    <row r="19" spans="2:10" ht="104" hidden="1" x14ac:dyDescent="0.25">
      <c r="B19" s="167" t="s">
        <v>297</v>
      </c>
      <c r="C19" s="170">
        <v>0</v>
      </c>
      <c r="D19" s="167">
        <v>0</v>
      </c>
      <c r="E19" s="171">
        <f t="shared" ref="E19:E57" si="2">C19*D19</f>
        <v>0</v>
      </c>
      <c r="F19" s="170">
        <v>8</v>
      </c>
      <c r="G19" s="169">
        <f>'Table 1'!L54</f>
        <v>1</v>
      </c>
      <c r="H19" s="171">
        <f t="shared" ref="H19:H57" si="3">F19*G19</f>
        <v>8</v>
      </c>
      <c r="I19" s="626" t="s">
        <v>720</v>
      </c>
    </row>
    <row r="20" spans="2:10" ht="26" hidden="1" x14ac:dyDescent="0.25">
      <c r="B20" s="167" t="s">
        <v>295</v>
      </c>
      <c r="C20" s="170">
        <v>0</v>
      </c>
      <c r="D20" s="167">
        <v>0</v>
      </c>
      <c r="E20" s="171">
        <f t="shared" si="2"/>
        <v>0</v>
      </c>
      <c r="F20" s="170">
        <v>8</v>
      </c>
      <c r="G20" s="169">
        <f>'Table 1'!L56</f>
        <v>6.6666666666666679</v>
      </c>
      <c r="H20" s="609">
        <f t="shared" si="3"/>
        <v>53.333333333333343</v>
      </c>
      <c r="I20" s="626" t="s">
        <v>720</v>
      </c>
    </row>
    <row r="21" spans="2:10" ht="13" hidden="1" x14ac:dyDescent="0.25">
      <c r="B21" s="167" t="s">
        <v>275</v>
      </c>
      <c r="C21" s="170">
        <v>0</v>
      </c>
      <c r="D21" s="167">
        <v>0</v>
      </c>
      <c r="E21" s="171">
        <f t="shared" si="2"/>
        <v>0</v>
      </c>
      <c r="F21" s="170">
        <v>8</v>
      </c>
      <c r="G21" s="169">
        <f>'Table 1'!L57</f>
        <v>6.6666666666666679</v>
      </c>
      <c r="H21" s="609">
        <f t="shared" si="3"/>
        <v>53.333333333333343</v>
      </c>
      <c r="I21" s="626" t="s">
        <v>720</v>
      </c>
    </row>
    <row r="22" spans="2:10" ht="52" hidden="1" x14ac:dyDescent="0.25">
      <c r="B22" s="167" t="s">
        <v>250</v>
      </c>
      <c r="C22" s="170">
        <v>0</v>
      </c>
      <c r="D22" s="167">
        <v>0</v>
      </c>
      <c r="E22" s="171">
        <f t="shared" si="2"/>
        <v>0</v>
      </c>
      <c r="F22" s="170">
        <v>8</v>
      </c>
      <c r="G22" s="169">
        <f>'Table 1'!L60</f>
        <v>28.5</v>
      </c>
      <c r="H22" s="171">
        <f t="shared" si="3"/>
        <v>228</v>
      </c>
      <c r="I22" s="626" t="s">
        <v>720</v>
      </c>
    </row>
    <row r="23" spans="2:10" ht="52" hidden="1" x14ac:dyDescent="0.25">
      <c r="B23" s="167" t="s">
        <v>251</v>
      </c>
      <c r="C23" s="170">
        <v>0</v>
      </c>
      <c r="D23" s="167">
        <v>0</v>
      </c>
      <c r="E23" s="171">
        <f t="shared" si="2"/>
        <v>0</v>
      </c>
      <c r="F23" s="170">
        <v>8</v>
      </c>
      <c r="G23" s="169">
        <f>'Table 1'!L69</f>
        <v>12.350000000000001</v>
      </c>
      <c r="H23" s="171">
        <f t="shared" si="3"/>
        <v>98.800000000000011</v>
      </c>
      <c r="I23" s="626" t="s">
        <v>720</v>
      </c>
    </row>
    <row r="24" spans="2:10" ht="65" hidden="1" x14ac:dyDescent="0.25">
      <c r="B24" s="167" t="s">
        <v>252</v>
      </c>
      <c r="C24" s="170">
        <v>0</v>
      </c>
      <c r="D24" s="167">
        <v>0</v>
      </c>
      <c r="E24" s="171">
        <f t="shared" si="2"/>
        <v>0</v>
      </c>
      <c r="F24" s="170">
        <v>8</v>
      </c>
      <c r="G24" s="169">
        <f>'Table 1'!L73</f>
        <v>0</v>
      </c>
      <c r="H24" s="171">
        <f t="shared" si="3"/>
        <v>0</v>
      </c>
      <c r="I24" s="626" t="s">
        <v>720</v>
      </c>
    </row>
    <row r="25" spans="2:10" ht="26" hidden="1" x14ac:dyDescent="0.25">
      <c r="B25" s="167" t="s">
        <v>253</v>
      </c>
      <c r="C25" s="170">
        <v>0</v>
      </c>
      <c r="D25" s="167">
        <v>0</v>
      </c>
      <c r="E25" s="171">
        <f t="shared" si="2"/>
        <v>0</v>
      </c>
      <c r="F25" s="170">
        <v>8</v>
      </c>
      <c r="G25" s="169">
        <f>'Table 1'!L80</f>
        <v>5.7</v>
      </c>
      <c r="H25" s="171">
        <f t="shared" si="3"/>
        <v>45.6</v>
      </c>
      <c r="I25" s="626" t="s">
        <v>720</v>
      </c>
    </row>
    <row r="26" spans="2:10" ht="13" hidden="1" x14ac:dyDescent="0.25">
      <c r="B26" s="167" t="s">
        <v>254</v>
      </c>
      <c r="C26" s="170">
        <v>0</v>
      </c>
      <c r="D26" s="167">
        <v>0</v>
      </c>
      <c r="E26" s="171">
        <f t="shared" si="2"/>
        <v>0</v>
      </c>
      <c r="F26" s="170">
        <v>8</v>
      </c>
      <c r="G26" s="169">
        <f>'Table 1'!L84</f>
        <v>33.5</v>
      </c>
      <c r="H26" s="171">
        <f t="shared" si="3"/>
        <v>268</v>
      </c>
      <c r="I26" s="626" t="s">
        <v>720</v>
      </c>
    </row>
    <row r="27" spans="2:10" ht="78" hidden="1" x14ac:dyDescent="0.25">
      <c r="B27" s="167" t="s">
        <v>255</v>
      </c>
      <c r="C27" s="170">
        <v>0</v>
      </c>
      <c r="D27" s="167">
        <v>0</v>
      </c>
      <c r="E27" s="171">
        <f t="shared" si="2"/>
        <v>0</v>
      </c>
      <c r="F27" s="170">
        <v>8</v>
      </c>
      <c r="G27" s="169">
        <f>'Table 1'!L87</f>
        <v>28.5</v>
      </c>
      <c r="H27" s="171">
        <f t="shared" si="3"/>
        <v>228</v>
      </c>
      <c r="I27" s="626" t="s">
        <v>720</v>
      </c>
    </row>
    <row r="28" spans="2:10" ht="39" hidden="1" x14ac:dyDescent="0.25">
      <c r="B28" s="167" t="s">
        <v>256</v>
      </c>
      <c r="C28" s="170">
        <v>0</v>
      </c>
      <c r="D28" s="167">
        <v>0</v>
      </c>
      <c r="E28" s="171">
        <f t="shared" si="2"/>
        <v>0</v>
      </c>
      <c r="F28" s="170">
        <v>8</v>
      </c>
      <c r="G28" s="169">
        <f>'Table 1'!L95</f>
        <v>11.4</v>
      </c>
      <c r="H28" s="171">
        <f t="shared" si="3"/>
        <v>91.2</v>
      </c>
      <c r="I28" s="626" t="s">
        <v>720</v>
      </c>
    </row>
    <row r="29" spans="2:10" ht="39" hidden="1" x14ac:dyDescent="0.25">
      <c r="B29" s="167" t="s">
        <v>257</v>
      </c>
      <c r="C29" s="170">
        <v>0</v>
      </c>
      <c r="D29" s="167">
        <v>0</v>
      </c>
      <c r="E29" s="171">
        <f t="shared" si="2"/>
        <v>0</v>
      </c>
      <c r="F29" s="170">
        <v>8</v>
      </c>
      <c r="G29" s="169">
        <f>'Table 1'!L96</f>
        <v>5.7</v>
      </c>
      <c r="H29" s="171">
        <f t="shared" si="3"/>
        <v>45.6</v>
      </c>
      <c r="I29" s="626" t="s">
        <v>720</v>
      </c>
    </row>
    <row r="30" spans="2:10" ht="52" hidden="1" x14ac:dyDescent="0.25">
      <c r="B30" s="167" t="s">
        <v>259</v>
      </c>
      <c r="C30" s="170">
        <v>0</v>
      </c>
      <c r="D30" s="167">
        <v>0</v>
      </c>
      <c r="E30" s="171">
        <f t="shared" si="2"/>
        <v>0</v>
      </c>
      <c r="F30" s="170">
        <v>8</v>
      </c>
      <c r="G30" s="169">
        <f>'Table 1'!L104</f>
        <v>5.7</v>
      </c>
      <c r="H30" s="171">
        <f t="shared" si="3"/>
        <v>45.6</v>
      </c>
      <c r="I30" s="626" t="s">
        <v>720</v>
      </c>
    </row>
    <row r="31" spans="2:10" ht="39" hidden="1" x14ac:dyDescent="0.25">
      <c r="B31" s="167" t="s">
        <v>260</v>
      </c>
      <c r="C31" s="170">
        <v>0</v>
      </c>
      <c r="D31" s="167">
        <v>0</v>
      </c>
      <c r="E31" s="171">
        <f t="shared" si="2"/>
        <v>0</v>
      </c>
      <c r="F31" s="170">
        <v>8</v>
      </c>
      <c r="G31" s="169">
        <f>'Table 1'!L111</f>
        <v>34.199999999999996</v>
      </c>
      <c r="H31" s="171">
        <f t="shared" si="3"/>
        <v>273.59999999999997</v>
      </c>
      <c r="I31" s="626" t="s">
        <v>720</v>
      </c>
    </row>
    <row r="32" spans="2:10" ht="39" hidden="1" x14ac:dyDescent="0.25">
      <c r="B32" s="167" t="s">
        <v>261</v>
      </c>
      <c r="C32" s="170">
        <v>0</v>
      </c>
      <c r="D32" s="167">
        <v>0</v>
      </c>
      <c r="E32" s="171">
        <f t="shared" si="2"/>
        <v>0</v>
      </c>
      <c r="F32" s="170">
        <v>8</v>
      </c>
      <c r="G32" s="169">
        <f>'Table 1'!L113</f>
        <v>20.52</v>
      </c>
      <c r="H32" s="171">
        <f t="shared" si="3"/>
        <v>164.16</v>
      </c>
      <c r="I32" s="626" t="s">
        <v>720</v>
      </c>
    </row>
    <row r="33" spans="2:9" ht="26" hidden="1" x14ac:dyDescent="0.25">
      <c r="B33" s="172" t="s">
        <v>296</v>
      </c>
      <c r="C33" s="170">
        <v>0</v>
      </c>
      <c r="D33" s="167">
        <v>0</v>
      </c>
      <c r="E33" s="171">
        <f t="shared" si="2"/>
        <v>0</v>
      </c>
      <c r="F33" s="170">
        <v>8</v>
      </c>
      <c r="G33" s="169">
        <f>'Table 1'!L115</f>
        <v>57</v>
      </c>
      <c r="H33" s="171">
        <f t="shared" si="3"/>
        <v>456</v>
      </c>
      <c r="I33" s="626" t="s">
        <v>720</v>
      </c>
    </row>
    <row r="34" spans="2:9" ht="39" hidden="1" x14ac:dyDescent="0.25">
      <c r="B34" s="167" t="s">
        <v>262</v>
      </c>
      <c r="C34" s="170">
        <v>0</v>
      </c>
      <c r="D34" s="167">
        <v>0</v>
      </c>
      <c r="E34" s="171">
        <f t="shared" si="2"/>
        <v>0</v>
      </c>
      <c r="F34" s="170">
        <v>8</v>
      </c>
      <c r="G34" s="169">
        <f>'Table 1'!L117</f>
        <v>5.7</v>
      </c>
      <c r="H34" s="171">
        <f t="shared" si="3"/>
        <v>45.6</v>
      </c>
      <c r="I34" s="626" t="s">
        <v>720</v>
      </c>
    </row>
    <row r="35" spans="2:9" ht="65" hidden="1" x14ac:dyDescent="0.25">
      <c r="B35" s="167" t="s">
        <v>263</v>
      </c>
      <c r="C35" s="170">
        <v>0</v>
      </c>
      <c r="D35" s="167">
        <v>0</v>
      </c>
      <c r="E35" s="171">
        <f t="shared" si="2"/>
        <v>0</v>
      </c>
      <c r="F35" s="170">
        <v>8</v>
      </c>
      <c r="G35" s="169">
        <f>'Table 1'!L120</f>
        <v>5.7</v>
      </c>
      <c r="H35" s="171">
        <f t="shared" si="3"/>
        <v>45.6</v>
      </c>
      <c r="I35" s="626" t="s">
        <v>720</v>
      </c>
    </row>
    <row r="36" spans="2:9" ht="52" hidden="1" x14ac:dyDescent="0.25">
      <c r="B36" s="167" t="s">
        <v>264</v>
      </c>
      <c r="C36" s="170">
        <v>0</v>
      </c>
      <c r="D36" s="167">
        <v>0</v>
      </c>
      <c r="E36" s="171">
        <f t="shared" si="2"/>
        <v>0</v>
      </c>
      <c r="F36" s="170">
        <v>8</v>
      </c>
      <c r="G36" s="169">
        <f>'Table 1'!L127</f>
        <v>5.7</v>
      </c>
      <c r="H36" s="171">
        <f t="shared" si="3"/>
        <v>45.6</v>
      </c>
      <c r="I36" s="626" t="s">
        <v>720</v>
      </c>
    </row>
    <row r="37" spans="2:9" ht="39" hidden="1" x14ac:dyDescent="0.25">
      <c r="B37" s="167" t="s">
        <v>265</v>
      </c>
      <c r="C37" s="170">
        <v>0</v>
      </c>
      <c r="D37" s="167">
        <v>0</v>
      </c>
      <c r="E37" s="171">
        <f t="shared" si="2"/>
        <v>0</v>
      </c>
      <c r="F37" s="170">
        <v>8</v>
      </c>
      <c r="G37" s="169">
        <f>'Table 1'!L128</f>
        <v>0</v>
      </c>
      <c r="H37" s="171">
        <f t="shared" si="3"/>
        <v>0</v>
      </c>
      <c r="I37" s="626" t="s">
        <v>720</v>
      </c>
    </row>
    <row r="38" spans="2:9" ht="52" hidden="1" x14ac:dyDescent="0.25">
      <c r="B38" s="167" t="s">
        <v>294</v>
      </c>
      <c r="C38" s="170">
        <v>0</v>
      </c>
      <c r="D38" s="167">
        <v>0</v>
      </c>
      <c r="E38" s="171">
        <f t="shared" si="2"/>
        <v>0</v>
      </c>
      <c r="F38" s="170">
        <v>8</v>
      </c>
      <c r="G38" s="169">
        <f>'Table 1'!L131</f>
        <v>0</v>
      </c>
      <c r="H38" s="171">
        <f t="shared" si="3"/>
        <v>0</v>
      </c>
      <c r="I38" s="626" t="s">
        <v>720</v>
      </c>
    </row>
    <row r="39" spans="2:9" ht="39" hidden="1" x14ac:dyDescent="0.25">
      <c r="B39" s="167" t="s">
        <v>293</v>
      </c>
      <c r="C39" s="170">
        <v>0</v>
      </c>
      <c r="D39" s="167">
        <v>0</v>
      </c>
      <c r="E39" s="171">
        <f t="shared" si="2"/>
        <v>0</v>
      </c>
      <c r="F39" s="170">
        <v>8</v>
      </c>
      <c r="G39" s="169">
        <f>'Table 1'!L132</f>
        <v>0</v>
      </c>
      <c r="H39" s="171">
        <f t="shared" si="3"/>
        <v>0</v>
      </c>
      <c r="I39" s="626" t="s">
        <v>720</v>
      </c>
    </row>
    <row r="40" spans="2:9" ht="52" hidden="1" x14ac:dyDescent="0.25">
      <c r="B40" s="167" t="s">
        <v>266</v>
      </c>
      <c r="C40" s="170">
        <v>0</v>
      </c>
      <c r="D40" s="167">
        <v>0</v>
      </c>
      <c r="E40" s="171">
        <f t="shared" si="2"/>
        <v>0</v>
      </c>
      <c r="F40" s="170">
        <v>8</v>
      </c>
      <c r="G40" s="169">
        <f>'Table 1'!L134</f>
        <v>5.7</v>
      </c>
      <c r="H40" s="171">
        <f t="shared" si="3"/>
        <v>45.6</v>
      </c>
      <c r="I40" s="626" t="s">
        <v>720</v>
      </c>
    </row>
    <row r="41" spans="2:9" ht="91" hidden="1" x14ac:dyDescent="0.25">
      <c r="B41" s="167" t="s">
        <v>267</v>
      </c>
      <c r="C41" s="170">
        <v>0</v>
      </c>
      <c r="D41" s="167">
        <v>0</v>
      </c>
      <c r="E41" s="171">
        <f t="shared" si="2"/>
        <v>0</v>
      </c>
      <c r="F41" s="170">
        <v>8</v>
      </c>
      <c r="G41" s="169">
        <f>'Table 1'!L136</f>
        <v>5.7</v>
      </c>
      <c r="H41" s="171">
        <f t="shared" si="3"/>
        <v>45.6</v>
      </c>
      <c r="I41" s="626" t="s">
        <v>720</v>
      </c>
    </row>
    <row r="42" spans="2:9" ht="52" hidden="1" x14ac:dyDescent="0.25">
      <c r="B42" s="167" t="s">
        <v>464</v>
      </c>
      <c r="C42" s="170">
        <v>0</v>
      </c>
      <c r="D42" s="167">
        <v>0</v>
      </c>
      <c r="E42" s="171">
        <f t="shared" si="2"/>
        <v>0</v>
      </c>
      <c r="F42" s="170">
        <v>8</v>
      </c>
      <c r="G42" s="169">
        <f>'Table 1'!L138</f>
        <v>5.7</v>
      </c>
      <c r="H42" s="171">
        <f t="shared" si="3"/>
        <v>45.6</v>
      </c>
      <c r="I42" s="626" t="s">
        <v>720</v>
      </c>
    </row>
    <row r="43" spans="2:9" ht="65" hidden="1" x14ac:dyDescent="0.25">
      <c r="B43" s="167" t="s">
        <v>270</v>
      </c>
      <c r="C43" s="170">
        <v>0</v>
      </c>
      <c r="D43" s="167">
        <v>0</v>
      </c>
      <c r="E43" s="171">
        <f t="shared" si="2"/>
        <v>0</v>
      </c>
      <c r="F43" s="170">
        <v>8</v>
      </c>
      <c r="G43" s="169">
        <f>'Table 1'!L147</f>
        <v>34.199999999999996</v>
      </c>
      <c r="H43" s="171">
        <f t="shared" si="3"/>
        <v>273.59999999999997</v>
      </c>
      <c r="I43" s="626" t="s">
        <v>720</v>
      </c>
    </row>
    <row r="44" spans="2:9" ht="52" hidden="1" x14ac:dyDescent="0.25">
      <c r="B44" s="167" t="s">
        <v>271</v>
      </c>
      <c r="C44" s="170">
        <v>0</v>
      </c>
      <c r="D44" s="167">
        <v>0</v>
      </c>
      <c r="E44" s="171">
        <f t="shared" si="2"/>
        <v>0</v>
      </c>
      <c r="F44" s="170">
        <v>8</v>
      </c>
      <c r="G44" s="169">
        <f>'Table 1'!L150</f>
        <v>34.199999999999996</v>
      </c>
      <c r="H44" s="171">
        <f t="shared" si="3"/>
        <v>273.59999999999997</v>
      </c>
      <c r="I44" s="626" t="s">
        <v>720</v>
      </c>
    </row>
    <row r="45" spans="2:9" ht="52" hidden="1" x14ac:dyDescent="0.25">
      <c r="B45" s="167" t="s">
        <v>272</v>
      </c>
      <c r="C45" s="170">
        <v>0</v>
      </c>
      <c r="D45" s="167">
        <v>0</v>
      </c>
      <c r="E45" s="171">
        <f t="shared" si="2"/>
        <v>0</v>
      </c>
      <c r="F45" s="170">
        <v>8</v>
      </c>
      <c r="G45" s="169">
        <f>'Table 1'!L152</f>
        <v>0</v>
      </c>
      <c r="H45" s="171">
        <f t="shared" si="3"/>
        <v>0</v>
      </c>
      <c r="I45" s="626" t="s">
        <v>720</v>
      </c>
    </row>
    <row r="46" spans="2:9" ht="65" hidden="1" x14ac:dyDescent="0.25">
      <c r="B46" s="167" t="s">
        <v>276</v>
      </c>
      <c r="C46" s="170">
        <v>0</v>
      </c>
      <c r="D46" s="167">
        <v>0</v>
      </c>
      <c r="E46" s="171">
        <f t="shared" si="2"/>
        <v>0</v>
      </c>
      <c r="F46" s="170">
        <v>8</v>
      </c>
      <c r="G46" s="169">
        <f>'Table 1'!L167</f>
        <v>14.25</v>
      </c>
      <c r="H46" s="171">
        <f t="shared" si="3"/>
        <v>114</v>
      </c>
      <c r="I46" s="626" t="s">
        <v>720</v>
      </c>
    </row>
    <row r="47" spans="2:9" ht="78" hidden="1" x14ac:dyDescent="0.25">
      <c r="B47" s="167" t="s">
        <v>277</v>
      </c>
      <c r="C47" s="170">
        <v>0</v>
      </c>
      <c r="D47" s="167">
        <v>0</v>
      </c>
      <c r="E47" s="171">
        <f t="shared" si="2"/>
        <v>0</v>
      </c>
      <c r="F47" s="170">
        <v>8</v>
      </c>
      <c r="G47" s="169">
        <f>'Table 1'!L170</f>
        <v>5.7</v>
      </c>
      <c r="H47" s="171">
        <f t="shared" si="3"/>
        <v>45.6</v>
      </c>
      <c r="I47" s="626" t="s">
        <v>720</v>
      </c>
    </row>
    <row r="48" spans="2:9" ht="39" hidden="1" x14ac:dyDescent="0.25">
      <c r="B48" s="167" t="s">
        <v>278</v>
      </c>
      <c r="C48" s="170">
        <v>0</v>
      </c>
      <c r="D48" s="167">
        <v>0</v>
      </c>
      <c r="E48" s="171">
        <f t="shared" si="2"/>
        <v>0</v>
      </c>
      <c r="F48" s="170">
        <v>8</v>
      </c>
      <c r="G48" s="169">
        <f>'Table 1'!L172</f>
        <v>0.57000000000000006</v>
      </c>
      <c r="H48" s="609">
        <f t="shared" si="3"/>
        <v>4.5600000000000005</v>
      </c>
      <c r="I48" s="626" t="s">
        <v>720</v>
      </c>
    </row>
    <row r="49" spans="2:9" ht="26" hidden="1" x14ac:dyDescent="0.25">
      <c r="B49" s="167" t="s">
        <v>279</v>
      </c>
      <c r="C49" s="170">
        <v>0</v>
      </c>
      <c r="D49" s="167">
        <v>0</v>
      </c>
      <c r="E49" s="171">
        <f t="shared" si="2"/>
        <v>0</v>
      </c>
      <c r="F49" s="170">
        <v>8</v>
      </c>
      <c r="G49" s="169">
        <f>'Table 1'!L175</f>
        <v>14.25</v>
      </c>
      <c r="H49" s="171">
        <f t="shared" si="3"/>
        <v>114</v>
      </c>
      <c r="I49" s="626" t="s">
        <v>720</v>
      </c>
    </row>
    <row r="50" spans="2:9" ht="26" hidden="1" x14ac:dyDescent="0.25">
      <c r="B50" s="167" t="s">
        <v>280</v>
      </c>
      <c r="C50" s="170">
        <v>0</v>
      </c>
      <c r="D50" s="167">
        <v>0</v>
      </c>
      <c r="E50" s="171">
        <f t="shared" si="2"/>
        <v>0</v>
      </c>
      <c r="F50" s="170">
        <v>8</v>
      </c>
      <c r="G50" s="169">
        <f>'Table 1'!L177</f>
        <v>5.7</v>
      </c>
      <c r="H50" s="171">
        <f t="shared" si="3"/>
        <v>45.6</v>
      </c>
      <c r="I50" s="626" t="s">
        <v>720</v>
      </c>
    </row>
    <row r="51" spans="2:9" ht="91" hidden="1" x14ac:dyDescent="0.25">
      <c r="B51" s="167" t="s">
        <v>465</v>
      </c>
      <c r="C51" s="170">
        <v>0</v>
      </c>
      <c r="D51" s="167">
        <v>0</v>
      </c>
      <c r="E51" s="171">
        <f t="shared" si="2"/>
        <v>0</v>
      </c>
      <c r="F51" s="170">
        <v>8</v>
      </c>
      <c r="G51" s="169">
        <f>'Table 1'!L180</f>
        <v>57</v>
      </c>
      <c r="H51" s="171">
        <f t="shared" si="3"/>
        <v>456</v>
      </c>
      <c r="I51" s="626" t="s">
        <v>720</v>
      </c>
    </row>
    <row r="52" spans="2:9" ht="65" hidden="1" x14ac:dyDescent="0.25">
      <c r="B52" s="167" t="s">
        <v>281</v>
      </c>
      <c r="C52" s="170">
        <v>0</v>
      </c>
      <c r="D52" s="167">
        <v>0</v>
      </c>
      <c r="E52" s="171">
        <f t="shared" si="2"/>
        <v>0</v>
      </c>
      <c r="F52" s="170">
        <v>8</v>
      </c>
      <c r="G52" s="169">
        <f>'Table 1'!L184</f>
        <v>14.25</v>
      </c>
      <c r="H52" s="171">
        <f t="shared" si="3"/>
        <v>114</v>
      </c>
      <c r="I52" s="626" t="s">
        <v>720</v>
      </c>
    </row>
    <row r="53" spans="2:9" ht="91" hidden="1" x14ac:dyDescent="0.25">
      <c r="B53" s="167" t="s">
        <v>282</v>
      </c>
      <c r="C53" s="170">
        <v>0</v>
      </c>
      <c r="D53" s="167">
        <v>0</v>
      </c>
      <c r="E53" s="171">
        <f t="shared" si="2"/>
        <v>0</v>
      </c>
      <c r="F53" s="170">
        <v>8</v>
      </c>
      <c r="G53" s="169">
        <f>'Table 1'!L187</f>
        <v>5.7</v>
      </c>
      <c r="H53" s="171">
        <f t="shared" si="3"/>
        <v>45.6</v>
      </c>
      <c r="I53" s="626" t="s">
        <v>720</v>
      </c>
    </row>
    <row r="54" spans="2:9" ht="78" hidden="1" x14ac:dyDescent="0.25">
      <c r="B54" s="167" t="s">
        <v>283</v>
      </c>
      <c r="C54" s="170">
        <v>0</v>
      </c>
      <c r="D54" s="167">
        <v>0</v>
      </c>
      <c r="E54" s="171">
        <f t="shared" si="2"/>
        <v>0</v>
      </c>
      <c r="F54" s="170">
        <v>8</v>
      </c>
      <c r="G54" s="169">
        <f>'Table 1'!L189</f>
        <v>5.7</v>
      </c>
      <c r="H54" s="171">
        <f t="shared" si="3"/>
        <v>45.6</v>
      </c>
      <c r="I54" s="626" t="s">
        <v>720</v>
      </c>
    </row>
    <row r="55" spans="2:9" ht="52" hidden="1" x14ac:dyDescent="0.25">
      <c r="B55" s="167" t="s">
        <v>466</v>
      </c>
      <c r="C55" s="170">
        <v>0</v>
      </c>
      <c r="D55" s="167">
        <v>0</v>
      </c>
      <c r="E55" s="171">
        <f t="shared" si="2"/>
        <v>0</v>
      </c>
      <c r="F55" s="170">
        <v>8</v>
      </c>
      <c r="G55" s="169">
        <f>'Table 1'!L192</f>
        <v>0</v>
      </c>
      <c r="H55" s="171">
        <f t="shared" si="3"/>
        <v>0</v>
      </c>
      <c r="I55" s="626" t="s">
        <v>720</v>
      </c>
    </row>
    <row r="56" spans="2:9" ht="39" hidden="1" x14ac:dyDescent="0.25">
      <c r="B56" s="167" t="s">
        <v>284</v>
      </c>
      <c r="C56" s="170">
        <v>0</v>
      </c>
      <c r="D56" s="167">
        <v>0</v>
      </c>
      <c r="E56" s="171">
        <f t="shared" si="2"/>
        <v>0</v>
      </c>
      <c r="F56" s="170">
        <v>8</v>
      </c>
      <c r="G56" s="169">
        <f>'Table 1'!L195</f>
        <v>0</v>
      </c>
      <c r="H56" s="171">
        <f t="shared" si="3"/>
        <v>0</v>
      </c>
      <c r="I56" s="626" t="s">
        <v>720</v>
      </c>
    </row>
    <row r="57" spans="2:9" ht="52" hidden="1" x14ac:dyDescent="0.25">
      <c r="B57" s="167" t="s">
        <v>285</v>
      </c>
      <c r="C57" s="170">
        <v>0</v>
      </c>
      <c r="D57" s="167">
        <v>0</v>
      </c>
      <c r="E57" s="171">
        <f t="shared" si="2"/>
        <v>0</v>
      </c>
      <c r="F57" s="170">
        <v>8</v>
      </c>
      <c r="G57" s="169">
        <f>'Table 1'!L197</f>
        <v>14.25</v>
      </c>
      <c r="H57" s="171">
        <f t="shared" si="3"/>
        <v>114</v>
      </c>
      <c r="I57" s="626" t="s">
        <v>720</v>
      </c>
    </row>
    <row r="58" spans="2:9" ht="13.5" hidden="1" x14ac:dyDescent="0.25">
      <c r="B58" s="1385" t="s">
        <v>699</v>
      </c>
      <c r="C58" s="1386"/>
      <c r="D58" s="1386"/>
      <c r="E58" s="1386"/>
      <c r="F58" s="1386"/>
      <c r="G58" s="1386"/>
      <c r="H58" s="1387"/>
      <c r="I58" s="626" t="s">
        <v>720</v>
      </c>
    </row>
    <row r="59" spans="2:9" ht="26" x14ac:dyDescent="0.25">
      <c r="B59" s="167" t="s">
        <v>698</v>
      </c>
      <c r="C59" s="170">
        <f>SUM(C60:C64)</f>
        <v>0</v>
      </c>
      <c r="D59" s="169">
        <f>SUM(D60:D64)</f>
        <v>0</v>
      </c>
      <c r="E59" s="170">
        <f>SUM(E60:E64)</f>
        <v>0</v>
      </c>
      <c r="F59" s="170">
        <f>F60</f>
        <v>1</v>
      </c>
      <c r="G59" s="169">
        <f>SUM(G60:G64)</f>
        <v>100.32</v>
      </c>
      <c r="H59" s="170">
        <f>SUM(H60:H64)</f>
        <v>100.32</v>
      </c>
    </row>
    <row r="60" spans="2:9" ht="39" hidden="1" x14ac:dyDescent="0.25">
      <c r="B60" s="167" t="s">
        <v>158</v>
      </c>
      <c r="C60" s="170">
        <v>0</v>
      </c>
      <c r="D60" s="167">
        <v>0</v>
      </c>
      <c r="E60" s="171">
        <f>C60*D60</f>
        <v>0</v>
      </c>
      <c r="F60" s="170">
        <v>1</v>
      </c>
      <c r="G60" s="169">
        <f>'Table 1'!L76</f>
        <v>5.7</v>
      </c>
      <c r="H60" s="171">
        <f>F60*G60</f>
        <v>5.7</v>
      </c>
      <c r="I60" s="626" t="s">
        <v>720</v>
      </c>
    </row>
    <row r="61" spans="2:9" ht="78" hidden="1" x14ac:dyDescent="0.25">
      <c r="B61" s="167" t="s">
        <v>292</v>
      </c>
      <c r="C61" s="170">
        <v>0</v>
      </c>
      <c r="D61" s="167">
        <v>0</v>
      </c>
      <c r="E61" s="171">
        <f>C61*D61</f>
        <v>0</v>
      </c>
      <c r="F61" s="170">
        <v>1</v>
      </c>
      <c r="G61" s="169">
        <f>'Table 1'!L109</f>
        <v>3.42</v>
      </c>
      <c r="H61" s="609">
        <f>F61*G61</f>
        <v>3.42</v>
      </c>
      <c r="I61" s="626" t="s">
        <v>720</v>
      </c>
    </row>
    <row r="62" spans="2:9" ht="52" hidden="1" x14ac:dyDescent="0.25">
      <c r="B62" s="167" t="s">
        <v>268</v>
      </c>
      <c r="C62" s="170">
        <v>0</v>
      </c>
      <c r="D62" s="167">
        <v>0</v>
      </c>
      <c r="E62" s="171">
        <f>C62*D62</f>
        <v>0</v>
      </c>
      <c r="F62" s="170">
        <v>1</v>
      </c>
      <c r="G62" s="169">
        <f>'Table 1'!L141</f>
        <v>28.5</v>
      </c>
      <c r="H62" s="171">
        <f>F62*G62</f>
        <v>28.5</v>
      </c>
      <c r="I62" s="626" t="s">
        <v>720</v>
      </c>
    </row>
    <row r="63" spans="2:9" ht="65" hidden="1" x14ac:dyDescent="0.25">
      <c r="B63" s="167" t="s">
        <v>291</v>
      </c>
      <c r="C63" s="170">
        <v>0</v>
      </c>
      <c r="D63" s="167">
        <v>0</v>
      </c>
      <c r="E63" s="171">
        <f>C63*D63</f>
        <v>0</v>
      </c>
      <c r="F63" s="170">
        <v>1</v>
      </c>
      <c r="G63" s="169">
        <f>'Table 1'!L107</f>
        <v>34.199999999999996</v>
      </c>
      <c r="H63" s="171">
        <f>F63*G63</f>
        <v>34.199999999999996</v>
      </c>
      <c r="I63" s="626" t="s">
        <v>720</v>
      </c>
    </row>
    <row r="64" spans="2:9" ht="52" hidden="1" x14ac:dyDescent="0.25">
      <c r="B64" s="167" t="s">
        <v>269</v>
      </c>
      <c r="C64" s="170">
        <v>0</v>
      </c>
      <c r="D64" s="167">
        <v>0</v>
      </c>
      <c r="E64" s="171">
        <f>C64*D64</f>
        <v>0</v>
      </c>
      <c r="F64" s="170">
        <v>1</v>
      </c>
      <c r="G64" s="169">
        <f>'Table 1'!L144</f>
        <v>28.5</v>
      </c>
      <c r="H64" s="171">
        <f>F64*G64</f>
        <v>28.5</v>
      </c>
      <c r="I64" s="626" t="s">
        <v>720</v>
      </c>
    </row>
    <row r="65" spans="2:9" ht="13.5" x14ac:dyDescent="0.25">
      <c r="B65" s="1385" t="s">
        <v>697</v>
      </c>
      <c r="C65" s="1386"/>
      <c r="D65" s="1386"/>
      <c r="E65" s="1386"/>
      <c r="F65" s="1386"/>
      <c r="G65" s="1386"/>
      <c r="H65" s="1387"/>
    </row>
    <row r="66" spans="2:9" ht="65" x14ac:dyDescent="0.25">
      <c r="B66" s="660" t="s">
        <v>286</v>
      </c>
      <c r="C66" s="661">
        <v>0</v>
      </c>
      <c r="D66" s="660">
        <v>0</v>
      </c>
      <c r="E66" s="610">
        <f>C66*D66</f>
        <v>0</v>
      </c>
      <c r="F66" s="661">
        <v>50</v>
      </c>
      <c r="G66" s="662">
        <f>'Table 1'!L290</f>
        <v>5.7</v>
      </c>
      <c r="H66" s="610">
        <f>F66*G66</f>
        <v>285</v>
      </c>
    </row>
    <row r="67" spans="2:9" ht="13.5" x14ac:dyDescent="0.25">
      <c r="B67" s="1385" t="s">
        <v>696</v>
      </c>
      <c r="C67" s="1386"/>
      <c r="D67" s="1386"/>
      <c r="E67" s="1386"/>
      <c r="F67" s="1386"/>
      <c r="G67" s="1386"/>
      <c r="H67" s="1387"/>
    </row>
    <row r="68" spans="2:9" ht="52" x14ac:dyDescent="0.25">
      <c r="B68" s="606" t="s">
        <v>695</v>
      </c>
      <c r="C68" s="605">
        <f>SUM(C69:C73)</f>
        <v>250</v>
      </c>
      <c r="D68" s="608">
        <f>SUM(D69:D73)</f>
        <v>1</v>
      </c>
      <c r="E68" s="605">
        <f>SUM(E69:E73)</f>
        <v>250</v>
      </c>
      <c r="F68" s="605">
        <f>SUM(F69:F73)</f>
        <v>520</v>
      </c>
      <c r="G68" s="608">
        <f>G69</f>
        <v>1</v>
      </c>
      <c r="H68" s="605">
        <f>SUM(H69:H73)</f>
        <v>520</v>
      </c>
      <c r="I68" s="626"/>
    </row>
    <row r="69" spans="2:9" ht="13" hidden="1" x14ac:dyDescent="0.25">
      <c r="B69" s="606" t="s">
        <v>273</v>
      </c>
      <c r="C69" s="605">
        <v>0</v>
      </c>
      <c r="D69" s="606">
        <v>0</v>
      </c>
      <c r="E69" s="607">
        <f>C69*D69</f>
        <v>0</v>
      </c>
      <c r="F69" s="605">
        <v>20</v>
      </c>
      <c r="G69" s="606">
        <f>'Table 1'!L154</f>
        <v>1</v>
      </c>
      <c r="H69" s="607">
        <f>F69*G69</f>
        <v>20</v>
      </c>
      <c r="I69" s="626" t="s">
        <v>720</v>
      </c>
    </row>
    <row r="70" spans="2:9" ht="39" hidden="1" x14ac:dyDescent="0.25">
      <c r="B70" s="167" t="s">
        <v>162</v>
      </c>
      <c r="C70" s="170">
        <v>0</v>
      </c>
      <c r="D70" s="167">
        <v>0</v>
      </c>
      <c r="E70" s="171">
        <f>C70*D70</f>
        <v>0</v>
      </c>
      <c r="F70" s="170">
        <v>150</v>
      </c>
      <c r="G70" s="606">
        <f>'Table 1'!L155</f>
        <v>1</v>
      </c>
      <c r="H70" s="171">
        <f>F70*G70</f>
        <v>150</v>
      </c>
      <c r="I70" s="626" t="s">
        <v>720</v>
      </c>
    </row>
    <row r="71" spans="2:9" ht="26" hidden="1" x14ac:dyDescent="0.25">
      <c r="B71" s="167" t="s">
        <v>163</v>
      </c>
      <c r="C71" s="170">
        <v>250</v>
      </c>
      <c r="D71" s="167">
        <f>'Table 1'!L156</f>
        <v>1</v>
      </c>
      <c r="E71" s="171">
        <f>C71*D71</f>
        <v>250</v>
      </c>
      <c r="F71" s="170">
        <v>200</v>
      </c>
      <c r="G71" s="606">
        <f>'Table 1'!L156</f>
        <v>1</v>
      </c>
      <c r="H71" s="171">
        <f>F71*G71</f>
        <v>200</v>
      </c>
      <c r="I71" s="626" t="s">
        <v>720</v>
      </c>
    </row>
    <row r="72" spans="2:9" ht="13" hidden="1" x14ac:dyDescent="0.25">
      <c r="B72" s="167" t="s">
        <v>274</v>
      </c>
      <c r="C72" s="170">
        <v>0</v>
      </c>
      <c r="D72" s="167">
        <v>0</v>
      </c>
      <c r="E72" s="171">
        <f>C72*D72</f>
        <v>0</v>
      </c>
      <c r="F72" s="170">
        <v>100</v>
      </c>
      <c r="G72" s="606">
        <f>'Table 1'!L157</f>
        <v>1</v>
      </c>
      <c r="H72" s="171">
        <f>F72*G72</f>
        <v>100</v>
      </c>
      <c r="I72" s="626" t="s">
        <v>720</v>
      </c>
    </row>
    <row r="73" spans="2:9" ht="13" hidden="1" x14ac:dyDescent="0.25">
      <c r="B73" s="167" t="s">
        <v>275</v>
      </c>
      <c r="C73" s="170">
        <v>0</v>
      </c>
      <c r="D73" s="167">
        <v>0</v>
      </c>
      <c r="E73" s="171">
        <f>C73*D73</f>
        <v>0</v>
      </c>
      <c r="F73" s="170">
        <v>50</v>
      </c>
      <c r="G73" s="606">
        <f>'Table 1'!L158</f>
        <v>1</v>
      </c>
      <c r="H73" s="171">
        <f>F73*G73</f>
        <v>50</v>
      </c>
      <c r="I73" s="626" t="s">
        <v>720</v>
      </c>
    </row>
    <row r="74" spans="2:9" ht="13.5" x14ac:dyDescent="0.25">
      <c r="B74" s="1385" t="s">
        <v>694</v>
      </c>
      <c r="C74" s="1386"/>
      <c r="D74" s="1386"/>
      <c r="E74" s="1386"/>
      <c r="F74" s="1386"/>
      <c r="G74" s="1386"/>
      <c r="H74" s="1387"/>
      <c r="I74" s="626"/>
    </row>
    <row r="75" spans="2:9" ht="13" x14ac:dyDescent="0.25">
      <c r="B75" s="606" t="s">
        <v>193</v>
      </c>
      <c r="C75" s="605">
        <f>SUM(C76:C78)</f>
        <v>200.01</v>
      </c>
      <c r="D75" s="608">
        <f>SUM(D76:D78)</f>
        <v>171</v>
      </c>
      <c r="E75" s="607">
        <f t="shared" ref="E75:H75" si="4">SUM(E76:E78)</f>
        <v>11400.57</v>
      </c>
      <c r="F75" s="605">
        <f t="shared" si="4"/>
        <v>0</v>
      </c>
      <c r="G75" s="608">
        <f t="shared" si="4"/>
        <v>0</v>
      </c>
      <c r="H75" s="605">
        <f t="shared" si="4"/>
        <v>0</v>
      </c>
    </row>
    <row r="76" spans="2:9" ht="26" hidden="1" x14ac:dyDescent="0.25">
      <c r="B76" s="606" t="s">
        <v>287</v>
      </c>
      <c r="C76" s="605">
        <v>66.67</v>
      </c>
      <c r="D76" s="608">
        <f>'Table 1'!L272</f>
        <v>57</v>
      </c>
      <c r="E76" s="607">
        <f>C76*D76</f>
        <v>3800.19</v>
      </c>
      <c r="F76" s="605">
        <v>0</v>
      </c>
      <c r="G76" s="606">
        <v>0</v>
      </c>
      <c r="H76" s="605">
        <f>F76*G76</f>
        <v>0</v>
      </c>
      <c r="I76" s="626" t="s">
        <v>720</v>
      </c>
    </row>
    <row r="77" spans="2:9" ht="39" hidden="1" x14ac:dyDescent="0.25">
      <c r="B77" s="167" t="s">
        <v>288</v>
      </c>
      <c r="C77" s="170">
        <v>66.67</v>
      </c>
      <c r="D77" s="169">
        <f>'Table 1'!L275</f>
        <v>57</v>
      </c>
      <c r="E77" s="171">
        <f>C77*D77</f>
        <v>3800.19</v>
      </c>
      <c r="F77" s="170">
        <v>0</v>
      </c>
      <c r="G77" s="167">
        <v>0</v>
      </c>
      <c r="H77" s="170">
        <f>F77*G77</f>
        <v>0</v>
      </c>
      <c r="I77" s="626" t="s">
        <v>720</v>
      </c>
    </row>
    <row r="78" spans="2:9" ht="78" hidden="1" x14ac:dyDescent="0.25">
      <c r="B78" s="167" t="s">
        <v>289</v>
      </c>
      <c r="C78" s="170">
        <v>66.67</v>
      </c>
      <c r="D78" s="169">
        <f>'Table 1'!L278</f>
        <v>57</v>
      </c>
      <c r="E78" s="171">
        <f>C78*D78</f>
        <v>3800.19</v>
      </c>
      <c r="F78" s="170">
        <v>0</v>
      </c>
      <c r="G78" s="167">
        <v>0</v>
      </c>
      <c r="H78" s="170">
        <f>F78*G78</f>
        <v>0</v>
      </c>
      <c r="I78" s="626" t="s">
        <v>720</v>
      </c>
    </row>
    <row r="79" spans="2:9" ht="28" x14ac:dyDescent="0.25">
      <c r="B79" s="173" t="s">
        <v>747</v>
      </c>
      <c r="C79" s="174"/>
      <c r="D79" s="174"/>
      <c r="E79" s="175">
        <f>ROUND(SUM(E8:E16,E18,E59,E66,E68,E75),-3)</f>
        <v>427000</v>
      </c>
      <c r="F79" s="174"/>
      <c r="G79" s="174"/>
      <c r="H79" s="175">
        <f>ROUND(SUM(H8:H16,H18,H59,H66,H68,H75),-4)</f>
        <v>2340000</v>
      </c>
    </row>
    <row r="81" spans="2:2" ht="15.5" x14ac:dyDescent="0.25">
      <c r="B81" s="658" t="s">
        <v>749</v>
      </c>
    </row>
    <row r="82" spans="2:2" ht="15.5" x14ac:dyDescent="0.3">
      <c r="B82" s="755" t="s">
        <v>748</v>
      </c>
    </row>
  </sheetData>
  <mergeCells count="7">
    <mergeCell ref="B3:H3"/>
    <mergeCell ref="B4:H4"/>
    <mergeCell ref="B17:H17"/>
    <mergeCell ref="B74:H74"/>
    <mergeCell ref="B67:H67"/>
    <mergeCell ref="B65:H65"/>
    <mergeCell ref="B58:H58"/>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6E2B2-DB3A-4E60-853F-D6BBB302D0A7}">
  <dimension ref="A1:F12"/>
  <sheetViews>
    <sheetView workbookViewId="0">
      <selection activeCell="F27" sqref="F27"/>
    </sheetView>
  </sheetViews>
  <sheetFormatPr defaultRowHeight="10.5" x14ac:dyDescent="0.25"/>
  <cols>
    <col min="1" max="1" width="19.44140625" customWidth="1"/>
    <col min="2" max="2" width="15.33203125" customWidth="1"/>
    <col min="3" max="3" width="22.44140625" customWidth="1"/>
    <col min="4" max="4" width="25" customWidth="1"/>
    <col min="5" max="5" width="25.77734375" customWidth="1"/>
    <col min="6" max="6" width="31.109375" customWidth="1"/>
  </cols>
  <sheetData>
    <row r="1" spans="1:6" ht="15" x14ac:dyDescent="0.25">
      <c r="A1" s="1388" t="s">
        <v>707</v>
      </c>
      <c r="B1" s="1388"/>
      <c r="C1" s="1388"/>
      <c r="D1" s="1388"/>
      <c r="E1" s="1388"/>
      <c r="F1" s="1388"/>
    </row>
    <row r="2" spans="1:6" ht="23" x14ac:dyDescent="0.25">
      <c r="A2" s="621"/>
      <c r="B2" s="1389" t="s">
        <v>708</v>
      </c>
      <c r="C2" s="1389"/>
      <c r="D2" s="617" t="s">
        <v>709</v>
      </c>
      <c r="E2" s="1389"/>
      <c r="F2" s="1389"/>
    </row>
    <row r="3" spans="1:6" ht="13" x14ac:dyDescent="0.25">
      <c r="A3" s="618"/>
      <c r="B3" s="619" t="s">
        <v>233</v>
      </c>
      <c r="C3" s="619" t="s">
        <v>235</v>
      </c>
      <c r="D3" s="619" t="s">
        <v>237</v>
      </c>
      <c r="E3" s="619" t="s">
        <v>239</v>
      </c>
      <c r="F3" s="619" t="s">
        <v>241</v>
      </c>
    </row>
    <row r="4" spans="1:6" ht="52" x14ac:dyDescent="0.25">
      <c r="A4" s="619" t="s">
        <v>710</v>
      </c>
      <c r="B4" s="622" t="s">
        <v>711</v>
      </c>
      <c r="C4" s="618" t="s">
        <v>712</v>
      </c>
      <c r="D4" s="618" t="s">
        <v>713</v>
      </c>
      <c r="E4" s="618" t="s">
        <v>714</v>
      </c>
      <c r="F4" s="618" t="s">
        <v>717</v>
      </c>
    </row>
    <row r="5" spans="1:6" ht="11.5" x14ac:dyDescent="0.25">
      <c r="A5" s="620">
        <v>1</v>
      </c>
      <c r="B5" s="620">
        <v>1</v>
      </c>
      <c r="C5" s="620">
        <v>168</v>
      </c>
      <c r="D5" s="620">
        <v>0</v>
      </c>
      <c r="E5" s="620">
        <v>0</v>
      </c>
      <c r="F5" s="620">
        <f>B5+C5+D5-E5</f>
        <v>169</v>
      </c>
    </row>
    <row r="6" spans="1:6" ht="11.5" x14ac:dyDescent="0.25">
      <c r="A6" s="620">
        <v>2</v>
      </c>
      <c r="B6" s="620">
        <v>1</v>
      </c>
      <c r="C6" s="620">
        <f>F5</f>
        <v>169</v>
      </c>
      <c r="D6" s="620">
        <v>0</v>
      </c>
      <c r="E6" s="620">
        <v>0</v>
      </c>
      <c r="F6" s="620">
        <f t="shared" ref="F6:F7" si="0">B6+C6+D6-E6</f>
        <v>170</v>
      </c>
    </row>
    <row r="7" spans="1:6" ht="11.5" x14ac:dyDescent="0.25">
      <c r="A7" s="620">
        <v>3</v>
      </c>
      <c r="B7" s="620">
        <v>1</v>
      </c>
      <c r="C7" s="620">
        <f>F6</f>
        <v>170</v>
      </c>
      <c r="D7" s="620">
        <v>0</v>
      </c>
      <c r="E7" s="620">
        <v>0</v>
      </c>
      <c r="F7" s="620">
        <f t="shared" si="0"/>
        <v>171</v>
      </c>
    </row>
    <row r="8" spans="1:6" ht="23" x14ac:dyDescent="0.25">
      <c r="A8" s="620" t="s">
        <v>715</v>
      </c>
      <c r="B8" s="620">
        <f>AVERAGE(B5:B7)</f>
        <v>1</v>
      </c>
      <c r="C8" s="620">
        <f t="shared" ref="C8:F8" si="1">AVERAGE(C5:C7)</f>
        <v>169</v>
      </c>
      <c r="D8" s="620">
        <f t="shared" si="1"/>
        <v>0</v>
      </c>
      <c r="E8" s="620">
        <f t="shared" si="1"/>
        <v>0</v>
      </c>
      <c r="F8" s="620">
        <f t="shared" si="1"/>
        <v>170</v>
      </c>
    </row>
    <row r="9" spans="1:6" ht="48.5" x14ac:dyDescent="0.25">
      <c r="A9" s="620" t="s">
        <v>716</v>
      </c>
      <c r="B9" s="620">
        <v>1</v>
      </c>
      <c r="C9" s="625">
        <f>C8/3</f>
        <v>56.333333333333336</v>
      </c>
      <c r="D9" s="625">
        <f t="shared" ref="D9:E9" si="2">D8/3</f>
        <v>0</v>
      </c>
      <c r="E9" s="625">
        <f t="shared" si="2"/>
        <v>0</v>
      </c>
      <c r="F9" s="625">
        <f>F8/3</f>
        <v>56.666666666666664</v>
      </c>
    </row>
    <row r="11" spans="1:6" ht="18.5" x14ac:dyDescent="0.25">
      <c r="A11" s="623" t="s">
        <v>718</v>
      </c>
    </row>
    <row r="12" spans="1:6" ht="15.5" x14ac:dyDescent="0.25">
      <c r="A12" s="624" t="s">
        <v>719</v>
      </c>
    </row>
  </sheetData>
  <mergeCells count="3">
    <mergeCell ref="A1:F1"/>
    <mergeCell ref="B2:C2"/>
    <mergeCell ref="E2:F2"/>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Summary</vt:lpstr>
      <vt:lpstr>Table 1</vt:lpstr>
      <vt:lpstr>Table 2</vt:lpstr>
      <vt:lpstr>Responses</vt:lpstr>
      <vt:lpstr>Capital O&amp;M</vt:lpstr>
      <vt:lpstr>Respondents</vt:lpstr>
      <vt:lpstr>\average</vt:lpstr>
      <vt:lpstr>'Table 2'!\j</vt:lpstr>
      <vt:lpstr>'Table 2'!\m</vt:lpstr>
      <vt:lpstr>database1</vt:lpstr>
      <vt:lpstr>'Table 1'!Print_Area</vt:lpstr>
      <vt:lpstr>'Table 2'!Print_Area</vt:lpstr>
      <vt:lpstr>Print_Area</vt:lpstr>
      <vt:lpstr>'Table 1'!Print_Area_MI</vt:lpstr>
      <vt:lpstr>PRINT_AREA_MI</vt:lpstr>
      <vt:lpstr>'Table 1'!Print_Titles</vt:lpstr>
      <vt:lpstr>'Table 2'!Print_Titles</vt:lpstr>
      <vt:lpstr>range1</vt:lpstr>
      <vt:lpstr>'Table 2'!Type1</vt:lpstr>
      <vt:lpstr>Type1</vt:lpstr>
      <vt:lpstr>'Table 2'!Type2</vt:lpstr>
      <vt:lpstr>Type2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End-User Support</dc:creator>
  <cp:lastModifiedBy>Wrigley, William</cp:lastModifiedBy>
  <cp:lastPrinted>2012-03-01T19:54:37Z</cp:lastPrinted>
  <dcterms:created xsi:type="dcterms:W3CDTF">2005-08-01T16:53:24Z</dcterms:created>
  <dcterms:modified xsi:type="dcterms:W3CDTF">2023-01-03T14:00:18Z</dcterms:modified>
</cp:coreProperties>
</file>