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A803524C-C0C5-4961-80A1-28FDC717684A}" xr6:coauthVersionLast="47" xr6:coauthVersionMax="47" xr10:uidLastSave="{00000000-0000-0000-0000-000000000000}"/>
  <bookViews>
    <workbookView xWindow="-110" yWindow="-110" windowWidth="19420" windowHeight="10300" tabRatio="777" xr2:uid="{D855CF00-F869-48B3-9963-4AD001D31E8A}"/>
  </bookViews>
  <sheets>
    <sheet name="Summary" sheetId="6" r:id="rId1"/>
    <sheet name="Table 1" sheetId="7" r:id="rId2"/>
    <sheet name="Table 2" sheetId="8" r:id="rId3"/>
    <sheet name="Capital O&amp;M" sheetId="3" r:id="rId4"/>
    <sheet name="Responses" sheetId="5" r:id="rId5"/>
    <sheet name="Respondents"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8" l="1"/>
  <c r="P30" i="7"/>
  <c r="F33" i="7"/>
  <c r="I33" i="7" l="1"/>
  <c r="I32" i="7"/>
  <c r="F32" i="7"/>
  <c r="F22" i="7"/>
  <c r="I22" i="7"/>
  <c r="I7" i="7"/>
  <c r="F15" i="8"/>
  <c r="E13" i="8"/>
  <c r="E7" i="8"/>
  <c r="D7" i="8"/>
  <c r="E11" i="7"/>
  <c r="F7" i="8" l="1"/>
  <c r="G7" i="8" s="1"/>
  <c r="G6" i="3"/>
  <c r="D6" i="3"/>
  <c r="E6" i="8"/>
  <c r="O31" i="7"/>
  <c r="H7" i="8" l="1"/>
  <c r="I7" i="8"/>
  <c r="D8" i="4"/>
  <c r="E8" i="4"/>
  <c r="D5" i="3"/>
  <c r="G5" i="3"/>
  <c r="D4" i="8" l="1"/>
  <c r="F4" i="8" s="1"/>
  <c r="D6" i="8"/>
  <c r="F6" i="8" s="1"/>
  <c r="D9" i="8"/>
  <c r="F9" i="8"/>
  <c r="D10" i="8"/>
  <c r="F10" i="8" s="1"/>
  <c r="D11" i="8"/>
  <c r="F11" i="8" s="1"/>
  <c r="G11" i="8" s="1"/>
  <c r="D12" i="8"/>
  <c r="F12" i="8"/>
  <c r="H12" i="8" s="1"/>
  <c r="D13" i="8"/>
  <c r="F13" i="8" s="1"/>
  <c r="G13" i="8" s="1"/>
  <c r="D14" i="8"/>
  <c r="F14" i="8" s="1"/>
  <c r="D7" i="7"/>
  <c r="F7" i="7"/>
  <c r="H7" i="7" s="1"/>
  <c r="D9" i="7"/>
  <c r="F9" i="7"/>
  <c r="H9" i="7" s="1"/>
  <c r="D11" i="7"/>
  <c r="F11" i="7" s="1"/>
  <c r="D15" i="7"/>
  <c r="F15" i="7"/>
  <c r="H15" i="7" s="1"/>
  <c r="G15" i="7"/>
  <c r="D16" i="7"/>
  <c r="F16" i="7"/>
  <c r="G16" i="7" s="1"/>
  <c r="D17" i="7"/>
  <c r="F17" i="7" s="1"/>
  <c r="D18" i="7"/>
  <c r="F18" i="7"/>
  <c r="D19" i="7"/>
  <c r="F19" i="7"/>
  <c r="G19" i="7"/>
  <c r="H19" i="7"/>
  <c r="I19" i="7"/>
  <c r="D21" i="7"/>
  <c r="F21" i="7"/>
  <c r="G21" i="7" s="1"/>
  <c r="D29" i="7"/>
  <c r="F29" i="7"/>
  <c r="H29" i="7" s="1"/>
  <c r="G29" i="7"/>
  <c r="D30" i="7"/>
  <c r="F30" i="7"/>
  <c r="G30" i="7" s="1"/>
  <c r="D31" i="7"/>
  <c r="F31" i="7" s="1"/>
  <c r="C8" i="4"/>
  <c r="B8" i="4"/>
  <c r="F7" i="4"/>
  <c r="F6" i="4"/>
  <c r="F5" i="4"/>
  <c r="H14" i="8" l="1"/>
  <c r="G14" i="8"/>
  <c r="I14" i="8" s="1"/>
  <c r="H6" i="8"/>
  <c r="G6" i="8"/>
  <c r="G12" i="8"/>
  <c r="I12" i="8" s="1"/>
  <c r="H11" i="8"/>
  <c r="I11" i="8" s="1"/>
  <c r="G9" i="8"/>
  <c r="I9" i="8" s="1"/>
  <c r="H9" i="8"/>
  <c r="H30" i="7"/>
  <c r="H16" i="7"/>
  <c r="I16" i="7" s="1"/>
  <c r="H18" i="7"/>
  <c r="G18" i="7"/>
  <c r="I18" i="7" s="1"/>
  <c r="G7" i="7"/>
  <c r="G9" i="7"/>
  <c r="I9" i="7"/>
  <c r="F8" i="4"/>
  <c r="B3" i="6" s="1"/>
  <c r="G10" i="8"/>
  <c r="H10" i="8"/>
  <c r="G4" i="8"/>
  <c r="H4" i="8"/>
  <c r="H13" i="8"/>
  <c r="I13" i="8" s="1"/>
  <c r="I6" i="8"/>
  <c r="G31" i="7"/>
  <c r="I31" i="7" s="1"/>
  <c r="H31" i="7"/>
  <c r="G17" i="7"/>
  <c r="H17" i="7"/>
  <c r="I17" i="7"/>
  <c r="G11" i="7"/>
  <c r="H11" i="7"/>
  <c r="I29" i="7"/>
  <c r="H21" i="7"/>
  <c r="I21" i="7" s="1"/>
  <c r="I15" i="7"/>
  <c r="E10" i="5"/>
  <c r="K33" i="7" s="1"/>
  <c r="I10" i="8" l="1"/>
  <c r="I30" i="7"/>
  <c r="L33" i="7"/>
  <c r="I11" i="7"/>
  <c r="I4" i="8"/>
  <c r="B2" i="6" l="1"/>
  <c r="B4" i="6"/>
  <c r="B7" i="6"/>
  <c r="I6" i="3" l="1"/>
  <c r="I34" i="7" s="1"/>
  <c r="I35" i="7" s="1"/>
  <c r="B5" i="6" s="1"/>
  <c r="B6" i="6" l="1"/>
</calcChain>
</file>

<file path=xl/sharedStrings.xml><?xml version="1.0" encoding="utf-8"?>
<sst xmlns="http://schemas.openxmlformats.org/spreadsheetml/2006/main" count="165" uniqueCount="140">
  <si>
    <t>ICR Summary Information</t>
  </si>
  <si>
    <t>Hours per Response</t>
  </si>
  <si>
    <t>Number of Respondents</t>
  </si>
  <si>
    <t>Total Estimated Burden Hours</t>
  </si>
  <si>
    <t>Total Estimated Costs</t>
  </si>
  <si>
    <t>Annualized Capital O&amp;M</t>
  </si>
  <si>
    <t>Total Annual Responses</t>
  </si>
  <si>
    <t>hr/response</t>
  </si>
  <si>
    <t>Subtotal for Reporting Requirements</t>
  </si>
  <si>
    <t>Assumptions:</t>
  </si>
  <si>
    <r>
      <t>Capital/Startup vs. Operation and Maintenance (O&amp;M) Costs</t>
    </r>
    <r>
      <rPr>
        <sz val="10"/>
        <color theme="1"/>
        <rFont val="Times New Roman"/>
        <family val="1"/>
      </rPr>
      <t> </t>
    </r>
  </si>
  <si>
    <t>(A)</t>
  </si>
  <si>
    <t>(B)</t>
  </si>
  <si>
    <t>(C)</t>
  </si>
  <si>
    <t>(D)</t>
  </si>
  <si>
    <t>(E)</t>
  </si>
  <si>
    <t>(F)</t>
  </si>
  <si>
    <t>(G)</t>
  </si>
  <si>
    <t>Continuous Monitoring Device</t>
  </si>
  <si>
    <t>Capital/Startup Cost for One Respondent</t>
  </si>
  <si>
    <r>
      <t xml:space="preserve">Number of New  Respondents </t>
    </r>
    <r>
      <rPr>
        <b/>
        <vertAlign val="superscript"/>
        <sz val="10"/>
        <color theme="1"/>
        <rFont val="Times New Roman"/>
        <family val="1"/>
      </rPr>
      <t>a</t>
    </r>
  </si>
  <si>
    <t>Total Capital/Startup Cost,  (B X C)</t>
  </si>
  <si>
    <t>Annual O&amp;M Costs for One Respondent</t>
  </si>
  <si>
    <r>
      <t>Number of Respondents with O&amp;M</t>
    </r>
    <r>
      <rPr>
        <b/>
        <vertAlign val="superscript"/>
        <sz val="10"/>
        <color theme="1"/>
        <rFont val="Times New Roman"/>
        <family val="1"/>
      </rPr>
      <t xml:space="preserve"> b</t>
    </r>
  </si>
  <si>
    <t>Total O&amp;M, 
(E X F)</t>
  </si>
  <si>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</si>
  <si>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</si>
  <si>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</si>
  <si>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</si>
  <si>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</si>
  <si>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t>Total</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</si>
  <si>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</si>
  <si>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</si>
  <si>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</si>
  <si>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</si>
  <si>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</si>
  <si>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</si>
  <si>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</si>
  <si>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</si>
  <si>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</si>
  <si>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</si>
  <si>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Form Number</t>
  </si>
  <si>
    <r>
      <t xml:space="preserve">j  </t>
    </r>
    <r>
      <rPr>
        <sz val="10"/>
        <color rgb="FF000000"/>
        <rFont val="Times New Roman"/>
        <family val="1"/>
      </rPr>
      <t xml:space="preserve">Totals have been rounded to 3 significant figures. Figures may not add exactly due to rounding. </t>
    </r>
  </si>
  <si>
    <r>
      <t xml:space="preserve">i </t>
    </r>
    <r>
      <rPr>
        <sz val="10"/>
        <color rgb="FF000000"/>
        <rFont val="Times New Roman"/>
        <family val="1"/>
      </rPr>
      <t xml:space="preserve"> Assume that it will take 80 hours per year to record performance test data.</t>
    </r>
  </si>
  <si>
    <r>
      <t>h</t>
    </r>
    <r>
      <rPr>
        <sz val="10"/>
        <color rgb="FF000000"/>
        <rFont val="Times New Roman"/>
        <family val="1"/>
      </rPr>
      <t xml:space="preserve">  Assume that it will take eight hours per year to record daily gathering of monitoring data (which have been automatically recorded).</t>
    </r>
  </si>
  <si>
    <r>
      <t xml:space="preserve">g </t>
    </r>
    <r>
      <rPr>
        <sz val="10"/>
        <color rgb="FF000000"/>
        <rFont val="Times New Roman"/>
        <family val="1"/>
      </rPr>
      <t xml:space="preserve"> Assume that it will take 40 hours to write semiannual reports.</t>
    </r>
  </si>
  <si>
    <r>
      <t>e</t>
    </r>
    <r>
      <rPr>
        <sz val="10"/>
        <color theme="1"/>
        <rFont val="Times New Roman"/>
        <family val="1"/>
      </rPr>
      <t xml:space="preserve">  Assume that 20 percent would have to repeat the performance testing due to failure.</t>
    </r>
  </si>
  <si>
    <r>
      <t>d</t>
    </r>
    <r>
      <rPr>
        <sz val="10"/>
        <color theme="1"/>
        <rFont val="Times New Roman"/>
        <family val="1"/>
      </rPr>
      <t xml:space="preserve">  Assume that this is a one-time-only cost.</t>
    </r>
  </si>
  <si>
    <r>
      <t xml:space="preserve">GRAND TOTAL (rounded) </t>
    </r>
    <r>
      <rPr>
        <b/>
        <vertAlign val="superscript"/>
        <sz val="10"/>
        <color theme="1"/>
        <rFont val="Times New Roman"/>
        <family val="1"/>
      </rPr>
      <t>j</t>
    </r>
  </si>
  <si>
    <r>
      <t xml:space="preserve">CAPITAL AND O&amp;M COST (rounded) </t>
    </r>
    <r>
      <rPr>
        <b/>
        <vertAlign val="superscript"/>
        <sz val="10"/>
        <color theme="1"/>
        <rFont val="Times New Roman"/>
        <family val="1"/>
      </rPr>
      <t>j</t>
    </r>
  </si>
  <si>
    <r>
      <t xml:space="preserve">TOTAL LABOR BURDEN AND COST (rounded) </t>
    </r>
    <r>
      <rPr>
        <b/>
        <vertAlign val="superscript"/>
        <sz val="10"/>
        <color theme="1"/>
        <rFont val="Times New Roman"/>
        <family val="1"/>
      </rPr>
      <t>j</t>
    </r>
  </si>
  <si>
    <t>responses</t>
  </si>
  <si>
    <t>Subtotal for Recordkeeping Requirements</t>
  </si>
  <si>
    <r>
      <t>iii.  Records of performance test data</t>
    </r>
    <r>
      <rPr>
        <vertAlign val="superscript"/>
        <sz val="10"/>
        <color theme="1"/>
        <rFont val="Times New Roman"/>
        <family val="1"/>
      </rPr>
      <t xml:space="preserve"> d, i</t>
    </r>
  </si>
  <si>
    <t>ii.  Records of startup, shutdown and malfunction</t>
  </si>
  <si>
    <r>
      <t xml:space="preserve">i.  Record of daily production rate and hours of operation </t>
    </r>
    <r>
      <rPr>
        <vertAlign val="superscript"/>
        <sz val="10"/>
        <color theme="1"/>
        <rFont val="Times New Roman"/>
        <family val="1"/>
      </rPr>
      <t>h</t>
    </r>
  </si>
  <si>
    <t xml:space="preserve">E.  Time to Enter Information  </t>
  </si>
  <si>
    <t>N/A</t>
  </si>
  <si>
    <t>D.  Develop Record System</t>
  </si>
  <si>
    <t>See 4E</t>
  </si>
  <si>
    <t>C.  Implement Activities</t>
  </si>
  <si>
    <t>B.  Plan Activities</t>
  </si>
  <si>
    <t>See 3A</t>
  </si>
  <si>
    <t>A.  Familiarize with regulatory requirements</t>
  </si>
  <si>
    <t>4.  Recordkeeping Requirements</t>
  </si>
  <si>
    <r>
      <t>vii.  Semiannual reports of excess emissions</t>
    </r>
    <r>
      <rPr>
        <vertAlign val="superscript"/>
        <sz val="10"/>
        <color theme="1"/>
        <rFont val="Times New Roman"/>
        <family val="1"/>
      </rPr>
      <t xml:space="preserve"> g</t>
    </r>
  </si>
  <si>
    <t>See 3B</t>
  </si>
  <si>
    <t>vi.  Performance test report</t>
  </si>
  <si>
    <r>
      <t xml:space="preserve">v.  Notification of initial performance test </t>
    </r>
    <r>
      <rPr>
        <vertAlign val="superscript"/>
        <sz val="10"/>
        <color theme="1"/>
        <rFont val="Times New Roman"/>
        <family val="1"/>
      </rPr>
      <t>d</t>
    </r>
  </si>
  <si>
    <r>
      <t>iv.  Notification of actual startup</t>
    </r>
    <r>
      <rPr>
        <vertAlign val="superscript"/>
        <sz val="10"/>
        <color theme="1"/>
        <rFont val="Times New Roman"/>
        <family val="1"/>
      </rPr>
      <t xml:space="preserve"> d</t>
    </r>
  </si>
  <si>
    <r>
      <t xml:space="preserve">iii.  Notification of demonstration of CMS </t>
    </r>
    <r>
      <rPr>
        <vertAlign val="superscript"/>
        <sz val="10"/>
        <color theme="1"/>
        <rFont val="Times New Roman"/>
        <family val="1"/>
      </rPr>
      <t>d</t>
    </r>
  </si>
  <si>
    <r>
      <t xml:space="preserve">ii.  Notification of physical and operational changes </t>
    </r>
    <r>
      <rPr>
        <vertAlign val="superscript"/>
        <sz val="10"/>
        <color theme="1"/>
        <rFont val="Times New Roman"/>
        <family val="1"/>
      </rPr>
      <t>f</t>
    </r>
  </si>
  <si>
    <r>
      <t xml:space="preserve">i.  Notification of construction/ reconstruction </t>
    </r>
    <r>
      <rPr>
        <vertAlign val="superscript"/>
        <sz val="10"/>
        <color theme="1"/>
        <rFont val="Times New Roman"/>
        <family val="1"/>
      </rPr>
      <t>d</t>
    </r>
  </si>
  <si>
    <t>E.  Write Report</t>
  </si>
  <si>
    <t>D.  Gather Existing Information</t>
  </si>
  <si>
    <t>C.  Create Information</t>
  </si>
  <si>
    <r>
      <t xml:space="preserve">iii.  Repeat of performance test </t>
    </r>
    <r>
      <rPr>
        <vertAlign val="superscript"/>
        <sz val="10"/>
        <color theme="1"/>
        <rFont val="Times New Roman"/>
        <family val="1"/>
      </rPr>
      <t>e</t>
    </r>
  </si>
  <si>
    <t>See 3B(i)</t>
  </si>
  <si>
    <t>ii.  Demonstration of monitoring system</t>
  </si>
  <si>
    <r>
      <t xml:space="preserve">i.  Initial performance test </t>
    </r>
    <r>
      <rPr>
        <vertAlign val="superscript"/>
        <sz val="10"/>
        <color theme="1"/>
        <rFont val="Times New Roman"/>
        <family val="1"/>
      </rPr>
      <t>d</t>
    </r>
  </si>
  <si>
    <t>B.  Required Activities</t>
  </si>
  <si>
    <r>
      <t xml:space="preserve">A.  Familiarize with regulatory requirements </t>
    </r>
    <r>
      <rPr>
        <vertAlign val="superscript"/>
        <sz val="10"/>
        <color theme="1"/>
        <rFont val="Times New Roman"/>
        <family val="1"/>
      </rPr>
      <t>c, d</t>
    </r>
  </si>
  <si>
    <t>3.  Reporting Requirements</t>
  </si>
  <si>
    <t>2.  Survey and Studies</t>
  </si>
  <si>
    <t>1.  Applications</t>
  </si>
  <si>
    <r>
      <t xml:space="preserve">(H)
Total costs per year </t>
    </r>
    <r>
      <rPr>
        <b/>
        <vertAlign val="superscript"/>
        <sz val="10"/>
        <color theme="1"/>
        <rFont val="Times New Roman"/>
        <family val="1"/>
      </rPr>
      <t>b</t>
    </r>
  </si>
  <si>
    <t>(G)
Clerical hours per year
(G=Ex0.1)</t>
  </si>
  <si>
    <t>(F)
Management person hours per year
(F=Ex0.05)</t>
  </si>
  <si>
    <t>(E)
Technical person hours per year (E=CxD)</t>
  </si>
  <si>
    <r>
      <t xml:space="preserve">(D)
Number of respondents per year </t>
    </r>
    <r>
      <rPr>
        <b/>
        <vertAlign val="superscript"/>
        <sz val="10"/>
        <color theme="1"/>
        <rFont val="Times New Roman"/>
        <family val="1"/>
      </rPr>
      <t>a</t>
    </r>
  </si>
  <si>
    <t>(C)
Person hours per respondent per year
(C=AxB)</t>
  </si>
  <si>
    <t>(B)
Number of occurrences per respondent per year</t>
  </si>
  <si>
    <t>(A)
Person hours per Occurrence</t>
  </si>
  <si>
    <t>Burden Items</t>
  </si>
  <si>
    <t>Table 1: Annual Respondent Burden and Cost – NSPS for Sewage Sludge Treatment Plants (40 CFR Part 60, Subpart O) (Renewal)</t>
  </si>
  <si>
    <r>
      <t xml:space="preserve">g  </t>
    </r>
    <r>
      <rPr>
        <sz val="10"/>
        <color rgb="FF000000"/>
        <rFont val="Times New Roman"/>
        <family val="1"/>
      </rPr>
      <t xml:space="preserve">Totals have been rounded to 3 significant figures. Figures may not add exactly due to rounding. </t>
    </r>
  </si>
  <si>
    <r>
      <t xml:space="preserve">f </t>
    </r>
    <r>
      <rPr>
        <sz val="10"/>
        <color rgb="FF000000"/>
        <rFont val="Times New Roman"/>
        <family val="1"/>
      </rPr>
      <t xml:space="preserve"> Assume that it will take eight hours to review semiannual reports.</t>
    </r>
  </si>
  <si>
    <r>
      <t>d</t>
    </r>
    <r>
      <rPr>
        <sz val="10"/>
        <color rgb="FF000000"/>
        <rFont val="Times New Roman"/>
        <family val="1"/>
      </rPr>
      <t xml:space="preserve">  Assume that 20 percent would have to repeat the performance testing due to failure.</t>
    </r>
  </si>
  <si>
    <r>
      <t xml:space="preserve">TOTAL LABOR BURDEN and COST (rounded) </t>
    </r>
    <r>
      <rPr>
        <b/>
        <vertAlign val="superscript"/>
        <sz val="10"/>
        <color theme="1"/>
        <rFont val="Times New Roman"/>
        <family val="1"/>
      </rPr>
      <t>g</t>
    </r>
  </si>
  <si>
    <r>
      <t xml:space="preserve">Semiannual reports </t>
    </r>
    <r>
      <rPr>
        <vertAlign val="superscript"/>
        <sz val="10"/>
        <color theme="1"/>
        <rFont val="Times New Roman"/>
        <family val="1"/>
      </rPr>
      <t>f</t>
    </r>
  </si>
  <si>
    <t>Repeat performance test</t>
  </si>
  <si>
    <r>
      <t xml:space="preserve">Initial test </t>
    </r>
    <r>
      <rPr>
        <vertAlign val="superscript"/>
        <sz val="10"/>
        <color theme="1"/>
        <rFont val="Times New Roman"/>
        <family val="1"/>
      </rPr>
      <t>c</t>
    </r>
  </si>
  <si>
    <r>
      <t xml:space="preserve">Notification of actual startup </t>
    </r>
    <r>
      <rPr>
        <vertAlign val="superscript"/>
        <sz val="10"/>
        <color theme="1"/>
        <rFont val="Times New Roman"/>
        <family val="1"/>
      </rPr>
      <t>c</t>
    </r>
  </si>
  <si>
    <r>
      <t xml:space="preserve">Notification of physical and operational changes </t>
    </r>
    <r>
      <rPr>
        <vertAlign val="superscript"/>
        <sz val="10"/>
        <color theme="1"/>
        <rFont val="Times New Roman"/>
        <family val="1"/>
      </rPr>
      <t>e</t>
    </r>
  </si>
  <si>
    <r>
      <t xml:space="preserve">Notification of construction/ reconstruction </t>
    </r>
    <r>
      <rPr>
        <vertAlign val="superscript"/>
        <sz val="10"/>
        <color theme="1"/>
        <rFont val="Times New Roman"/>
        <family val="1"/>
      </rPr>
      <t>c</t>
    </r>
  </si>
  <si>
    <r>
      <t xml:space="preserve">Retesting preparation </t>
    </r>
    <r>
      <rPr>
        <vertAlign val="superscript"/>
        <sz val="10"/>
        <color theme="1"/>
        <rFont val="Times New Roman"/>
        <family val="1"/>
      </rPr>
      <t>c, d</t>
    </r>
  </si>
  <si>
    <r>
      <t xml:space="preserve">Initial Performance Test </t>
    </r>
    <r>
      <rPr>
        <vertAlign val="superscript"/>
        <sz val="10"/>
        <color theme="1"/>
        <rFont val="Times New Roman"/>
        <family val="1"/>
      </rPr>
      <t>c</t>
    </r>
  </si>
  <si>
    <r>
      <t xml:space="preserve">(H)
Costs per Year  </t>
    </r>
    <r>
      <rPr>
        <b/>
        <vertAlign val="superscript"/>
        <sz val="10"/>
        <color theme="1"/>
        <rFont val="Times New Roman"/>
        <family val="1"/>
      </rPr>
      <t>b</t>
    </r>
  </si>
  <si>
    <t>(G)
Clerical Hours per Year
(G=Ex0.1)</t>
  </si>
  <si>
    <t>(F)
Management Hours per Year
(F=Ex0.05)</t>
  </si>
  <si>
    <t>(E)
Technical Hours per Year
(E=CxD)</t>
  </si>
  <si>
    <r>
      <t xml:space="preserve">(D)
Plants per Year </t>
    </r>
    <r>
      <rPr>
        <b/>
        <vertAlign val="superscript"/>
        <sz val="10"/>
        <color theme="1"/>
        <rFont val="Times New Roman"/>
        <family val="1"/>
      </rPr>
      <t>a</t>
    </r>
  </si>
  <si>
    <t>(C)
EPA Hours per Year
(C=AxB)</t>
  </si>
  <si>
    <t>(B)
No of occurrences per Plant per Year</t>
  </si>
  <si>
    <t xml:space="preserve">(A)
EPA hours per occurrence  </t>
  </si>
  <si>
    <t>Activity</t>
  </si>
  <si>
    <r>
      <t>Table 2: Average Annual EPA Burden and Cost – NSPS for Sewage Sludge Treatment Plants (40 CFR Part 60, Subpart O) (Renewal)</t>
    </r>
    <r>
      <rPr>
        <sz val="10"/>
        <color rgb="FF000000"/>
        <rFont val="Times New Roman"/>
        <family val="1"/>
      </rPr>
      <t xml:space="preserve"> </t>
    </r>
  </si>
  <si>
    <t>Particulate Matter</t>
  </si>
  <si>
    <r>
      <rPr>
        <vertAlign val="superscript"/>
        <sz val="10"/>
        <color theme="1"/>
        <rFont val="Times New Roman"/>
        <family val="1"/>
      </rPr>
      <t>b</t>
    </r>
    <r>
      <rPr>
        <sz val="10"/>
        <color theme="1"/>
        <rFont val="Times New Roman"/>
        <family val="1"/>
      </rPr>
      <t xml:space="preserve"> Totals have been rounded to 3 significant digits. Figures may not add exactly due to rounding. </t>
    </r>
  </si>
  <si>
    <r>
      <rPr>
        <vertAlign val="superscript"/>
        <sz val="10"/>
        <color theme="1"/>
        <rFont val="Times New Roman"/>
        <family val="1"/>
      </rPr>
      <t>a</t>
    </r>
    <r>
      <rPr>
        <sz val="10"/>
        <color theme="1"/>
        <rFont val="Times New Roman"/>
        <family val="1"/>
      </rPr>
      <t xml:space="preserve"> New respondents include sources with constructed, reconstructed and modified affected facilities.</t>
    </r>
  </si>
  <si>
    <r>
      <t xml:space="preserve">Total (rounded) </t>
    </r>
    <r>
      <rPr>
        <b/>
        <vertAlign val="superscript"/>
        <sz val="10"/>
        <color theme="1"/>
        <rFont val="Times New Roman"/>
        <family val="1"/>
      </rPr>
      <t>b</t>
    </r>
  </si>
  <si>
    <t>Notification of construction/ reconstruction</t>
  </si>
  <si>
    <t>Notification of physical and operational changes</t>
  </si>
  <si>
    <t>Notification of demonstration of CMS</t>
  </si>
  <si>
    <t>Notification of actual startup</t>
  </si>
  <si>
    <t>Notification of initial performance test</t>
  </si>
  <si>
    <t>Semiannual report of excess emissions</t>
  </si>
  <si>
    <t>Not Applicable</t>
  </si>
  <si>
    <t>old:</t>
  </si>
  <si>
    <t>new</t>
  </si>
  <si>
    <r>
      <rPr>
        <vertAlign val="superscript"/>
        <sz val="10"/>
        <color theme="1"/>
        <rFont val="Times New Roman"/>
        <family val="1"/>
      </rPr>
      <t>a</t>
    </r>
    <r>
      <rPr>
        <sz val="10"/>
        <color theme="1"/>
        <rFont val="Times New Roman"/>
        <family val="1"/>
      </rPr>
      <t xml:space="preserve">  This ICR assumes that there are 204 existing units at 103 facilities (respondents) and that 2 new, modified or reconstructed units will be constructed per year over the next three years.</t>
    </r>
  </si>
  <si>
    <r>
      <t>f</t>
    </r>
    <r>
      <rPr>
        <sz val="10"/>
        <rFont val="Times New Roman"/>
        <family val="1"/>
      </rPr>
      <t xml:space="preserve">  Assume that 2 facilities will have a physical or operational change.</t>
    </r>
  </si>
  <si>
    <r>
      <t>e</t>
    </r>
    <r>
      <rPr>
        <sz val="10"/>
        <color rgb="FF000000"/>
        <rFont val="Times New Roman"/>
        <family val="1"/>
      </rPr>
      <t xml:space="preserve">  Assume that 2 sources will have a physical or operational change.</t>
    </r>
  </si>
  <si>
    <t>Attend retesting</t>
  </si>
  <si>
    <t>Repeat initial performance test:</t>
  </si>
  <si>
    <t>Report Review:</t>
  </si>
  <si>
    <r>
      <t xml:space="preserve">c  </t>
    </r>
    <r>
      <rPr>
        <sz val="10"/>
        <color theme="1"/>
        <rFont val="Times New Roman"/>
        <family val="1"/>
      </rPr>
      <t>This ICR assumes all existing facilities will have to re-familiarize with regulatory requirements each year.</t>
    </r>
  </si>
  <si>
    <r>
      <t>c</t>
    </r>
    <r>
      <rPr>
        <sz val="10"/>
        <color rgb="FF000000"/>
        <rFont val="Times New Roman"/>
        <family val="1"/>
      </rPr>
      <t xml:space="preserve">  Assume that this is a one-time only cost.</t>
    </r>
  </si>
  <si>
    <r>
      <t xml:space="preserve">b </t>
    </r>
    <r>
      <rPr>
        <sz val="10"/>
        <color theme="1"/>
        <rFont val="Times New Roman"/>
        <family val="1"/>
      </rPr>
      <t>This ICR uses the following labor rates: Executive, Administrative, and Managerial: $157.61 ($75.05+ 110%);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</si>
  <si>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t>b</t>
    </r>
    <r>
      <rPr>
        <sz val="10"/>
        <color theme="1"/>
        <rFont val="Times New Roman"/>
        <family val="1"/>
      </rPr>
      <t xml:space="preserve">  This cost is based on the following labor rates:  Managerial rate of $70.56 (GS-13, Step 5, $44.10 + 60%), Technical rate of $52.37 (GS-12, Step 1, $32.73 + 60%), and Clerical rate of $28.34 (GS-6, Step 3, $17.71 + 60%). These rates are from the Office of Personnel Management (OPM), 2022 General Schedule, which excludes locality rates of pay. The rates have been increased by 60 percent to account for the benefit packages available to government employees.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</si>
</sst>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3" formatCode="_(* #,##0.00_);_(* \(#,##0.00\);_(* &quot;-&quot;??_);_(@_)"/>
    <numFmt numFmtId="164" formatCode="General_)"/>
    <numFmt numFmtId="165" formatCode="&quot;$&quot;#,##0.00"/>
    <numFmt numFmtId="166" formatCode="0.0"/>
    <numFmt numFmtId="167" formatCode="_(* #,##0_);_(* \(#,##0\);_(* &quot;-&quot;??_);_(@_)"/>
  </numFmts>
  <fonts count="21" x14ac:knownFonts="1">
    <font>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sz val="10"/>
      <color rgb="FFFF0000"/>
      <name val="Times New Roman"/>
      <family val="1"/>
    </font>
    <font>
      <sz val="10"/>
      <name val="Times New Roman"/>
      <family val="1"/>
    </font>
    <font>
      <sz val="8"/>
      <name val="Helv"/>
    </font>
    <font>
      <b/>
      <sz val="12"/>
      <color rgb="FF000000"/>
      <name val="Times New Roman"/>
      <family val="1"/>
    </font>
    <font>
      <sz val="10"/>
      <color rgb="FF000000"/>
      <name val="Times New Roman"/>
      <family val="1"/>
    </font>
    <font>
      <b/>
      <sz val="10"/>
      <color rgb="FF000000"/>
      <name val="Times New Roman"/>
      <family val="1"/>
    </font>
    <font>
      <b/>
      <vertAlign val="superscript"/>
      <sz val="10"/>
      <color rgb="FF000000"/>
      <name val="Times New Roman"/>
      <family val="1"/>
    </font>
    <font>
      <vertAlign val="superscript"/>
      <sz val="10"/>
      <name val="Times New Roman"/>
      <family val="1"/>
    </font>
    <font>
      <vertAlign val="superscript"/>
      <sz val="10"/>
      <color rgb="FF000000"/>
      <name val="Times New Roman"/>
      <family val="1"/>
    </font>
    <font>
      <sz val="10"/>
      <color theme="1"/>
      <name val="Calibri"/>
      <family val="2"/>
      <scheme val="minor"/>
    </font>
    <font>
      <sz val="10"/>
      <color rgb="FFFF0000"/>
      <name val="Calibri"/>
      <family val="2"/>
      <scheme val="minor"/>
    </font>
    <font>
      <sz val="11"/>
      <color theme="1"/>
      <name val="Calibri"/>
      <family val="2"/>
      <scheme val="minor"/>
    </font>
    <font>
      <b/>
      <sz val="11"/>
      <color theme="1"/>
      <name val="Calibri"/>
      <family val="2"/>
      <scheme val="minor"/>
    </font>
    <font>
      <u/>
      <sz val="10"/>
      <color theme="1"/>
      <name val="Times New Roman"/>
      <family val="1"/>
    </font>
    <font>
      <vertAlign val="superscript"/>
      <sz val="12"/>
      <color theme="1"/>
      <name val="Times New Roman"/>
      <family val="1"/>
    </font>
    <font>
      <b/>
      <sz val="10"/>
      <name val="Times New Roman"/>
      <family val="1"/>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7" fillId="0" borderId="0"/>
    <xf numFmtId="43" fontId="16" fillId="0" borderId="0" applyFont="0" applyFill="0" applyBorder="0" applyAlignment="0" applyProtection="0"/>
  </cellStyleXfs>
  <cellXfs count="82">
    <xf numFmtId="0" fontId="0" fillId="0" borderId="0" xfId="0"/>
    <xf numFmtId="0" fontId="1" fillId="0" borderId="0" xfId="0" applyFont="1"/>
    <xf numFmtId="0" fontId="5" fillId="0" borderId="0" xfId="0" applyFont="1"/>
    <xf numFmtId="164" fontId="6" fillId="0" borderId="0" xfId="1" applyFont="1" applyAlignment="1">
      <alignment horizontal="center" vertical="center" wrapText="1"/>
    </xf>
    <xf numFmtId="165" fontId="6" fillId="0" borderId="0" xfId="1" applyNumberFormat="1" applyFont="1" applyAlignment="1">
      <alignment horizontal="right" wrapText="1"/>
    </xf>
    <xf numFmtId="0" fontId="14" fillId="0" borderId="0" xfId="0" applyFont="1"/>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0" xfId="0" applyFont="1" applyAlignment="1">
      <alignment vertic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6" fontId="1" fillId="0" borderId="1" xfId="0" applyNumberFormat="1" applyFont="1" applyBorder="1" applyAlignment="1">
      <alignment horizontal="center" vertical="center" wrapText="1"/>
    </xf>
    <xf numFmtId="0" fontId="2" fillId="0" borderId="1" xfId="0" applyFont="1" applyBorder="1" applyAlignment="1">
      <alignment vertical="center" wrapText="1"/>
    </xf>
    <xf numFmtId="6"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6" fontId="1" fillId="0" borderId="0" xfId="0" applyNumberFormat="1" applyFont="1" applyAlignment="1">
      <alignment horizontal="center" vertical="center" wrapText="1"/>
    </xf>
    <xf numFmtId="6" fontId="2" fillId="0" borderId="0" xfId="0" applyNumberFormat="1" applyFont="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 fillId="0" borderId="1" xfId="0" applyFont="1" applyBorder="1" applyAlignment="1">
      <alignment horizontal="left" vertical="center" wrapText="1" indent="2"/>
    </xf>
    <xf numFmtId="1" fontId="1" fillId="0" borderId="1" xfId="0" applyNumberFormat="1" applyFont="1" applyBorder="1" applyAlignment="1">
      <alignment horizontal="center" vertical="center" wrapText="1"/>
    </xf>
    <xf numFmtId="0" fontId="15" fillId="0" borderId="0" xfId="0" applyFont="1" applyAlignment="1">
      <alignment vertical="top" wrapText="1"/>
    </xf>
    <xf numFmtId="1" fontId="2"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center" vertical="center" wrapText="1"/>
    </xf>
    <xf numFmtId="6" fontId="14" fillId="0" borderId="0" xfId="0" applyNumberFormat="1" applyFont="1"/>
    <xf numFmtId="3" fontId="0" fillId="0" borderId="0" xfId="0" applyNumberFormat="1"/>
    <xf numFmtId="6" fontId="0" fillId="0" borderId="0" xfId="0" applyNumberFormat="1"/>
    <xf numFmtId="1" fontId="0" fillId="0" borderId="0" xfId="0" applyNumberFormat="1"/>
    <xf numFmtId="0" fontId="1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18"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6" fontId="2" fillId="0" borderId="1" xfId="0" applyNumberFormat="1" applyFont="1" applyBorder="1" applyAlignment="1">
      <alignment horizontal="right" vertical="center"/>
    </xf>
    <xf numFmtId="3"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vertical="center"/>
    </xf>
    <xf numFmtId="167" fontId="0" fillId="0" borderId="0" xfId="2" applyNumberFormat="1" applyFont="1"/>
    <xf numFmtId="8" fontId="1" fillId="0" borderId="1" xfId="0" applyNumberFormat="1" applyFont="1" applyBorder="1" applyAlignment="1">
      <alignment horizontal="right" vertical="center"/>
    </xf>
    <xf numFmtId="166" fontId="1"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right" vertical="center"/>
    </xf>
    <xf numFmtId="0" fontId="1" fillId="0" borderId="1" xfId="0" applyFont="1" applyBorder="1" applyAlignment="1">
      <alignment horizontal="left" vertical="center" indent="1"/>
    </xf>
    <xf numFmtId="0" fontId="1" fillId="0" borderId="1" xfId="0" applyFont="1" applyBorder="1"/>
    <xf numFmtId="0" fontId="1" fillId="0" borderId="1" xfId="0" applyFont="1" applyBorder="1" applyAlignment="1">
      <alignment horizontal="right" vertical="center"/>
    </xf>
    <xf numFmtId="0" fontId="1" fillId="0" borderId="1" xfId="0" applyFont="1" applyBorder="1" applyAlignment="1">
      <alignment vertical="center"/>
    </xf>
    <xf numFmtId="3" fontId="1" fillId="0" borderId="1" xfId="0" applyNumberFormat="1" applyFont="1" applyBorder="1" applyAlignment="1">
      <alignment horizontal="center" vertical="center"/>
    </xf>
    <xf numFmtId="0" fontId="1" fillId="0" borderId="1" xfId="0" applyFont="1" applyBorder="1" applyAlignment="1">
      <alignment horizontal="left" vertical="center" indent="2"/>
    </xf>
    <xf numFmtId="2" fontId="1" fillId="0" borderId="1" xfId="0" applyNumberFormat="1" applyFont="1" applyBorder="1" applyAlignment="1">
      <alignment horizontal="center" vertical="center"/>
    </xf>
    <xf numFmtId="0" fontId="1" fillId="2" borderId="1" xfId="0" applyFont="1" applyFill="1" applyBorder="1"/>
    <xf numFmtId="0" fontId="2" fillId="2" borderId="1" xfId="0" applyFont="1" applyFill="1" applyBorder="1" applyAlignment="1">
      <alignment horizontal="center" vertical="center" wrapText="1"/>
    </xf>
    <xf numFmtId="0" fontId="17" fillId="0" borderId="0" xfId="0" applyFont="1"/>
    <xf numFmtId="0" fontId="2" fillId="0" borderId="5" xfId="0" applyFont="1" applyBorder="1" applyAlignment="1">
      <alignment horizontal="center" vertical="center" wrapText="1"/>
    </xf>
    <xf numFmtId="0" fontId="9" fillId="0" borderId="1" xfId="0" applyFont="1" applyBorder="1" applyAlignment="1">
      <alignment vertical="center" wrapText="1"/>
    </xf>
    <xf numFmtId="0" fontId="12" fillId="0" borderId="0" xfId="0" applyFont="1" applyAlignment="1">
      <alignment vertical="center"/>
    </xf>
    <xf numFmtId="0" fontId="0" fillId="0" borderId="0" xfId="0" quotePrefix="1"/>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xf numFmtId="0" fontId="6" fillId="2" borderId="1" xfId="0" applyFont="1" applyFill="1" applyBorder="1" applyAlignment="1">
      <alignment horizontal="right" vertical="center"/>
    </xf>
    <xf numFmtId="0" fontId="6" fillId="0" borderId="1" xfId="0" applyFont="1" applyBorder="1" applyAlignment="1">
      <alignment vertical="center"/>
    </xf>
    <xf numFmtId="0" fontId="20" fillId="0" borderId="1" xfId="0" applyFont="1" applyBorder="1" applyAlignment="1">
      <alignment vertical="center"/>
    </xf>
    <xf numFmtId="0" fontId="0" fillId="0" borderId="0" xfId="0" applyAlignment="1">
      <alignment horizontal="left" indent="1"/>
    </xf>
    <xf numFmtId="0" fontId="0" fillId="0" borderId="0" xfId="0" applyAlignment="1">
      <alignment horizont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3" fontId="2" fillId="0" borderId="1" xfId="0" applyNumberFormat="1" applyFont="1" applyBorder="1" applyAlignment="1">
      <alignment horizontal="center" vertical="center"/>
    </xf>
    <xf numFmtId="0" fontId="19"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top"/>
    </xf>
    <xf numFmtId="0" fontId="8" fillId="0" borderId="1" xfId="0" applyFont="1" applyBorder="1" applyAlignment="1">
      <alignment horizontal="center" vertical="center" wrapText="1"/>
    </xf>
    <xf numFmtId="0" fontId="9" fillId="0" borderId="0" xfId="0" applyFont="1" applyAlignment="1">
      <alignment horizontal="left" vertical="top" wrapText="1"/>
    </xf>
    <xf numFmtId="0" fontId="10" fillId="0" borderId="1" xfId="0" applyFont="1" applyBorder="1" applyAlignment="1">
      <alignment horizontal="center" vertical="center" wrapText="1"/>
    </xf>
    <xf numFmtId="0" fontId="10" fillId="0" borderId="1" xfId="0" applyFont="1" applyBorder="1" applyAlignment="1">
      <alignment vertical="center" wrapText="1"/>
    </xf>
  </cellXfs>
  <cellStyles count="3">
    <cellStyle name="Comma" xfId="2" builtinId="3"/>
    <cellStyle name="Normal" xfId="0" builtinId="0"/>
    <cellStyle name="Normal_SSI Burden Estimate BML 060710" xfId="1" xr:uid="{A07D4530-980E-478C-AD05-99F0F1CD297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11E90-6FAB-477D-9C4D-FB71EFB87D93}">
  <dimension ref="A1:B8"/>
  <sheetViews>
    <sheetView tabSelected="1" workbookViewId="0">
      <selection activeCell="D6" sqref="D6"/>
    </sheetView>
  </sheetViews>
  <sheetFormatPr defaultRowHeight="14.5" x14ac:dyDescent="0.35"/>
  <cols>
    <col min="1" max="1" width="27.7265625" bestFit="1" customWidth="1"/>
    <col min="2" max="2" width="15.81640625" customWidth="1"/>
  </cols>
  <sheetData>
    <row r="1" spans="1:2" x14ac:dyDescent="0.35">
      <c r="A1" s="65" t="s">
        <v>0</v>
      </c>
      <c r="B1" s="65"/>
    </row>
    <row r="2" spans="1:2" x14ac:dyDescent="0.35">
      <c r="A2" t="s">
        <v>1</v>
      </c>
      <c r="B2" s="28">
        <f>'Table 1'!L33</f>
        <v>65.934065934065927</v>
      </c>
    </row>
    <row r="3" spans="1:2" x14ac:dyDescent="0.35">
      <c r="A3" t="s">
        <v>2</v>
      </c>
      <c r="B3">
        <f>Respondents!F8</f>
        <v>103</v>
      </c>
    </row>
    <row r="4" spans="1:2" x14ac:dyDescent="0.35">
      <c r="A4" t="s">
        <v>3</v>
      </c>
      <c r="B4" s="26">
        <f>'Table 1'!F33</f>
        <v>12000</v>
      </c>
    </row>
    <row r="5" spans="1:2" x14ac:dyDescent="0.35">
      <c r="A5" t="s">
        <v>4</v>
      </c>
      <c r="B5" s="27">
        <f>'Table 1'!I35</f>
        <v>5250000</v>
      </c>
    </row>
    <row r="6" spans="1:2" x14ac:dyDescent="0.35">
      <c r="A6" t="s">
        <v>5</v>
      </c>
      <c r="B6" s="27">
        <f>'Capital O&amp;M'!D6+'Capital O&amp;M'!G6</f>
        <v>3810000</v>
      </c>
    </row>
    <row r="7" spans="1:2" x14ac:dyDescent="0.35">
      <c r="A7" t="s">
        <v>6</v>
      </c>
      <c r="B7" s="28">
        <f>Responses!E10</f>
        <v>182</v>
      </c>
    </row>
    <row r="8" spans="1:2" x14ac:dyDescent="0.35">
      <c r="A8" t="s">
        <v>41</v>
      </c>
      <c r="B8" s="64" t="s">
        <v>127</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3F1CC-40E2-4B3E-9EFF-FD48C1AF6550}">
  <dimension ref="A1:P50"/>
  <sheetViews>
    <sheetView zoomScale="86" zoomScaleNormal="86" workbookViewId="0">
      <selection activeCell="M43" sqref="M43"/>
    </sheetView>
  </sheetViews>
  <sheetFormatPr defaultRowHeight="14.5" x14ac:dyDescent="0.35"/>
  <cols>
    <col min="1" max="1" width="57.26953125" customWidth="1"/>
    <col min="2" max="2" width="12.453125" customWidth="1"/>
    <col min="3" max="3" width="12" customWidth="1"/>
    <col min="4" max="4" width="11.26953125" customWidth="1"/>
    <col min="5" max="5" width="12.7265625" customWidth="1"/>
    <col min="6" max="6" width="10.453125" customWidth="1"/>
    <col min="7" max="7" width="13.1796875" customWidth="1"/>
    <col min="8" max="8" width="9.81640625" customWidth="1"/>
    <col min="9" max="9" width="13.7265625" customWidth="1"/>
    <col min="11" max="11" width="11.26953125" customWidth="1"/>
    <col min="12" max="12" width="13.81640625" bestFit="1" customWidth="1"/>
  </cols>
  <sheetData>
    <row r="1" spans="1:9" x14ac:dyDescent="0.35">
      <c r="A1" s="53" t="s">
        <v>94</v>
      </c>
    </row>
    <row r="2" spans="1:9" x14ac:dyDescent="0.35">
      <c r="F2">
        <v>123.94</v>
      </c>
      <c r="G2">
        <v>157.61000000000001</v>
      </c>
      <c r="H2">
        <v>62.52</v>
      </c>
    </row>
    <row r="3" spans="1:9" ht="78" x14ac:dyDescent="0.35">
      <c r="A3" s="52" t="s">
        <v>93</v>
      </c>
      <c r="B3" s="52" t="s">
        <v>92</v>
      </c>
      <c r="C3" s="52" t="s">
        <v>91</v>
      </c>
      <c r="D3" s="52" t="s">
        <v>90</v>
      </c>
      <c r="E3" s="52" t="s">
        <v>89</v>
      </c>
      <c r="F3" s="52" t="s">
        <v>88</v>
      </c>
      <c r="G3" s="52" t="s">
        <v>87</v>
      </c>
      <c r="H3" s="52" t="s">
        <v>86</v>
      </c>
      <c r="I3" s="52" t="s">
        <v>85</v>
      </c>
    </row>
    <row r="4" spans="1:9" x14ac:dyDescent="0.35">
      <c r="A4" s="47" t="s">
        <v>84</v>
      </c>
      <c r="B4" s="37" t="s">
        <v>57</v>
      </c>
      <c r="C4" s="45"/>
      <c r="D4" s="45"/>
      <c r="E4" s="45"/>
      <c r="F4" s="45"/>
      <c r="G4" s="45"/>
      <c r="H4" s="45"/>
      <c r="I4" s="45"/>
    </row>
    <row r="5" spans="1:9" x14ac:dyDescent="0.35">
      <c r="A5" s="47" t="s">
        <v>83</v>
      </c>
      <c r="B5" s="37" t="s">
        <v>57</v>
      </c>
      <c r="C5" s="45"/>
      <c r="D5" s="45"/>
      <c r="E5" s="60"/>
      <c r="F5" s="45"/>
      <c r="G5" s="45"/>
      <c r="H5" s="45"/>
      <c r="I5" s="45"/>
    </row>
    <row r="6" spans="1:9" x14ac:dyDescent="0.35">
      <c r="A6" s="47" t="s">
        <v>82</v>
      </c>
      <c r="B6" s="51"/>
      <c r="C6" s="43"/>
      <c r="D6" s="43"/>
      <c r="E6" s="61"/>
      <c r="F6" s="43"/>
      <c r="G6" s="43"/>
      <c r="H6" s="43"/>
      <c r="I6" s="43"/>
    </row>
    <row r="7" spans="1:9" ht="15.5" x14ac:dyDescent="0.35">
      <c r="A7" s="44" t="s">
        <v>81</v>
      </c>
      <c r="B7" s="37">
        <v>1</v>
      </c>
      <c r="C7" s="37">
        <v>1</v>
      </c>
      <c r="D7" s="37">
        <f>B7*C7</f>
        <v>1</v>
      </c>
      <c r="E7" s="58">
        <v>103</v>
      </c>
      <c r="F7" s="37">
        <f>D7*E7</f>
        <v>103</v>
      </c>
      <c r="G7" s="37">
        <f>F7*0.05</f>
        <v>5.15</v>
      </c>
      <c r="H7" s="37">
        <f>F7*0.1</f>
        <v>10.3</v>
      </c>
      <c r="I7" s="40">
        <f>$F$2*F7+$G$2*G7+$H$2*H7</f>
        <v>14221.467500000001</v>
      </c>
    </row>
    <row r="8" spans="1:9" x14ac:dyDescent="0.35">
      <c r="A8" s="44" t="s">
        <v>80</v>
      </c>
      <c r="B8" s="43"/>
      <c r="C8" s="43"/>
      <c r="D8" s="37"/>
      <c r="E8" s="61"/>
      <c r="F8" s="37"/>
      <c r="G8" s="37"/>
      <c r="H8" s="37"/>
      <c r="I8" s="40"/>
    </row>
    <row r="9" spans="1:9" ht="15.5" x14ac:dyDescent="0.35">
      <c r="A9" s="49" t="s">
        <v>79</v>
      </c>
      <c r="B9" s="37">
        <v>72</v>
      </c>
      <c r="C9" s="37">
        <v>1</v>
      </c>
      <c r="D9" s="37">
        <f>B9*C9</f>
        <v>72</v>
      </c>
      <c r="E9" s="58">
        <v>2</v>
      </c>
      <c r="F9" s="41">
        <f>D9*E9</f>
        <v>144</v>
      </c>
      <c r="G9" s="37">
        <f>F9*0.05</f>
        <v>7.2</v>
      </c>
      <c r="H9" s="37">
        <f>F9*0.1</f>
        <v>14.4</v>
      </c>
      <c r="I9" s="40">
        <f>$F$2*F9+$G$2*G9+$H$2*H9</f>
        <v>19882.440000000002</v>
      </c>
    </row>
    <row r="10" spans="1:9" x14ac:dyDescent="0.35">
      <c r="A10" s="49" t="s">
        <v>78</v>
      </c>
      <c r="B10" s="7" t="s">
        <v>77</v>
      </c>
      <c r="C10" s="47"/>
      <c r="D10" s="37"/>
      <c r="E10" s="60"/>
      <c r="F10" s="37"/>
      <c r="G10" s="37"/>
      <c r="H10" s="37"/>
      <c r="I10" s="40"/>
    </row>
    <row r="11" spans="1:9" ht="15.5" x14ac:dyDescent="0.35">
      <c r="A11" s="49" t="s">
        <v>76</v>
      </c>
      <c r="B11" s="37">
        <v>72</v>
      </c>
      <c r="C11" s="37">
        <v>1</v>
      </c>
      <c r="D11" s="37">
        <f>B11*C11</f>
        <v>72</v>
      </c>
      <c r="E11" s="58">
        <f>0.2*E9</f>
        <v>0.4</v>
      </c>
      <c r="F11" s="37">
        <f>D11*E11</f>
        <v>28.8</v>
      </c>
      <c r="G11" s="50">
        <f>F11*0.05</f>
        <v>1.4400000000000002</v>
      </c>
      <c r="H11" s="50">
        <f>F11*0.1</f>
        <v>2.8800000000000003</v>
      </c>
      <c r="I11" s="40">
        <f>$F$2*F11+$G$2*G11+$H$2*H11</f>
        <v>3976.4880000000003</v>
      </c>
    </row>
    <row r="12" spans="1:9" x14ac:dyDescent="0.35">
      <c r="A12" s="44" t="s">
        <v>75</v>
      </c>
      <c r="B12" s="37" t="s">
        <v>66</v>
      </c>
      <c r="C12" s="47"/>
      <c r="D12" s="37"/>
      <c r="E12" s="62"/>
      <c r="F12" s="37"/>
      <c r="G12" s="37"/>
      <c r="H12" s="37"/>
      <c r="I12" s="40"/>
    </row>
    <row r="13" spans="1:9" x14ac:dyDescent="0.35">
      <c r="A13" s="44" t="s">
        <v>74</v>
      </c>
      <c r="B13" s="37" t="s">
        <v>57</v>
      </c>
      <c r="C13" s="45"/>
      <c r="D13" s="37"/>
      <c r="E13" s="60"/>
      <c r="F13" s="37"/>
      <c r="G13" s="37"/>
      <c r="H13" s="37"/>
      <c r="I13" s="40"/>
    </row>
    <row r="14" spans="1:9" x14ac:dyDescent="0.35">
      <c r="A14" s="44" t="s">
        <v>73</v>
      </c>
      <c r="B14" s="43"/>
      <c r="C14" s="43"/>
      <c r="D14" s="37"/>
      <c r="E14" s="61"/>
      <c r="F14" s="37"/>
      <c r="G14" s="37"/>
      <c r="H14" s="37"/>
      <c r="I14" s="40"/>
    </row>
    <row r="15" spans="1:9" ht="15.5" x14ac:dyDescent="0.35">
      <c r="A15" s="49" t="s">
        <v>72</v>
      </c>
      <c r="B15" s="37">
        <v>2</v>
      </c>
      <c r="C15" s="37">
        <v>1</v>
      </c>
      <c r="D15" s="37">
        <f>B15*C15</f>
        <v>2</v>
      </c>
      <c r="E15" s="58">
        <v>2</v>
      </c>
      <c r="F15" s="37">
        <f>D15*E15</f>
        <v>4</v>
      </c>
      <c r="G15" s="37">
        <f>F15*0.05</f>
        <v>0.2</v>
      </c>
      <c r="H15" s="37">
        <f>F15*0.1</f>
        <v>0.4</v>
      </c>
      <c r="I15" s="40">
        <f>$F$2*F15+$G$2*G15+$H$2*H15</f>
        <v>552.29000000000008</v>
      </c>
    </row>
    <row r="16" spans="1:9" ht="15.5" x14ac:dyDescent="0.35">
      <c r="A16" s="49" t="s">
        <v>71</v>
      </c>
      <c r="B16" s="37">
        <v>2</v>
      </c>
      <c r="C16" s="37">
        <v>1</v>
      </c>
      <c r="D16" s="37">
        <f>B16*C16</f>
        <v>2</v>
      </c>
      <c r="E16" s="58">
        <v>2</v>
      </c>
      <c r="F16" s="37">
        <f>D16*E16</f>
        <v>4</v>
      </c>
      <c r="G16" s="37">
        <f>F16*0.05</f>
        <v>0.2</v>
      </c>
      <c r="H16" s="37">
        <f>F16*0.1</f>
        <v>0.4</v>
      </c>
      <c r="I16" s="40">
        <f>$F$2*F16+$G$2*G16+$H$2*H16</f>
        <v>552.29000000000008</v>
      </c>
    </row>
    <row r="17" spans="1:16" ht="15.5" x14ac:dyDescent="0.35">
      <c r="A17" s="49" t="s">
        <v>70</v>
      </c>
      <c r="B17" s="37">
        <v>40</v>
      </c>
      <c r="C17" s="37">
        <v>1</v>
      </c>
      <c r="D17" s="37">
        <f>B17*C17</f>
        <v>40</v>
      </c>
      <c r="E17" s="58">
        <v>2</v>
      </c>
      <c r="F17" s="37">
        <f>D17*E17</f>
        <v>80</v>
      </c>
      <c r="G17" s="37">
        <f>F17*0.05</f>
        <v>4</v>
      </c>
      <c r="H17" s="37">
        <f>F17*0.1</f>
        <v>8</v>
      </c>
      <c r="I17" s="40">
        <f>$F$2*F17+$G$2*G17+$H$2*H17</f>
        <v>11045.800000000001</v>
      </c>
    </row>
    <row r="18" spans="1:16" ht="15.5" x14ac:dyDescent="0.35">
      <c r="A18" s="49" t="s">
        <v>69</v>
      </c>
      <c r="B18" s="37">
        <v>2</v>
      </c>
      <c r="C18" s="37">
        <v>1</v>
      </c>
      <c r="D18" s="37">
        <f>B18*C18</f>
        <v>2</v>
      </c>
      <c r="E18" s="58">
        <v>2</v>
      </c>
      <c r="F18" s="37">
        <f>D18*E18</f>
        <v>4</v>
      </c>
      <c r="G18" s="37">
        <f>F18*0.05</f>
        <v>0.2</v>
      </c>
      <c r="H18" s="37">
        <f>F18*0.1</f>
        <v>0.4</v>
      </c>
      <c r="I18" s="40">
        <f>$F$2*F18+$G$2*G18+$H$2*H18</f>
        <v>552.29000000000008</v>
      </c>
    </row>
    <row r="19" spans="1:16" ht="15.5" x14ac:dyDescent="0.35">
      <c r="A19" s="49" t="s">
        <v>68</v>
      </c>
      <c r="B19" s="37">
        <v>2</v>
      </c>
      <c r="C19" s="37">
        <v>1</v>
      </c>
      <c r="D19" s="37">
        <f>B19*C19</f>
        <v>2</v>
      </c>
      <c r="E19" s="58">
        <v>2</v>
      </c>
      <c r="F19" s="37">
        <f>D19*E19</f>
        <v>4</v>
      </c>
      <c r="G19" s="37">
        <f>F19*0.05</f>
        <v>0.2</v>
      </c>
      <c r="H19" s="37">
        <f>F19*0.1</f>
        <v>0.4</v>
      </c>
      <c r="I19" s="40">
        <f>$F$2*F19+$G$2*G19+$H$2*H19</f>
        <v>552.29000000000008</v>
      </c>
    </row>
    <row r="20" spans="1:16" x14ac:dyDescent="0.35">
      <c r="A20" s="49" t="s">
        <v>67</v>
      </c>
      <c r="B20" s="37" t="s">
        <v>66</v>
      </c>
      <c r="C20" s="47"/>
      <c r="D20" s="37"/>
      <c r="E20" s="62"/>
      <c r="F20" s="37"/>
      <c r="G20" s="37"/>
      <c r="H20" s="37"/>
      <c r="I20" s="40"/>
    </row>
    <row r="21" spans="1:16" ht="15.5" x14ac:dyDescent="0.35">
      <c r="A21" s="49" t="s">
        <v>65</v>
      </c>
      <c r="B21" s="37">
        <v>40</v>
      </c>
      <c r="C21" s="37">
        <v>2</v>
      </c>
      <c r="D21" s="37">
        <f>B21*C21</f>
        <v>80</v>
      </c>
      <c r="E21" s="58">
        <v>103</v>
      </c>
      <c r="F21" s="48">
        <f>D21*E21</f>
        <v>8240</v>
      </c>
      <c r="G21" s="37">
        <f>F21*0.05</f>
        <v>412</v>
      </c>
      <c r="H21" s="37">
        <f>F21*0.1</f>
        <v>824</v>
      </c>
      <c r="I21" s="40">
        <f>$F$2*F21+$G$2*G21+$H$2*H21</f>
        <v>1137717.3999999999</v>
      </c>
    </row>
    <row r="22" spans="1:16" x14ac:dyDescent="0.35">
      <c r="A22" s="38" t="s">
        <v>8</v>
      </c>
      <c r="B22" s="37"/>
      <c r="C22" s="37"/>
      <c r="D22" s="37"/>
      <c r="E22" s="58"/>
      <c r="F22" s="66">
        <f>SUM(F4:H21)</f>
        <v>9903.57</v>
      </c>
      <c r="G22" s="67"/>
      <c r="H22" s="68"/>
      <c r="I22" s="35">
        <f>SUM(I4:I21)</f>
        <v>1189052.7555</v>
      </c>
    </row>
    <row r="23" spans="1:16" x14ac:dyDescent="0.35">
      <c r="A23" s="47" t="s">
        <v>64</v>
      </c>
      <c r="B23" s="43"/>
      <c r="C23" s="43"/>
      <c r="D23" s="37"/>
      <c r="E23" s="61"/>
      <c r="F23" s="43"/>
      <c r="G23" s="43"/>
      <c r="H23" s="43"/>
      <c r="I23" s="43"/>
    </row>
    <row r="24" spans="1:16" x14ac:dyDescent="0.35">
      <c r="A24" s="44" t="s">
        <v>63</v>
      </c>
      <c r="B24" s="37" t="s">
        <v>62</v>
      </c>
      <c r="C24" s="47"/>
      <c r="D24" s="37"/>
      <c r="E24" s="62"/>
      <c r="F24" s="47"/>
      <c r="G24" s="47"/>
      <c r="H24" s="47"/>
      <c r="I24" s="46"/>
    </row>
    <row r="25" spans="1:16" x14ac:dyDescent="0.35">
      <c r="A25" s="44" t="s">
        <v>61</v>
      </c>
      <c r="B25" s="37" t="s">
        <v>59</v>
      </c>
      <c r="C25" s="47"/>
      <c r="D25" s="37"/>
      <c r="E25" s="62"/>
      <c r="F25" s="47"/>
      <c r="G25" s="47"/>
      <c r="H25" s="47"/>
      <c r="I25" s="46"/>
    </row>
    <row r="26" spans="1:16" x14ac:dyDescent="0.35">
      <c r="A26" s="44" t="s">
        <v>60</v>
      </c>
      <c r="B26" s="37" t="s">
        <v>59</v>
      </c>
      <c r="C26" s="47"/>
      <c r="D26" s="37"/>
      <c r="E26" s="62"/>
      <c r="F26" s="47"/>
      <c r="G26" s="47"/>
      <c r="H26" s="47"/>
      <c r="I26" s="46"/>
    </row>
    <row r="27" spans="1:16" x14ac:dyDescent="0.35">
      <c r="A27" s="44" t="s">
        <v>58</v>
      </c>
      <c r="B27" s="37" t="s">
        <v>57</v>
      </c>
      <c r="C27" s="45"/>
      <c r="D27" s="37"/>
      <c r="E27" s="60"/>
      <c r="F27" s="45"/>
      <c r="G27" s="45"/>
      <c r="H27" s="45"/>
      <c r="I27" s="45"/>
    </row>
    <row r="28" spans="1:16" x14ac:dyDescent="0.35">
      <c r="A28" s="44" t="s">
        <v>56</v>
      </c>
      <c r="B28" s="43"/>
      <c r="C28" s="43"/>
      <c r="D28" s="37"/>
      <c r="E28" s="61"/>
      <c r="F28" s="43"/>
      <c r="G28" s="43"/>
      <c r="H28" s="43"/>
      <c r="I28" s="42"/>
      <c r="O28" t="s">
        <v>128</v>
      </c>
      <c r="P28" t="s">
        <v>129</v>
      </c>
    </row>
    <row r="29" spans="1:16" ht="15.5" x14ac:dyDescent="0.35">
      <c r="A29" s="19" t="s">
        <v>55</v>
      </c>
      <c r="B29" s="37">
        <v>8</v>
      </c>
      <c r="C29" s="37">
        <v>1</v>
      </c>
      <c r="D29" s="37">
        <f>B29*C29</f>
        <v>8</v>
      </c>
      <c r="E29" s="58">
        <v>103</v>
      </c>
      <c r="F29" s="37">
        <f>D29*E29</f>
        <v>824</v>
      </c>
      <c r="G29" s="41">
        <f>F29*0.05</f>
        <v>41.2</v>
      </c>
      <c r="H29" s="37">
        <f>F29*0.1</f>
        <v>82.4</v>
      </c>
      <c r="I29" s="40">
        <f>$F$2*F29+$G$2*G29+$H$2*H29</f>
        <v>113771.74</v>
      </c>
      <c r="O29">
        <v>86</v>
      </c>
      <c r="P29">
        <v>103</v>
      </c>
    </row>
    <row r="30" spans="1:16" x14ac:dyDescent="0.35">
      <c r="A30" s="19" t="s">
        <v>54</v>
      </c>
      <c r="B30" s="37">
        <v>8</v>
      </c>
      <c r="C30" s="37">
        <v>1</v>
      </c>
      <c r="D30" s="37">
        <f>B30*C30</f>
        <v>8</v>
      </c>
      <c r="E30" s="58">
        <v>103</v>
      </c>
      <c r="F30" s="37">
        <f>D30*E30</f>
        <v>824</v>
      </c>
      <c r="G30" s="37">
        <f>F30*0.05</f>
        <v>41.2</v>
      </c>
      <c r="H30" s="37">
        <f>F30*0.1</f>
        <v>82.4</v>
      </c>
      <c r="I30" s="40">
        <f>$F$2*F30+$G$2*G30+$H$2*H30</f>
        <v>113771.74</v>
      </c>
      <c r="L30" s="39"/>
      <c r="O30">
        <v>170</v>
      </c>
      <c r="P30" s="28">
        <f>+P29*O31</f>
        <v>203.6046511627907</v>
      </c>
    </row>
    <row r="31" spans="1:16" ht="15.5" x14ac:dyDescent="0.35">
      <c r="A31" s="19" t="s">
        <v>53</v>
      </c>
      <c r="B31" s="37">
        <v>80</v>
      </c>
      <c r="C31" s="37">
        <v>1</v>
      </c>
      <c r="D31" s="37">
        <f>B31*C31</f>
        <v>80</v>
      </c>
      <c r="E31" s="58">
        <v>2</v>
      </c>
      <c r="F31" s="37">
        <f>D31*E31</f>
        <v>160</v>
      </c>
      <c r="G31" s="37">
        <f>F31*0.05</f>
        <v>8</v>
      </c>
      <c r="H31" s="37">
        <f>F31*0.1</f>
        <v>16</v>
      </c>
      <c r="I31" s="40">
        <f>$F$2*F31+$G$2*G31+$H$2*H31</f>
        <v>22091.600000000002</v>
      </c>
      <c r="L31" s="39"/>
      <c r="O31">
        <f>+O30/O29</f>
        <v>1.9767441860465116</v>
      </c>
    </row>
    <row r="32" spans="1:16" x14ac:dyDescent="0.35">
      <c r="A32" s="38" t="s">
        <v>52</v>
      </c>
      <c r="B32" s="38"/>
      <c r="C32" s="38"/>
      <c r="D32" s="38"/>
      <c r="E32" s="63"/>
      <c r="F32" s="66">
        <f>SUM(F23:H31)</f>
        <v>2079.1999999999998</v>
      </c>
      <c r="G32" s="67"/>
      <c r="H32" s="68"/>
      <c r="I32" s="35">
        <f>SUM(I23:I31)</f>
        <v>249635.08000000002</v>
      </c>
      <c r="K32" t="s">
        <v>51</v>
      </c>
      <c r="L32" t="s">
        <v>7</v>
      </c>
    </row>
    <row r="33" spans="1:12" ht="15" x14ac:dyDescent="0.35">
      <c r="A33" s="38" t="s">
        <v>50</v>
      </c>
      <c r="B33" s="37"/>
      <c r="C33" s="37"/>
      <c r="D33" s="37"/>
      <c r="E33" s="58"/>
      <c r="F33" s="66">
        <f>ROUND(F22+F32,-2)</f>
        <v>12000</v>
      </c>
      <c r="G33" s="67"/>
      <c r="H33" s="68"/>
      <c r="I33" s="35">
        <f>ROUND(I22+I32,-4)</f>
        <v>1440000</v>
      </c>
      <c r="K33" s="28">
        <f>Responses!E10</f>
        <v>182</v>
      </c>
      <c r="L33" s="28">
        <f>+F33/K33</f>
        <v>65.934065934065927</v>
      </c>
    </row>
    <row r="34" spans="1:12" ht="15" x14ac:dyDescent="0.35">
      <c r="A34" s="38" t="s">
        <v>49</v>
      </c>
      <c r="B34" s="37"/>
      <c r="C34" s="37"/>
      <c r="D34" s="37"/>
      <c r="E34" s="58"/>
      <c r="F34" s="36"/>
      <c r="G34" s="36"/>
      <c r="H34" s="36"/>
      <c r="I34" s="35">
        <f>'Capital O&amp;M'!I6</f>
        <v>3810000</v>
      </c>
    </row>
    <row r="35" spans="1:12" ht="15" x14ac:dyDescent="0.35">
      <c r="A35" s="38" t="s">
        <v>48</v>
      </c>
      <c r="B35" s="37"/>
      <c r="C35" s="37"/>
      <c r="D35" s="37"/>
      <c r="E35" s="58"/>
      <c r="F35" s="36"/>
      <c r="G35" s="36"/>
      <c r="H35" s="36"/>
      <c r="I35" s="35">
        <f>ROUND(+I33+I34,-4)</f>
        <v>5250000</v>
      </c>
    </row>
    <row r="37" spans="1:12" x14ac:dyDescent="0.35">
      <c r="A37" s="34" t="s">
        <v>9</v>
      </c>
      <c r="B37" s="32"/>
      <c r="C37" s="1"/>
      <c r="D37" s="1"/>
      <c r="E37" s="1"/>
      <c r="F37" s="1"/>
      <c r="G37" s="1"/>
      <c r="H37" s="1"/>
      <c r="I37" s="1"/>
      <c r="J37" s="1"/>
    </row>
    <row r="38" spans="1:12" ht="15.5" x14ac:dyDescent="0.35">
      <c r="A38" s="33" t="s">
        <v>130</v>
      </c>
      <c r="B38" s="32"/>
      <c r="C38" s="1"/>
      <c r="D38" s="1"/>
      <c r="E38" s="1"/>
      <c r="F38" s="1"/>
      <c r="G38" s="1"/>
      <c r="H38" s="1"/>
      <c r="I38" s="1"/>
      <c r="J38" s="1"/>
    </row>
    <row r="39" spans="1:12" ht="57" customHeight="1" x14ac:dyDescent="0.35">
      <c r="A39" s="69" t="s">
        <v>138</v>
      </c>
      <c r="B39" s="69"/>
      <c r="C39" s="69"/>
      <c r="D39" s="69"/>
      <c r="E39" s="69"/>
      <c r="F39" s="69"/>
      <c r="G39" s="69"/>
      <c r="H39" s="69"/>
      <c r="I39" s="69"/>
      <c r="J39" s="30"/>
    </row>
    <row r="40" spans="1:12" ht="15.5" x14ac:dyDescent="0.35">
      <c r="A40" s="70" t="s">
        <v>136</v>
      </c>
      <c r="B40" s="70"/>
      <c r="C40" s="70"/>
      <c r="D40" s="70"/>
      <c r="E40" s="30"/>
      <c r="F40" s="30"/>
      <c r="G40" s="30"/>
      <c r="H40" s="30"/>
      <c r="I40" s="30"/>
      <c r="J40" s="30"/>
    </row>
    <row r="41" spans="1:12" ht="15.75" customHeight="1" x14ac:dyDescent="0.35">
      <c r="A41" s="31" t="s">
        <v>47</v>
      </c>
      <c r="C41" s="30"/>
      <c r="D41" s="30"/>
      <c r="E41" s="30"/>
      <c r="F41" s="30"/>
      <c r="G41" s="30"/>
      <c r="H41" s="30"/>
      <c r="I41" s="30"/>
      <c r="J41" s="30"/>
    </row>
    <row r="42" spans="1:12" ht="15.75" customHeight="1" x14ac:dyDescent="0.35">
      <c r="A42" s="31" t="s">
        <v>46</v>
      </c>
      <c r="C42" s="30"/>
      <c r="D42" s="30"/>
      <c r="E42" s="30"/>
      <c r="F42" s="30"/>
      <c r="G42" s="30"/>
      <c r="H42" s="30"/>
      <c r="I42" s="30"/>
      <c r="J42" s="30"/>
    </row>
    <row r="43" spans="1:12" ht="15.75" customHeight="1" x14ac:dyDescent="0.35">
      <c r="A43" s="56" t="s">
        <v>131</v>
      </c>
      <c r="C43" s="30"/>
      <c r="D43" s="30"/>
      <c r="E43" s="30"/>
      <c r="F43" s="30"/>
      <c r="G43" s="30"/>
      <c r="H43" s="30"/>
      <c r="I43" s="30"/>
      <c r="J43" s="30"/>
    </row>
    <row r="44" spans="1:12" ht="15.75" customHeight="1" x14ac:dyDescent="0.35">
      <c r="A44" s="8" t="s">
        <v>45</v>
      </c>
      <c r="C44" s="29"/>
      <c r="D44" s="29"/>
      <c r="E44" s="29"/>
      <c r="F44" s="29"/>
      <c r="G44" s="29"/>
      <c r="H44" s="29"/>
      <c r="I44" s="29"/>
      <c r="J44" s="29"/>
    </row>
    <row r="45" spans="1:12" ht="15.5" x14ac:dyDescent="0.35">
      <c r="A45" s="8" t="s">
        <v>44</v>
      </c>
      <c r="C45" s="29"/>
      <c r="D45" s="29"/>
      <c r="E45" s="29"/>
      <c r="F45" s="29"/>
      <c r="G45" s="29"/>
      <c r="H45" s="29"/>
      <c r="I45" s="29"/>
      <c r="J45" s="29"/>
    </row>
    <row r="46" spans="1:12" ht="15.75" customHeight="1" x14ac:dyDescent="0.35">
      <c r="A46" s="8" t="s">
        <v>43</v>
      </c>
      <c r="C46" s="29"/>
      <c r="D46" s="29"/>
      <c r="E46" s="29"/>
      <c r="F46" s="29"/>
      <c r="G46" s="29"/>
      <c r="H46" s="29"/>
      <c r="I46" s="29"/>
      <c r="J46" s="29"/>
    </row>
    <row r="47" spans="1:12" ht="15.5" x14ac:dyDescent="0.35">
      <c r="A47" s="8" t="s">
        <v>42</v>
      </c>
    </row>
    <row r="50" spans="12:12" x14ac:dyDescent="0.35">
      <c r="L50" s="26"/>
    </row>
  </sheetData>
  <mergeCells count="5">
    <mergeCell ref="F32:H32"/>
    <mergeCell ref="F33:H33"/>
    <mergeCell ref="F22:H22"/>
    <mergeCell ref="A39:I39"/>
    <mergeCell ref="A40:D40"/>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A4C49-16A6-4449-8EAA-B63B3E2E325C}">
  <dimension ref="A1:K24"/>
  <sheetViews>
    <sheetView workbookViewId="0">
      <selection activeCell="E21" sqref="E21"/>
    </sheetView>
  </sheetViews>
  <sheetFormatPr defaultRowHeight="14.5" x14ac:dyDescent="0.35"/>
  <cols>
    <col min="1" max="1" width="45.1796875" customWidth="1"/>
    <col min="2" max="2" width="10.7265625" customWidth="1"/>
    <col min="3" max="3" width="11.1796875" customWidth="1"/>
    <col min="5" max="5" width="11" customWidth="1"/>
    <col min="7" max="7" width="12.26953125" customWidth="1"/>
    <col min="8" max="8" width="10.1796875" customWidth="1"/>
    <col min="9" max="9" width="10.54296875" bestFit="1" customWidth="1"/>
  </cols>
  <sheetData>
    <row r="1" spans="1:10" x14ac:dyDescent="0.35">
      <c r="A1" s="34" t="s">
        <v>116</v>
      </c>
    </row>
    <row r="2" spans="1:10" x14ac:dyDescent="0.35">
      <c r="F2">
        <v>52.37</v>
      </c>
      <c r="G2">
        <v>70.56</v>
      </c>
      <c r="H2">
        <v>28.34</v>
      </c>
    </row>
    <row r="3" spans="1:10" ht="65" x14ac:dyDescent="0.35">
      <c r="A3" s="52" t="s">
        <v>115</v>
      </c>
      <c r="B3" s="52" t="s">
        <v>114</v>
      </c>
      <c r="C3" s="52" t="s">
        <v>113</v>
      </c>
      <c r="D3" s="52" t="s">
        <v>112</v>
      </c>
      <c r="E3" s="52" t="s">
        <v>111</v>
      </c>
      <c r="F3" s="52" t="s">
        <v>110</v>
      </c>
      <c r="G3" s="52" t="s">
        <v>109</v>
      </c>
      <c r="H3" s="52" t="s">
        <v>108</v>
      </c>
      <c r="I3" s="52" t="s">
        <v>107</v>
      </c>
    </row>
    <row r="4" spans="1:10" ht="15.5" x14ac:dyDescent="0.35">
      <c r="A4" s="47" t="s">
        <v>106</v>
      </c>
      <c r="B4" s="37">
        <v>24</v>
      </c>
      <c r="C4" s="37">
        <v>1</v>
      </c>
      <c r="D4" s="37">
        <f>B4*C4</f>
        <v>24</v>
      </c>
      <c r="E4" s="58">
        <v>2</v>
      </c>
      <c r="F4" s="37">
        <f>D4*E4</f>
        <v>48</v>
      </c>
      <c r="G4" s="37">
        <f>F4*0.05</f>
        <v>2.4000000000000004</v>
      </c>
      <c r="H4" s="37">
        <f>F4*0.1</f>
        <v>4.8000000000000007</v>
      </c>
      <c r="I4" s="40">
        <f>$F$2*F4+$G$2*G4+$H$2*H4</f>
        <v>2819.136</v>
      </c>
    </row>
    <row r="5" spans="1:10" x14ac:dyDescent="0.35">
      <c r="A5" s="47" t="s">
        <v>134</v>
      </c>
      <c r="B5" s="42"/>
      <c r="C5" s="42"/>
      <c r="D5" s="37"/>
      <c r="E5" s="59"/>
      <c r="F5" s="37"/>
      <c r="G5" s="37"/>
      <c r="H5" s="37"/>
      <c r="I5" s="40"/>
      <c r="J5" s="57"/>
    </row>
    <row r="6" spans="1:10" ht="15.5" x14ac:dyDescent="0.35">
      <c r="A6" s="47" t="s">
        <v>105</v>
      </c>
      <c r="B6" s="37">
        <v>24</v>
      </c>
      <c r="C6" s="37">
        <v>1</v>
      </c>
      <c r="D6" s="37">
        <f>B6*C6</f>
        <v>24</v>
      </c>
      <c r="E6" s="58">
        <f>+E4*0.2</f>
        <v>0.4</v>
      </c>
      <c r="F6" s="37">
        <f>D6*E6</f>
        <v>9.6000000000000014</v>
      </c>
      <c r="G6" s="50">
        <f>F6*0.05</f>
        <v>0.48000000000000009</v>
      </c>
      <c r="H6" s="50">
        <f>F6*0.1</f>
        <v>0.96000000000000019</v>
      </c>
      <c r="I6" s="40">
        <f>$F$2*F6+$G$2*G6+$H$2*H6</f>
        <v>563.82720000000006</v>
      </c>
    </row>
    <row r="7" spans="1:10" x14ac:dyDescent="0.35">
      <c r="A7" s="47" t="s">
        <v>133</v>
      </c>
      <c r="B7" s="37">
        <v>24</v>
      </c>
      <c r="C7" s="37">
        <v>1</v>
      </c>
      <c r="D7" s="37">
        <f>B7*C7</f>
        <v>24</v>
      </c>
      <c r="E7" s="58">
        <f>E6</f>
        <v>0.4</v>
      </c>
      <c r="F7" s="37">
        <f>D7*E7</f>
        <v>9.6000000000000014</v>
      </c>
      <c r="G7" s="50">
        <f>F7*0.05</f>
        <v>0.48000000000000009</v>
      </c>
      <c r="H7" s="50">
        <f>F7*0.1</f>
        <v>0.96000000000000019</v>
      </c>
      <c r="I7" s="40">
        <f>$F$2*F7+$G$2*G7+$H$2*H7</f>
        <v>563.82720000000006</v>
      </c>
    </row>
    <row r="8" spans="1:10" x14ac:dyDescent="0.35">
      <c r="A8" s="47" t="s">
        <v>135</v>
      </c>
      <c r="B8" s="42"/>
      <c r="C8" s="42"/>
      <c r="D8" s="37"/>
      <c r="E8" s="59"/>
      <c r="F8" s="37"/>
      <c r="G8" s="37"/>
      <c r="H8" s="37"/>
      <c r="I8" s="40"/>
    </row>
    <row r="9" spans="1:10" ht="15.5" x14ac:dyDescent="0.35">
      <c r="A9" s="47" t="s">
        <v>104</v>
      </c>
      <c r="B9" s="37">
        <v>2</v>
      </c>
      <c r="C9" s="37">
        <v>1</v>
      </c>
      <c r="D9" s="37">
        <f t="shared" ref="D9:D14" si="0">B9*C9</f>
        <v>2</v>
      </c>
      <c r="E9" s="58">
        <v>2</v>
      </c>
      <c r="F9" s="37">
        <f t="shared" ref="F9:F14" si="1">D9*E9</f>
        <v>4</v>
      </c>
      <c r="G9" s="37">
        <f t="shared" ref="G9:G14" si="2">F9*0.05</f>
        <v>0.2</v>
      </c>
      <c r="H9" s="37">
        <f t="shared" ref="H9:H14" si="3">F9*0.1</f>
        <v>0.4</v>
      </c>
      <c r="I9" s="40">
        <f t="shared" ref="I9:I14" si="4">$F$2*F9+$G$2*G9+$H$2*H9</f>
        <v>234.928</v>
      </c>
    </row>
    <row r="10" spans="1:10" ht="15.5" x14ac:dyDescent="0.35">
      <c r="A10" s="47" t="s">
        <v>103</v>
      </c>
      <c r="B10" s="37">
        <v>2</v>
      </c>
      <c r="C10" s="37">
        <v>1</v>
      </c>
      <c r="D10" s="37">
        <f t="shared" si="0"/>
        <v>2</v>
      </c>
      <c r="E10" s="58">
        <v>2</v>
      </c>
      <c r="F10" s="37">
        <f t="shared" si="1"/>
        <v>4</v>
      </c>
      <c r="G10" s="37">
        <f t="shared" si="2"/>
        <v>0.2</v>
      </c>
      <c r="H10" s="37">
        <f t="shared" si="3"/>
        <v>0.4</v>
      </c>
      <c r="I10" s="40">
        <f t="shared" si="4"/>
        <v>234.928</v>
      </c>
    </row>
    <row r="11" spans="1:10" ht="15.5" x14ac:dyDescent="0.35">
      <c r="A11" s="47" t="s">
        <v>102</v>
      </c>
      <c r="B11" s="37">
        <v>0.5</v>
      </c>
      <c r="C11" s="37">
        <v>1</v>
      </c>
      <c r="D11" s="37">
        <f t="shared" si="0"/>
        <v>0.5</v>
      </c>
      <c r="E11" s="58">
        <v>2</v>
      </c>
      <c r="F11" s="37">
        <f t="shared" si="1"/>
        <v>1</v>
      </c>
      <c r="G11" s="37">
        <f t="shared" si="2"/>
        <v>0.05</v>
      </c>
      <c r="H11" s="37">
        <f t="shared" si="3"/>
        <v>0.1</v>
      </c>
      <c r="I11" s="40">
        <f t="shared" si="4"/>
        <v>58.731999999999999</v>
      </c>
    </row>
    <row r="12" spans="1:10" ht="15.5" x14ac:dyDescent="0.35">
      <c r="A12" s="47" t="s">
        <v>101</v>
      </c>
      <c r="B12" s="37">
        <v>0.5</v>
      </c>
      <c r="C12" s="37">
        <v>1</v>
      </c>
      <c r="D12" s="37">
        <f t="shared" si="0"/>
        <v>0.5</v>
      </c>
      <c r="E12" s="58">
        <v>2</v>
      </c>
      <c r="F12" s="37">
        <f t="shared" si="1"/>
        <v>1</v>
      </c>
      <c r="G12" s="37">
        <f t="shared" si="2"/>
        <v>0.05</v>
      </c>
      <c r="H12" s="37">
        <f t="shared" si="3"/>
        <v>0.1</v>
      </c>
      <c r="I12" s="40">
        <f t="shared" si="4"/>
        <v>58.731999999999999</v>
      </c>
    </row>
    <row r="13" spans="1:10" x14ac:dyDescent="0.35">
      <c r="A13" s="47" t="s">
        <v>100</v>
      </c>
      <c r="B13" s="37">
        <v>8</v>
      </c>
      <c r="C13" s="37">
        <v>1</v>
      </c>
      <c r="D13" s="37">
        <f t="shared" si="0"/>
        <v>8</v>
      </c>
      <c r="E13" s="58">
        <f>2*0.2</f>
        <v>0.4</v>
      </c>
      <c r="F13" s="37">
        <f t="shared" si="1"/>
        <v>3.2</v>
      </c>
      <c r="G13" s="37">
        <f t="shared" si="2"/>
        <v>0.16000000000000003</v>
      </c>
      <c r="H13" s="37">
        <f t="shared" si="3"/>
        <v>0.32000000000000006</v>
      </c>
      <c r="I13" s="40">
        <f t="shared" si="4"/>
        <v>187.94240000000002</v>
      </c>
    </row>
    <row r="14" spans="1:10" ht="15.5" x14ac:dyDescent="0.35">
      <c r="A14" s="47" t="s">
        <v>99</v>
      </c>
      <c r="B14" s="37">
        <v>8</v>
      </c>
      <c r="C14" s="37">
        <v>2</v>
      </c>
      <c r="D14" s="37">
        <f t="shared" si="0"/>
        <v>16</v>
      </c>
      <c r="E14" s="58">
        <v>103</v>
      </c>
      <c r="F14" s="48">
        <f t="shared" si="1"/>
        <v>1648</v>
      </c>
      <c r="G14" s="37">
        <f t="shared" si="2"/>
        <v>82.4</v>
      </c>
      <c r="H14" s="37">
        <f t="shared" si="3"/>
        <v>164.8</v>
      </c>
      <c r="I14" s="40">
        <f t="shared" si="4"/>
        <v>96790.335999999996</v>
      </c>
    </row>
    <row r="15" spans="1:10" ht="15" x14ac:dyDescent="0.35">
      <c r="A15" s="38" t="s">
        <v>98</v>
      </c>
      <c r="B15" s="37"/>
      <c r="C15" s="37"/>
      <c r="D15" s="37"/>
      <c r="E15" s="37"/>
      <c r="F15" s="71">
        <f>ROUND(SUM(F4:H14),-1)</f>
        <v>1990</v>
      </c>
      <c r="G15" s="71"/>
      <c r="H15" s="71"/>
      <c r="I15" s="35">
        <f>ROUND(SUM(I4:I14),-3)</f>
        <v>102000</v>
      </c>
    </row>
    <row r="17" spans="1:11" x14ac:dyDescent="0.35">
      <c r="A17" s="34" t="s">
        <v>9</v>
      </c>
      <c r="B17" s="32"/>
      <c r="C17" s="1"/>
      <c r="D17" s="1"/>
      <c r="E17" s="1"/>
      <c r="F17" s="1"/>
      <c r="G17" s="1"/>
      <c r="H17" s="1"/>
      <c r="I17" s="1"/>
      <c r="J17" s="1"/>
    </row>
    <row r="18" spans="1:11" ht="22.15" customHeight="1" x14ac:dyDescent="0.35">
      <c r="A18" s="73" t="s">
        <v>130</v>
      </c>
      <c r="B18" s="73"/>
      <c r="C18" s="73"/>
      <c r="D18" s="73"/>
      <c r="E18" s="73"/>
      <c r="F18" s="73"/>
      <c r="G18" s="73"/>
      <c r="H18" s="73"/>
      <c r="I18" s="73"/>
      <c r="J18" s="73"/>
      <c r="K18" s="73"/>
    </row>
    <row r="19" spans="1:11" ht="48" customHeight="1" x14ac:dyDescent="0.35">
      <c r="A19" s="72" t="s">
        <v>139</v>
      </c>
      <c r="B19" s="72"/>
      <c r="C19" s="72"/>
      <c r="D19" s="72"/>
      <c r="E19" s="72"/>
      <c r="F19" s="72"/>
      <c r="G19" s="72"/>
      <c r="H19" s="72"/>
      <c r="I19" s="72"/>
      <c r="J19" s="72"/>
      <c r="K19" s="72"/>
    </row>
    <row r="20" spans="1:11" ht="15.75" customHeight="1" x14ac:dyDescent="0.35">
      <c r="A20" s="8" t="s">
        <v>137</v>
      </c>
      <c r="C20" s="29"/>
      <c r="D20" s="29"/>
      <c r="E20" s="29"/>
      <c r="F20" s="29"/>
      <c r="G20" s="29"/>
      <c r="H20" s="29"/>
      <c r="I20" s="29"/>
      <c r="J20" s="29"/>
    </row>
    <row r="21" spans="1:11" ht="15.75" customHeight="1" x14ac:dyDescent="0.35">
      <c r="A21" s="8" t="s">
        <v>97</v>
      </c>
      <c r="C21" s="29"/>
      <c r="D21" s="29"/>
      <c r="E21" s="29"/>
      <c r="F21" s="29"/>
      <c r="G21" s="29"/>
      <c r="H21" s="29"/>
      <c r="I21" s="29"/>
      <c r="J21" s="29"/>
    </row>
    <row r="22" spans="1:11" ht="15.75" customHeight="1" x14ac:dyDescent="0.35">
      <c r="A22" s="8" t="s">
        <v>132</v>
      </c>
      <c r="C22" s="29"/>
      <c r="D22" s="29"/>
      <c r="E22" s="29"/>
      <c r="F22" s="29"/>
      <c r="G22" s="29"/>
      <c r="H22" s="29"/>
      <c r="I22" s="29"/>
      <c r="J22" s="29"/>
    </row>
    <row r="23" spans="1:11" ht="15.75" customHeight="1" x14ac:dyDescent="0.35">
      <c r="A23" s="8" t="s">
        <v>96</v>
      </c>
      <c r="C23" s="29"/>
      <c r="D23" s="29"/>
      <c r="E23" s="29"/>
      <c r="F23" s="29"/>
      <c r="G23" s="29"/>
      <c r="H23" s="29"/>
      <c r="I23" s="29"/>
      <c r="J23" s="29"/>
    </row>
    <row r="24" spans="1:11" ht="15.5" x14ac:dyDescent="0.35">
      <c r="A24" s="8" t="s">
        <v>95</v>
      </c>
    </row>
  </sheetData>
  <mergeCells count="3">
    <mergeCell ref="F15:H15"/>
    <mergeCell ref="A19:K19"/>
    <mergeCell ref="A18:K18"/>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3E3CA-182B-4F98-B2D0-1BA8517B03CE}">
  <dimension ref="A1:I9"/>
  <sheetViews>
    <sheetView zoomScale="80" zoomScaleNormal="80" workbookViewId="0">
      <selection activeCell="E27" sqref="E27"/>
    </sheetView>
  </sheetViews>
  <sheetFormatPr defaultColWidth="22" defaultRowHeight="13" x14ac:dyDescent="0.3"/>
  <cols>
    <col min="1" max="1" width="22" style="5"/>
    <col min="2" max="2" width="17.54296875" style="5" customWidth="1"/>
    <col min="3" max="3" width="17.26953125" style="5" customWidth="1"/>
    <col min="4" max="4" width="22" style="5"/>
    <col min="5" max="5" width="19.81640625" style="5" customWidth="1"/>
    <col min="6" max="7" width="16.81640625" style="5" customWidth="1"/>
    <col min="8" max="8" width="6" style="5" customWidth="1"/>
    <col min="9" max="16384" width="22" style="5"/>
  </cols>
  <sheetData>
    <row r="1" spans="1:9" x14ac:dyDescent="0.3">
      <c r="A1" s="3"/>
      <c r="B1" s="4"/>
      <c r="C1" s="4"/>
    </row>
    <row r="2" spans="1:9" x14ac:dyDescent="0.3">
      <c r="A2" s="75" t="s">
        <v>10</v>
      </c>
      <c r="B2" s="75"/>
      <c r="C2" s="75"/>
      <c r="D2" s="75"/>
      <c r="E2" s="75"/>
      <c r="F2" s="75"/>
      <c r="G2" s="76"/>
      <c r="H2" s="14"/>
    </row>
    <row r="3" spans="1:9" x14ac:dyDescent="0.3">
      <c r="A3" s="10" t="s">
        <v>11</v>
      </c>
      <c r="B3" s="10" t="s">
        <v>12</v>
      </c>
      <c r="C3" s="10" t="s">
        <v>13</v>
      </c>
      <c r="D3" s="10" t="s">
        <v>14</v>
      </c>
      <c r="E3" s="10" t="s">
        <v>15</v>
      </c>
      <c r="F3" s="10" t="s">
        <v>16</v>
      </c>
      <c r="G3" s="10" t="s">
        <v>17</v>
      </c>
      <c r="H3" s="14"/>
    </row>
    <row r="4" spans="1:9" ht="42.65" customHeight="1" x14ac:dyDescent="0.3">
      <c r="A4" s="54" t="s">
        <v>18</v>
      </c>
      <c r="B4" s="54" t="s">
        <v>19</v>
      </c>
      <c r="C4" s="54" t="s">
        <v>20</v>
      </c>
      <c r="D4" s="54" t="s">
        <v>21</v>
      </c>
      <c r="E4" s="54" t="s">
        <v>22</v>
      </c>
      <c r="F4" s="54" t="s">
        <v>23</v>
      </c>
      <c r="G4" s="54" t="s">
        <v>24</v>
      </c>
      <c r="H4" s="14"/>
    </row>
    <row r="5" spans="1:9" ht="22.15" customHeight="1" x14ac:dyDescent="0.3">
      <c r="A5" s="9" t="s">
        <v>117</v>
      </c>
      <c r="B5" s="11">
        <v>100000</v>
      </c>
      <c r="C5" s="7">
        <v>2</v>
      </c>
      <c r="D5" s="11">
        <f>+B5*C5</f>
        <v>200000</v>
      </c>
      <c r="E5" s="11">
        <v>35000</v>
      </c>
      <c r="F5" s="7">
        <v>103</v>
      </c>
      <c r="G5" s="11">
        <f>+E5*F5</f>
        <v>3605000</v>
      </c>
      <c r="H5" s="15"/>
    </row>
    <row r="6" spans="1:9" ht="26.5" customHeight="1" x14ac:dyDescent="0.3">
      <c r="A6" s="12" t="s">
        <v>120</v>
      </c>
      <c r="B6" s="7"/>
      <c r="C6" s="7"/>
      <c r="D6" s="13">
        <f>ROUND(SUM(D5:D5), 0)</f>
        <v>200000</v>
      </c>
      <c r="E6" s="7"/>
      <c r="F6" s="7"/>
      <c r="G6" s="13">
        <f>ROUND(SUM(G5:G5), -4)</f>
        <v>3610000</v>
      </c>
      <c r="I6" s="25">
        <f>D6+G6</f>
        <v>3810000</v>
      </c>
    </row>
    <row r="7" spans="1:9" ht="11.25" customHeight="1" x14ac:dyDescent="0.3">
      <c r="A7" s="23"/>
      <c r="B7" s="24"/>
      <c r="C7" s="24"/>
      <c r="D7" s="16"/>
      <c r="E7" s="24"/>
      <c r="F7" s="24"/>
      <c r="G7" s="16"/>
    </row>
    <row r="8" spans="1:9" ht="18.649999999999999" customHeight="1" x14ac:dyDescent="0.3">
      <c r="A8" s="74" t="s">
        <v>119</v>
      </c>
      <c r="B8" s="74"/>
      <c r="C8" s="74"/>
      <c r="D8" s="74"/>
      <c r="E8" s="74"/>
      <c r="F8" s="74"/>
      <c r="G8" s="74"/>
    </row>
    <row r="9" spans="1:9" ht="15.5" x14ac:dyDescent="0.3">
      <c r="A9" s="77" t="s">
        <v>118</v>
      </c>
      <c r="B9" s="77"/>
      <c r="C9" s="77"/>
      <c r="D9" s="77"/>
      <c r="E9" s="21"/>
      <c r="F9" s="21"/>
      <c r="G9" s="21"/>
    </row>
  </sheetData>
  <mergeCells count="3">
    <mergeCell ref="A8:G8"/>
    <mergeCell ref="A2:G2"/>
    <mergeCell ref="A9:D9"/>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8CA8-D06D-48F9-AB41-065F033F135F}">
  <dimension ref="A1:F12"/>
  <sheetViews>
    <sheetView zoomScale="80" zoomScaleNormal="80" workbookViewId="0">
      <selection activeCell="A6" sqref="A6"/>
    </sheetView>
  </sheetViews>
  <sheetFormatPr defaultRowHeight="14.5" x14ac:dyDescent="0.35"/>
  <cols>
    <col min="1" max="1" width="25.7265625" customWidth="1"/>
    <col min="2" max="2" width="11.81640625" customWidth="1"/>
    <col min="3" max="3" width="12.7265625" customWidth="1"/>
    <col min="4" max="4" width="11.453125" customWidth="1"/>
    <col min="5" max="5" width="14.7265625" customWidth="1"/>
  </cols>
  <sheetData>
    <row r="1" spans="1:6" s="5" customFormat="1" ht="15" x14ac:dyDescent="0.3">
      <c r="A1" s="78" t="s">
        <v>6</v>
      </c>
      <c r="B1" s="78"/>
      <c r="C1" s="78"/>
      <c r="D1" s="78"/>
      <c r="E1" s="78"/>
    </row>
    <row r="2" spans="1:6" s="5" customFormat="1" ht="13" x14ac:dyDescent="0.3">
      <c r="A2" s="6" t="s">
        <v>11</v>
      </c>
      <c r="B2" s="6" t="s">
        <v>12</v>
      </c>
      <c r="C2" s="6" t="s">
        <v>13</v>
      </c>
      <c r="D2" s="6" t="s">
        <v>14</v>
      </c>
      <c r="E2" s="6" t="s">
        <v>15</v>
      </c>
    </row>
    <row r="3" spans="1:6" s="5" customFormat="1" ht="104" x14ac:dyDescent="0.3">
      <c r="A3" s="6" t="s">
        <v>25</v>
      </c>
      <c r="B3" s="6" t="s">
        <v>26</v>
      </c>
      <c r="C3" s="6" t="s">
        <v>27</v>
      </c>
      <c r="D3" s="6" t="s">
        <v>28</v>
      </c>
      <c r="E3" s="6" t="s">
        <v>29</v>
      </c>
    </row>
    <row r="4" spans="1:6" s="5" customFormat="1" ht="26" x14ac:dyDescent="0.3">
      <c r="A4" s="55" t="s">
        <v>121</v>
      </c>
      <c r="B4" s="7">
        <v>2</v>
      </c>
      <c r="C4" s="7">
        <v>1</v>
      </c>
      <c r="D4" s="7" t="s">
        <v>57</v>
      </c>
      <c r="E4" s="7">
        <v>2</v>
      </c>
    </row>
    <row r="5" spans="1:6" s="5" customFormat="1" ht="26" x14ac:dyDescent="0.3">
      <c r="A5" s="55" t="s">
        <v>122</v>
      </c>
      <c r="B5" s="7">
        <v>2</v>
      </c>
      <c r="C5" s="7">
        <v>1</v>
      </c>
      <c r="D5" s="7" t="s">
        <v>57</v>
      </c>
      <c r="E5" s="7">
        <v>2</v>
      </c>
    </row>
    <row r="6" spans="1:6" s="5" customFormat="1" ht="26" x14ac:dyDescent="0.3">
      <c r="A6" s="55" t="s">
        <v>123</v>
      </c>
      <c r="B6" s="7">
        <v>2</v>
      </c>
      <c r="C6" s="7">
        <v>1</v>
      </c>
      <c r="D6" s="7" t="s">
        <v>57</v>
      </c>
      <c r="E6" s="7">
        <v>2</v>
      </c>
    </row>
    <row r="7" spans="1:6" s="5" customFormat="1" ht="13" x14ac:dyDescent="0.3">
      <c r="A7" s="55" t="s">
        <v>124</v>
      </c>
      <c r="B7" s="7">
        <v>2</v>
      </c>
      <c r="C7" s="7">
        <v>1</v>
      </c>
      <c r="D7" s="7" t="s">
        <v>57</v>
      </c>
      <c r="E7" s="7">
        <v>2</v>
      </c>
    </row>
    <row r="8" spans="1:6" s="5" customFormat="1" ht="26" x14ac:dyDescent="0.3">
      <c r="A8" s="55" t="s">
        <v>125</v>
      </c>
      <c r="B8" s="20">
        <v>2</v>
      </c>
      <c r="C8" s="7">
        <v>1</v>
      </c>
      <c r="D8" s="7" t="s">
        <v>57</v>
      </c>
      <c r="E8" s="7">
        <v>2</v>
      </c>
      <c r="F8" s="2"/>
    </row>
    <row r="9" spans="1:6" s="5" customFormat="1" ht="28.5" customHeight="1" x14ac:dyDescent="0.3">
      <c r="A9" s="55" t="s">
        <v>126</v>
      </c>
      <c r="B9" s="20">
        <v>103</v>
      </c>
      <c r="C9" s="7">
        <v>2</v>
      </c>
      <c r="D9" s="7" t="s">
        <v>57</v>
      </c>
      <c r="E9" s="7">
        <v>172</v>
      </c>
    </row>
    <row r="10" spans="1:6" s="5" customFormat="1" ht="28.5" customHeight="1" x14ac:dyDescent="0.3">
      <c r="A10" s="9"/>
      <c r="B10" s="7"/>
      <c r="C10" s="7"/>
      <c r="D10" s="10" t="s">
        <v>30</v>
      </c>
      <c r="E10" s="22">
        <f>SUM(E4:E9)</f>
        <v>182</v>
      </c>
    </row>
    <row r="11" spans="1:6" s="5" customFormat="1" ht="13" x14ac:dyDescent="0.3">
      <c r="A11" s="79"/>
      <c r="B11" s="79"/>
      <c r="C11" s="79"/>
      <c r="D11" s="79"/>
      <c r="E11" s="79"/>
    </row>
    <row r="12" spans="1:6" s="5" customFormat="1" ht="18" customHeight="1" x14ac:dyDescent="0.35">
      <c r="A12"/>
      <c r="B12"/>
      <c r="C12"/>
      <c r="D12"/>
      <c r="E12"/>
    </row>
  </sheetData>
  <mergeCells count="2">
    <mergeCell ref="A1:E1"/>
    <mergeCell ref="A11:E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E7754-04D5-4DBA-B79C-283E5E0BF946}">
  <dimension ref="A1:F9"/>
  <sheetViews>
    <sheetView zoomScale="80" zoomScaleNormal="80" workbookViewId="0">
      <selection activeCell="D14" sqref="D14"/>
    </sheetView>
  </sheetViews>
  <sheetFormatPr defaultColWidth="17.7265625" defaultRowHeight="31.9" customHeight="1" x14ac:dyDescent="0.35"/>
  <sheetData>
    <row r="1" spans="1:6" s="5" customFormat="1" ht="31.9" customHeight="1" x14ac:dyDescent="0.3">
      <c r="A1" s="78" t="s">
        <v>2</v>
      </c>
      <c r="B1" s="78"/>
      <c r="C1" s="78"/>
      <c r="D1" s="78"/>
      <c r="E1" s="78"/>
      <c r="F1" s="78"/>
    </row>
    <row r="2" spans="1:6" s="5" customFormat="1" ht="38.5" customHeight="1" x14ac:dyDescent="0.3">
      <c r="A2" s="17"/>
      <c r="B2" s="80" t="s">
        <v>31</v>
      </c>
      <c r="C2" s="80"/>
      <c r="D2" s="18" t="s">
        <v>32</v>
      </c>
      <c r="E2" s="81"/>
      <c r="F2" s="81"/>
    </row>
    <row r="3" spans="1:6" s="5" customFormat="1" ht="31.9" customHeight="1" x14ac:dyDescent="0.3">
      <c r="A3" s="17"/>
      <c r="B3" s="18" t="s">
        <v>11</v>
      </c>
      <c r="C3" s="18" t="s">
        <v>12</v>
      </c>
      <c r="D3" s="18" t="s">
        <v>13</v>
      </c>
      <c r="E3" s="18" t="s">
        <v>14</v>
      </c>
      <c r="F3" s="18" t="s">
        <v>15</v>
      </c>
    </row>
    <row r="4" spans="1:6" s="5" customFormat="1" ht="70.900000000000006" customHeight="1" x14ac:dyDescent="0.3">
      <c r="A4" s="18" t="s">
        <v>33</v>
      </c>
      <c r="B4" s="18" t="s">
        <v>34</v>
      </c>
      <c r="C4" s="18" t="s">
        <v>35</v>
      </c>
      <c r="D4" s="18" t="s">
        <v>36</v>
      </c>
      <c r="E4" s="18" t="s">
        <v>37</v>
      </c>
      <c r="F4" s="18" t="s">
        <v>38</v>
      </c>
    </row>
    <row r="5" spans="1:6" s="5" customFormat="1" ht="31.9" customHeight="1" x14ac:dyDescent="0.3">
      <c r="A5" s="6">
        <v>1</v>
      </c>
      <c r="B5" s="7">
        <v>2</v>
      </c>
      <c r="C5" s="7">
        <v>103</v>
      </c>
      <c r="D5" s="7">
        <v>0</v>
      </c>
      <c r="E5" s="7">
        <v>2</v>
      </c>
      <c r="F5" s="7">
        <f>B5+C5+D5-E5</f>
        <v>103</v>
      </c>
    </row>
    <row r="6" spans="1:6" s="5" customFormat="1" ht="31.9" customHeight="1" x14ac:dyDescent="0.3">
      <c r="A6" s="6">
        <v>2</v>
      </c>
      <c r="B6" s="7">
        <v>2</v>
      </c>
      <c r="C6" s="7">
        <v>103</v>
      </c>
      <c r="D6" s="7">
        <v>0</v>
      </c>
      <c r="E6" s="7">
        <v>2</v>
      </c>
      <c r="F6" s="7">
        <f>B6+C6+D6-E6</f>
        <v>103</v>
      </c>
    </row>
    <row r="7" spans="1:6" s="5" customFormat="1" ht="31.9" customHeight="1" x14ac:dyDescent="0.3">
      <c r="A7" s="6">
        <v>3</v>
      </c>
      <c r="B7" s="7">
        <v>2</v>
      </c>
      <c r="C7" s="7">
        <v>103</v>
      </c>
      <c r="D7" s="7">
        <v>0</v>
      </c>
      <c r="E7" s="7">
        <v>2</v>
      </c>
      <c r="F7" s="7">
        <f>B7+C7+D7-E7</f>
        <v>103</v>
      </c>
    </row>
    <row r="8" spans="1:6" s="5" customFormat="1" ht="31.9" customHeight="1" x14ac:dyDescent="0.3">
      <c r="A8" s="18" t="s">
        <v>39</v>
      </c>
      <c r="B8" s="10">
        <f>AVERAGE(B5:B7)</f>
        <v>2</v>
      </c>
      <c r="C8" s="10">
        <f>AVERAGE(C5:C7)</f>
        <v>103</v>
      </c>
      <c r="D8" s="10">
        <f>AVERAGE(D5:D7)</f>
        <v>0</v>
      </c>
      <c r="E8" s="10">
        <f>AVERAGE(E5:E7)</f>
        <v>2</v>
      </c>
      <c r="F8" s="10">
        <f>AVERAGE(F5:F7)</f>
        <v>103</v>
      </c>
    </row>
    <row r="9" spans="1:6" s="5" customFormat="1" ht="20.5" customHeight="1" x14ac:dyDescent="0.3">
      <c r="A9" s="8" t="s">
        <v>40</v>
      </c>
    </row>
  </sheetData>
  <mergeCells count="3">
    <mergeCell ref="A1:F1"/>
    <mergeCell ref="B2:C2"/>
    <mergeCell ref="E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647799BF397B47822A696CA5B00470" ma:contentTypeVersion="6" ma:contentTypeDescription="Create a new document." ma:contentTypeScope="" ma:versionID="0ceb306ddc9cef45b6b00103a3ec3f35">
  <xsd:schema xmlns:xsd="http://www.w3.org/2001/XMLSchema" xmlns:xs="http://www.w3.org/2001/XMLSchema" xmlns:p="http://schemas.microsoft.com/office/2006/metadata/properties" xmlns:ns2="1891fcec-84c2-4840-9468-b51a784ab0d1" xmlns:ns3="4d6aed1e-57d3-46e3-9aba-f706adbce63b" targetNamespace="http://schemas.microsoft.com/office/2006/metadata/properties" ma:root="true" ma:fieldsID="d8c58acf2a0b8d9b5703eea10f1e9b5c" ns2:_="" ns3:_="">
    <xsd:import namespace="1891fcec-84c2-4840-9468-b51a784ab0d1"/>
    <xsd:import namespace="4d6aed1e-57d3-46e3-9aba-f706adbce6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1fcec-84c2-4840-9468-b51a784ab0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6aed1e-57d3-46e3-9aba-f706adbce63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3944CE-9FC4-432C-A398-EF442B681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1fcec-84c2-4840-9468-b51a784ab0d1"/>
    <ds:schemaRef ds:uri="4d6aed1e-57d3-46e3-9aba-f706adbce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CED415-8393-4634-9968-A495AFA0611E}">
  <ds:schemaRefs>
    <ds:schemaRef ds:uri="http://schemas.microsoft.com/sharepoint/v3/contenttype/forms"/>
  </ds:schemaRefs>
</ds:datastoreItem>
</file>

<file path=customXml/itemProps3.xml><?xml version="1.0" encoding="utf-8"?>
<ds:datastoreItem xmlns:ds="http://schemas.openxmlformats.org/officeDocument/2006/customXml" ds:itemID="{1788708A-52BB-4D0F-B232-80F9E123F193}">
  <ds:schemaRef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purl.org/dc/terms/"/>
    <ds:schemaRef ds:uri="http://schemas.microsoft.com/office/2006/metadata/properties"/>
    <ds:schemaRef ds:uri="4d6aed1e-57d3-46e3-9aba-f706adbce63b"/>
    <ds:schemaRef ds:uri="1891fcec-84c2-4840-9468-b51a784ab0d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Bevington</dc:creator>
  <cp:keywords/>
  <dc:description/>
  <cp:lastModifiedBy>Wrigley, William</cp:lastModifiedBy>
  <cp:revision/>
  <dcterms:created xsi:type="dcterms:W3CDTF">2018-07-19T14:57:42Z</dcterms:created>
  <dcterms:modified xsi:type="dcterms:W3CDTF">2023-01-26T16:08:06Z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0x010100A8647799BF397B47822A696CA5B00470</vt:lpwstr>
  </property>
</Properties>
</file>