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A8670B7-AF97-4A40-9043-A38BE59CD326}" xr6:coauthVersionLast="47" xr6:coauthVersionMax="47" xr10:uidLastSave="{00000000-0000-0000-0000-000000000000}"/>
  <bookViews>
    <workbookView xWindow="-110" yWindow="-110" windowWidth="19420" windowHeight="10300" xr2:uid="{00000000-000D-0000-FFFF-FFFF00000000}"/>
  </bookViews>
  <sheets>
    <sheet name="Summary" sheetId="6" r:id="rId1"/>
    <sheet name="Table 1" sheetId="1" r:id="rId2"/>
    <sheet name="Table 2" sheetId="2" r:id="rId3"/>
    <sheet name="Capital O&amp;M" sheetId="3" r:id="rId4"/>
    <sheet name="Responses" sheetId="5" r:id="rId5"/>
    <sheet name="Respondent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F10" i="5"/>
  <c r="F6" i="3" l="1"/>
  <c r="F5" i="3"/>
  <c r="C6" i="3"/>
  <c r="C5" i="3"/>
  <c r="I13" i="2" l="1"/>
  <c r="I8" i="2"/>
  <c r="F13" i="2"/>
  <c r="I38" i="1"/>
  <c r="I37" i="1"/>
  <c r="I25" i="1"/>
  <c r="I7" i="1"/>
  <c r="F38" i="1"/>
  <c r="F37" i="1"/>
  <c r="F25" i="1"/>
  <c r="H7" i="1"/>
  <c r="G7" i="1"/>
  <c r="F7" i="1"/>
  <c r="K38" i="1" l="1"/>
  <c r="L38" i="1" s="1"/>
  <c r="B7" i="6"/>
  <c r="B3" i="6"/>
  <c r="F6" i="5" l="1"/>
  <c r="F7" i="5"/>
  <c r="F8" i="5"/>
  <c r="F9" i="5"/>
  <c r="F5" i="5"/>
  <c r="G6" i="3"/>
  <c r="H6" i="3" l="1"/>
  <c r="H5" i="3"/>
  <c r="E6" i="3"/>
  <c r="E5" i="3"/>
  <c r="G8" i="4"/>
  <c r="F8" i="4"/>
  <c r="E8" i="4"/>
  <c r="D8" i="4"/>
  <c r="C8" i="4"/>
  <c r="G7" i="4"/>
  <c r="D7" i="4"/>
  <c r="G6" i="4"/>
  <c r="G5" i="4"/>
  <c r="I10" i="1"/>
  <c r="I10" i="2"/>
  <c r="I5" i="2"/>
  <c r="I6" i="2"/>
  <c r="I7" i="2"/>
  <c r="I9" i="2"/>
  <c r="I11" i="2"/>
  <c r="I12" i="2"/>
  <c r="I4" i="2"/>
  <c r="I32" i="1"/>
  <c r="I9" i="1"/>
  <c r="I11" i="1"/>
  <c r="I12" i="1"/>
  <c r="I16" i="1"/>
  <c r="I17" i="1"/>
  <c r="I18" i="1"/>
  <c r="I19" i="1"/>
  <c r="I20" i="1"/>
  <c r="I21" i="1"/>
  <c r="I22" i="1"/>
  <c r="I23" i="1"/>
  <c r="I24" i="1"/>
  <c r="I39" i="1" l="1"/>
  <c r="I40" i="1" s="1"/>
  <c r="E7" i="3"/>
  <c r="D5" i="2"/>
  <c r="F5" i="2" s="1"/>
  <c r="G5" i="2" s="1"/>
  <c r="D6" i="2"/>
  <c r="F6" i="2" s="1"/>
  <c r="G6" i="2" s="1"/>
  <c r="D7" i="2"/>
  <c r="F7" i="2" s="1"/>
  <c r="G7" i="2" s="1"/>
  <c r="D8" i="2"/>
  <c r="F8" i="2" s="1"/>
  <c r="G8" i="2" s="1"/>
  <c r="D9" i="2"/>
  <c r="F9" i="2" s="1"/>
  <c r="G9" i="2" s="1"/>
  <c r="D10" i="2"/>
  <c r="F10" i="2" s="1"/>
  <c r="G10" i="2" s="1"/>
  <c r="D11" i="2"/>
  <c r="F11" i="2" s="1"/>
  <c r="G11" i="2" s="1"/>
  <c r="D12" i="2"/>
  <c r="F12" i="2" s="1"/>
  <c r="G12" i="2" s="1"/>
  <c r="H12" i="3" l="1"/>
  <c r="B6" i="6" s="1"/>
  <c r="H12" i="2"/>
  <c r="H9" i="2"/>
  <c r="H5" i="2"/>
  <c r="H11" i="2"/>
  <c r="H10" i="2"/>
  <c r="H8" i="2"/>
  <c r="H7" i="2"/>
  <c r="H6" i="2"/>
  <c r="D4" i="2" l="1"/>
  <c r="F4" i="2" s="1"/>
  <c r="D9" i="1"/>
  <c r="F9" i="1" s="1"/>
  <c r="G9" i="1" s="1"/>
  <c r="D10" i="1"/>
  <c r="F10" i="1" s="1"/>
  <c r="G10" i="1" s="1"/>
  <c r="D11" i="1"/>
  <c r="F11" i="1" s="1"/>
  <c r="G11" i="1" s="1"/>
  <c r="D12" i="1"/>
  <c r="F12" i="1" s="1"/>
  <c r="G12" i="1" s="1"/>
  <c r="D16" i="1"/>
  <c r="F16" i="1" s="1"/>
  <c r="G16" i="1" s="1"/>
  <c r="D17" i="1"/>
  <c r="F17" i="1" s="1"/>
  <c r="G17" i="1" s="1"/>
  <c r="D18" i="1"/>
  <c r="F18" i="1" s="1"/>
  <c r="G18" i="1" s="1"/>
  <c r="D19" i="1"/>
  <c r="F19" i="1" s="1"/>
  <c r="G19" i="1" s="1"/>
  <c r="D20" i="1"/>
  <c r="F20" i="1" s="1"/>
  <c r="G20" i="1" s="1"/>
  <c r="D21" i="1"/>
  <c r="F21" i="1" s="1"/>
  <c r="G21" i="1" s="1"/>
  <c r="D22" i="1"/>
  <c r="F22" i="1" s="1"/>
  <c r="G22" i="1" s="1"/>
  <c r="D23" i="1"/>
  <c r="F23" i="1" s="1"/>
  <c r="G23" i="1" s="1"/>
  <c r="D24" i="1"/>
  <c r="F24" i="1" s="1"/>
  <c r="G24" i="1" s="1"/>
  <c r="D32" i="1"/>
  <c r="F32" i="1" s="1"/>
  <c r="D7" i="1"/>
  <c r="H4" i="2" l="1"/>
  <c r="G4" i="2"/>
  <c r="H32" i="1"/>
  <c r="G32" i="1"/>
  <c r="H24" i="1"/>
  <c r="H23" i="1"/>
  <c r="H22" i="1"/>
  <c r="H21" i="1"/>
  <c r="H20" i="1"/>
  <c r="H19" i="1"/>
  <c r="H18" i="1"/>
  <c r="H17" i="1"/>
  <c r="H16" i="1"/>
  <c r="H12" i="1"/>
  <c r="H11" i="1"/>
  <c r="H10" i="1"/>
  <c r="H9" i="1"/>
  <c r="B5" i="6" l="1"/>
  <c r="B2" i="6" l="1"/>
  <c r="B4" i="6"/>
</calcChain>
</file>

<file path=xl/sharedStrings.xml><?xml version="1.0" encoding="utf-8"?>
<sst xmlns="http://schemas.openxmlformats.org/spreadsheetml/2006/main" count="172" uniqueCount="151">
  <si>
    <t>Table 1:  Annual Respondent Burden and Cost – NSPS for Rubber Tire Manufacturing (40 CFR Part 60, Subpart BBB) (Renewal)</t>
  </si>
  <si>
    <t>Burden item</t>
  </si>
  <si>
    <t>1.  Applications</t>
  </si>
  <si>
    <t>N/A</t>
  </si>
  <si>
    <t>2.  Surveys and studies</t>
  </si>
  <si>
    <t>See 3B</t>
  </si>
  <si>
    <t>See 3E</t>
  </si>
  <si>
    <t>Subtotal  for Reporting  Requirements</t>
  </si>
  <si>
    <t>4.  Recordkeeping requirements</t>
  </si>
  <si>
    <t>See 3A</t>
  </si>
  <si>
    <t xml:space="preserve">See 3B    </t>
  </si>
  <si>
    <t xml:space="preserve">Subtotal  for Recordkeeping Requirements  </t>
  </si>
  <si>
    <t>(A)
Person hours per occurrence</t>
  </si>
  <si>
    <t>(B)
No. of occurrences per respondent per year</t>
  </si>
  <si>
    <t>(C)
Person hours per respondent per year
(C=AxB)</t>
  </si>
  <si>
    <r>
      <t xml:space="preserve">(D)
Respondents per year  </t>
    </r>
    <r>
      <rPr>
        <b/>
        <vertAlign val="superscript"/>
        <sz val="12"/>
        <color theme="1"/>
        <rFont val="Times New Roman"/>
        <family val="1"/>
      </rPr>
      <t>a</t>
    </r>
  </si>
  <si>
    <t>(E)
Technical person- hours per year
(E=CxD)</t>
  </si>
  <si>
    <t>(G)
Clerical person hours per year
(G=Ex0.1)</t>
  </si>
  <si>
    <t>(F)
Management person- hours per year
(F=Ex0.05)</t>
  </si>
  <si>
    <r>
      <t xml:space="preserve">(H)
Total cost per year </t>
    </r>
    <r>
      <rPr>
        <b/>
        <vertAlign val="superscript"/>
        <sz val="10"/>
        <color theme="1"/>
        <rFont val="Times New Roman"/>
        <family val="1"/>
      </rPr>
      <t>b</t>
    </r>
  </si>
  <si>
    <r>
      <t xml:space="preserve">A.  Familiarize with regulatory requirements </t>
    </r>
    <r>
      <rPr>
        <vertAlign val="superscript"/>
        <sz val="10"/>
        <color theme="1"/>
        <rFont val="Times New Roman"/>
        <family val="1"/>
      </rPr>
      <t>c</t>
    </r>
  </si>
  <si>
    <t>Notification of construction/reconstruction</t>
  </si>
  <si>
    <t>C.  Implement activities</t>
  </si>
  <si>
    <t xml:space="preserve">D.  Develop record system </t>
  </si>
  <si>
    <t>Record of startup, shutdown, and malfunction</t>
  </si>
  <si>
    <t>Records of monthly performance test</t>
  </si>
  <si>
    <t>Records of emissions and operations</t>
  </si>
  <si>
    <t>F.  Time to train personnel</t>
  </si>
  <si>
    <t>G.  Time for audits</t>
  </si>
  <si>
    <t>3.  Reporting requirements</t>
  </si>
  <si>
    <t xml:space="preserve">C.  Create information </t>
  </si>
  <si>
    <t>D.  Gather existing information</t>
  </si>
  <si>
    <t xml:space="preserve">E.  Write report </t>
  </si>
  <si>
    <t>Assumptions:</t>
  </si>
  <si>
    <t>Table 2:  Average Annual EPA Burden - NSPS for Rubber Tire Manufacturing (40 CFR Part 60, Subpart BBB) (Renewal)</t>
  </si>
  <si>
    <t>Activity</t>
  </si>
  <si>
    <r>
      <t xml:space="preserve">Notification of actual startup </t>
    </r>
    <r>
      <rPr>
        <vertAlign val="superscript"/>
        <sz val="10"/>
        <color theme="1"/>
        <rFont val="Times New Roman"/>
        <family val="1"/>
      </rPr>
      <t>c</t>
    </r>
  </si>
  <si>
    <r>
      <t xml:space="preserve">Notification of initial performance test </t>
    </r>
    <r>
      <rPr>
        <vertAlign val="superscript"/>
        <sz val="10"/>
        <color theme="1"/>
        <rFont val="Times New Roman"/>
        <family val="1"/>
      </rPr>
      <t>c</t>
    </r>
  </si>
  <si>
    <r>
      <t xml:space="preserve">Report of performance test results </t>
    </r>
    <r>
      <rPr>
        <vertAlign val="superscript"/>
        <sz val="10"/>
        <color theme="1"/>
        <rFont val="Times New Roman"/>
        <family val="1"/>
      </rPr>
      <t xml:space="preserve">c </t>
    </r>
  </si>
  <si>
    <r>
      <t>Notification of construction/reconstruction</t>
    </r>
    <r>
      <rPr>
        <vertAlign val="superscript"/>
        <sz val="10"/>
        <color theme="1"/>
        <rFont val="Times New Roman"/>
        <family val="1"/>
      </rPr>
      <t xml:space="preserve"> c</t>
    </r>
  </si>
  <si>
    <r>
      <t xml:space="preserve">Notification of Method 25A test </t>
    </r>
    <r>
      <rPr>
        <vertAlign val="superscript"/>
        <sz val="10"/>
        <color theme="1"/>
        <rFont val="Times New Roman"/>
        <family val="1"/>
      </rPr>
      <t>d</t>
    </r>
  </si>
  <si>
    <r>
      <t>Semiannual reports</t>
    </r>
    <r>
      <rPr>
        <vertAlign val="superscript"/>
        <sz val="10"/>
        <color theme="1"/>
        <rFont val="Times New Roman"/>
        <family val="1"/>
      </rPr>
      <t xml:space="preserve">  f</t>
    </r>
  </si>
  <si>
    <r>
      <t xml:space="preserve">Annual report of formulation data/Method 24 test results </t>
    </r>
    <r>
      <rPr>
        <vertAlign val="superscript"/>
        <sz val="10"/>
        <color theme="1"/>
        <rFont val="Times New Roman"/>
        <family val="1"/>
      </rPr>
      <t xml:space="preserve"> g</t>
    </r>
  </si>
  <si>
    <r>
      <t xml:space="preserve">Report of physical/operational changes </t>
    </r>
    <r>
      <rPr>
        <vertAlign val="superscript"/>
        <sz val="10"/>
        <color theme="1"/>
        <rFont val="Times New Roman"/>
        <family val="1"/>
      </rPr>
      <t>h</t>
    </r>
  </si>
  <si>
    <r>
      <t xml:space="preserve">Notification of change in spray materials formulation </t>
    </r>
    <r>
      <rPr>
        <vertAlign val="superscript"/>
        <sz val="10"/>
        <color theme="1"/>
        <rFont val="Times New Roman"/>
        <family val="1"/>
      </rPr>
      <t>e</t>
    </r>
  </si>
  <si>
    <t>(A)
EPA person- hours per occurrence</t>
  </si>
  <si>
    <t>(B)
No. of occurrences per plant per year</t>
  </si>
  <si>
    <t>(C)
EPA person- hours per plant per year
(C=AxB)</t>
  </si>
  <si>
    <r>
      <t xml:space="preserve">(D)
Plants per year </t>
    </r>
    <r>
      <rPr>
        <b/>
        <vertAlign val="superscript"/>
        <sz val="10"/>
        <color theme="1"/>
        <rFont val="Times New Roman"/>
        <family val="1"/>
      </rPr>
      <t>a</t>
    </r>
  </si>
  <si>
    <t>(F)
Management person-hours per year
(F=Ex0.05)</t>
  </si>
  <si>
    <t>(G)
Clerical person- hours per year
(G=Ex0.1)</t>
  </si>
  <si>
    <r>
      <t>a</t>
    </r>
    <r>
      <rPr>
        <sz val="10"/>
        <color theme="1"/>
        <rFont val="Times New Roman"/>
        <family val="1"/>
      </rPr>
      <t xml:space="preserve">  We have assumed that the average number of respondents that will be subject to the rule will be 41 existing sources one of which mixes only rubber compound.  There will be no additional sources over the three-year period of this ICR.</t>
    </r>
  </si>
  <si>
    <r>
      <t>d</t>
    </r>
    <r>
      <rPr>
        <sz val="10"/>
        <color theme="1"/>
        <rFont val="Times New Roman"/>
        <family val="1"/>
      </rPr>
      <t xml:space="preserve">  We have assumed that three existing sources using control devices will conduct a Method 25 test once a year to determine the VOC concentration in each stack (source using a capture system) both enter and leaving the control device.</t>
    </r>
  </si>
  <si>
    <r>
      <t>e</t>
    </r>
    <r>
      <rPr>
        <sz val="10"/>
        <color theme="1"/>
        <rFont val="Times New Roman"/>
        <family val="1"/>
      </rPr>
      <t xml:space="preserve">  We have assumed that a source is required to do Method 24 or formulation data analysis if the operational change involves spray materials formulation changes and results should be reported within 30 days.</t>
    </r>
  </si>
  <si>
    <r>
      <t>f</t>
    </r>
    <r>
      <rPr>
        <sz val="10"/>
        <color theme="1"/>
        <rFont val="Times New Roman"/>
        <family val="1"/>
      </rPr>
      <t xml:space="preserve">  We have assumed that one-third of sources will submit exceedance reports for each six month period.</t>
    </r>
  </si>
  <si>
    <r>
      <t>g</t>
    </r>
    <r>
      <rPr>
        <sz val="10"/>
        <color theme="1"/>
        <rFont val="Times New Roman"/>
        <family val="1"/>
      </rPr>
      <t xml:space="preserve">  We have assumed that all existing sources will submit an annual Method 24 test report or an annual formulation data report to verify the VOC content of each tread end cement and green tire spray material in lieu of conducting a monthly performance test.  We have further assumed that 50 percent of the existing sources will continue to use HAP materials (VOC) in the spray at levels that meet the green tire VOC limitations in NSPS not needing any add on control devices.  The remaining plants use only water-based sprays and are not required to do monthly performance tests.  We have assumed that the burden incurred to record these items is five hours per occurrence per source due to the nature of the control equipment used and its intermittent use.</t>
    </r>
  </si>
  <si>
    <r>
      <t>h</t>
    </r>
    <r>
      <rPr>
        <sz val="10"/>
        <color theme="1"/>
        <rFont val="Times New Roman"/>
        <family val="1"/>
      </rPr>
      <t xml:space="preserve">  We have assumed that ten percent of the existing rubber tire manufacturing plants subject to the rule will make a physical/operational change due to adding a green tire spray booth or a new line.</t>
    </r>
  </si>
  <si>
    <r>
      <t xml:space="preserve">c  </t>
    </r>
    <r>
      <rPr>
        <sz val="10"/>
        <color theme="1"/>
        <rFont val="Times New Roman"/>
        <family val="1"/>
      </rPr>
      <t>We have assumed all existing sources will have to re-familiarize with the regulatory requirements each year.</t>
    </r>
  </si>
  <si>
    <r>
      <t>d</t>
    </r>
    <r>
      <rPr>
        <sz val="10"/>
        <color theme="1"/>
        <rFont val="Times New Roman"/>
        <family val="1"/>
      </rPr>
      <t xml:space="preserve">  We have assumed that the rubber tire manufacturing plants will not construct or reconstruct an affected facility, however, they will conduct operational changes on 10 percent of the affected operations.</t>
    </r>
  </si>
  <si>
    <r>
      <t xml:space="preserve">B.  Required activities </t>
    </r>
    <r>
      <rPr>
        <vertAlign val="superscript"/>
        <sz val="10"/>
        <color theme="1"/>
        <rFont val="Times New Roman"/>
        <family val="1"/>
      </rPr>
      <t>d</t>
    </r>
  </si>
  <si>
    <r>
      <t>e</t>
    </r>
    <r>
      <rPr>
        <sz val="10"/>
        <color theme="1"/>
        <rFont val="Times New Roman"/>
        <family val="1"/>
      </rPr>
      <t xml:space="preserve">  We have assumed that there will be no new sources expected over the three-year period of this ICR.</t>
    </r>
  </si>
  <si>
    <r>
      <t xml:space="preserve">Initial performance test </t>
    </r>
    <r>
      <rPr>
        <vertAlign val="superscript"/>
        <sz val="10"/>
        <color theme="1"/>
        <rFont val="Times New Roman"/>
        <family val="1"/>
      </rPr>
      <t>e</t>
    </r>
  </si>
  <si>
    <r>
      <t xml:space="preserve">Repeat initial performance test </t>
    </r>
    <r>
      <rPr>
        <vertAlign val="superscript"/>
        <sz val="10"/>
        <color theme="1"/>
        <rFont val="Times New Roman"/>
        <family val="1"/>
      </rPr>
      <t>e</t>
    </r>
  </si>
  <si>
    <r>
      <t xml:space="preserve">Monitoring of VOC emissions and operations </t>
    </r>
    <r>
      <rPr>
        <vertAlign val="superscript"/>
        <sz val="10"/>
        <color theme="1"/>
        <rFont val="Times New Roman"/>
        <family val="1"/>
      </rPr>
      <t>f</t>
    </r>
  </si>
  <si>
    <r>
      <t>g</t>
    </r>
    <r>
      <rPr>
        <sz val="10"/>
        <color theme="1"/>
        <rFont val="Times New Roman"/>
        <family val="1"/>
      </rPr>
      <t xml:space="preserve">  We have assumed that three existing sources using control devices will conduct a Method 25 test once a year to determine the VOC concentration in each stack (source using a capture system) both entering and leaving the control device.</t>
    </r>
  </si>
  <si>
    <r>
      <t xml:space="preserve">Notification of Method 25A test </t>
    </r>
    <r>
      <rPr>
        <vertAlign val="superscript"/>
        <sz val="10"/>
        <color theme="1"/>
        <rFont val="Times New Roman"/>
        <family val="1"/>
      </rPr>
      <t>g</t>
    </r>
  </si>
  <si>
    <r>
      <t>h</t>
    </r>
    <r>
      <rPr>
        <sz val="10"/>
        <color theme="1"/>
        <rFont val="Times New Roman"/>
        <family val="1"/>
      </rPr>
      <t xml:space="preserve">  We have assumed that 10 percent of the existing rubber tire manufacturing plants subject to this rule will make a physical/operational change by adding a green tire spray booth or a new line.</t>
    </r>
  </si>
  <si>
    <r>
      <t xml:space="preserve">Report of physical operational changes </t>
    </r>
    <r>
      <rPr>
        <vertAlign val="superscript"/>
        <sz val="10"/>
        <color theme="1"/>
        <rFont val="Times New Roman"/>
        <family val="1"/>
      </rPr>
      <t>h</t>
    </r>
  </si>
  <si>
    <r>
      <t>i</t>
    </r>
    <r>
      <rPr>
        <sz val="10"/>
        <color theme="1"/>
        <rFont val="Times New Roman"/>
        <family val="1"/>
      </rPr>
      <t xml:space="preserve">  A source is required to do Method 24 test or formulation data analysis if the operational change involves spray materials formulation changes, and results should be reported within 30 days.</t>
    </r>
  </si>
  <si>
    <r>
      <t>j</t>
    </r>
    <r>
      <rPr>
        <sz val="10"/>
        <color theme="1"/>
        <rFont val="Times New Roman"/>
        <family val="1"/>
      </rPr>
      <t xml:space="preserve">  We have assumed that one-third of the sources will submit exceedance reports for each six month period.</t>
    </r>
  </si>
  <si>
    <r>
      <t xml:space="preserve">Semiannual reports </t>
    </r>
    <r>
      <rPr>
        <vertAlign val="superscript"/>
        <sz val="10"/>
        <color theme="1"/>
        <rFont val="Times New Roman"/>
        <family val="1"/>
      </rPr>
      <t>j</t>
    </r>
  </si>
  <si>
    <r>
      <t>k</t>
    </r>
    <r>
      <rPr>
        <sz val="10"/>
        <color theme="1"/>
        <rFont val="Times New Roman"/>
        <family val="1"/>
      </rPr>
      <t xml:space="preserve">  We have assumed that all existing sources, will submit an annual Method 24 test report or an annual formulation data report to verify the VOC content of each tread end cement and green tire spray material in lieu of conducting a monthly performance test.  We have further assumed that 50 percent of the existing sources, will continue to use hazardous air pollutant (HAP) materials (VOC) in the spray at levels that meet the green tire VOC limitations in NSPS not needing to add on control devices.  The remaining plants will use only water-based sprays and are not required to perform monthly performance tests.  We have assumed that the burden incurred to record these items is one hour per occurrence per source due to the nature of the control equipment used and its intermittent use.</t>
    </r>
  </si>
  <si>
    <r>
      <t xml:space="preserve">Monthly performance tests </t>
    </r>
    <r>
      <rPr>
        <vertAlign val="superscript"/>
        <sz val="10"/>
        <color theme="1"/>
        <rFont val="Times New Roman"/>
        <family val="1"/>
      </rPr>
      <t>f, k</t>
    </r>
  </si>
  <si>
    <r>
      <t xml:space="preserve">Annual report of formulation data/Method 24 Results </t>
    </r>
    <r>
      <rPr>
        <vertAlign val="superscript"/>
        <sz val="10"/>
        <color theme="1"/>
        <rFont val="Times New Roman"/>
        <family val="1"/>
      </rPr>
      <t>k</t>
    </r>
  </si>
  <si>
    <r>
      <t xml:space="preserve">E.  Time to enter and transmit information </t>
    </r>
    <r>
      <rPr>
        <vertAlign val="superscript"/>
        <sz val="10"/>
        <color theme="1"/>
        <rFont val="Times New Roman"/>
        <family val="1"/>
      </rPr>
      <t>l</t>
    </r>
  </si>
  <si>
    <r>
      <t>l</t>
    </r>
    <r>
      <rPr>
        <sz val="10"/>
        <color theme="1"/>
        <rFont val="Times New Roman"/>
        <family val="1"/>
      </rPr>
      <t xml:space="preserve">  We have assumed that there will be two occurrences of startup, shutdown, and/or malfunction per source every four weeks, which will yield and average of 25 occurrences per source per respondent in  50 weeks.</t>
    </r>
  </si>
  <si>
    <r>
      <t xml:space="preserve">m  </t>
    </r>
    <r>
      <rPr>
        <sz val="10"/>
        <color theme="1"/>
        <rFont val="Times New Roman"/>
        <family val="1"/>
      </rPr>
      <t>Totals have been rounded to 3 significant figures. Figures may not add exactly due to rounding.</t>
    </r>
  </si>
  <si>
    <r>
      <t xml:space="preserve">TOTAL CAPITAL AND O&amp;M COST (rounded) </t>
    </r>
    <r>
      <rPr>
        <b/>
        <vertAlign val="superscript"/>
        <sz val="9"/>
        <color theme="1"/>
        <rFont val="Times New Roman"/>
        <family val="1"/>
      </rPr>
      <t>m</t>
    </r>
  </si>
  <si>
    <r>
      <t xml:space="preserve">TOTAL LABOR BURDEN AND COST (rounded) </t>
    </r>
    <r>
      <rPr>
        <b/>
        <vertAlign val="superscript"/>
        <sz val="9"/>
        <color theme="1"/>
        <rFont val="Times New Roman"/>
        <family val="1"/>
      </rPr>
      <t>m</t>
    </r>
  </si>
  <si>
    <r>
      <t xml:space="preserve">GRAND TOTAL (rounded) </t>
    </r>
    <r>
      <rPr>
        <b/>
        <vertAlign val="superscript"/>
        <sz val="9"/>
        <color theme="1"/>
        <rFont val="Times New Roman"/>
        <family val="1"/>
      </rPr>
      <t>m</t>
    </r>
  </si>
  <si>
    <r>
      <t xml:space="preserve">i  </t>
    </r>
    <r>
      <rPr>
        <sz val="10"/>
        <color theme="1"/>
        <rFont val="Times New Roman"/>
        <family val="1"/>
      </rPr>
      <t>Totals have been rounded to 3 significant figures. Figures may not add exactly due to rounding.</t>
    </r>
  </si>
  <si>
    <r>
      <t xml:space="preserve">TOTAL LABOR BURDEN AND COST (rounded) </t>
    </r>
    <r>
      <rPr>
        <b/>
        <vertAlign val="superscript"/>
        <sz val="9"/>
        <color theme="1"/>
        <rFont val="Times New Roman"/>
        <family val="1"/>
      </rPr>
      <t>i</t>
    </r>
  </si>
  <si>
    <t xml:space="preserve">A.  Familiarize with regulatory requirements </t>
  </si>
  <si>
    <t xml:space="preserve">B.  Plan activities </t>
  </si>
  <si>
    <r>
      <t xml:space="preserve">Notification of actual startup  </t>
    </r>
    <r>
      <rPr>
        <vertAlign val="superscript"/>
        <sz val="10"/>
        <color theme="1"/>
        <rFont val="Times New Roman"/>
        <family val="1"/>
      </rPr>
      <t>e</t>
    </r>
  </si>
  <si>
    <r>
      <t xml:space="preserve">Notification of initial performance test </t>
    </r>
    <r>
      <rPr>
        <vertAlign val="superscript"/>
        <sz val="10"/>
        <color theme="1"/>
        <rFont val="Times New Roman"/>
        <family val="1"/>
      </rPr>
      <t>e</t>
    </r>
  </si>
  <si>
    <r>
      <t xml:space="preserve">Initial performance test results </t>
    </r>
    <r>
      <rPr>
        <vertAlign val="superscript"/>
        <sz val="10"/>
        <color theme="1"/>
        <rFont val="Times New Roman"/>
        <family val="1"/>
      </rPr>
      <t>e</t>
    </r>
  </si>
  <si>
    <t>responses</t>
  </si>
  <si>
    <t>hr/response</t>
  </si>
  <si>
    <r>
      <t>c</t>
    </r>
    <r>
      <rPr>
        <sz val="10"/>
        <color theme="1"/>
        <rFont val="Times New Roman"/>
        <family val="1"/>
      </rPr>
      <t xml:space="preserve">  We have assumed that there will be no new sources expected over the three-year period of this ICR</t>
    </r>
    <r>
      <rPr>
        <vertAlign val="superscript"/>
        <sz val="12"/>
        <color theme="1"/>
        <rFont val="Times New Roman"/>
        <family val="1"/>
      </rPr>
      <t>.</t>
    </r>
  </si>
  <si>
    <r>
      <t>a</t>
    </r>
    <r>
      <rPr>
        <sz val="10"/>
        <color theme="1"/>
        <rFont val="Times New Roman"/>
        <family val="1"/>
      </rPr>
      <t xml:space="preserve">  We have assumed that the average number of respondents that will be subject to the rule will be 41 existing sources, one of which mixes only rubber compound.  There will be no additional sources over the three-year period of this ICR.  In addition, we have not included the reporting requirements burden for affected facilities exemptions under 40 CFR 60.676(d) in the table because their occurrence is very rare in practice.</t>
    </r>
  </si>
  <si>
    <r>
      <t>Report of spray materials/formulation change</t>
    </r>
    <r>
      <rPr>
        <sz val="10"/>
        <rFont val="Times New Roman"/>
        <family val="1"/>
      </rPr>
      <t xml:space="preserve"> </t>
    </r>
    <r>
      <rPr>
        <vertAlign val="superscript"/>
        <sz val="10"/>
        <rFont val="Times New Roman"/>
        <family val="1"/>
      </rPr>
      <t>h, i</t>
    </r>
  </si>
  <si>
    <r>
      <t>f</t>
    </r>
    <r>
      <rPr>
        <sz val="10"/>
        <color theme="1"/>
        <rFont val="Times New Roman"/>
        <family val="1"/>
      </rPr>
      <t xml:space="preserve">  Sources are required to monitor and record monthly performance tests, VOC use, the number of days in each compliance period, control device efficiency, formulation data or the results of Method 24 test analysis conducted to verify the VOC content of the spray, monitoring device data and other operational data such as the number of tires processed.  We have assumed that sources will operate approximately 350 days per year or 50 weeks.  We have further assumed that the burden incurred to record these items is one hour per occurrence. </t>
    </r>
  </si>
  <si>
    <t>Labor Rates</t>
  </si>
  <si>
    <t>Management</t>
  </si>
  <si>
    <t>Technical</t>
  </si>
  <si>
    <t>Clerical</t>
  </si>
  <si>
    <t xml:space="preserve">Technical </t>
  </si>
  <si>
    <t>ICR Summary Information</t>
  </si>
  <si>
    <t>Hours per Response</t>
  </si>
  <si>
    <t>Number of Respondents</t>
  </si>
  <si>
    <t>Total Estimated Burden Hours</t>
  </si>
  <si>
    <t>Total Estimated Costs</t>
  </si>
  <si>
    <t>Annualized Capital O&amp;M</t>
  </si>
  <si>
    <t>Total Annual Responses</t>
  </si>
  <si>
    <t>Form Number</t>
  </si>
  <si>
    <r>
      <t>b</t>
    </r>
    <r>
      <rPr>
        <sz val="10"/>
        <color theme="1"/>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</si>
  <si>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theme="1"/>
        <rFont val="Times New Roman"/>
        <family val="1"/>
      </rPr>
      <t xml:space="preserve">  This cost is based on the average hourly labor rate as follows: Managerial $70.56 (GS-13, Step 5, $44.10 + 60%); Technical $52.37 (GS-12, Step 1, $32.73 + 60%); and Clerical $28.34 (GS-6, Step 3, $17.17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</si>
  <si>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t>Not Applicable</t>
  </si>
  <si>
    <t>Capital/Startup vs. Operation and Maintenance (O&amp;M) Costs</t>
  </si>
  <si>
    <t>(A)</t>
  </si>
  <si>
    <t>(B)</t>
  </si>
  <si>
    <t>(C)</t>
  </si>
  <si>
    <t>(D)</t>
  </si>
  <si>
    <t>(E)</t>
  </si>
  <si>
    <t>(F)</t>
  </si>
  <si>
    <t>(G)</t>
  </si>
  <si>
    <t>Continuous Monitoring Device</t>
  </si>
  <si>
    <t>Capital/Startup Cost for One Respondent</t>
  </si>
  <si>
    <r>
      <t xml:space="preserve">Number of New Respondents </t>
    </r>
    <r>
      <rPr>
        <vertAlign val="superscript"/>
        <sz val="10"/>
        <color rgb="FF000000"/>
        <rFont val="Times New Roman"/>
        <family val="1"/>
      </rPr>
      <t>a</t>
    </r>
    <r>
      <rPr>
        <sz val="10"/>
        <color rgb="FF000000"/>
        <rFont val="Times New Roman"/>
        <family val="1"/>
      </rPr>
      <t xml:space="preserve"> </t>
    </r>
  </si>
  <si>
    <r>
      <t xml:space="preserve">Total Capital/Startup Cost,  
(B X C) </t>
    </r>
    <r>
      <rPr>
        <vertAlign val="superscript"/>
        <sz val="10"/>
        <color rgb="FF000000"/>
        <rFont val="Times New Roman"/>
        <family val="1"/>
      </rPr>
      <t>b</t>
    </r>
  </si>
  <si>
    <t>Annual O&amp;M Costs for One Respondent</t>
  </si>
  <si>
    <t>Number of Respondents  with O&amp;M</t>
  </si>
  <si>
    <r>
      <t xml:space="preserve">Total O&amp;M,
(E X F) </t>
    </r>
    <r>
      <rPr>
        <vertAlign val="superscript"/>
        <sz val="10"/>
        <color rgb="FF000000"/>
        <rFont val="Times New Roman"/>
        <family val="1"/>
      </rPr>
      <t>b</t>
    </r>
  </si>
  <si>
    <t>C/S and O&amp;M</t>
  </si>
  <si>
    <t>Information Collection Activity</t>
  </si>
  <si>
    <t>Number of Responses</t>
  </si>
  <si>
    <t>Number of Existing Respondents That Keep Records But Do Not Submit Reports</t>
  </si>
  <si>
    <t xml:space="preserve">Total Annual  Responses
E=(BxC)+D
</t>
  </si>
  <si>
    <t>TOTAL (rounded)</t>
  </si>
  <si>
    <t>Respondents that submit reports</t>
  </si>
  <si>
    <t>Respondents that do not submit any reports</t>
  </si>
  <si>
    <t>Year</t>
  </si>
  <si>
    <r>
      <t xml:space="preserve">(A)
Number of New Respondents </t>
    </r>
    <r>
      <rPr>
        <vertAlign val="superscript"/>
        <sz val="10"/>
        <color theme="1"/>
        <rFont val="Times New Roman"/>
        <family val="1"/>
      </rPr>
      <t>1</t>
    </r>
  </si>
  <si>
    <t>(B)
Number of Existing Respondents</t>
  </si>
  <si>
    <t>(C) 
Number of Existing Respondents that keep records but do not submit reports</t>
  </si>
  <si>
    <t>(D)
Number of Existing Respondents that are also new respondents</t>
  </si>
  <si>
    <t>(E)
Number of Respondents 
(E=A+B+C+D)</t>
  </si>
  <si>
    <t>Average</t>
  </si>
  <si>
    <r>
      <t xml:space="preserve">1 </t>
    </r>
    <r>
      <rPr>
        <sz val="10"/>
        <color theme="1"/>
        <rFont val="Times New Roman"/>
        <family val="1"/>
      </rPr>
      <t>New respondents include sources with constructed, reconstructed, and modified affected facilities</t>
    </r>
  </si>
  <si>
    <r>
      <t>1</t>
    </r>
    <r>
      <rPr>
        <sz val="10"/>
        <color rgb="FF000000"/>
        <rFont val="Times New Roman"/>
        <family val="1"/>
      </rPr>
      <t xml:space="preserve"> We assume no facilities are using an organics monitor or carbon absorber at this time. An estimated 10 percent of respondents use a temperature monitor. </t>
    </r>
  </si>
  <si>
    <r>
      <t>2</t>
    </r>
    <r>
      <rPr>
        <sz val="10"/>
        <color theme="1"/>
        <rFont val="Times New Roman"/>
        <family val="1"/>
      </rPr>
      <t xml:space="preserve"> Totals have been rounded to 3 significant figures. Figures may not add exactly due to rounding.</t>
    </r>
  </si>
  <si>
    <r>
      <t xml:space="preserve">Total </t>
    </r>
    <r>
      <rPr>
        <vertAlign val="superscript"/>
        <sz val="10"/>
        <color theme="1"/>
        <rFont val="Times New Roman"/>
        <family val="1"/>
      </rPr>
      <t>2</t>
    </r>
  </si>
  <si>
    <t>Notification of Method 25A test</t>
  </si>
  <si>
    <t>Report of physical/operational changes</t>
  </si>
  <si>
    <t>Notification of change in spray materials formulation</t>
  </si>
  <si>
    <t>Semiannual report of excess emissions</t>
  </si>
  <si>
    <t>Annual report of formulation data/Method 24</t>
  </si>
  <si>
    <r>
      <t xml:space="preserve">VOC (organics) monitor </t>
    </r>
    <r>
      <rPr>
        <vertAlign val="superscript"/>
        <sz val="10"/>
        <color rgb="FF000000"/>
        <rFont val="Times New Roman"/>
        <family val="1"/>
      </rPr>
      <t>1, 3</t>
    </r>
  </si>
  <si>
    <r>
      <t xml:space="preserve">Temperature monitors at thermal and catalytic incinerators </t>
    </r>
    <r>
      <rPr>
        <vertAlign val="superscript"/>
        <sz val="10"/>
        <color rgb="FF000000"/>
        <rFont val="Times New Roman"/>
        <family val="1"/>
      </rPr>
      <t>1, 3</t>
    </r>
  </si>
  <si>
    <r>
      <t>3</t>
    </r>
    <r>
      <rPr>
        <sz val="10"/>
        <color theme="1"/>
        <rFont val="Times New Roman"/>
        <family val="1"/>
      </rPr>
      <t xml:space="preserve"> Capital and O&amp;M costs have been increased from 2007 to 2020 $ using the CEPCI Equipment Cost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</si>
</sst>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16"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b/>
      <sz val="9"/>
      <color theme="1"/>
      <name val="Times New Roman"/>
      <family val="1"/>
    </font>
    <font>
      <vertAlign val="superscript"/>
      <sz val="12"/>
      <color theme="1"/>
      <name val="Times New Roman"/>
      <family val="1"/>
    </font>
    <font>
      <b/>
      <vertAlign val="superscript"/>
      <sz val="9"/>
      <color theme="1"/>
      <name val="Times New Roman"/>
      <family val="1"/>
    </font>
    <font>
      <sz val="10"/>
      <name val="Times New Roman"/>
      <family val="1"/>
    </font>
    <font>
      <vertAlign val="superscript"/>
      <sz val="10"/>
      <name val="Times New Roman"/>
      <family val="1"/>
    </font>
    <font>
      <sz val="10"/>
      <color rgb="FF000000"/>
      <name val="Times New Roman"/>
      <family val="1"/>
    </font>
    <font>
      <b/>
      <sz val="10"/>
      <color rgb="FF000000"/>
      <name val="Times New Roman"/>
      <family val="1"/>
    </font>
    <font>
      <vertAlign val="superscript"/>
      <sz val="10"/>
      <color rgb="FF000000"/>
      <name val="Times New Roman"/>
      <family val="1"/>
    </font>
    <font>
      <u/>
      <sz val="10"/>
      <color rgb="FF00808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indent="2"/>
    </xf>
    <xf numFmtId="164" fontId="3" fillId="0" borderId="1" xfId="1" applyNumberFormat="1" applyFont="1" applyBorder="1" applyAlignment="1">
      <alignment vertical="center" wrapText="1"/>
    </xf>
    <xf numFmtId="0" fontId="2"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165" fontId="2" fillId="0" borderId="1" xfId="1" applyNumberFormat="1" applyFont="1" applyBorder="1" applyAlignment="1">
      <alignment vertical="center" wrapText="1"/>
    </xf>
    <xf numFmtId="2" fontId="3" fillId="0" borderId="1" xfId="0" applyNumberFormat="1" applyFont="1" applyBorder="1" applyAlignment="1">
      <alignment horizontal="center" vertical="center" wrapText="1"/>
    </xf>
    <xf numFmtId="6" fontId="3" fillId="0" borderId="1" xfId="0" applyNumberFormat="1" applyFont="1" applyBorder="1" applyAlignment="1">
      <alignment horizontal="right" vertical="center" wrapText="1"/>
    </xf>
    <xf numFmtId="6"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0" fontId="12" fillId="0" borderId="1" xfId="0" applyFont="1" applyBorder="1"/>
    <xf numFmtId="164" fontId="10" fillId="0" borderId="1" xfId="0" applyNumberFormat="1" applyFont="1" applyBorder="1"/>
    <xf numFmtId="0" fontId="3" fillId="0" borderId="1" xfId="1" applyNumberFormat="1" applyFont="1" applyBorder="1" applyAlignment="1">
      <alignmen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3" fillId="0" borderId="1" xfId="0" applyFont="1" applyBorder="1"/>
    <xf numFmtId="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xf numFmtId="0" fontId="3" fillId="0" borderId="0" xfId="0" applyFont="1"/>
    <xf numFmtId="6" fontId="3" fillId="0" borderId="0" xfId="0" applyNumberFormat="1" applyFont="1"/>
    <xf numFmtId="0" fontId="12" fillId="0" borderId="1" xfId="0" applyFont="1" applyBorder="1" applyAlignment="1">
      <alignment horizontal="center" vertical="center" wrapText="1"/>
    </xf>
    <xf numFmtId="0" fontId="3" fillId="0" borderId="1" xfId="0" applyFont="1" applyBorder="1" applyAlignment="1">
      <alignmen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12" fillId="0" borderId="1" xfId="0" applyFont="1" applyBorder="1" applyAlignment="1">
      <alignment vertical="center" wrapText="1"/>
    </xf>
    <xf numFmtId="6" fontId="12" fillId="0" borderId="1" xfId="0" applyNumberFormat="1" applyFont="1" applyBorder="1" applyAlignment="1">
      <alignment vertical="center" wrapText="1"/>
    </xf>
    <xf numFmtId="0" fontId="12" fillId="0" borderId="1" xfId="0" applyFont="1" applyBorder="1" applyAlignment="1">
      <alignment wrapText="1"/>
    </xf>
    <xf numFmtId="0" fontId="0" fillId="0" borderId="1" xfId="0" applyBorder="1"/>
    <xf numFmtId="0" fontId="15" fillId="0" borderId="0" xfId="0" applyFont="1"/>
    <xf numFmtId="0" fontId="14" fillId="0" borderId="0" xfId="0" applyFont="1" applyAlignment="1">
      <alignment vertical="top"/>
    </xf>
    <xf numFmtId="0" fontId="6" fillId="0" borderId="0" xfId="0" applyFont="1" applyAlignment="1">
      <alignment horizontal="left"/>
    </xf>
    <xf numFmtId="0" fontId="0" fillId="0" borderId="0" xfId="0" applyAlignment="1">
      <alignment horizontal="right"/>
    </xf>
    <xf numFmtId="3" fontId="0" fillId="0" borderId="0" xfId="0" applyNumberFormat="1" applyAlignment="1">
      <alignment horizontal="right"/>
    </xf>
    <xf numFmtId="6" fontId="0" fillId="0" borderId="0" xfId="0" applyNumberFormat="1" applyAlignment="1">
      <alignment horizontal="right"/>
    </xf>
    <xf numFmtId="1" fontId="0" fillId="0" borderId="0" xfId="0" applyNumberFormat="1" applyAlignment="1">
      <alignment horizontal="right"/>
    </xf>
    <xf numFmtId="0" fontId="0" fillId="0" borderId="0" xfId="0" applyAlignment="1">
      <alignment horizontal="center"/>
    </xf>
    <xf numFmtId="0" fontId="12" fillId="0" borderId="1" xfId="0" applyFont="1" applyBorder="1" applyAlignment="1">
      <alignment horizontal="center"/>
    </xf>
    <xf numFmtId="3"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wrapText="1"/>
    </xf>
    <xf numFmtId="0" fontId="6" fillId="0" borderId="0" xfId="0" applyFont="1" applyAlignment="1">
      <alignment horizontal="left" vertical="center" wrapText="1"/>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9ED2-CD64-48C9-9413-46B25A317013}">
  <dimension ref="A1:B8"/>
  <sheetViews>
    <sheetView tabSelected="1" workbookViewId="0">
      <selection activeCell="G13" sqref="G13"/>
    </sheetView>
  </sheetViews>
  <sheetFormatPr defaultRowHeight="14.5" x14ac:dyDescent="0.35"/>
  <cols>
    <col min="1" max="1" width="29.7265625" customWidth="1"/>
    <col min="2" max="2" width="14.1796875" customWidth="1"/>
  </cols>
  <sheetData>
    <row r="1" spans="1:2" x14ac:dyDescent="0.35">
      <c r="A1" s="49" t="s">
        <v>98</v>
      </c>
      <c r="B1" s="49"/>
    </row>
    <row r="2" spans="1:2" x14ac:dyDescent="0.35">
      <c r="A2" t="s">
        <v>99</v>
      </c>
      <c r="B2" s="48">
        <f>'Table 1'!L38</f>
        <v>221.25</v>
      </c>
    </row>
    <row r="3" spans="1:2" x14ac:dyDescent="0.35">
      <c r="A3" t="s">
        <v>100</v>
      </c>
      <c r="B3" s="45">
        <f>Respondents!G8</f>
        <v>41</v>
      </c>
    </row>
    <row r="4" spans="1:2" x14ac:dyDescent="0.35">
      <c r="A4" t="s">
        <v>101</v>
      </c>
      <c r="B4" s="46">
        <f>'Table 1'!F38</f>
        <v>17700</v>
      </c>
    </row>
    <row r="5" spans="1:2" x14ac:dyDescent="0.35">
      <c r="A5" t="s">
        <v>102</v>
      </c>
      <c r="B5" s="47">
        <f>'Table 1'!I40</f>
        <v>2150000</v>
      </c>
    </row>
    <row r="6" spans="1:2" x14ac:dyDescent="0.35">
      <c r="A6" t="s">
        <v>103</v>
      </c>
      <c r="B6" s="47">
        <f>'Capital O&amp;M'!H12</f>
        <v>18600</v>
      </c>
    </row>
    <row r="7" spans="1:2" x14ac:dyDescent="0.35">
      <c r="A7" t="s">
        <v>104</v>
      </c>
      <c r="B7" s="48">
        <f>Responses!F10</f>
        <v>80</v>
      </c>
    </row>
    <row r="8" spans="1:2" x14ac:dyDescent="0.35">
      <c r="A8" t="s">
        <v>105</v>
      </c>
      <c r="B8" t="s">
        <v>108</v>
      </c>
    </row>
  </sheetData>
  <mergeCells count="1">
    <mergeCell ref="A1:B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workbookViewId="0">
      <selection activeCell="A2" sqref="A2"/>
    </sheetView>
  </sheetViews>
  <sheetFormatPr defaultRowHeight="14.5" x14ac:dyDescent="0.35"/>
  <cols>
    <col min="1" max="1" width="49" customWidth="1"/>
    <col min="2" max="2" width="10.453125" customWidth="1"/>
    <col min="3" max="3" width="10.54296875" customWidth="1"/>
    <col min="4" max="4" width="10.1796875" customWidth="1"/>
    <col min="5" max="5" width="11" customWidth="1"/>
    <col min="7" max="7" width="11.1796875" customWidth="1"/>
    <col min="9" max="9" width="14.453125" customWidth="1"/>
    <col min="11" max="11" width="10.7265625" bestFit="1" customWidth="1"/>
  </cols>
  <sheetData>
    <row r="1" spans="1:12" x14ac:dyDescent="0.35">
      <c r="A1" s="1" t="s">
        <v>0</v>
      </c>
    </row>
    <row r="3" spans="1:12" ht="91" x14ac:dyDescent="0.35">
      <c r="A3" s="2" t="s">
        <v>1</v>
      </c>
      <c r="B3" s="2" t="s">
        <v>12</v>
      </c>
      <c r="C3" s="2" t="s">
        <v>13</v>
      </c>
      <c r="D3" s="2" t="s">
        <v>14</v>
      </c>
      <c r="E3" s="2" t="s">
        <v>15</v>
      </c>
      <c r="F3" s="2" t="s">
        <v>16</v>
      </c>
      <c r="G3" s="2" t="s">
        <v>18</v>
      </c>
      <c r="H3" s="2" t="s">
        <v>17</v>
      </c>
      <c r="I3" s="2" t="s">
        <v>19</v>
      </c>
    </row>
    <row r="4" spans="1:12" x14ac:dyDescent="0.35">
      <c r="A4" s="7" t="s">
        <v>2</v>
      </c>
      <c r="B4" s="5" t="s">
        <v>3</v>
      </c>
      <c r="C4" s="5"/>
      <c r="D4" s="5"/>
      <c r="E4" s="5"/>
      <c r="F4" s="5"/>
      <c r="G4" s="5"/>
      <c r="H4" s="5"/>
      <c r="I4" s="11"/>
      <c r="K4" s="50" t="s">
        <v>93</v>
      </c>
      <c r="L4" s="50"/>
    </row>
    <row r="5" spans="1:12" x14ac:dyDescent="0.35">
      <c r="A5" s="7" t="s">
        <v>4</v>
      </c>
      <c r="B5" s="5" t="s">
        <v>3</v>
      </c>
      <c r="C5" s="5"/>
      <c r="D5" s="5"/>
      <c r="E5" s="5"/>
      <c r="F5" s="5"/>
      <c r="G5" s="5"/>
      <c r="H5" s="5"/>
      <c r="I5" s="11"/>
      <c r="K5" s="20" t="s">
        <v>94</v>
      </c>
      <c r="L5" s="21">
        <v>157.60499999999999</v>
      </c>
    </row>
    <row r="6" spans="1:12" x14ac:dyDescent="0.35">
      <c r="A6" s="7" t="s">
        <v>29</v>
      </c>
      <c r="B6" s="5"/>
      <c r="C6" s="5"/>
      <c r="D6" s="5"/>
      <c r="E6" s="5"/>
      <c r="F6" s="5"/>
      <c r="G6" s="5"/>
      <c r="H6" s="5"/>
      <c r="I6" s="11"/>
      <c r="K6" s="20" t="s">
        <v>95</v>
      </c>
      <c r="L6" s="21">
        <v>123.94200000000001</v>
      </c>
    </row>
    <row r="7" spans="1:12" ht="15.5" x14ac:dyDescent="0.35">
      <c r="A7" s="4" t="s">
        <v>20</v>
      </c>
      <c r="B7" s="5">
        <v>1</v>
      </c>
      <c r="C7" s="5">
        <v>1</v>
      </c>
      <c r="D7" s="5">
        <f>B7*C7</f>
        <v>1</v>
      </c>
      <c r="E7" s="5">
        <v>41</v>
      </c>
      <c r="F7" s="5">
        <f>D7*E7</f>
        <v>41</v>
      </c>
      <c r="G7" s="5">
        <f>F7*0.05</f>
        <v>2.0500000000000003</v>
      </c>
      <c r="H7" s="5">
        <f>F7*0.1</f>
        <v>4.1000000000000005</v>
      </c>
      <c r="I7" s="11">
        <f>$L$6*F7+$L$5*G7+$L$7*H7</f>
        <v>5661.0319500000005</v>
      </c>
      <c r="K7" s="20" t="s">
        <v>96</v>
      </c>
      <c r="L7" s="21">
        <v>62.517000000000003</v>
      </c>
    </row>
    <row r="8" spans="1:12" ht="15.5" x14ac:dyDescent="0.35">
      <c r="A8" s="4" t="s">
        <v>59</v>
      </c>
      <c r="B8" s="5"/>
      <c r="C8" s="5"/>
      <c r="D8" s="5"/>
      <c r="E8" s="5"/>
      <c r="F8" s="5"/>
      <c r="G8" s="5"/>
      <c r="H8" s="5"/>
      <c r="I8" s="11"/>
    </row>
    <row r="9" spans="1:12" ht="15.5" x14ac:dyDescent="0.35">
      <c r="A9" s="10" t="s">
        <v>61</v>
      </c>
      <c r="B9" s="5">
        <v>240</v>
      </c>
      <c r="C9" s="5">
        <v>5</v>
      </c>
      <c r="D9" s="6">
        <f t="shared" ref="D9:D32" si="0">B9*C9</f>
        <v>1200</v>
      </c>
      <c r="E9" s="5">
        <v>0</v>
      </c>
      <c r="F9" s="5">
        <f t="shared" ref="F9:F24" si="1">D9*E9</f>
        <v>0</v>
      </c>
      <c r="G9" s="5">
        <f t="shared" ref="G9:G24" si="2">F9*0.05</f>
        <v>0</v>
      </c>
      <c r="H9" s="5">
        <f t="shared" ref="H9:H24" si="3">F9*0.1</f>
        <v>0</v>
      </c>
      <c r="I9" s="22">
        <f t="shared" ref="I9:I24" si="4">$L$6*F9+$L$5*G9+$L$7*H9</f>
        <v>0</v>
      </c>
    </row>
    <row r="10" spans="1:12" ht="15.5" x14ac:dyDescent="0.35">
      <c r="A10" s="10" t="s">
        <v>62</v>
      </c>
      <c r="B10" s="5">
        <v>240</v>
      </c>
      <c r="C10" s="5">
        <v>1</v>
      </c>
      <c r="D10" s="5">
        <f t="shared" si="0"/>
        <v>240</v>
      </c>
      <c r="E10" s="5">
        <v>0</v>
      </c>
      <c r="F10" s="5">
        <f t="shared" si="1"/>
        <v>0</v>
      </c>
      <c r="G10" s="5">
        <f t="shared" si="2"/>
        <v>0</v>
      </c>
      <c r="H10" s="5">
        <f t="shared" si="3"/>
        <v>0</v>
      </c>
      <c r="I10" s="11">
        <f>$L$6*F10+$L$5*G10+$L$7*H10</f>
        <v>0</v>
      </c>
    </row>
    <row r="11" spans="1:12" ht="15.5" x14ac:dyDescent="0.35">
      <c r="A11" s="10" t="s">
        <v>63</v>
      </c>
      <c r="B11" s="5">
        <v>1</v>
      </c>
      <c r="C11" s="5">
        <v>350</v>
      </c>
      <c r="D11" s="5">
        <f t="shared" si="0"/>
        <v>350</v>
      </c>
      <c r="E11" s="5">
        <v>41</v>
      </c>
      <c r="F11" s="6">
        <f t="shared" si="1"/>
        <v>14350</v>
      </c>
      <c r="G11" s="5">
        <f t="shared" si="2"/>
        <v>717.5</v>
      </c>
      <c r="H11" s="6">
        <f t="shared" si="3"/>
        <v>1435</v>
      </c>
      <c r="I11" s="11">
        <f t="shared" si="4"/>
        <v>1981361.1825000001</v>
      </c>
    </row>
    <row r="12" spans="1:12" ht="15.5" x14ac:dyDescent="0.35">
      <c r="A12" s="10" t="s">
        <v>72</v>
      </c>
      <c r="B12" s="5">
        <v>2</v>
      </c>
      <c r="C12" s="5">
        <v>12</v>
      </c>
      <c r="D12" s="5">
        <f t="shared" si="0"/>
        <v>24</v>
      </c>
      <c r="E12" s="5">
        <v>0</v>
      </c>
      <c r="F12" s="5">
        <f t="shared" si="1"/>
        <v>0</v>
      </c>
      <c r="G12" s="5">
        <f t="shared" si="2"/>
        <v>0</v>
      </c>
      <c r="H12" s="5">
        <f t="shared" si="3"/>
        <v>0</v>
      </c>
      <c r="I12" s="22">
        <f t="shared" si="4"/>
        <v>0</v>
      </c>
    </row>
    <row r="13" spans="1:12" x14ac:dyDescent="0.35">
      <c r="A13" s="4" t="s">
        <v>30</v>
      </c>
      <c r="B13" s="5" t="s">
        <v>5</v>
      </c>
      <c r="C13" s="5"/>
      <c r="D13" s="5"/>
      <c r="E13" s="5"/>
      <c r="F13" s="5"/>
      <c r="G13" s="5"/>
      <c r="H13" s="5"/>
      <c r="I13" s="11"/>
    </row>
    <row r="14" spans="1:12" x14ac:dyDescent="0.35">
      <c r="A14" s="4" t="s">
        <v>31</v>
      </c>
      <c r="B14" s="5" t="s">
        <v>6</v>
      </c>
      <c r="C14" s="5"/>
      <c r="D14" s="5"/>
      <c r="E14" s="5"/>
      <c r="F14" s="5"/>
      <c r="G14" s="5"/>
      <c r="H14" s="5"/>
      <c r="I14" s="11"/>
    </row>
    <row r="15" spans="1:12" x14ac:dyDescent="0.35">
      <c r="A15" s="4" t="s">
        <v>32</v>
      </c>
      <c r="B15" s="5"/>
      <c r="C15" s="5"/>
      <c r="D15" s="5"/>
      <c r="E15" s="5"/>
      <c r="F15" s="5"/>
      <c r="G15" s="5"/>
      <c r="H15" s="5"/>
      <c r="I15" s="11"/>
    </row>
    <row r="16" spans="1:12" ht="15.5" x14ac:dyDescent="0.35">
      <c r="A16" s="10" t="s">
        <v>84</v>
      </c>
      <c r="B16" s="5">
        <v>2</v>
      </c>
      <c r="C16" s="5">
        <v>1</v>
      </c>
      <c r="D16" s="5">
        <f t="shared" si="0"/>
        <v>2</v>
      </c>
      <c r="E16" s="5">
        <v>0</v>
      </c>
      <c r="F16" s="5">
        <f t="shared" si="1"/>
        <v>0</v>
      </c>
      <c r="G16" s="5">
        <f t="shared" si="2"/>
        <v>0</v>
      </c>
      <c r="H16" s="5">
        <f t="shared" si="3"/>
        <v>0</v>
      </c>
      <c r="I16" s="22">
        <f t="shared" si="4"/>
        <v>0</v>
      </c>
    </row>
    <row r="17" spans="1:9" ht="15.5" x14ac:dyDescent="0.35">
      <c r="A17" s="10" t="s">
        <v>85</v>
      </c>
      <c r="B17" s="5">
        <v>2</v>
      </c>
      <c r="C17" s="5">
        <v>1</v>
      </c>
      <c r="D17" s="5">
        <f t="shared" si="0"/>
        <v>2</v>
      </c>
      <c r="E17" s="5">
        <v>0</v>
      </c>
      <c r="F17" s="5">
        <f t="shared" si="1"/>
        <v>0</v>
      </c>
      <c r="G17" s="5">
        <f t="shared" si="2"/>
        <v>0</v>
      </c>
      <c r="H17" s="5">
        <f t="shared" si="3"/>
        <v>0</v>
      </c>
      <c r="I17" s="22">
        <f t="shared" si="4"/>
        <v>0</v>
      </c>
    </row>
    <row r="18" spans="1:9" ht="15.5" x14ac:dyDescent="0.35">
      <c r="A18" s="10" t="s">
        <v>86</v>
      </c>
      <c r="B18" s="5">
        <v>2</v>
      </c>
      <c r="C18" s="5">
        <v>1</v>
      </c>
      <c r="D18" s="5">
        <f t="shared" si="0"/>
        <v>2</v>
      </c>
      <c r="E18" s="5">
        <v>0</v>
      </c>
      <c r="F18" s="5">
        <f t="shared" si="1"/>
        <v>0</v>
      </c>
      <c r="G18" s="5">
        <f t="shared" si="2"/>
        <v>0</v>
      </c>
      <c r="H18" s="5">
        <f t="shared" si="3"/>
        <v>0</v>
      </c>
      <c r="I18" s="22">
        <f t="shared" si="4"/>
        <v>0</v>
      </c>
    </row>
    <row r="19" spans="1:9" ht="15.5" x14ac:dyDescent="0.35">
      <c r="A19" s="10" t="s">
        <v>65</v>
      </c>
      <c r="B19" s="5">
        <v>4</v>
      </c>
      <c r="C19" s="5">
        <v>1</v>
      </c>
      <c r="D19" s="5">
        <f t="shared" si="0"/>
        <v>4</v>
      </c>
      <c r="E19" s="5">
        <v>3</v>
      </c>
      <c r="F19" s="5">
        <f t="shared" si="1"/>
        <v>12</v>
      </c>
      <c r="G19" s="5">
        <f t="shared" si="2"/>
        <v>0.60000000000000009</v>
      </c>
      <c r="H19" s="5">
        <f t="shared" si="3"/>
        <v>1.2000000000000002</v>
      </c>
      <c r="I19" s="11">
        <f t="shared" si="4"/>
        <v>1656.8874000000003</v>
      </c>
    </row>
    <row r="20" spans="1:9" x14ac:dyDescent="0.35">
      <c r="A20" s="10" t="s">
        <v>21</v>
      </c>
      <c r="B20" s="5">
        <v>2</v>
      </c>
      <c r="C20" s="5">
        <v>1</v>
      </c>
      <c r="D20" s="5">
        <f t="shared" si="0"/>
        <v>2</v>
      </c>
      <c r="E20" s="5">
        <v>0</v>
      </c>
      <c r="F20" s="5">
        <f t="shared" si="1"/>
        <v>0</v>
      </c>
      <c r="G20" s="5">
        <f t="shared" si="2"/>
        <v>0</v>
      </c>
      <c r="H20" s="5">
        <f t="shared" si="3"/>
        <v>0</v>
      </c>
      <c r="I20" s="22">
        <f t="shared" si="4"/>
        <v>0</v>
      </c>
    </row>
    <row r="21" spans="1:9" ht="15.5" x14ac:dyDescent="0.35">
      <c r="A21" s="10" t="s">
        <v>67</v>
      </c>
      <c r="B21" s="5">
        <v>4</v>
      </c>
      <c r="C21" s="5">
        <v>2</v>
      </c>
      <c r="D21" s="5">
        <f t="shared" si="0"/>
        <v>8</v>
      </c>
      <c r="E21" s="5">
        <v>4.0999999999999996</v>
      </c>
      <c r="F21" s="5">
        <f t="shared" si="1"/>
        <v>32.799999999999997</v>
      </c>
      <c r="G21" s="5">
        <f t="shared" si="2"/>
        <v>1.64</v>
      </c>
      <c r="H21" s="5">
        <f t="shared" si="3"/>
        <v>3.28</v>
      </c>
      <c r="I21" s="11">
        <f t="shared" si="4"/>
        <v>4528.8255600000002</v>
      </c>
    </row>
    <row r="22" spans="1:9" ht="15.5" x14ac:dyDescent="0.35">
      <c r="A22" s="10" t="s">
        <v>91</v>
      </c>
      <c r="B22" s="5">
        <v>4</v>
      </c>
      <c r="C22" s="5">
        <v>2</v>
      </c>
      <c r="D22" s="5">
        <f t="shared" si="0"/>
        <v>8</v>
      </c>
      <c r="E22" s="5">
        <v>4.0999999999999996</v>
      </c>
      <c r="F22" s="5">
        <f t="shared" si="1"/>
        <v>32.799999999999997</v>
      </c>
      <c r="G22" s="5">
        <f t="shared" si="2"/>
        <v>1.64</v>
      </c>
      <c r="H22" s="5">
        <f t="shared" si="3"/>
        <v>3.28</v>
      </c>
      <c r="I22" s="11">
        <f t="shared" si="4"/>
        <v>4528.8255600000002</v>
      </c>
    </row>
    <row r="23" spans="1:9" ht="15.5" x14ac:dyDescent="0.35">
      <c r="A23" s="10" t="s">
        <v>70</v>
      </c>
      <c r="B23" s="5">
        <v>10</v>
      </c>
      <c r="C23" s="5">
        <v>2</v>
      </c>
      <c r="D23" s="5">
        <f t="shared" si="0"/>
        <v>20</v>
      </c>
      <c r="E23" s="5">
        <v>13.67</v>
      </c>
      <c r="F23" s="5">
        <f t="shared" si="1"/>
        <v>273.39999999999998</v>
      </c>
      <c r="G23" s="5">
        <f t="shared" si="2"/>
        <v>13.67</v>
      </c>
      <c r="H23" s="5">
        <f t="shared" si="3"/>
        <v>27.34</v>
      </c>
      <c r="I23" s="11">
        <f t="shared" si="4"/>
        <v>37749.417930000003</v>
      </c>
    </row>
    <row r="24" spans="1:9" ht="15.5" x14ac:dyDescent="0.35">
      <c r="A24" s="10" t="s">
        <v>73</v>
      </c>
      <c r="B24" s="5">
        <v>4</v>
      </c>
      <c r="C24" s="5">
        <v>1</v>
      </c>
      <c r="D24" s="5">
        <f t="shared" si="0"/>
        <v>4</v>
      </c>
      <c r="E24" s="5">
        <v>41</v>
      </c>
      <c r="F24" s="5">
        <f t="shared" si="1"/>
        <v>164</v>
      </c>
      <c r="G24" s="5">
        <f t="shared" si="2"/>
        <v>8.2000000000000011</v>
      </c>
      <c r="H24" s="5">
        <f t="shared" si="3"/>
        <v>16.400000000000002</v>
      </c>
      <c r="I24" s="11">
        <f t="shared" si="4"/>
        <v>22644.127800000002</v>
      </c>
    </row>
    <row r="25" spans="1:9" x14ac:dyDescent="0.35">
      <c r="A25" s="8" t="s">
        <v>7</v>
      </c>
      <c r="B25" s="2"/>
      <c r="C25" s="2"/>
      <c r="D25" s="5"/>
      <c r="E25" s="2"/>
      <c r="F25" s="52">
        <f>SUM(F4:H24)</f>
        <v>17141.899999999998</v>
      </c>
      <c r="G25" s="53"/>
      <c r="H25" s="54"/>
      <c r="I25" s="15">
        <f>SUM(I4:I24)</f>
        <v>2058130.2986999999</v>
      </c>
    </row>
    <row r="26" spans="1:9" x14ac:dyDescent="0.35">
      <c r="A26" s="7" t="s">
        <v>8</v>
      </c>
      <c r="B26" s="5"/>
      <c r="C26" s="5"/>
      <c r="D26" s="5"/>
      <c r="E26" s="5"/>
      <c r="F26" s="5"/>
      <c r="G26" s="5"/>
      <c r="H26" s="5"/>
      <c r="I26" s="11"/>
    </row>
    <row r="27" spans="1:9" x14ac:dyDescent="0.35">
      <c r="A27" s="4" t="s">
        <v>82</v>
      </c>
      <c r="B27" s="5" t="s">
        <v>9</v>
      </c>
      <c r="C27" s="5"/>
      <c r="D27" s="5"/>
      <c r="E27" s="5"/>
      <c r="F27" s="5"/>
      <c r="G27" s="5"/>
      <c r="H27" s="5"/>
      <c r="I27" s="11"/>
    </row>
    <row r="28" spans="1:9" x14ac:dyDescent="0.35">
      <c r="A28" s="4" t="s">
        <v>83</v>
      </c>
      <c r="B28" s="5" t="s">
        <v>10</v>
      </c>
      <c r="C28" s="5"/>
      <c r="D28" s="5"/>
      <c r="E28" s="5"/>
      <c r="F28" s="5"/>
      <c r="G28" s="5"/>
      <c r="H28" s="5"/>
      <c r="I28" s="11"/>
    </row>
    <row r="29" spans="1:9" x14ac:dyDescent="0.35">
      <c r="A29" s="4" t="s">
        <v>22</v>
      </c>
      <c r="B29" s="5" t="s">
        <v>5</v>
      </c>
      <c r="C29" s="5"/>
      <c r="D29" s="5"/>
      <c r="E29" s="5"/>
      <c r="F29" s="5"/>
      <c r="G29" s="5"/>
      <c r="H29" s="5"/>
      <c r="I29" s="11"/>
    </row>
    <row r="30" spans="1:9" x14ac:dyDescent="0.35">
      <c r="A30" s="4" t="s">
        <v>23</v>
      </c>
      <c r="B30" s="5" t="s">
        <v>3</v>
      </c>
      <c r="C30" s="5"/>
      <c r="D30" s="5"/>
      <c r="E30" s="5"/>
      <c r="F30" s="5"/>
      <c r="G30" s="5"/>
      <c r="H30" s="5"/>
      <c r="I30" s="11"/>
    </row>
    <row r="31" spans="1:9" ht="15.5" x14ac:dyDescent="0.35">
      <c r="A31" s="4" t="s">
        <v>74</v>
      </c>
      <c r="B31" s="5"/>
      <c r="C31" s="5"/>
      <c r="D31" s="5"/>
      <c r="E31" s="5"/>
      <c r="F31" s="5"/>
      <c r="G31" s="5"/>
      <c r="H31" s="5"/>
      <c r="I31" s="11"/>
    </row>
    <row r="32" spans="1:9" x14ac:dyDescent="0.35">
      <c r="A32" s="10" t="s">
        <v>24</v>
      </c>
      <c r="B32" s="5">
        <v>0.5</v>
      </c>
      <c r="C32" s="5">
        <v>25</v>
      </c>
      <c r="D32" s="5">
        <f t="shared" si="0"/>
        <v>12.5</v>
      </c>
      <c r="E32" s="5">
        <v>41</v>
      </c>
      <c r="F32" s="5">
        <f t="shared" ref="F32" si="5">D32*E32</f>
        <v>512.5</v>
      </c>
      <c r="G32" s="16">
        <f t="shared" ref="G32" si="6">F32*0.05</f>
        <v>25.625</v>
      </c>
      <c r="H32" s="5">
        <f t="shared" ref="H32" si="7">F32*0.1</f>
        <v>51.25</v>
      </c>
      <c r="I32" s="11">
        <f>$L$6*F32+$L$5*G32+$L$7*H32</f>
        <v>70762.899374999994</v>
      </c>
    </row>
    <row r="33" spans="1:12" x14ac:dyDescent="0.35">
      <c r="A33" s="10" t="s">
        <v>25</v>
      </c>
      <c r="B33" s="5" t="s">
        <v>5</v>
      </c>
      <c r="C33" s="5"/>
      <c r="D33" s="5"/>
      <c r="E33" s="5"/>
      <c r="F33" s="5"/>
      <c r="G33" s="5"/>
      <c r="H33" s="5"/>
      <c r="I33" s="11"/>
    </row>
    <row r="34" spans="1:12" x14ac:dyDescent="0.35">
      <c r="A34" s="10" t="s">
        <v>26</v>
      </c>
      <c r="B34" s="5" t="s">
        <v>5</v>
      </c>
      <c r="C34" s="5"/>
      <c r="D34" s="5"/>
      <c r="E34" s="5"/>
      <c r="F34" s="5"/>
      <c r="G34" s="5"/>
      <c r="H34" s="5"/>
      <c r="I34" s="11"/>
    </row>
    <row r="35" spans="1:12" x14ac:dyDescent="0.35">
      <c r="A35" s="4" t="s">
        <v>27</v>
      </c>
      <c r="B35" s="5" t="s">
        <v>3</v>
      </c>
      <c r="C35" s="5"/>
      <c r="D35" s="5"/>
      <c r="E35" s="5"/>
      <c r="F35" s="5"/>
      <c r="G35" s="5"/>
      <c r="H35" s="5"/>
      <c r="I35" s="11"/>
    </row>
    <row r="36" spans="1:12" x14ac:dyDescent="0.35">
      <c r="A36" s="4" t="s">
        <v>28</v>
      </c>
      <c r="B36" s="5" t="s">
        <v>3</v>
      </c>
      <c r="C36" s="5"/>
      <c r="D36" s="5"/>
      <c r="E36" s="5"/>
      <c r="F36" s="5"/>
      <c r="G36" s="5"/>
      <c r="H36" s="5"/>
      <c r="I36" s="11"/>
    </row>
    <row r="37" spans="1:12" x14ac:dyDescent="0.35">
      <c r="A37" s="8" t="s">
        <v>11</v>
      </c>
      <c r="B37" s="2"/>
      <c r="C37" s="2"/>
      <c r="D37" s="2"/>
      <c r="E37" s="2"/>
      <c r="F37" s="55">
        <f>SUM(F26:H36)</f>
        <v>589.375</v>
      </c>
      <c r="G37" s="56"/>
      <c r="H37" s="57"/>
      <c r="I37" s="15">
        <f>SUM(I26:I36)</f>
        <v>70762.899374999994</v>
      </c>
      <c r="K37" t="s">
        <v>87</v>
      </c>
      <c r="L37" t="s">
        <v>88</v>
      </c>
    </row>
    <row r="38" spans="1:12" x14ac:dyDescent="0.35">
      <c r="A38" s="9" t="s">
        <v>78</v>
      </c>
      <c r="B38" s="3"/>
      <c r="C38" s="3"/>
      <c r="D38" s="3"/>
      <c r="E38" s="3"/>
      <c r="F38" s="51">
        <f>ROUND(F25+F37,-2)</f>
        <v>17700</v>
      </c>
      <c r="G38" s="51"/>
      <c r="H38" s="51"/>
      <c r="I38" s="15">
        <f>ROUND(I25+I37,-4)</f>
        <v>2130000</v>
      </c>
      <c r="K38">
        <f>Responses!F10</f>
        <v>80</v>
      </c>
      <c r="L38">
        <f>+F38/K38</f>
        <v>221.25</v>
      </c>
    </row>
    <row r="39" spans="1:12" x14ac:dyDescent="0.35">
      <c r="A39" s="9" t="s">
        <v>77</v>
      </c>
      <c r="B39" s="3"/>
      <c r="C39" s="3"/>
      <c r="D39" s="3"/>
      <c r="E39" s="3"/>
      <c r="F39" s="19"/>
      <c r="G39" s="19"/>
      <c r="H39" s="19"/>
      <c r="I39" s="15">
        <f>'Capital O&amp;M'!H7</f>
        <v>18600</v>
      </c>
    </row>
    <row r="40" spans="1:12" x14ac:dyDescent="0.35">
      <c r="A40" s="9" t="s">
        <v>79</v>
      </c>
      <c r="B40" s="3"/>
      <c r="C40" s="3"/>
      <c r="D40" s="3"/>
      <c r="E40" s="3"/>
      <c r="F40" s="19"/>
      <c r="G40" s="19"/>
      <c r="H40" s="19"/>
      <c r="I40" s="15">
        <f>ROUND(I38+I39,-4)</f>
        <v>2150000</v>
      </c>
    </row>
    <row r="42" spans="1:12" x14ac:dyDescent="0.35">
      <c r="A42" s="12" t="s">
        <v>33</v>
      </c>
    </row>
    <row r="43" spans="1:12" ht="48.75" customHeight="1" x14ac:dyDescent="0.35">
      <c r="A43" s="58" t="s">
        <v>90</v>
      </c>
      <c r="B43" s="58"/>
      <c r="C43" s="58"/>
      <c r="D43" s="58"/>
      <c r="E43" s="58"/>
      <c r="F43" s="58"/>
      <c r="G43" s="58"/>
      <c r="H43" s="58"/>
      <c r="I43" s="58"/>
      <c r="J43" s="58"/>
    </row>
    <row r="44" spans="1:12" ht="60.65" customHeight="1" x14ac:dyDescent="0.35">
      <c r="A44" s="58" t="s">
        <v>106</v>
      </c>
      <c r="B44" s="58"/>
      <c r="C44" s="58"/>
      <c r="D44" s="58"/>
      <c r="E44" s="58"/>
      <c r="F44" s="58"/>
      <c r="G44" s="58"/>
      <c r="H44" s="58"/>
      <c r="I44" s="58"/>
      <c r="J44" s="58"/>
      <c r="K44" s="42"/>
    </row>
    <row r="45" spans="1:12" ht="15.5" x14ac:dyDescent="0.35">
      <c r="A45" s="14" t="s">
        <v>57</v>
      </c>
    </row>
    <row r="46" spans="1:12" ht="39.75" customHeight="1" x14ac:dyDescent="0.35">
      <c r="A46" s="60" t="s">
        <v>58</v>
      </c>
      <c r="B46" s="60"/>
      <c r="C46" s="60"/>
      <c r="D46" s="60"/>
      <c r="E46" s="60"/>
      <c r="F46" s="60"/>
      <c r="G46" s="60"/>
      <c r="H46" s="60"/>
      <c r="I46" s="60"/>
      <c r="J46" s="60"/>
    </row>
    <row r="47" spans="1:12" ht="18.5" x14ac:dyDescent="0.35">
      <c r="A47" s="13" t="s">
        <v>60</v>
      </c>
    </row>
    <row r="48" spans="1:12" ht="57.75" customHeight="1" x14ac:dyDescent="0.35">
      <c r="A48" s="58" t="s">
        <v>92</v>
      </c>
      <c r="B48" s="58"/>
      <c r="C48" s="58"/>
      <c r="D48" s="58"/>
      <c r="E48" s="58"/>
      <c r="F48" s="58"/>
      <c r="G48" s="58"/>
      <c r="H48" s="58"/>
      <c r="I48" s="58"/>
      <c r="J48" s="58"/>
    </row>
    <row r="49" spans="1:10" ht="41.25" customHeight="1" x14ac:dyDescent="0.35">
      <c r="A49" s="58" t="s">
        <v>64</v>
      </c>
      <c r="B49" s="58"/>
      <c r="C49" s="58"/>
      <c r="D49" s="58"/>
      <c r="E49" s="58"/>
      <c r="F49" s="58"/>
      <c r="G49" s="58"/>
      <c r="H49" s="58"/>
      <c r="I49" s="58"/>
      <c r="J49" s="58"/>
    </row>
    <row r="50" spans="1:10" ht="15.5" x14ac:dyDescent="0.35">
      <c r="A50" s="14" t="s">
        <v>66</v>
      </c>
    </row>
    <row r="51" spans="1:10" ht="15.5" x14ac:dyDescent="0.35">
      <c r="A51" s="14" t="s">
        <v>68</v>
      </c>
    </row>
    <row r="52" spans="1:10" ht="15.5" x14ac:dyDescent="0.35">
      <c r="A52" s="14" t="s">
        <v>69</v>
      </c>
    </row>
    <row r="53" spans="1:10" ht="65.25" customHeight="1" x14ac:dyDescent="0.35">
      <c r="A53" s="60" t="s">
        <v>71</v>
      </c>
      <c r="B53" s="60"/>
      <c r="C53" s="60"/>
      <c r="D53" s="60"/>
      <c r="E53" s="60"/>
      <c r="F53" s="60"/>
      <c r="G53" s="60"/>
      <c r="H53" s="60"/>
      <c r="I53" s="60"/>
      <c r="J53" s="60"/>
    </row>
    <row r="54" spans="1:10" ht="33" customHeight="1" x14ac:dyDescent="0.35">
      <c r="A54" s="59" t="s">
        <v>75</v>
      </c>
      <c r="B54" s="59"/>
      <c r="C54" s="59"/>
      <c r="D54" s="59"/>
      <c r="E54" s="59"/>
      <c r="F54" s="59"/>
      <c r="G54" s="59"/>
      <c r="H54" s="59"/>
      <c r="I54" s="59"/>
      <c r="J54" s="59"/>
    </row>
    <row r="55" spans="1:10" ht="15.5" x14ac:dyDescent="0.35">
      <c r="A55" s="14" t="s">
        <v>76</v>
      </c>
    </row>
  </sheetData>
  <mergeCells count="11">
    <mergeCell ref="A54:J54"/>
    <mergeCell ref="A44:J44"/>
    <mergeCell ref="A46:J46"/>
    <mergeCell ref="A48:J48"/>
    <mergeCell ref="A49:J49"/>
    <mergeCell ref="A53:J53"/>
    <mergeCell ref="K4:L4"/>
    <mergeCell ref="F38:H38"/>
    <mergeCell ref="F25:H25"/>
    <mergeCell ref="F37:H37"/>
    <mergeCell ref="A43:J43"/>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workbookViewId="0">
      <selection activeCell="A2" sqref="A2"/>
    </sheetView>
  </sheetViews>
  <sheetFormatPr defaultRowHeight="14.5" x14ac:dyDescent="0.35"/>
  <cols>
    <col min="1" max="1" width="52.81640625" customWidth="1"/>
    <col min="2" max="2" width="9.54296875" customWidth="1"/>
    <col min="3" max="3" width="10.54296875" customWidth="1"/>
    <col min="9" max="9" width="16.1796875" customWidth="1"/>
    <col min="11" max="11" width="10.7265625" bestFit="1" customWidth="1"/>
  </cols>
  <sheetData>
    <row r="1" spans="1:12" x14ac:dyDescent="0.35">
      <c r="A1" s="1" t="s">
        <v>34</v>
      </c>
    </row>
    <row r="3" spans="1:12" ht="104" x14ac:dyDescent="0.35">
      <c r="A3" s="2" t="s">
        <v>35</v>
      </c>
      <c r="B3" s="2" t="s">
        <v>45</v>
      </c>
      <c r="C3" s="2" t="s">
        <v>46</v>
      </c>
      <c r="D3" s="2" t="s">
        <v>47</v>
      </c>
      <c r="E3" s="2" t="s">
        <v>48</v>
      </c>
      <c r="F3" s="2" t="s">
        <v>16</v>
      </c>
      <c r="G3" s="2" t="s">
        <v>49</v>
      </c>
      <c r="H3" s="2" t="s">
        <v>50</v>
      </c>
      <c r="I3" s="2" t="s">
        <v>19</v>
      </c>
    </row>
    <row r="4" spans="1:12" ht="15.5" x14ac:dyDescent="0.35">
      <c r="A4" s="7" t="s">
        <v>36</v>
      </c>
      <c r="B4" s="5">
        <v>2</v>
      </c>
      <c r="C4" s="5">
        <v>1</v>
      </c>
      <c r="D4" s="5">
        <f>B4*C4</f>
        <v>2</v>
      </c>
      <c r="E4" s="5">
        <v>0</v>
      </c>
      <c r="F4" s="5">
        <f>D4*E4</f>
        <v>0</v>
      </c>
      <c r="G4" s="5">
        <f>F4*0.05</f>
        <v>0</v>
      </c>
      <c r="H4" s="5">
        <f>F4*0.1</f>
        <v>0</v>
      </c>
      <c r="I4" s="17">
        <f>$L$6*F4+$L$5*G4+$L$7*H4</f>
        <v>0</v>
      </c>
      <c r="K4" s="50" t="s">
        <v>93</v>
      </c>
      <c r="L4" s="50"/>
    </row>
    <row r="5" spans="1:12" ht="15.5" x14ac:dyDescent="0.35">
      <c r="A5" s="7" t="s">
        <v>37</v>
      </c>
      <c r="B5" s="5">
        <v>2</v>
      </c>
      <c r="C5" s="5">
        <v>1</v>
      </c>
      <c r="D5" s="5">
        <f t="shared" ref="D5:D12" si="0">B5*C5</f>
        <v>2</v>
      </c>
      <c r="E5" s="5">
        <v>0</v>
      </c>
      <c r="F5" s="5">
        <f t="shared" ref="F5:F12" si="1">D5*E5</f>
        <v>0</v>
      </c>
      <c r="G5" s="5">
        <f t="shared" ref="G5:G12" si="2">F5*0.05</f>
        <v>0</v>
      </c>
      <c r="H5" s="5">
        <f t="shared" ref="H5:H12" si="3">F5*0.1</f>
        <v>0</v>
      </c>
      <c r="I5" s="17">
        <f t="shared" ref="I5:I12" si="4">$L$6*F5+$L$5*G5+$L$7*H5</f>
        <v>0</v>
      </c>
      <c r="K5" s="20" t="s">
        <v>94</v>
      </c>
      <c r="L5" s="21">
        <v>70.56</v>
      </c>
    </row>
    <row r="6" spans="1:12" ht="15.5" x14ac:dyDescent="0.35">
      <c r="A6" s="7" t="s">
        <v>38</v>
      </c>
      <c r="B6" s="5">
        <v>2</v>
      </c>
      <c r="C6" s="5">
        <v>1</v>
      </c>
      <c r="D6" s="5">
        <f t="shared" si="0"/>
        <v>2</v>
      </c>
      <c r="E6" s="5">
        <v>0</v>
      </c>
      <c r="F6" s="5">
        <f t="shared" si="1"/>
        <v>0</v>
      </c>
      <c r="G6" s="5">
        <f t="shared" si="2"/>
        <v>0</v>
      </c>
      <c r="H6" s="5">
        <f t="shared" si="3"/>
        <v>0</v>
      </c>
      <c r="I6" s="17">
        <f t="shared" si="4"/>
        <v>0</v>
      </c>
      <c r="K6" s="20" t="s">
        <v>97</v>
      </c>
      <c r="L6" s="21">
        <v>52.37</v>
      </c>
    </row>
    <row r="7" spans="1:12" ht="15.5" x14ac:dyDescent="0.35">
      <c r="A7" s="7" t="s">
        <v>39</v>
      </c>
      <c r="B7" s="5">
        <v>2</v>
      </c>
      <c r="C7" s="5">
        <v>1</v>
      </c>
      <c r="D7" s="5">
        <f t="shared" si="0"/>
        <v>2</v>
      </c>
      <c r="E7" s="5">
        <v>0</v>
      </c>
      <c r="F7" s="5">
        <f t="shared" si="1"/>
        <v>0</v>
      </c>
      <c r="G7" s="5">
        <f t="shared" si="2"/>
        <v>0</v>
      </c>
      <c r="H7" s="5">
        <f t="shared" si="3"/>
        <v>0</v>
      </c>
      <c r="I7" s="17">
        <f t="shared" si="4"/>
        <v>0</v>
      </c>
      <c r="K7" s="20" t="s">
        <v>96</v>
      </c>
      <c r="L7" s="21">
        <v>28.34</v>
      </c>
    </row>
    <row r="8" spans="1:12" ht="15.5" x14ac:dyDescent="0.35">
      <c r="A8" s="7" t="s">
        <v>40</v>
      </c>
      <c r="B8" s="5">
        <v>8</v>
      </c>
      <c r="C8" s="5">
        <v>1</v>
      </c>
      <c r="D8" s="5">
        <f t="shared" si="0"/>
        <v>8</v>
      </c>
      <c r="E8" s="5">
        <v>3</v>
      </c>
      <c r="F8" s="5">
        <f t="shared" si="1"/>
        <v>24</v>
      </c>
      <c r="G8" s="5">
        <f t="shared" si="2"/>
        <v>1.2000000000000002</v>
      </c>
      <c r="H8" s="5">
        <f t="shared" si="3"/>
        <v>2.4000000000000004</v>
      </c>
      <c r="I8" s="17">
        <f>$L$6*F8+$L$5*G8+$L$7*H8</f>
        <v>1409.568</v>
      </c>
    </row>
    <row r="9" spans="1:12" ht="15.5" x14ac:dyDescent="0.35">
      <c r="A9" s="7" t="s">
        <v>44</v>
      </c>
      <c r="B9" s="5">
        <v>2</v>
      </c>
      <c r="C9" s="5">
        <v>1</v>
      </c>
      <c r="D9" s="5">
        <f t="shared" si="0"/>
        <v>2</v>
      </c>
      <c r="E9" s="5">
        <v>4.0999999999999996</v>
      </c>
      <c r="F9" s="5">
        <f t="shared" si="1"/>
        <v>8.1999999999999993</v>
      </c>
      <c r="G9" s="5">
        <f t="shared" si="2"/>
        <v>0.41</v>
      </c>
      <c r="H9" s="5">
        <f t="shared" si="3"/>
        <v>0.82</v>
      </c>
      <c r="I9" s="17">
        <f t="shared" si="4"/>
        <v>481.60239999999999</v>
      </c>
    </row>
    <row r="10" spans="1:12" ht="15.5" x14ac:dyDescent="0.35">
      <c r="A10" s="7" t="s">
        <v>41</v>
      </c>
      <c r="B10" s="5">
        <v>4</v>
      </c>
      <c r="C10" s="5">
        <v>2</v>
      </c>
      <c r="D10" s="5">
        <f t="shared" si="0"/>
        <v>8</v>
      </c>
      <c r="E10" s="5">
        <v>13.67</v>
      </c>
      <c r="F10" s="5">
        <f t="shared" si="1"/>
        <v>109.36</v>
      </c>
      <c r="G10" s="16">
        <f t="shared" si="2"/>
        <v>5.468</v>
      </c>
      <c r="H10" s="16">
        <f t="shared" si="3"/>
        <v>10.936</v>
      </c>
      <c r="I10" s="17">
        <f>$L$6*F10+$L$5*G10+$L$7*H10</f>
        <v>6422.9315199999992</v>
      </c>
    </row>
    <row r="11" spans="1:12" ht="15.5" x14ac:dyDescent="0.35">
      <c r="A11" s="7" t="s">
        <v>42</v>
      </c>
      <c r="B11" s="5">
        <v>5</v>
      </c>
      <c r="C11" s="5">
        <v>1</v>
      </c>
      <c r="D11" s="5">
        <f t="shared" si="0"/>
        <v>5</v>
      </c>
      <c r="E11" s="5">
        <v>41</v>
      </c>
      <c r="F11" s="5">
        <f t="shared" si="1"/>
        <v>205</v>
      </c>
      <c r="G11" s="5">
        <f t="shared" si="2"/>
        <v>10.25</v>
      </c>
      <c r="H11" s="5">
        <f t="shared" si="3"/>
        <v>20.5</v>
      </c>
      <c r="I11" s="17">
        <f t="shared" si="4"/>
        <v>12040.06</v>
      </c>
    </row>
    <row r="12" spans="1:12" ht="15.5" x14ac:dyDescent="0.35">
      <c r="A12" s="7" t="s">
        <v>43</v>
      </c>
      <c r="B12" s="5">
        <v>4</v>
      </c>
      <c r="C12" s="5">
        <v>1</v>
      </c>
      <c r="D12" s="5">
        <f t="shared" si="0"/>
        <v>4</v>
      </c>
      <c r="E12" s="5">
        <v>4.0999999999999996</v>
      </c>
      <c r="F12" s="5">
        <f t="shared" si="1"/>
        <v>16.399999999999999</v>
      </c>
      <c r="G12" s="5">
        <f t="shared" si="2"/>
        <v>0.82</v>
      </c>
      <c r="H12" s="5">
        <f t="shared" si="3"/>
        <v>1.64</v>
      </c>
      <c r="I12" s="17">
        <f t="shared" si="4"/>
        <v>963.20479999999998</v>
      </c>
    </row>
    <row r="13" spans="1:12" x14ac:dyDescent="0.35">
      <c r="A13" s="9" t="s">
        <v>81</v>
      </c>
      <c r="B13" s="3"/>
      <c r="C13" s="3"/>
      <c r="D13" s="3"/>
      <c r="E13" s="3"/>
      <c r="F13" s="61">
        <f>ROUND(SUM(F4:H12),0)</f>
        <v>417</v>
      </c>
      <c r="G13" s="61"/>
      <c r="H13" s="61"/>
      <c r="I13" s="18">
        <f>ROUND(SUM(I4:I12),-2)</f>
        <v>21300</v>
      </c>
    </row>
    <row r="15" spans="1:12" x14ac:dyDescent="0.35">
      <c r="A15" s="12" t="s">
        <v>33</v>
      </c>
    </row>
    <row r="16" spans="1:12" ht="38.25" customHeight="1" x14ac:dyDescent="0.35">
      <c r="A16" s="58" t="s">
        <v>51</v>
      </c>
      <c r="B16" s="58"/>
      <c r="C16" s="58"/>
      <c r="D16" s="58"/>
      <c r="E16" s="58"/>
      <c r="F16" s="58"/>
      <c r="G16" s="58"/>
      <c r="H16" s="58"/>
      <c r="I16" s="58"/>
      <c r="J16" s="58"/>
    </row>
    <row r="17" spans="1:10" ht="60.65" customHeight="1" x14ac:dyDescent="0.35">
      <c r="A17" s="58" t="s">
        <v>107</v>
      </c>
      <c r="B17" s="58"/>
      <c r="C17" s="58"/>
      <c r="D17" s="58"/>
      <c r="E17" s="58"/>
      <c r="F17" s="58"/>
      <c r="G17" s="58"/>
      <c r="H17" s="58"/>
      <c r="I17" s="58"/>
      <c r="J17" s="58"/>
    </row>
    <row r="18" spans="1:10" ht="18.5" x14ac:dyDescent="0.35">
      <c r="A18" s="13" t="s">
        <v>89</v>
      </c>
    </row>
    <row r="19" spans="1:10" ht="39.75" customHeight="1" x14ac:dyDescent="0.35">
      <c r="A19" s="58" t="s">
        <v>52</v>
      </c>
      <c r="B19" s="58"/>
      <c r="C19" s="58"/>
      <c r="D19" s="58"/>
      <c r="E19" s="58"/>
      <c r="F19" s="58"/>
      <c r="G19" s="58"/>
      <c r="H19" s="58"/>
      <c r="I19" s="58"/>
      <c r="J19" s="58"/>
    </row>
    <row r="20" spans="1:10" ht="30" customHeight="1" x14ac:dyDescent="0.35">
      <c r="A20" s="58" t="s">
        <v>53</v>
      </c>
      <c r="B20" s="58"/>
      <c r="C20" s="58"/>
      <c r="D20" s="58"/>
      <c r="E20" s="58"/>
      <c r="F20" s="58"/>
      <c r="G20" s="58"/>
      <c r="H20" s="58"/>
      <c r="I20" s="58"/>
      <c r="J20" s="58"/>
    </row>
    <row r="21" spans="1:10" ht="15.5" x14ac:dyDescent="0.35">
      <c r="A21" s="14" t="s">
        <v>54</v>
      </c>
    </row>
    <row r="22" spans="1:10" ht="64.5" customHeight="1" x14ac:dyDescent="0.35">
      <c r="A22" s="60" t="s">
        <v>55</v>
      </c>
      <c r="B22" s="60"/>
      <c r="C22" s="60"/>
      <c r="D22" s="60"/>
      <c r="E22" s="60"/>
      <c r="F22" s="60"/>
      <c r="G22" s="60"/>
      <c r="H22" s="60"/>
      <c r="I22" s="60"/>
      <c r="J22" s="60"/>
    </row>
    <row r="23" spans="1:10" ht="29.25" customHeight="1" x14ac:dyDescent="0.35">
      <c r="A23" s="60" t="s">
        <v>56</v>
      </c>
      <c r="B23" s="60"/>
      <c r="C23" s="60"/>
      <c r="D23" s="60"/>
      <c r="E23" s="60"/>
      <c r="F23" s="60"/>
      <c r="G23" s="60"/>
      <c r="H23" s="60"/>
      <c r="I23" s="60"/>
      <c r="J23" s="60"/>
    </row>
    <row r="24" spans="1:10" ht="15.5" x14ac:dyDescent="0.35">
      <c r="A24" s="14" t="s">
        <v>80</v>
      </c>
    </row>
  </sheetData>
  <mergeCells count="8">
    <mergeCell ref="K4:L4"/>
    <mergeCell ref="A22:J22"/>
    <mergeCell ref="A23:J23"/>
    <mergeCell ref="F13:H13"/>
    <mergeCell ref="A16:J16"/>
    <mergeCell ref="A17:J17"/>
    <mergeCell ref="A19:J19"/>
    <mergeCell ref="A20:J20"/>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32164-189E-4494-92B3-1DB55C3C1CA7}">
  <dimension ref="B2:H12"/>
  <sheetViews>
    <sheetView workbookViewId="0"/>
  </sheetViews>
  <sheetFormatPr defaultRowHeight="14.5" x14ac:dyDescent="0.35"/>
  <cols>
    <col min="2" max="8" width="13.81640625" customWidth="1"/>
  </cols>
  <sheetData>
    <row r="2" spans="2:8" ht="29.5" customHeight="1" x14ac:dyDescent="0.35">
      <c r="B2" s="62" t="s">
        <v>109</v>
      </c>
      <c r="C2" s="62"/>
      <c r="D2" s="62"/>
      <c r="E2" s="62"/>
      <c r="F2" s="62"/>
      <c r="G2" s="62"/>
      <c r="H2" s="62"/>
    </row>
    <row r="3" spans="2:8" x14ac:dyDescent="0.35">
      <c r="B3" s="23" t="s">
        <v>110</v>
      </c>
      <c r="C3" s="23" t="s">
        <v>111</v>
      </c>
      <c r="D3" s="23" t="s">
        <v>112</v>
      </c>
      <c r="E3" s="23" t="s">
        <v>113</v>
      </c>
      <c r="F3" s="23" t="s">
        <v>114</v>
      </c>
      <c r="G3" s="23" t="s">
        <v>115</v>
      </c>
      <c r="H3" s="24" t="s">
        <v>116</v>
      </c>
    </row>
    <row r="4" spans="2:8" ht="54.5" x14ac:dyDescent="0.35">
      <c r="B4" s="25" t="s">
        <v>117</v>
      </c>
      <c r="C4" s="25" t="s">
        <v>118</v>
      </c>
      <c r="D4" s="25" t="s">
        <v>119</v>
      </c>
      <c r="E4" s="25" t="s">
        <v>120</v>
      </c>
      <c r="F4" s="25" t="s">
        <v>121</v>
      </c>
      <c r="G4" s="25" t="s">
        <v>122</v>
      </c>
      <c r="H4" s="26" t="s">
        <v>123</v>
      </c>
    </row>
    <row r="5" spans="2:8" ht="29" x14ac:dyDescent="0.35">
      <c r="B5" s="40" t="s">
        <v>148</v>
      </c>
      <c r="C5" s="39">
        <f>35000*596.2/525.4</f>
        <v>39716.406547392464</v>
      </c>
      <c r="D5" s="38">
        <v>0</v>
      </c>
      <c r="E5" s="39">
        <f>C5*D5</f>
        <v>0</v>
      </c>
      <c r="F5" s="39">
        <f>7500*596.2/525.4</f>
        <v>8510.6585458698137</v>
      </c>
      <c r="G5" s="38">
        <v>0</v>
      </c>
      <c r="H5" s="39">
        <f>F5*G5</f>
        <v>0</v>
      </c>
    </row>
    <row r="6" spans="2:8" ht="68" x14ac:dyDescent="0.35">
      <c r="B6" s="40" t="s">
        <v>149</v>
      </c>
      <c r="C6" s="39">
        <f>7500*596.2/525.4</f>
        <v>8510.6585458698137</v>
      </c>
      <c r="D6" s="38">
        <v>0</v>
      </c>
      <c r="E6" s="39">
        <f>C6*D6</f>
        <v>0</v>
      </c>
      <c r="F6" s="39">
        <f>4000*596.2/525.4</f>
        <v>4539.0178911305675</v>
      </c>
      <c r="G6" s="38">
        <f>'Table 1'!E7*0.1</f>
        <v>4.1000000000000005</v>
      </c>
      <c r="H6" s="39">
        <f>F6*G6</f>
        <v>18609.973353635331</v>
      </c>
    </row>
    <row r="7" spans="2:8" ht="16" x14ac:dyDescent="0.35">
      <c r="B7" s="27" t="s">
        <v>142</v>
      </c>
      <c r="C7" s="27"/>
      <c r="D7" s="27"/>
      <c r="E7" s="28">
        <f>SUM(E5:E6)</f>
        <v>0</v>
      </c>
      <c r="F7" s="29"/>
      <c r="G7" s="29"/>
      <c r="H7" s="28">
        <f>ROUND(SUM(H5:H6),-2)</f>
        <v>18600</v>
      </c>
    </row>
    <row r="8" spans="2:8" ht="15.5" x14ac:dyDescent="0.35">
      <c r="B8" s="43" t="s">
        <v>140</v>
      </c>
    </row>
    <row r="9" spans="2:8" ht="16" x14ac:dyDescent="0.35">
      <c r="B9" s="30" t="s">
        <v>141</v>
      </c>
    </row>
    <row r="10" spans="2:8" ht="16" x14ac:dyDescent="0.35">
      <c r="B10" s="44" t="s">
        <v>150</v>
      </c>
    </row>
    <row r="12" spans="2:8" x14ac:dyDescent="0.35">
      <c r="G12" s="31" t="s">
        <v>124</v>
      </c>
      <c r="H12" s="32">
        <f>ROUND(E7+H7,-2)</f>
        <v>18600</v>
      </c>
    </row>
  </sheetData>
  <mergeCells count="1">
    <mergeCell ref="B2:H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316D-712E-46BF-AD61-4495A62A3127}">
  <dimension ref="B2:F10"/>
  <sheetViews>
    <sheetView workbookViewId="0"/>
  </sheetViews>
  <sheetFormatPr defaultRowHeight="14.5" x14ac:dyDescent="0.35"/>
  <cols>
    <col min="2" max="6" width="13.453125" customWidth="1"/>
  </cols>
  <sheetData>
    <row r="2" spans="2:6" ht="14.5" customHeight="1" x14ac:dyDescent="0.35">
      <c r="B2" s="63" t="s">
        <v>104</v>
      </c>
      <c r="C2" s="64"/>
      <c r="D2" s="64"/>
      <c r="E2" s="64"/>
      <c r="F2" s="65"/>
    </row>
    <row r="3" spans="2:6" x14ac:dyDescent="0.35">
      <c r="B3" s="33" t="s">
        <v>110</v>
      </c>
      <c r="C3" s="33" t="s">
        <v>111</v>
      </c>
      <c r="D3" s="33" t="s">
        <v>112</v>
      </c>
      <c r="E3" s="33" t="s">
        <v>113</v>
      </c>
      <c r="F3" s="33" t="s">
        <v>114</v>
      </c>
    </row>
    <row r="4" spans="2:6" ht="125.5" customHeight="1" x14ac:dyDescent="0.35">
      <c r="B4" s="24" t="s">
        <v>125</v>
      </c>
      <c r="C4" s="24" t="s">
        <v>100</v>
      </c>
      <c r="D4" s="24" t="s">
        <v>126</v>
      </c>
      <c r="E4" s="24" t="s">
        <v>127</v>
      </c>
      <c r="F4" s="24" t="s">
        <v>128</v>
      </c>
    </row>
    <row r="5" spans="2:6" ht="41.5" customHeight="1" x14ac:dyDescent="0.35">
      <c r="B5" s="34" t="s">
        <v>143</v>
      </c>
      <c r="C5" s="5">
        <v>3</v>
      </c>
      <c r="D5" s="5">
        <v>1</v>
      </c>
      <c r="E5" s="5">
        <v>0</v>
      </c>
      <c r="F5" s="5">
        <f>(C5*D5)+E5</f>
        <v>3</v>
      </c>
    </row>
    <row r="6" spans="2:6" ht="39" x14ac:dyDescent="0.35">
      <c r="B6" s="34" t="s">
        <v>144</v>
      </c>
      <c r="C6" s="5">
        <v>4.0999999999999996</v>
      </c>
      <c r="D6" s="5">
        <v>1</v>
      </c>
      <c r="E6" s="5">
        <v>0</v>
      </c>
      <c r="F6" s="5">
        <f t="shared" ref="F6:F9" si="0">(C6*D6)+E6</f>
        <v>4.0999999999999996</v>
      </c>
    </row>
    <row r="7" spans="2:6" ht="52" x14ac:dyDescent="0.35">
      <c r="B7" s="34" t="s">
        <v>145</v>
      </c>
      <c r="C7" s="5">
        <v>4.0999999999999996</v>
      </c>
      <c r="D7" s="5">
        <v>1</v>
      </c>
      <c r="E7" s="5">
        <v>0</v>
      </c>
      <c r="F7" s="5">
        <f t="shared" si="0"/>
        <v>4.0999999999999996</v>
      </c>
    </row>
    <row r="8" spans="2:6" ht="39" x14ac:dyDescent="0.35">
      <c r="B8" s="34" t="s">
        <v>146</v>
      </c>
      <c r="C8" s="5">
        <v>13.67</v>
      </c>
      <c r="D8" s="5">
        <v>2</v>
      </c>
      <c r="E8" s="5">
        <v>0</v>
      </c>
      <c r="F8" s="5">
        <f t="shared" si="0"/>
        <v>27.34</v>
      </c>
    </row>
    <row r="9" spans="2:6" ht="39.5" x14ac:dyDescent="0.35">
      <c r="B9" s="40" t="s">
        <v>147</v>
      </c>
      <c r="C9" s="5">
        <v>41</v>
      </c>
      <c r="D9" s="5">
        <v>1</v>
      </c>
      <c r="E9" s="5">
        <v>0</v>
      </c>
      <c r="F9" s="5">
        <f t="shared" si="0"/>
        <v>41</v>
      </c>
    </row>
    <row r="10" spans="2:6" ht="26" x14ac:dyDescent="0.35">
      <c r="B10" s="41"/>
      <c r="C10" s="33"/>
      <c r="D10" s="33"/>
      <c r="E10" s="35" t="s">
        <v>129</v>
      </c>
      <c r="F10" s="2">
        <f>ROUND(SUM(F5:F9),0)</f>
        <v>80</v>
      </c>
    </row>
  </sheetData>
  <mergeCells count="1">
    <mergeCell ref="B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010F-6629-4B40-96AB-D486D81E0909}">
  <dimension ref="B2:G10"/>
  <sheetViews>
    <sheetView workbookViewId="0">
      <selection activeCell="A2" sqref="A2"/>
    </sheetView>
  </sheetViews>
  <sheetFormatPr defaultRowHeight="14.5" x14ac:dyDescent="0.35"/>
  <cols>
    <col min="2" max="7" width="13.7265625" customWidth="1"/>
  </cols>
  <sheetData>
    <row r="2" spans="2:7" x14ac:dyDescent="0.35">
      <c r="B2" s="66" t="s">
        <v>100</v>
      </c>
      <c r="C2" s="67"/>
      <c r="D2" s="67"/>
      <c r="E2" s="67"/>
      <c r="F2" s="67"/>
      <c r="G2" s="67"/>
    </row>
    <row r="3" spans="2:7" ht="39.5" x14ac:dyDescent="0.35">
      <c r="B3" s="27"/>
      <c r="C3" s="68" t="s">
        <v>130</v>
      </c>
      <c r="D3" s="68"/>
      <c r="E3" s="37" t="s">
        <v>131</v>
      </c>
      <c r="F3" s="68"/>
      <c r="G3" s="68"/>
    </row>
    <row r="4" spans="2:7" ht="91" x14ac:dyDescent="0.35">
      <c r="B4" s="29" t="s">
        <v>132</v>
      </c>
      <c r="C4" s="5" t="s">
        <v>133</v>
      </c>
      <c r="D4" s="5" t="s">
        <v>134</v>
      </c>
      <c r="E4" s="5" t="s">
        <v>135</v>
      </c>
      <c r="F4" s="5" t="s">
        <v>136</v>
      </c>
      <c r="G4" s="5" t="s">
        <v>137</v>
      </c>
    </row>
    <row r="5" spans="2:7" x14ac:dyDescent="0.35">
      <c r="B5" s="36">
        <v>1</v>
      </c>
      <c r="C5" s="36">
        <v>0</v>
      </c>
      <c r="D5" s="36">
        <v>41</v>
      </c>
      <c r="E5" s="36">
        <v>0</v>
      </c>
      <c r="F5" s="36">
        <v>0</v>
      </c>
      <c r="G5" s="36">
        <f>C5+D5</f>
        <v>41</v>
      </c>
    </row>
    <row r="6" spans="2:7" x14ac:dyDescent="0.35">
      <c r="B6" s="36">
        <v>2</v>
      </c>
      <c r="C6" s="36">
        <v>0</v>
      </c>
      <c r="D6" s="36">
        <v>41</v>
      </c>
      <c r="E6" s="36">
        <v>0</v>
      </c>
      <c r="F6" s="36">
        <v>0</v>
      </c>
      <c r="G6" s="36">
        <f t="shared" ref="G6:G7" si="0">C6+D6</f>
        <v>41</v>
      </c>
    </row>
    <row r="7" spans="2:7" x14ac:dyDescent="0.35">
      <c r="B7" s="36">
        <v>3</v>
      </c>
      <c r="C7" s="36">
        <v>0</v>
      </c>
      <c r="D7" s="36">
        <f>D6+C7</f>
        <v>41</v>
      </c>
      <c r="E7" s="36">
        <v>0</v>
      </c>
      <c r="F7" s="36">
        <v>0</v>
      </c>
      <c r="G7" s="36">
        <f t="shared" si="0"/>
        <v>41</v>
      </c>
    </row>
    <row r="8" spans="2:7" x14ac:dyDescent="0.35">
      <c r="B8" s="36" t="s">
        <v>138</v>
      </c>
      <c r="C8" s="36">
        <f>AVERAGE(C5:C7)</f>
        <v>0</v>
      </c>
      <c r="D8" s="36">
        <f>AVERAGE(D5:D7)</f>
        <v>41</v>
      </c>
      <c r="E8" s="36">
        <f>AVERAGE(E5:E7)</f>
        <v>0</v>
      </c>
      <c r="F8" s="36">
        <f>AVERAGE(F5:F7)</f>
        <v>0</v>
      </c>
      <c r="G8" s="36">
        <f>AVERAGE(G5:G7)</f>
        <v>41</v>
      </c>
    </row>
    <row r="10" spans="2:7" ht="16" x14ac:dyDescent="0.35">
      <c r="B10" s="30" t="s">
        <v>139</v>
      </c>
    </row>
  </sheetData>
  <mergeCells count="3">
    <mergeCell ref="B2:G2"/>
    <mergeCell ref="C3:D3"/>
    <mergeCell ref="F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2016-10-06T00:12:11Z</dcterms:created>
  <dcterms:modified xsi:type="dcterms:W3CDTF">2023-02-06T13:05:27Z</dcterms:modified>
</cp:coreProperties>
</file>