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14_{350474CD-2887-4261-BAA2-6DA2C4CCC47B}" xr6:coauthVersionLast="47" xr6:coauthVersionMax="47" xr10:uidLastSave="{00000000-0000-0000-0000-000000000000}"/>
  <bookViews>
    <workbookView xWindow="-110" yWindow="-110" windowWidth="19420" windowHeight="10420" tabRatio="856" xr2:uid="{F82A09FE-D693-4EDD-B883-64CB8C3899F3}"/>
  </bookViews>
  <sheets>
    <sheet name="Summary" sheetId="18" r:id="rId1"/>
    <sheet name="Table 1" sheetId="8" r:id="rId2"/>
    <sheet name="Table 2" sheetId="9" r:id="rId3"/>
    <sheet name="Capital_O&amp;M" sheetId="10" r:id="rId4"/>
    <sheet name="Responses" sheetId="17" r:id="rId5"/>
    <sheet name="Respondents" sheetId="1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8" l="1"/>
  <c r="I35" i="8"/>
  <c r="E9" i="17"/>
  <c r="C8" i="17"/>
  <c r="C5" i="17"/>
  <c r="C4" i="17"/>
  <c r="C7" i="9"/>
  <c r="C6" i="9"/>
  <c r="C5" i="9"/>
  <c r="F5" i="16" l="1"/>
  <c r="C8" i="16"/>
  <c r="B8" i="16"/>
  <c r="D7" i="10" l="1"/>
  <c r="E28" i="8"/>
  <c r="B7" i="17" l="1"/>
  <c r="E10" i="9"/>
  <c r="E8" i="9"/>
  <c r="E29" i="8"/>
  <c r="E17" i="8"/>
  <c r="E7" i="9" s="1"/>
  <c r="E16" i="8"/>
  <c r="B4" i="17" s="1"/>
  <c r="E4" i="17" s="1"/>
  <c r="E15" i="8"/>
  <c r="B5" i="17" s="1"/>
  <c r="E5" i="17" s="1"/>
  <c r="B6" i="17" l="1"/>
  <c r="E5" i="9"/>
  <c r="E11" i="9" s="1"/>
  <c r="E6" i="9"/>
  <c r="C7" i="17"/>
  <c r="E7" i="17" s="1"/>
  <c r="C6" i="17"/>
  <c r="C11" i="8"/>
  <c r="E6" i="17" l="1"/>
  <c r="F6" i="16"/>
  <c r="F7" i="16"/>
  <c r="D5" i="10"/>
  <c r="D6" i="10"/>
  <c r="D4" i="10"/>
  <c r="F4" i="10" l="1"/>
  <c r="D11" i="9"/>
  <c r="E30" i="8"/>
  <c r="E31" i="8"/>
  <c r="D8" i="8" l="1"/>
  <c r="F8" i="8" s="1"/>
  <c r="H8" i="8" l="1"/>
  <c r="G8" i="8"/>
  <c r="I8" i="8" s="1"/>
  <c r="E8" i="16"/>
  <c r="D8" i="16"/>
  <c r="C9" i="9"/>
  <c r="F8" i="16" l="1"/>
  <c r="B3" i="18" s="1"/>
  <c r="D12" i="9" l="1"/>
  <c r="D10" i="9"/>
  <c r="D9" i="9"/>
  <c r="D8" i="9"/>
  <c r="D7" i="9"/>
  <c r="D6" i="9"/>
  <c r="D5" i="9"/>
  <c r="F5" i="9" s="1"/>
  <c r="D31" i="8"/>
  <c r="D30" i="8"/>
  <c r="D29" i="8"/>
  <c r="D28" i="8"/>
  <c r="D27" i="8"/>
  <c r="D19" i="8"/>
  <c r="D17" i="8"/>
  <c r="D16" i="8"/>
  <c r="D15" i="8"/>
  <c r="E11" i="8"/>
  <c r="E9" i="9" s="1"/>
  <c r="D11" i="8"/>
  <c r="D10" i="8"/>
  <c r="F10" i="8" s="1"/>
  <c r="F10" i="9" l="1"/>
  <c r="G10" i="9" s="1"/>
  <c r="F6" i="9"/>
  <c r="F8" i="9"/>
  <c r="H8" i="9" s="1"/>
  <c r="F7" i="9"/>
  <c r="H7" i="9" s="1"/>
  <c r="F9" i="9"/>
  <c r="G9" i="9" s="1"/>
  <c r="F11" i="9"/>
  <c r="H11" i="9" s="1"/>
  <c r="F11" i="8"/>
  <c r="F17" i="8"/>
  <c r="F16" i="8"/>
  <c r="H16" i="8" s="1"/>
  <c r="G10" i="8"/>
  <c r="H10" i="8"/>
  <c r="F15" i="8"/>
  <c r="F5" i="10"/>
  <c r="G5" i="10" s="1"/>
  <c r="F31" i="8"/>
  <c r="H5" i="9"/>
  <c r="G5" i="9"/>
  <c r="F28" i="8"/>
  <c r="F30" i="8"/>
  <c r="E19" i="8"/>
  <c r="E27" i="8"/>
  <c r="H6" i="9" l="1"/>
  <c r="I6" i="9" s="1"/>
  <c r="G6" i="9"/>
  <c r="B8" i="17"/>
  <c r="E8" i="17" s="1"/>
  <c r="E12" i="9"/>
  <c r="F12" i="9" s="1"/>
  <c r="G11" i="9"/>
  <c r="I11" i="9" s="1"/>
  <c r="I10" i="8"/>
  <c r="H10" i="9"/>
  <c r="I10" i="9" s="1"/>
  <c r="G16" i="8"/>
  <c r="I16" i="8" s="1"/>
  <c r="H15" i="8"/>
  <c r="H17" i="8"/>
  <c r="G11" i="8"/>
  <c r="G8" i="9"/>
  <c r="I8" i="9" s="1"/>
  <c r="G17" i="8"/>
  <c r="G7" i="9"/>
  <c r="I7" i="9" s="1"/>
  <c r="H9" i="9"/>
  <c r="I9" i="9" s="1"/>
  <c r="I5" i="9"/>
  <c r="H11" i="8"/>
  <c r="G15" i="8"/>
  <c r="F19" i="8"/>
  <c r="G28" i="8"/>
  <c r="H28" i="8"/>
  <c r="G30" i="8"/>
  <c r="H30" i="8"/>
  <c r="G4" i="10"/>
  <c r="F29" i="8"/>
  <c r="F6" i="10"/>
  <c r="G6" i="10" s="1"/>
  <c r="F27" i="8"/>
  <c r="H31" i="8"/>
  <c r="G31" i="8"/>
  <c r="K34" i="8" l="1"/>
  <c r="B7" i="18"/>
  <c r="G12" i="9"/>
  <c r="H12" i="9"/>
  <c r="G7" i="10"/>
  <c r="B6" i="18" s="1"/>
  <c r="I11" i="8"/>
  <c r="I17" i="8"/>
  <c r="I31" i="8"/>
  <c r="I15" i="8"/>
  <c r="I30" i="8"/>
  <c r="I28" i="8"/>
  <c r="G19" i="8"/>
  <c r="H19" i="8"/>
  <c r="H27" i="8"/>
  <c r="G27" i="8"/>
  <c r="F34" i="8" s="1"/>
  <c r="H29" i="8"/>
  <c r="G29" i="8"/>
  <c r="F35" i="8" l="1"/>
  <c r="K35" i="8" s="1"/>
  <c r="I12" i="9"/>
  <c r="I13" i="9" s="1"/>
  <c r="F13" i="9"/>
  <c r="F20" i="8"/>
  <c r="I29" i="8"/>
  <c r="I19" i="8"/>
  <c r="I20" i="8" s="1"/>
  <c r="I27" i="8"/>
  <c r="I36" i="8"/>
  <c r="B4" i="18" l="1"/>
  <c r="B2" i="18"/>
  <c r="I34" i="8"/>
  <c r="B5" i="18" l="1"/>
</calcChain>
</file>

<file path=xl/sharedStrings.xml><?xml version="1.0" encoding="utf-8"?>
<sst xmlns="http://schemas.openxmlformats.org/spreadsheetml/2006/main" count="180" uniqueCount="142">
  <si>
    <t>Number of Respondents</t>
  </si>
  <si>
    <t>Respondents That Submit Reports</t>
  </si>
  <si>
    <t>Respondents That Do Not Submit Any Reports</t>
  </si>
  <si>
    <t>(A)</t>
  </si>
  <si>
    <t>(B)</t>
  </si>
  <si>
    <t>(C)</t>
  </si>
  <si>
    <t>(D)</t>
  </si>
  <si>
    <t>(E)</t>
  </si>
  <si>
    <t>Year</t>
  </si>
  <si>
    <t>Number of Existing Respondents</t>
  </si>
  <si>
    <t>Number of Existing Respondents that keep records but do not submit reports</t>
  </si>
  <si>
    <t>Number of Existing Respondents That Are Also New Respondents</t>
  </si>
  <si>
    <t>Average</t>
  </si>
  <si>
    <t>Burden Item</t>
  </si>
  <si>
    <t xml:space="preserve">(E)            </t>
  </si>
  <si>
    <t>(F)</t>
  </si>
  <si>
    <t>(G)</t>
  </si>
  <si>
    <t>(H)</t>
  </si>
  <si>
    <t xml:space="preserve">Respondent Hours per Occurrence  </t>
  </si>
  <si>
    <t>Number of Occurrences per Respondent per Year</t>
  </si>
  <si>
    <t>Hours per Respondent per Year
(A x B)</t>
  </si>
  <si>
    <r>
      <t xml:space="preserve">Number of Respondents per Year </t>
    </r>
    <r>
      <rPr>
        <b/>
        <vertAlign val="superscript"/>
        <sz val="10"/>
        <rFont val="Times New Roman"/>
        <family val="1"/>
      </rPr>
      <t>a</t>
    </r>
  </si>
  <si>
    <t>Technical Hours per Year
(C x D)</t>
  </si>
  <si>
    <t>Management Hours per Year
(E x 0.05)</t>
  </si>
  <si>
    <t>Clerical Hours per Year              (Ex0.1)</t>
  </si>
  <si>
    <r>
      <t xml:space="preserve">Total Labor Costs per Year, $ </t>
    </r>
    <r>
      <rPr>
        <b/>
        <vertAlign val="superscript"/>
        <sz val="10"/>
        <rFont val="Times New Roman"/>
        <family val="1"/>
      </rPr>
      <t>b</t>
    </r>
  </si>
  <si>
    <t>1. Applications</t>
  </si>
  <si>
    <t>N/A</t>
  </si>
  <si>
    <t>Labor Rates:</t>
  </si>
  <si>
    <t>2. Survey and Studies</t>
  </si>
  <si>
    <t>Management</t>
  </si>
  <si>
    <t>3. Reporting Requirements</t>
  </si>
  <si>
    <t>Technical</t>
  </si>
  <si>
    <t>A. Read and understand rule requirements</t>
  </si>
  <si>
    <t>Clerical</t>
  </si>
  <si>
    <t>B. Required activities</t>
  </si>
  <si>
    <r>
      <t xml:space="preserve">Initial Performance tests </t>
    </r>
    <r>
      <rPr>
        <vertAlign val="superscript"/>
        <sz val="10"/>
        <rFont val="Times New Roman"/>
        <family val="1"/>
      </rPr>
      <t>c</t>
    </r>
  </si>
  <si>
    <r>
      <t xml:space="preserve">Repeat Performance tests </t>
    </r>
    <r>
      <rPr>
        <vertAlign val="superscript"/>
        <sz val="10"/>
        <rFont val="Times New Roman"/>
        <family val="1"/>
      </rPr>
      <t>c</t>
    </r>
  </si>
  <si>
    <t>------------------------See 4E----------------------------</t>
  </si>
  <si>
    <t>D. Gather Existing Information</t>
  </si>
  <si>
    <t>-------------------See 3B and 4E-----------------------</t>
  </si>
  <si>
    <t xml:space="preserve">E. Write report </t>
  </si>
  <si>
    <t>Notification of construction/modification</t>
  </si>
  <si>
    <t>Notification of actual startup</t>
  </si>
  <si>
    <t>Notification of initial performance test</t>
  </si>
  <si>
    <t>Reports of performance test results</t>
  </si>
  <si>
    <t>------------------------See 3B----------------------------</t>
  </si>
  <si>
    <r>
      <t>Subtotal for Reporting</t>
    </r>
    <r>
      <rPr>
        <i/>
        <sz val="10"/>
        <rFont val="Times New Roman"/>
        <family val="1"/>
      </rPr>
      <t> </t>
    </r>
    <r>
      <rPr>
        <b/>
        <i/>
        <sz val="10"/>
        <rFont val="Times New Roman"/>
        <family val="1"/>
      </rPr>
      <t>Requirements</t>
    </r>
  </si>
  <si>
    <t>4. Recording Requirements</t>
  </si>
  <si>
    <t>------------------------See 3A----------------------------</t>
  </si>
  <si>
    <t>B. Plan activities</t>
  </si>
  <si>
    <t>C. Implement activities</t>
  </si>
  <si>
    <t>D. Develop record system</t>
  </si>
  <si>
    <t>E. Time to enter and transmit information:</t>
  </si>
  <si>
    <t>F. Time to train personnel</t>
  </si>
  <si>
    <t>G. Time for audits</t>
  </si>
  <si>
    <t>Subtotal for Recordkeeping Requirements</t>
  </si>
  <si>
    <t>responses</t>
  </si>
  <si>
    <t>hr/response</t>
  </si>
  <si>
    <t>Assumptions:</t>
  </si>
  <si>
    <t>Activity</t>
  </si>
  <si>
    <t xml:space="preserve">(C)    </t>
  </si>
  <si>
    <t xml:space="preserve">(D)    </t>
  </si>
  <si>
    <t xml:space="preserve">(E)    </t>
  </si>
  <si>
    <t xml:space="preserve">(F)  </t>
  </si>
  <si>
    <t xml:space="preserve">(H)  </t>
  </si>
  <si>
    <t xml:space="preserve">EPA Hours per Occurrence  </t>
  </si>
  <si>
    <t>Number of Occurrences per Plant Per Year</t>
  </si>
  <si>
    <t>EPA Hours per Year
(AxB)</t>
  </si>
  <si>
    <r>
      <t xml:space="preserve">Plants per Year </t>
    </r>
    <r>
      <rPr>
        <b/>
        <vertAlign val="superscript"/>
        <sz val="10"/>
        <rFont val="Times New Roman"/>
        <family val="1"/>
      </rPr>
      <t>a</t>
    </r>
  </si>
  <si>
    <t>Technical Hours per Year 
(CxD)</t>
  </si>
  <si>
    <t xml:space="preserve">          Management Hours per Year
(Ex0.05)</t>
  </si>
  <si>
    <t>Clerical Hours per Year
(Ex0.1)</t>
  </si>
  <si>
    <r>
      <t xml:space="preserve">Costs per Year, $ </t>
    </r>
    <r>
      <rPr>
        <b/>
        <vertAlign val="superscript"/>
        <sz val="10"/>
        <rFont val="Times New Roman"/>
        <family val="1"/>
      </rPr>
      <t>b</t>
    </r>
  </si>
  <si>
    <r>
      <t xml:space="preserve">Notification of performance test </t>
    </r>
    <r>
      <rPr>
        <vertAlign val="superscript"/>
        <sz val="10"/>
        <rFont val="Times New Roman"/>
        <family val="1"/>
      </rPr>
      <t>c</t>
    </r>
  </si>
  <si>
    <r>
      <t xml:space="preserve">Review Performance Test results </t>
    </r>
    <r>
      <rPr>
        <vertAlign val="superscript"/>
        <sz val="10"/>
        <rFont val="Times New Roman"/>
        <family val="1"/>
      </rPr>
      <t>c</t>
    </r>
  </si>
  <si>
    <t>Notification of COMS Demonstration</t>
  </si>
  <si>
    <t xml:space="preserve">Semiannual reports </t>
  </si>
  <si>
    <t>Assumptions</t>
  </si>
  <si>
    <t>Capital/Startup vs. Operation and Maintenance (O&amp;M) Costs</t>
  </si>
  <si>
    <t>Continuous Monitoring Device</t>
  </si>
  <si>
    <t>Capital/Startup Cost for One Respondent</t>
  </si>
  <si>
    <t>Number of New Respondents</t>
  </si>
  <si>
    <t>Annual O&amp;M Costs for One Respondent</t>
  </si>
  <si>
    <t>Number of Respondents with O&amp;M</t>
  </si>
  <si>
    <t>Total Annual Responses</t>
  </si>
  <si>
    <t>Information Collection Activity</t>
  </si>
  <si>
    <t>Number of Responses</t>
  </si>
  <si>
    <t>Number of Existing Respondents That Keep Records But Do Not Submit Reports</t>
  </si>
  <si>
    <t>Total Annual Responses E=(BxC)+D</t>
  </si>
  <si>
    <r>
      <t>Notification of construction/ modification</t>
    </r>
    <r>
      <rPr>
        <vertAlign val="superscript"/>
        <sz val="10"/>
        <rFont val="Times New Roman"/>
        <family val="1"/>
      </rPr>
      <t xml:space="preserve"> </t>
    </r>
  </si>
  <si>
    <t xml:space="preserve">Notification of performance test </t>
  </si>
  <si>
    <t>Semiannual reports</t>
  </si>
  <si>
    <t>Total</t>
  </si>
  <si>
    <t xml:space="preserve">Table 1: Annual Respondent Burden and Cost – NSPS for Steel Plants: Electric Arc Furnaces and Argon Oxygen Decarburization Vessels (40 CFR Part 60, Subparts AA and AAa) (Renewal)
</t>
  </si>
  <si>
    <r>
      <t>d</t>
    </r>
    <r>
      <rPr>
        <sz val="10"/>
        <rFont val="Times New Roman"/>
        <family val="1"/>
      </rPr>
      <t xml:space="preserve">  Daily monitoring of operations includes time and duration of each charge, time and duration of each tap, flow rate data and pressure data.  In addition, sources are required to conduct monthly operational status checks of the equipment (e.g., physical appearance, pressure sensors, dampers, damper switches).</t>
    </r>
  </si>
  <si>
    <r>
      <t xml:space="preserve">     Records of daily monitoring of operations </t>
    </r>
    <r>
      <rPr>
        <vertAlign val="superscript"/>
        <sz val="10"/>
        <rFont val="Times New Roman"/>
        <family val="1"/>
      </rPr>
      <t>d</t>
    </r>
  </si>
  <si>
    <r>
      <t>e</t>
    </r>
    <r>
      <rPr>
        <sz val="10"/>
        <rFont val="Times New Roman"/>
        <family val="1"/>
      </rPr>
      <t xml:space="preserve">  Daily emissions monitoring includes stack emissions monitoring using a continuous opacity monitor if the source has an EAF equipped with a direct shell evacuation system (DEC) and uses a negative pressure baghouse and has not elected the alternative option.  In addition, the source is required to conduct fugitive emissions monitoring using a furnace static pressure monitoring device or by electing to perform shop opacity observations using a certified visible emissions observer, it the source has an EAF equipped with a DEC.</t>
    </r>
  </si>
  <si>
    <r>
      <t>f</t>
    </r>
    <r>
      <rPr>
        <sz val="10"/>
        <rFont val="Times New Roman"/>
        <family val="1"/>
      </rPr>
      <t xml:space="preserve">  Sources are required to provide semiannual reports of opacity observations and operational values (i.e., furnace static pressure, fan motor amperes) that exceed or are below (i.e, flow rates) those established during the performance test, and of all shop opacity observations in excess of the emission limit.</t>
    </r>
  </si>
  <si>
    <r>
      <t xml:space="preserve">Semiannual reports </t>
    </r>
    <r>
      <rPr>
        <vertAlign val="superscript"/>
        <sz val="10"/>
        <rFont val="Times New Roman"/>
        <family val="1"/>
      </rPr>
      <t>f</t>
    </r>
  </si>
  <si>
    <r>
      <t xml:space="preserve">Records of static pressure on furnace  </t>
    </r>
    <r>
      <rPr>
        <vertAlign val="superscript"/>
        <sz val="10"/>
        <rFont val="Times New Roman"/>
        <family val="1"/>
      </rPr>
      <t>h</t>
    </r>
  </si>
  <si>
    <r>
      <t xml:space="preserve">Records of COMS </t>
    </r>
    <r>
      <rPr>
        <vertAlign val="superscript"/>
        <sz val="10"/>
        <rFont val="Times New Roman"/>
        <family val="1"/>
      </rPr>
      <t>g, i</t>
    </r>
  </si>
  <si>
    <r>
      <t xml:space="preserve">Records of BLDS </t>
    </r>
    <r>
      <rPr>
        <vertAlign val="superscript"/>
        <sz val="10"/>
        <rFont val="Times New Roman"/>
        <family val="1"/>
      </rPr>
      <t>h, i</t>
    </r>
  </si>
  <si>
    <r>
      <t xml:space="preserve">j </t>
    </r>
    <r>
      <rPr>
        <sz val="10"/>
        <rFont val="Times New Roman"/>
        <family val="1"/>
      </rPr>
      <t xml:space="preserve">Totals have been rounded to 3 significant figures.  Figures may not add exactly due to rounding. </t>
    </r>
  </si>
  <si>
    <r>
      <t xml:space="preserve">Total Labor Burden and Cost (rounded) </t>
    </r>
    <r>
      <rPr>
        <b/>
        <vertAlign val="superscript"/>
        <sz val="10"/>
        <rFont val="Times New Roman"/>
        <family val="1"/>
      </rPr>
      <t>j</t>
    </r>
  </si>
  <si>
    <r>
      <t xml:space="preserve">Total Capital and O&amp;M Cost (rounded) </t>
    </r>
    <r>
      <rPr>
        <b/>
        <vertAlign val="superscript"/>
        <sz val="10"/>
        <rFont val="Times New Roman"/>
        <family val="1"/>
      </rPr>
      <t>j</t>
    </r>
  </si>
  <si>
    <r>
      <t xml:space="preserve">Grand Total (rounded) </t>
    </r>
    <r>
      <rPr>
        <b/>
        <vertAlign val="superscript"/>
        <sz val="10"/>
        <rFont val="Times New Roman"/>
        <family val="1"/>
      </rPr>
      <t>j</t>
    </r>
  </si>
  <si>
    <r>
      <t xml:space="preserve">Monitoring of operations and emissions </t>
    </r>
    <r>
      <rPr>
        <vertAlign val="superscript"/>
        <sz val="10"/>
        <rFont val="Times New Roman"/>
        <family val="1"/>
      </rPr>
      <t>d, e</t>
    </r>
  </si>
  <si>
    <r>
      <t xml:space="preserve">Records of daily emissions monitoring by a certified observer  </t>
    </r>
    <r>
      <rPr>
        <vertAlign val="superscript"/>
        <sz val="10"/>
        <rFont val="Times New Roman"/>
        <family val="1"/>
      </rPr>
      <t>e, h</t>
    </r>
  </si>
  <si>
    <t>Table 2: Average Annual EPA Burden and Cost – NSPS for Steel Plants: Electric Arc Furnaces and Argon Oxygen Decarburization Vessels (40 CFR Part 60, Subparts AA and AAa) (Renewal)</t>
  </si>
  <si>
    <r>
      <t xml:space="preserve">TOTAL (rounded) </t>
    </r>
    <r>
      <rPr>
        <b/>
        <vertAlign val="superscript"/>
        <sz val="10"/>
        <rFont val="Times New Roman"/>
        <family val="1"/>
      </rPr>
      <t>d</t>
    </r>
  </si>
  <si>
    <r>
      <t xml:space="preserve">d </t>
    </r>
    <r>
      <rPr>
        <sz val="10"/>
        <rFont val="Times New Roman"/>
        <family val="1"/>
      </rPr>
      <t xml:space="preserve">Totals have been rounded to 3 significant figures.  Figures may not add exactly due to rounding. </t>
    </r>
  </si>
  <si>
    <t>Total Capital/Startup Cost, (B X C)</t>
  </si>
  <si>
    <t>Total O&amp;M, (E X F)</t>
  </si>
  <si>
    <r>
      <t xml:space="preserve">Continuous Opacity Monitors </t>
    </r>
    <r>
      <rPr>
        <vertAlign val="superscript"/>
        <sz val="10"/>
        <rFont val="Times New Roman"/>
        <family val="1"/>
      </rPr>
      <t>a</t>
    </r>
  </si>
  <si>
    <r>
      <t xml:space="preserve">Furnace Static Pressure Monitors </t>
    </r>
    <r>
      <rPr>
        <vertAlign val="superscript"/>
        <sz val="10"/>
        <rFont val="Times New Roman"/>
        <family val="1"/>
      </rPr>
      <t>b</t>
    </r>
  </si>
  <si>
    <r>
      <t xml:space="preserve">Volumetric Flow Rate Monitor </t>
    </r>
    <r>
      <rPr>
        <vertAlign val="superscript"/>
        <sz val="10"/>
        <rFont val="Times New Roman"/>
        <family val="1"/>
      </rPr>
      <t>c</t>
    </r>
  </si>
  <si>
    <r>
      <t xml:space="preserve">Totals (rounded) </t>
    </r>
    <r>
      <rPr>
        <b/>
        <vertAlign val="superscript"/>
        <sz val="10"/>
        <rFont val="Times New Roman"/>
        <family val="1"/>
      </rPr>
      <t>d</t>
    </r>
  </si>
  <si>
    <r>
      <rPr>
        <vertAlign val="superscript"/>
        <sz val="10"/>
        <rFont val="Times New Roman"/>
        <family val="1"/>
      </rPr>
      <t>d</t>
    </r>
    <r>
      <rPr>
        <sz val="10"/>
        <rFont val="Times New Roman"/>
        <family val="1"/>
      </rPr>
      <t xml:space="preserve"> Totals have been rounded to 3 significant figures. Figures may not add exactly due to rounding.</t>
    </r>
  </si>
  <si>
    <r>
      <t xml:space="preserve">Number of New Respondents </t>
    </r>
    <r>
      <rPr>
        <b/>
        <vertAlign val="superscript"/>
        <sz val="10"/>
        <color rgb="FF000000"/>
        <rFont val="Times New Roman"/>
        <family val="1"/>
      </rPr>
      <t>a</t>
    </r>
  </si>
  <si>
    <t>Number of Respondents (E=A+B+C-D)</t>
  </si>
  <si>
    <r>
      <t xml:space="preserve">a </t>
    </r>
    <r>
      <rPr>
        <sz val="10"/>
        <color rgb="FF000000"/>
        <rFont val="Times New Roman"/>
        <family val="1"/>
      </rPr>
      <t>New respondents include sources with constructed and reconstructed affected facilities.</t>
    </r>
  </si>
  <si>
    <t>ICR Summary Information</t>
  </si>
  <si>
    <t>Hours per Response</t>
  </si>
  <si>
    <t>Total Estimated Burden Hours</t>
  </si>
  <si>
    <t>Total Estimated Costs</t>
  </si>
  <si>
    <t>Annualized Capital O&amp;M</t>
  </si>
  <si>
    <r>
      <t xml:space="preserve">Initial performance test (observed) </t>
    </r>
    <r>
      <rPr>
        <vertAlign val="superscript"/>
        <sz val="10"/>
        <rFont val="Times New Roman"/>
        <family val="1"/>
      </rPr>
      <t>c</t>
    </r>
  </si>
  <si>
    <r>
      <t xml:space="preserve">Repeat Performance test (observed) </t>
    </r>
    <r>
      <rPr>
        <vertAlign val="superscript"/>
        <sz val="10"/>
        <rFont val="Times New Roman"/>
        <family val="1"/>
      </rPr>
      <t>c</t>
    </r>
  </si>
  <si>
    <r>
      <t>g</t>
    </r>
    <r>
      <rPr>
        <sz val="10"/>
        <rFont val="Times New Roman"/>
        <family val="1"/>
      </rPr>
      <t xml:space="preserve">   We have assumed that the new source will equip its EAFs with a DEC system and use a positive pressure baghouse, and therefore, will not be required to install a continuous opacity monitor (COMS).</t>
    </r>
  </si>
  <si>
    <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 2021, “Table 2. Civilian Workers, by occupational and industry group.”  The rates are from column 1, “Total compensation.”  The rates have been increased by 110% to account for the varying industry wage rates and the additional overhead business costs of employing workers beyond their wages and benefits, including business expenses associated with hiring, training, and equipping their employees.</t>
    </r>
  </si>
  <si>
    <r>
      <t>b</t>
    </r>
    <r>
      <rPr>
        <sz val="10"/>
        <rFont val="Times New Roman"/>
        <family val="1"/>
      </rPr>
      <t xml:space="preserve">  This cost is based on the following labor rates:  Managerial rate of $70.56 (GS-13, Step 5, $44.10 + 60%), Technical rate of $52.37 (GS-12, Step 1, $32.73 + 60%), and Clerical rate of $28.34 (GS-6, Step 3, $17.71 + 60%).  These rates are from the Office of Personnel Management (OPM), 2022 General Schedule, which excludes locality rates of pay. The rates have been increased by 60 percent to account for the benefit packages available to government employees.</t>
    </r>
  </si>
  <si>
    <t>Form Number</t>
  </si>
  <si>
    <t>Not Applicable</t>
  </si>
  <si>
    <r>
      <t xml:space="preserve">c </t>
    </r>
    <r>
      <rPr>
        <sz val="10"/>
        <rFont val="Times New Roman"/>
        <family val="1"/>
      </rPr>
      <t xml:space="preserve"> We have assumed that existing sources will not perform initial rule requirements including the initial performance test and notification requirements.  We have assumed that 5 percent of new sources would repeat performance tests due to failure. We have assumed 1.64 baghouses per new facility based on collected information from existing sources (1.64 = 54 baghouses / 33 EAF facilities).</t>
    </r>
  </si>
  <si>
    <r>
      <t xml:space="preserve">c  </t>
    </r>
    <r>
      <rPr>
        <sz val="10"/>
        <rFont val="Times New Roman"/>
        <family val="1"/>
      </rPr>
      <t>We have assumed that existing sources will not perform</t>
    </r>
    <r>
      <rPr>
        <b/>
        <sz val="10"/>
        <color rgb="FFFF0000"/>
        <rFont val="Times New Roman"/>
        <family val="1"/>
      </rPr>
      <t xml:space="preserve"> </t>
    </r>
    <r>
      <rPr>
        <sz val="10"/>
        <rFont val="Times New Roman"/>
        <family val="1"/>
      </rPr>
      <t>initial rule requirements including the initial performance test and notification requirements.  We have assumed that 5 percent of new sources would repeat performance tests due to failure. We have assumed 1.64 baghouses per new facility based on collected information from existing sources (1.64 = 54 baghouses / 33 EAF facilities).</t>
    </r>
  </si>
  <si>
    <r>
      <t>a</t>
    </r>
    <r>
      <rPr>
        <sz val="10"/>
        <rFont val="Times New Roman"/>
        <family val="1"/>
      </rPr>
      <t xml:space="preserve">  We have assumed that there are an annual average of 89 sources currently subject to the NSPS, subparts AA and AAa. We have further assumed that 3 new sources will become subject to these subparts over the three-year period covered by this ICR renewal (1 new source per year). Therefore, the average number of respondents per year is estimated to be 90.</t>
    </r>
  </si>
  <si>
    <r>
      <t xml:space="preserve">h </t>
    </r>
    <r>
      <rPr>
        <sz val="10"/>
        <rFont val="Times New Roman"/>
        <family val="1"/>
      </rPr>
      <t xml:space="preserve"> We have assumed that approximately 51.7 percent of the respondents (or 46.53 respondents) will choose to comply with the fugitive emissions monitoring requirements by measuring the furnace static pressure continuously and 48.3 percent (43.47 respondents) will choose the alternative option of daily opacity shop observations by a certified visible emission observer couple with the use of bag leak detection systems (BLDS).</t>
    </r>
  </si>
  <si>
    <r>
      <t xml:space="preserve">i </t>
    </r>
    <r>
      <rPr>
        <sz val="10"/>
        <rFont val="Times New Roman"/>
        <family val="1"/>
      </rPr>
      <t xml:space="preserve"> We have assumed that approximately 40 percent of respondents (36 respondents) use negative pressure baghouses.  Of these, 66.6 percent (23.98 respondents) use COMS to measure stack emissions and 33.4 percent (12.02 respondents) have elected to use the alternative option of using BLDS monitoring couple with visible emissions observations instead of using COMS.</t>
    </r>
  </si>
  <si>
    <r>
      <rPr>
        <vertAlign val="superscript"/>
        <sz val="10"/>
        <rFont val="Times New Roman"/>
        <family val="1"/>
      </rPr>
      <t xml:space="preserve">a </t>
    </r>
    <r>
      <rPr>
        <sz val="10"/>
        <rFont val="Times New Roman"/>
        <family val="1"/>
      </rPr>
      <t>We have assumed that approximately 40 percent of respondents (36 respondents) use negative pressure baghouses.  Of these, 66.6 percent (23.98 respondents) use COMS to measure stack emissions and 33.4 percent (12.02 respondents) have elected to use the alternative option of using BLDS monitoring couple with visible emissions observations instead of using COMS.</t>
    </r>
  </si>
  <si>
    <r>
      <rPr>
        <vertAlign val="superscript"/>
        <sz val="10"/>
        <rFont val="Times New Roman"/>
        <family val="1"/>
      </rPr>
      <t xml:space="preserve">b </t>
    </r>
    <r>
      <rPr>
        <sz val="10"/>
        <rFont val="Times New Roman"/>
        <family val="1"/>
      </rPr>
      <t>We have assumed that approximately 51.7 percent of the respondents (or 46.53 respondents) will choose to comply with the fugitive emissions monitoring requirements by measuring the furnace static pressure continuously and 48.3 percent (43.47 respondents) will choose the alternative option of daily opacity shop observations by a certified visible emission observer couple with the use of bag leak detection systems (BLDS).</t>
    </r>
  </si>
  <si>
    <r>
      <rPr>
        <vertAlign val="superscript"/>
        <sz val="10"/>
        <rFont val="Times New Roman"/>
        <family val="1"/>
      </rPr>
      <t xml:space="preserve">c </t>
    </r>
    <r>
      <rPr>
        <sz val="10"/>
        <rFont val="Times New Roman"/>
        <family val="1"/>
      </rPr>
      <t>All respondents (90) are required to install flow rate monitors as part of the monitoring of operations rule requirements. The operating and maintenance costs associated with the flow monitors are negligible.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</si>
</sst>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quot;$&quot;#,##0.00"/>
    <numFmt numFmtId="165" formatCode="#,##0.0"/>
  </numFmts>
  <fonts count="21" x14ac:knownFonts="1">
    <font>
      <sz val="11"/>
      <color theme="1"/>
      <name val="Calibri"/>
      <family val="2"/>
      <scheme val="minor"/>
    </font>
    <font>
      <b/>
      <sz val="12"/>
      <name val="Times New Roman"/>
      <family val="1"/>
    </font>
    <font>
      <sz val="11"/>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i/>
      <sz val="10"/>
      <name val="Times New Roman"/>
      <family val="1"/>
    </font>
    <font>
      <i/>
      <sz val="10"/>
      <name val="Times New Roman"/>
      <family val="1"/>
    </font>
    <font>
      <u/>
      <sz val="10"/>
      <name val="Times New Roman"/>
      <family val="1"/>
    </font>
    <font>
      <sz val="11"/>
      <name val="Calibri"/>
      <family val="2"/>
      <scheme val="minor"/>
    </font>
    <font>
      <sz val="9"/>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sz val="10"/>
      <color rgb="FF000000"/>
      <name val="Times New Roman"/>
      <family val="1"/>
    </font>
    <font>
      <sz val="10"/>
      <color rgb="FFFF0000"/>
      <name val="Times New Roman"/>
      <family val="1"/>
    </font>
    <font>
      <b/>
      <sz val="11"/>
      <color rgb="FFFF0000"/>
      <name val="Calibri"/>
      <family val="2"/>
      <scheme val="minor"/>
    </font>
    <font>
      <b/>
      <sz val="10"/>
      <color rgb="FFFF0000"/>
      <name val="Times New Roman"/>
      <family val="1"/>
    </font>
    <font>
      <vertAlign val="superscript"/>
      <sz val="12"/>
      <color rgb="FF7030A0"/>
      <name val="Times New Roman"/>
      <family val="1"/>
    </font>
    <font>
      <vertAlign val="superscript"/>
      <sz val="12"/>
      <name val="Times New Roman"/>
      <family val="1"/>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bottom/>
      <diagonal/>
    </border>
  </borders>
  <cellStyleXfs count="1">
    <xf numFmtId="0" fontId="0" fillId="0" borderId="0"/>
  </cellStyleXfs>
  <cellXfs count="118">
    <xf numFmtId="0" fontId="0" fillId="0" borderId="0" xfId="0"/>
    <xf numFmtId="0" fontId="2" fillId="0" borderId="0" xfId="0" applyFont="1"/>
    <xf numFmtId="0" fontId="3"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xf numFmtId="164" fontId="3" fillId="0" borderId="1" xfId="0" applyNumberFormat="1" applyFont="1" applyBorder="1"/>
    <xf numFmtId="0" fontId="3" fillId="0" borderId="1" xfId="0" applyFont="1" applyBorder="1" applyAlignment="1">
      <alignment horizontal="right" vertical="center" wrapText="1"/>
    </xf>
    <xf numFmtId="0" fontId="3" fillId="0" borderId="1" xfId="0" applyFont="1" applyBorder="1" applyAlignment="1">
      <alignment horizontal="left" vertical="center" indent="1"/>
    </xf>
    <xf numFmtId="2" fontId="3" fillId="0" borderId="1" xfId="0" applyNumberFormat="1" applyFont="1" applyBorder="1" applyAlignment="1">
      <alignment horizontal="center" vertical="center" wrapText="1"/>
    </xf>
    <xf numFmtId="8" fontId="3" fillId="0" borderId="1" xfId="0" applyNumberFormat="1" applyFont="1" applyBorder="1" applyAlignment="1">
      <alignment horizontal="right" vertical="center" wrapText="1"/>
    </xf>
    <xf numFmtId="0" fontId="3" fillId="0" borderId="1" xfId="0" applyFont="1" applyBorder="1" applyAlignment="1">
      <alignment horizontal="left" vertical="center" indent="2"/>
    </xf>
    <xf numFmtId="0" fontId="7" fillId="0" borderId="1" xfId="0" applyFont="1" applyBorder="1"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2" fontId="3" fillId="0" borderId="0" xfId="0" applyNumberFormat="1" applyFont="1"/>
    <xf numFmtId="1" fontId="3" fillId="0" borderId="0" xfId="0" applyNumberFormat="1" applyFont="1"/>
    <xf numFmtId="0" fontId="9" fillId="0" borderId="0" xfId="0" applyFont="1"/>
    <xf numFmtId="0" fontId="4" fillId="0" borderId="0" xfId="0" applyFont="1" applyAlignment="1">
      <alignment horizontal="left"/>
    </xf>
    <xf numFmtId="0" fontId="3" fillId="0" borderId="0" xfId="0" applyFont="1" applyAlignment="1">
      <alignment horizontal="left"/>
    </xf>
    <xf numFmtId="6" fontId="4" fillId="0" borderId="0" xfId="0" applyNumberFormat="1" applyFont="1" applyAlignment="1">
      <alignment horizontal="right" vertical="center" wrapText="1" indent="1"/>
    </xf>
    <xf numFmtId="0" fontId="4" fillId="0" borderId="0" xfId="0" applyFont="1" applyAlignment="1">
      <alignment vertical="center"/>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4" fillId="0" borderId="1" xfId="0" applyFont="1" applyBorder="1" applyAlignment="1">
      <alignment horizontal="center" vertical="center"/>
    </xf>
    <xf numFmtId="8" fontId="3" fillId="0" borderId="1" xfId="0" applyNumberFormat="1" applyFont="1" applyBorder="1" applyAlignment="1">
      <alignment horizontal="righ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9" fillId="0" borderId="0" xfId="0" applyFont="1" applyAlignment="1">
      <alignment vertical="center"/>
    </xf>
    <xf numFmtId="0" fontId="10" fillId="0" borderId="0" xfId="0" applyFont="1"/>
    <xf numFmtId="6" fontId="4" fillId="0" borderId="1" xfId="0" applyNumberFormat="1" applyFont="1" applyFill="1" applyBorder="1" applyAlignment="1">
      <alignment vertical="center" wrapText="1"/>
    </xf>
    <xf numFmtId="0" fontId="3" fillId="0"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1" fontId="4" fillId="0" borderId="1" xfId="0" applyNumberFormat="1" applyFont="1" applyBorder="1" applyAlignment="1">
      <alignment horizontal="center" vertical="center" wrapText="1"/>
    </xf>
    <xf numFmtId="0" fontId="2" fillId="0" borderId="0" xfId="0" applyFont="1" applyFill="1"/>
    <xf numFmtId="1" fontId="3"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6" fontId="4" fillId="0" borderId="1"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0" fontId="4"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0" xfId="0" applyFont="1" applyAlignment="1">
      <alignment vertical="center"/>
    </xf>
    <xf numFmtId="0" fontId="17" fillId="0" borderId="0" xfId="0" applyFont="1"/>
    <xf numFmtId="41" fontId="0" fillId="0" borderId="0" xfId="0" applyNumberFormat="1" applyFill="1"/>
    <xf numFmtId="0" fontId="16" fillId="0" borderId="0" xfId="0" applyFont="1"/>
    <xf numFmtId="2" fontId="3" fillId="0" borderId="1" xfId="0" applyNumberFormat="1" applyFont="1" applyBorder="1" applyAlignment="1">
      <alignment horizontal="center" vertical="center"/>
    </xf>
    <xf numFmtId="1" fontId="10" fillId="0" borderId="0" xfId="0" applyNumberFormat="1" applyFont="1" applyFill="1"/>
    <xf numFmtId="3" fontId="10" fillId="0" borderId="0" xfId="0" applyNumberFormat="1" applyFont="1" applyFill="1"/>
    <xf numFmtId="6" fontId="10" fillId="0" borderId="0" xfId="0" applyNumberFormat="1" applyFont="1" applyFill="1"/>
    <xf numFmtId="4" fontId="3" fillId="0" borderId="1" xfId="0" applyNumberFormat="1" applyFont="1" applyFill="1" applyBorder="1" applyAlignment="1">
      <alignment horizontal="right" vertical="center" wrapText="1"/>
    </xf>
    <xf numFmtId="0" fontId="16" fillId="0" borderId="7" xfId="0" applyFont="1" applyFill="1" applyBorder="1" applyAlignment="1">
      <alignment vertical="top" wrapText="1"/>
    </xf>
    <xf numFmtId="0" fontId="16" fillId="0" borderId="0" xfId="0" applyFont="1" applyFill="1" applyBorder="1" applyAlignment="1">
      <alignment vertical="top" wrapText="1"/>
    </xf>
    <xf numFmtId="0" fontId="4" fillId="0" borderId="1" xfId="0" applyFont="1" applyFill="1" applyBorder="1" applyAlignment="1">
      <alignment horizontal="center" vertical="center" wrapText="1"/>
    </xf>
    <xf numFmtId="3"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0" fontId="3" fillId="0" borderId="1" xfId="0" applyFont="1" applyFill="1" applyBorder="1" applyAlignment="1">
      <alignment vertical="center" wrapText="1"/>
    </xf>
    <xf numFmtId="1"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xf>
    <xf numFmtId="4"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19" fillId="0" borderId="0" xfId="0" applyFont="1" applyFill="1" applyAlignment="1">
      <alignment vertical="center"/>
    </xf>
    <xf numFmtId="0" fontId="6" fillId="0" borderId="0" xfId="0" applyFont="1" applyFill="1" applyAlignment="1">
      <alignment vertical="center" wrapText="1"/>
    </xf>
    <xf numFmtId="0" fontId="3" fillId="0" borderId="0" xfId="0" applyFont="1" applyFill="1" applyAlignment="1">
      <alignment vertical="center" wrapText="1"/>
    </xf>
    <xf numFmtId="2" fontId="3" fillId="0" borderId="0" xfId="0" applyNumberFormat="1" applyFont="1" applyFill="1" applyAlignment="1">
      <alignment vertical="center" wrapText="1"/>
    </xf>
    <xf numFmtId="0" fontId="20" fillId="0" borderId="0" xfId="0" applyFont="1" applyFill="1" applyAlignment="1">
      <alignment vertical="center"/>
    </xf>
    <xf numFmtId="1" fontId="3" fillId="0" borderId="1" xfId="0" applyNumberFormat="1" applyFont="1" applyFill="1" applyBorder="1" applyAlignment="1">
      <alignment horizontal="center" vertical="center"/>
    </xf>
    <xf numFmtId="6" fontId="3" fillId="0" borderId="1" xfId="0" applyNumberFormat="1" applyFont="1" applyFill="1" applyBorder="1" applyAlignment="1">
      <alignment horizontal="center" vertical="center" wrapText="1"/>
    </xf>
    <xf numFmtId="6" fontId="4" fillId="0" borderId="1" xfId="0" applyNumberFormat="1" applyFont="1" applyFill="1" applyBorder="1" applyAlignment="1">
      <alignment horizontal="center" vertical="center" wrapText="1"/>
    </xf>
    <xf numFmtId="0" fontId="3" fillId="0" borderId="0" xfId="0" applyFont="1" applyFill="1" applyAlignment="1">
      <alignment horizontal="right"/>
    </xf>
    <xf numFmtId="6" fontId="3" fillId="0" borderId="0" xfId="0" applyNumberFormat="1" applyFont="1" applyFill="1"/>
    <xf numFmtId="1" fontId="4" fillId="0" borderId="1" xfId="0" applyNumberFormat="1" applyFont="1" applyFill="1" applyBorder="1" applyAlignment="1">
      <alignment horizontal="center" vertical="center" wrapText="1"/>
    </xf>
    <xf numFmtId="0" fontId="0" fillId="0" borderId="0" xfId="0" applyAlignment="1">
      <alignment horizontal="center"/>
    </xf>
    <xf numFmtId="0" fontId="3" fillId="0" borderId="0" xfId="0" applyFont="1" applyFill="1" applyAlignment="1">
      <alignment horizontal="left" vertical="top"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6" xfId="0" applyFont="1" applyFill="1" applyBorder="1" applyAlignment="1">
      <alignment horizontal="left"/>
    </xf>
    <xf numFmtId="0" fontId="4" fillId="0" borderId="3" xfId="0" applyFont="1" applyFill="1" applyBorder="1" applyAlignment="1">
      <alignment horizontal="left"/>
    </xf>
    <xf numFmtId="0" fontId="3" fillId="0" borderId="6" xfId="0" applyFont="1" applyFill="1" applyBorder="1" applyAlignment="1">
      <alignment horizontal="left"/>
    </xf>
    <xf numFmtId="0" fontId="3" fillId="0" borderId="3" xfId="0" applyFont="1" applyFill="1" applyBorder="1" applyAlignment="1">
      <alignment horizontal="left"/>
    </xf>
    <xf numFmtId="3" fontId="4" fillId="0" borderId="1" xfId="0" applyNumberFormat="1" applyFont="1" applyFill="1" applyBorder="1" applyAlignment="1">
      <alignment horizontal="center" vertical="center" wrapText="1"/>
    </xf>
    <xf numFmtId="0" fontId="1" fillId="0" borderId="0" xfId="0" applyFont="1" applyFill="1" applyAlignment="1">
      <alignment horizontal="left" vertical="top"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1" xfId="0" applyFont="1" applyBorder="1" applyAlignment="1">
      <alignment horizontal="center" vertical="top"/>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3"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applyFill="1" applyAlignment="1">
      <alignment horizontal="left"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94DE-4168-42B1-AA84-12789F8AE198}">
  <dimension ref="A1:D8"/>
  <sheetViews>
    <sheetView tabSelected="1" workbookViewId="0">
      <selection sqref="A1:B1"/>
    </sheetView>
  </sheetViews>
  <sheetFormatPr defaultRowHeight="14.5" x14ac:dyDescent="0.35"/>
  <cols>
    <col min="1" max="1" width="27.7265625" bestFit="1" customWidth="1"/>
    <col min="2" max="2" width="14.26953125" bestFit="1" customWidth="1"/>
  </cols>
  <sheetData>
    <row r="1" spans="1:4" x14ac:dyDescent="0.35">
      <c r="A1" s="87" t="s">
        <v>122</v>
      </c>
      <c r="B1" s="87"/>
      <c r="D1" s="54"/>
    </row>
    <row r="2" spans="1:4" x14ac:dyDescent="0.35">
      <c r="A2" t="s">
        <v>123</v>
      </c>
      <c r="B2" s="55">
        <f>'Table 1'!K35</f>
        <v>308.06845965770168</v>
      </c>
    </row>
    <row r="3" spans="1:4" x14ac:dyDescent="0.35">
      <c r="A3" t="s">
        <v>0</v>
      </c>
      <c r="B3" s="58">
        <f>Respondents!F8</f>
        <v>90</v>
      </c>
    </row>
    <row r="4" spans="1:4" x14ac:dyDescent="0.35">
      <c r="A4" t="s">
        <v>124</v>
      </c>
      <c r="B4" s="59">
        <f>'Table 1'!F35</f>
        <v>56700</v>
      </c>
    </row>
    <row r="5" spans="1:4" x14ac:dyDescent="0.35">
      <c r="A5" t="s">
        <v>125</v>
      </c>
      <c r="B5" s="60">
        <f>'Table 1'!I37</f>
        <v>7000000</v>
      </c>
    </row>
    <row r="6" spans="1:4" x14ac:dyDescent="0.35">
      <c r="A6" t="s">
        <v>126</v>
      </c>
      <c r="B6" s="60">
        <f>ROUND('Capital_O&amp;M'!G7+'Capital_O&amp;M'!D7,-3)</f>
        <v>198000</v>
      </c>
    </row>
    <row r="7" spans="1:4" x14ac:dyDescent="0.35">
      <c r="A7" t="s">
        <v>85</v>
      </c>
      <c r="B7" s="58">
        <f>Responses!E9</f>
        <v>184.05</v>
      </c>
    </row>
    <row r="8" spans="1:4" x14ac:dyDescent="0.35">
      <c r="A8" t="s">
        <v>132</v>
      </c>
      <c r="B8" t="s">
        <v>133</v>
      </c>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6E8E-585C-45C0-B58C-F739EA930628}">
  <dimension ref="A1:S58"/>
  <sheetViews>
    <sheetView zoomScaleNormal="100" workbookViewId="0">
      <selection activeCell="A2" sqref="A2"/>
    </sheetView>
  </sheetViews>
  <sheetFormatPr defaultColWidth="9.1796875" defaultRowHeight="14" x14ac:dyDescent="0.3"/>
  <cols>
    <col min="1" max="1" width="47.26953125" style="1" customWidth="1"/>
    <col min="2" max="8" width="13.26953125" style="1" customWidth="1"/>
    <col min="9" max="9" width="15.26953125" style="1" bestFit="1" customWidth="1"/>
    <col min="10" max="10" width="14.54296875" style="1" customWidth="1"/>
    <col min="11" max="11" width="11" style="1" customWidth="1"/>
    <col min="12" max="12" width="9.1796875" style="1" customWidth="1"/>
    <col min="13" max="13" width="4.54296875" style="1" customWidth="1"/>
    <col min="14" max="16384" width="9.1796875" style="1"/>
  </cols>
  <sheetData>
    <row r="1" spans="1:19" ht="31.5" customHeight="1" x14ac:dyDescent="0.3">
      <c r="A1" s="96" t="s">
        <v>94</v>
      </c>
      <c r="B1" s="96"/>
      <c r="C1" s="96"/>
      <c r="D1" s="96"/>
      <c r="E1" s="96"/>
      <c r="F1" s="96"/>
      <c r="G1" s="96"/>
      <c r="H1" s="96"/>
      <c r="I1" s="96"/>
    </row>
    <row r="2" spans="1:19" x14ac:dyDescent="0.3">
      <c r="A2" s="34"/>
      <c r="B2" s="34"/>
      <c r="C2" s="34"/>
      <c r="D2" s="34"/>
      <c r="E2" s="34"/>
      <c r="F2" s="40"/>
      <c r="G2" s="40"/>
      <c r="H2" s="40"/>
      <c r="I2" s="34"/>
      <c r="J2" s="2"/>
      <c r="K2" s="2"/>
      <c r="L2" s="2"/>
    </row>
    <row r="3" spans="1:19" x14ac:dyDescent="0.3">
      <c r="A3" s="97" t="s">
        <v>13</v>
      </c>
      <c r="B3" s="47" t="s">
        <v>3</v>
      </c>
      <c r="C3" s="47" t="s">
        <v>4</v>
      </c>
      <c r="D3" s="47" t="s">
        <v>5</v>
      </c>
      <c r="E3" s="47" t="s">
        <v>6</v>
      </c>
      <c r="F3" s="47" t="s">
        <v>14</v>
      </c>
      <c r="G3" s="47" t="s">
        <v>15</v>
      </c>
      <c r="H3" s="47" t="s">
        <v>16</v>
      </c>
      <c r="I3" s="47" t="s">
        <v>17</v>
      </c>
      <c r="J3" s="2"/>
      <c r="K3" s="2"/>
      <c r="L3" s="2"/>
    </row>
    <row r="4" spans="1:19" ht="52" x14ac:dyDescent="0.3">
      <c r="A4" s="98"/>
      <c r="B4" s="47" t="s">
        <v>18</v>
      </c>
      <c r="C4" s="47" t="s">
        <v>19</v>
      </c>
      <c r="D4" s="47" t="s">
        <v>20</v>
      </c>
      <c r="E4" s="47" t="s">
        <v>21</v>
      </c>
      <c r="F4" s="47" t="s">
        <v>22</v>
      </c>
      <c r="G4" s="47" t="s">
        <v>23</v>
      </c>
      <c r="H4" s="47" t="s">
        <v>24</v>
      </c>
      <c r="I4" s="47" t="s">
        <v>25</v>
      </c>
      <c r="J4" s="26"/>
      <c r="K4" s="2"/>
      <c r="L4" s="2"/>
    </row>
    <row r="5" spans="1:19" x14ac:dyDescent="0.3">
      <c r="A5" s="3" t="s">
        <v>26</v>
      </c>
      <c r="B5" s="45" t="s">
        <v>27</v>
      </c>
      <c r="C5" s="4"/>
      <c r="D5" s="4"/>
      <c r="E5" s="4"/>
      <c r="F5" s="4"/>
      <c r="G5" s="4"/>
      <c r="H5" s="4"/>
      <c r="I5" s="4"/>
      <c r="J5" s="2"/>
      <c r="K5" s="99" t="s">
        <v>28</v>
      </c>
      <c r="L5" s="99"/>
    </row>
    <row r="6" spans="1:19" x14ac:dyDescent="0.3">
      <c r="A6" s="3" t="s">
        <v>29</v>
      </c>
      <c r="B6" s="35" t="s">
        <v>27</v>
      </c>
      <c r="C6" s="67"/>
      <c r="D6" s="67"/>
      <c r="E6" s="67"/>
      <c r="F6" s="67"/>
      <c r="G6" s="67"/>
      <c r="H6" s="67"/>
      <c r="I6" s="4"/>
      <c r="J6" s="2"/>
      <c r="K6" s="5" t="s">
        <v>30</v>
      </c>
      <c r="L6" s="6">
        <v>157.61000000000001</v>
      </c>
    </row>
    <row r="7" spans="1:19" x14ac:dyDescent="0.3">
      <c r="A7" s="3" t="s">
        <v>31</v>
      </c>
      <c r="B7" s="35"/>
      <c r="C7" s="35"/>
      <c r="D7" s="35"/>
      <c r="E7" s="35"/>
      <c r="F7" s="35"/>
      <c r="G7" s="35"/>
      <c r="H7" s="35"/>
      <c r="I7" s="7"/>
      <c r="J7" s="2"/>
      <c r="K7" s="5" t="s">
        <v>32</v>
      </c>
      <c r="L7" s="6">
        <v>123.94</v>
      </c>
    </row>
    <row r="8" spans="1:19" ht="15" customHeight="1" x14ac:dyDescent="0.3">
      <c r="A8" s="8" t="s">
        <v>33</v>
      </c>
      <c r="B8" s="35">
        <v>1</v>
      </c>
      <c r="C8" s="35">
        <v>1</v>
      </c>
      <c r="D8" s="35">
        <f>B8*C8</f>
        <v>1</v>
      </c>
      <c r="E8" s="68">
        <v>90</v>
      </c>
      <c r="F8" s="35">
        <f>D8*E8</f>
        <v>90</v>
      </c>
      <c r="G8" s="35">
        <f>F8*0.05</f>
        <v>4.5</v>
      </c>
      <c r="H8" s="35">
        <f>F8*0.1</f>
        <v>9</v>
      </c>
      <c r="I8" s="10">
        <f>F8*$L$7+G8*$L$6+H8*$L$8</f>
        <v>12426.525000000001</v>
      </c>
      <c r="J8" s="56"/>
      <c r="K8" s="5" t="s">
        <v>34</v>
      </c>
      <c r="L8" s="6">
        <v>62.52</v>
      </c>
    </row>
    <row r="9" spans="1:19" x14ac:dyDescent="0.3">
      <c r="A9" s="8" t="s">
        <v>35</v>
      </c>
      <c r="B9" s="35"/>
      <c r="C9" s="35"/>
      <c r="D9" s="35"/>
      <c r="E9" s="35"/>
      <c r="F9" s="35"/>
      <c r="G9" s="35"/>
      <c r="H9" s="35"/>
      <c r="I9" s="7"/>
      <c r="J9" s="2"/>
      <c r="K9" s="2"/>
      <c r="L9" s="2"/>
    </row>
    <row r="10" spans="1:19" ht="15.75" customHeight="1" x14ac:dyDescent="0.3">
      <c r="A10" s="11" t="s">
        <v>36</v>
      </c>
      <c r="B10" s="35">
        <v>364</v>
      </c>
      <c r="C10" s="35">
        <v>1.64</v>
      </c>
      <c r="D10" s="35">
        <f>B10*C10</f>
        <v>596.95999999999992</v>
      </c>
      <c r="E10" s="68">
        <v>1</v>
      </c>
      <c r="F10" s="35">
        <f>D10*E10</f>
        <v>596.95999999999992</v>
      </c>
      <c r="G10" s="35">
        <f>F10*0.05</f>
        <v>29.847999999999999</v>
      </c>
      <c r="H10" s="35">
        <f>F10*0.1</f>
        <v>59.695999999999998</v>
      </c>
      <c r="I10" s="61">
        <f>F10*$L$7+G10*$L$6+H10*$L$8</f>
        <v>82423.75959999999</v>
      </c>
      <c r="J10" s="62"/>
      <c r="K10" s="63"/>
      <c r="L10" s="63"/>
      <c r="M10" s="63"/>
      <c r="N10" s="63"/>
      <c r="O10" s="63"/>
      <c r="P10" s="63"/>
      <c r="Q10" s="63"/>
      <c r="R10" s="63"/>
      <c r="S10" s="63"/>
    </row>
    <row r="11" spans="1:19" ht="15.5" x14ac:dyDescent="0.3">
      <c r="A11" s="11" t="s">
        <v>37</v>
      </c>
      <c r="B11" s="35">
        <v>364</v>
      </c>
      <c r="C11" s="35">
        <f>0.05*1.64</f>
        <v>8.2000000000000003E-2</v>
      </c>
      <c r="D11" s="35">
        <f>B11*C11</f>
        <v>29.848000000000003</v>
      </c>
      <c r="E11" s="68">
        <f>E10</f>
        <v>1</v>
      </c>
      <c r="F11" s="35">
        <f>D11*E11</f>
        <v>29.848000000000003</v>
      </c>
      <c r="G11" s="68">
        <f>F11*0.05</f>
        <v>1.4924000000000002</v>
      </c>
      <c r="H11" s="68">
        <f>F11*0.1</f>
        <v>2.9848000000000003</v>
      </c>
      <c r="I11" s="61">
        <f>F11*$L$7+G11*$L$6+H11*$L$8</f>
        <v>4121.1879800000006</v>
      </c>
      <c r="J11" s="62"/>
      <c r="K11" s="63"/>
      <c r="L11" s="63"/>
      <c r="M11" s="63"/>
      <c r="N11" s="63"/>
      <c r="O11" s="63"/>
      <c r="P11" s="63"/>
      <c r="Q11" s="63"/>
      <c r="R11" s="63"/>
      <c r="S11" s="63"/>
    </row>
    <row r="12" spans="1:19" ht="15.5" x14ac:dyDescent="0.3">
      <c r="A12" s="11" t="s">
        <v>107</v>
      </c>
      <c r="B12" s="100" t="s">
        <v>38</v>
      </c>
      <c r="C12" s="101"/>
      <c r="D12" s="101"/>
      <c r="E12" s="101"/>
      <c r="F12" s="101"/>
      <c r="G12" s="101"/>
      <c r="H12" s="101"/>
      <c r="I12" s="61"/>
      <c r="J12" s="62"/>
      <c r="K12" s="63"/>
      <c r="L12" s="63"/>
      <c r="M12" s="63"/>
      <c r="N12" s="63"/>
      <c r="O12" s="63"/>
      <c r="P12" s="63"/>
      <c r="Q12" s="63"/>
      <c r="R12" s="63"/>
      <c r="S12" s="63"/>
    </row>
    <row r="13" spans="1:19" x14ac:dyDescent="0.3">
      <c r="A13" s="8" t="s">
        <v>39</v>
      </c>
      <c r="B13" s="100" t="s">
        <v>40</v>
      </c>
      <c r="C13" s="101"/>
      <c r="D13" s="101"/>
      <c r="E13" s="101"/>
      <c r="F13" s="101"/>
      <c r="G13" s="101"/>
      <c r="H13" s="101"/>
      <c r="I13" s="61"/>
      <c r="J13" s="62"/>
      <c r="K13" s="63"/>
      <c r="L13" s="63"/>
      <c r="M13" s="63"/>
      <c r="N13" s="63"/>
      <c r="O13" s="63"/>
      <c r="P13" s="63"/>
      <c r="Q13" s="63"/>
      <c r="R13" s="63"/>
      <c r="S13" s="63"/>
    </row>
    <row r="14" spans="1:19" x14ac:dyDescent="0.3">
      <c r="A14" s="8" t="s">
        <v>41</v>
      </c>
      <c r="B14" s="35"/>
      <c r="C14" s="35"/>
      <c r="D14" s="35"/>
      <c r="E14" s="35"/>
      <c r="F14" s="35"/>
      <c r="G14" s="35"/>
      <c r="H14" s="35"/>
      <c r="I14" s="61"/>
      <c r="J14" s="62"/>
      <c r="K14" s="63"/>
      <c r="L14" s="63"/>
      <c r="M14" s="63"/>
      <c r="N14" s="63"/>
      <c r="O14" s="63"/>
      <c r="P14" s="63"/>
      <c r="Q14" s="63"/>
      <c r="R14" s="63"/>
      <c r="S14" s="63"/>
    </row>
    <row r="15" spans="1:19" x14ac:dyDescent="0.3">
      <c r="A15" s="11" t="s">
        <v>42</v>
      </c>
      <c r="B15" s="35">
        <v>2</v>
      </c>
      <c r="C15" s="35">
        <v>1</v>
      </c>
      <c r="D15" s="35">
        <f t="shared" ref="D15:D17" si="0">B15*C15</f>
        <v>2</v>
      </c>
      <c r="E15" s="68">
        <f>E10</f>
        <v>1</v>
      </c>
      <c r="F15" s="35">
        <f t="shared" ref="F15:F17" si="1">D15*E15</f>
        <v>2</v>
      </c>
      <c r="G15" s="35">
        <f t="shared" ref="G15:G17" si="2">F15*0.05</f>
        <v>0.1</v>
      </c>
      <c r="H15" s="35">
        <f t="shared" ref="H15:H17" si="3">F15*0.1</f>
        <v>0.2</v>
      </c>
      <c r="I15" s="61">
        <f>F15*$L$7+G15*$L$6+H15*$L$8</f>
        <v>276.14500000000004</v>
      </c>
      <c r="J15" s="2"/>
      <c r="K15" s="2"/>
      <c r="L15" s="2"/>
    </row>
    <row r="16" spans="1:19" x14ac:dyDescent="0.3">
      <c r="A16" s="11" t="s">
        <v>43</v>
      </c>
      <c r="B16" s="35">
        <v>2</v>
      </c>
      <c r="C16" s="35">
        <v>1</v>
      </c>
      <c r="D16" s="35">
        <f t="shared" si="0"/>
        <v>2</v>
      </c>
      <c r="E16" s="68">
        <f>E10</f>
        <v>1</v>
      </c>
      <c r="F16" s="35">
        <f t="shared" si="1"/>
        <v>2</v>
      </c>
      <c r="G16" s="35">
        <f t="shared" si="2"/>
        <v>0.1</v>
      </c>
      <c r="H16" s="35">
        <f t="shared" si="3"/>
        <v>0.2</v>
      </c>
      <c r="I16" s="61">
        <f>F16*$L$7+G16*$L$6+H16*$L$8</f>
        <v>276.14500000000004</v>
      </c>
      <c r="J16" s="2"/>
      <c r="K16" s="2"/>
      <c r="L16" s="2"/>
    </row>
    <row r="17" spans="1:12" x14ac:dyDescent="0.3">
      <c r="A17" s="11" t="s">
        <v>44</v>
      </c>
      <c r="B17" s="35">
        <v>2</v>
      </c>
      <c r="C17" s="35">
        <v>1</v>
      </c>
      <c r="D17" s="35">
        <f t="shared" si="0"/>
        <v>2</v>
      </c>
      <c r="E17" s="68">
        <f>E10</f>
        <v>1</v>
      </c>
      <c r="F17" s="35">
        <f t="shared" si="1"/>
        <v>2</v>
      </c>
      <c r="G17" s="35">
        <f t="shared" si="2"/>
        <v>0.1</v>
      </c>
      <c r="H17" s="35">
        <f t="shared" si="3"/>
        <v>0.2</v>
      </c>
      <c r="I17" s="61">
        <f>F17*$L$7+G17*$L$6+H17*$L$8</f>
        <v>276.14500000000004</v>
      </c>
      <c r="J17" s="2"/>
      <c r="K17" s="2"/>
      <c r="L17" s="2"/>
    </row>
    <row r="18" spans="1:12" ht="15" customHeight="1" x14ac:dyDescent="0.3">
      <c r="A18" s="11" t="s">
        <v>45</v>
      </c>
      <c r="B18" s="102" t="s">
        <v>46</v>
      </c>
      <c r="C18" s="103"/>
      <c r="D18" s="103"/>
      <c r="E18" s="103"/>
      <c r="F18" s="103"/>
      <c r="G18" s="103"/>
      <c r="H18" s="103"/>
      <c r="I18" s="7"/>
      <c r="J18" s="2"/>
      <c r="K18" s="2"/>
      <c r="L18" s="2"/>
    </row>
    <row r="19" spans="1:12" ht="15.5" x14ac:dyDescent="0.3">
      <c r="A19" s="11" t="s">
        <v>99</v>
      </c>
      <c r="B19" s="35">
        <v>16</v>
      </c>
      <c r="C19" s="35">
        <v>2</v>
      </c>
      <c r="D19" s="35">
        <f>B19*C19</f>
        <v>32</v>
      </c>
      <c r="E19" s="35">
        <f>E8</f>
        <v>90</v>
      </c>
      <c r="F19" s="69">
        <f>D19*E19</f>
        <v>2880</v>
      </c>
      <c r="G19" s="35">
        <f>F19*0.05</f>
        <v>144</v>
      </c>
      <c r="H19" s="35">
        <f>F19*0.1</f>
        <v>288</v>
      </c>
      <c r="I19" s="10">
        <f>F19*$L$7+G19*$L$6+H19*$L$8</f>
        <v>397648.80000000005</v>
      </c>
      <c r="J19" s="2"/>
      <c r="K19" s="2"/>
      <c r="L19" s="2"/>
    </row>
    <row r="20" spans="1:12" x14ac:dyDescent="0.3">
      <c r="A20" s="12" t="s">
        <v>47</v>
      </c>
      <c r="B20" s="70"/>
      <c r="C20" s="70"/>
      <c r="D20" s="70"/>
      <c r="E20" s="71"/>
      <c r="F20" s="104">
        <f>SUM(F8:H11,F15:H17,F19:H19)</f>
        <v>4143.2291999999998</v>
      </c>
      <c r="G20" s="104"/>
      <c r="H20" s="104"/>
      <c r="I20" s="15">
        <f>SUM(I8:I19)</f>
        <v>497448.70758000005</v>
      </c>
      <c r="J20" s="2"/>
      <c r="K20" s="2"/>
      <c r="L20" s="2"/>
    </row>
    <row r="21" spans="1:12" x14ac:dyDescent="0.3">
      <c r="A21" s="3" t="s">
        <v>48</v>
      </c>
      <c r="B21" s="35"/>
      <c r="C21" s="35"/>
      <c r="D21" s="35"/>
      <c r="E21" s="35"/>
      <c r="F21" s="35"/>
      <c r="G21" s="35"/>
      <c r="H21" s="35"/>
      <c r="I21" s="7"/>
      <c r="J21" s="2"/>
      <c r="K21" s="2"/>
      <c r="L21" s="2"/>
    </row>
    <row r="22" spans="1:12" ht="15" customHeight="1" x14ac:dyDescent="0.3">
      <c r="A22" s="8" t="s">
        <v>33</v>
      </c>
      <c r="B22" s="102" t="s">
        <v>49</v>
      </c>
      <c r="C22" s="103"/>
      <c r="D22" s="103"/>
      <c r="E22" s="103"/>
      <c r="F22" s="103"/>
      <c r="G22" s="103"/>
      <c r="H22" s="103"/>
      <c r="I22" s="7"/>
      <c r="J22" s="2"/>
      <c r="K22" s="2"/>
      <c r="L22" s="2"/>
    </row>
    <row r="23" spans="1:12" ht="15" customHeight="1" x14ac:dyDescent="0.3">
      <c r="A23" s="8" t="s">
        <v>50</v>
      </c>
      <c r="B23" s="102" t="s">
        <v>46</v>
      </c>
      <c r="C23" s="103"/>
      <c r="D23" s="103"/>
      <c r="E23" s="103"/>
      <c r="F23" s="103"/>
      <c r="G23" s="103"/>
      <c r="H23" s="103"/>
      <c r="I23" s="7"/>
      <c r="J23" s="2"/>
      <c r="K23" s="2"/>
      <c r="L23" s="2"/>
    </row>
    <row r="24" spans="1:12" x14ac:dyDescent="0.3">
      <c r="A24" s="8" t="s">
        <v>51</v>
      </c>
      <c r="B24" s="102" t="s">
        <v>46</v>
      </c>
      <c r="C24" s="103"/>
      <c r="D24" s="103"/>
      <c r="E24" s="103"/>
      <c r="F24" s="103"/>
      <c r="G24" s="103"/>
      <c r="H24" s="103"/>
      <c r="I24" s="7"/>
      <c r="J24" s="2"/>
      <c r="K24" s="2"/>
      <c r="L24" s="2"/>
    </row>
    <row r="25" spans="1:12" x14ac:dyDescent="0.3">
      <c r="A25" s="8" t="s">
        <v>52</v>
      </c>
      <c r="B25" s="36" t="s">
        <v>27</v>
      </c>
      <c r="C25" s="72"/>
      <c r="D25" s="72"/>
      <c r="E25" s="72"/>
      <c r="F25" s="72"/>
      <c r="G25" s="72"/>
      <c r="H25" s="72"/>
      <c r="I25" s="3"/>
      <c r="J25" s="2"/>
      <c r="K25" s="2"/>
      <c r="L25" s="2"/>
    </row>
    <row r="26" spans="1:12" x14ac:dyDescent="0.3">
      <c r="A26" s="8" t="s">
        <v>53</v>
      </c>
      <c r="B26" s="35"/>
      <c r="C26" s="35"/>
      <c r="D26" s="35"/>
      <c r="E26" s="35"/>
      <c r="F26" s="35"/>
      <c r="G26" s="35"/>
      <c r="H26" s="35"/>
      <c r="I26" s="7"/>
      <c r="J26" s="2"/>
      <c r="K26" s="2"/>
      <c r="L26" s="2"/>
    </row>
    <row r="27" spans="1:12" ht="15.5" x14ac:dyDescent="0.3">
      <c r="A27" s="3" t="s">
        <v>96</v>
      </c>
      <c r="B27" s="35">
        <v>0.75</v>
      </c>
      <c r="C27" s="35">
        <v>350</v>
      </c>
      <c r="D27" s="35">
        <f t="shared" ref="D27:D31" si="4">B27*C27</f>
        <v>262.5</v>
      </c>
      <c r="E27" s="35">
        <f>E8</f>
        <v>90</v>
      </c>
      <c r="F27" s="69">
        <f t="shared" ref="F27:F31" si="5">D27*E27</f>
        <v>23625</v>
      </c>
      <c r="G27" s="73">
        <f t="shared" ref="G27:G31" si="6">F27*0.05</f>
        <v>1181.25</v>
      </c>
      <c r="H27" s="73">
        <f t="shared" ref="H27:H31" si="7">F27*0.1</f>
        <v>2362.5</v>
      </c>
      <c r="I27" s="10">
        <f t="shared" ref="I27:I31" si="8">F27*$L$7+G27*$L$6+H27*$L$8</f>
        <v>3261962.8125</v>
      </c>
      <c r="J27" s="2"/>
      <c r="K27" s="2"/>
      <c r="L27" s="2"/>
    </row>
    <row r="28" spans="1:12" ht="33" customHeight="1" x14ac:dyDescent="0.3">
      <c r="A28" s="16" t="s">
        <v>108</v>
      </c>
      <c r="B28" s="35">
        <v>0.5</v>
      </c>
      <c r="C28" s="35">
        <v>350</v>
      </c>
      <c r="D28" s="35">
        <f t="shared" si="4"/>
        <v>175</v>
      </c>
      <c r="E28" s="74">
        <f>E8*(1-0.517)</f>
        <v>43.47</v>
      </c>
      <c r="F28" s="73">
        <f t="shared" si="5"/>
        <v>7607.25</v>
      </c>
      <c r="G28" s="74">
        <f t="shared" si="6"/>
        <v>380.36250000000001</v>
      </c>
      <c r="H28" s="74">
        <f t="shared" si="7"/>
        <v>760.72500000000002</v>
      </c>
      <c r="I28" s="10">
        <f t="shared" si="8"/>
        <v>1050352.025625</v>
      </c>
      <c r="J28" s="2"/>
      <c r="K28" s="2"/>
      <c r="L28" s="2"/>
    </row>
    <row r="29" spans="1:12" ht="15.5" x14ac:dyDescent="0.3">
      <c r="A29" s="11" t="s">
        <v>101</v>
      </c>
      <c r="B29" s="35">
        <v>0.5</v>
      </c>
      <c r="C29" s="35">
        <v>350</v>
      </c>
      <c r="D29" s="35">
        <f t="shared" si="4"/>
        <v>175</v>
      </c>
      <c r="E29" s="74">
        <f>E8*0.4*0.666</f>
        <v>23.976000000000003</v>
      </c>
      <c r="F29" s="75">
        <f t="shared" si="5"/>
        <v>4195.8</v>
      </c>
      <c r="G29" s="74">
        <f t="shared" si="6"/>
        <v>209.79000000000002</v>
      </c>
      <c r="H29" s="74">
        <f t="shared" si="7"/>
        <v>419.58000000000004</v>
      </c>
      <c r="I29" s="10">
        <f t="shared" si="8"/>
        <v>579324.59549999994</v>
      </c>
      <c r="J29" s="2"/>
      <c r="K29" s="17"/>
      <c r="L29" s="2"/>
    </row>
    <row r="30" spans="1:12" ht="15.5" x14ac:dyDescent="0.3">
      <c r="A30" s="11" t="s">
        <v>102</v>
      </c>
      <c r="B30" s="35">
        <v>0.5</v>
      </c>
      <c r="C30" s="35">
        <v>350</v>
      </c>
      <c r="D30" s="35">
        <f t="shared" si="4"/>
        <v>175</v>
      </c>
      <c r="E30" s="74">
        <f>E8*0.4*(1-0.666)</f>
        <v>12.023999999999999</v>
      </c>
      <c r="F30" s="75">
        <f t="shared" si="5"/>
        <v>2104.1999999999998</v>
      </c>
      <c r="G30" s="74">
        <f t="shared" si="6"/>
        <v>105.21</v>
      </c>
      <c r="H30" s="74">
        <f t="shared" si="7"/>
        <v>210.42</v>
      </c>
      <c r="I30" s="10">
        <f t="shared" si="8"/>
        <v>290532.1545</v>
      </c>
      <c r="J30" s="2"/>
      <c r="K30" s="2"/>
      <c r="L30" s="2"/>
    </row>
    <row r="31" spans="1:12" ht="15.5" x14ac:dyDescent="0.3">
      <c r="A31" s="11" t="s">
        <v>100</v>
      </c>
      <c r="B31" s="45">
        <v>0.5</v>
      </c>
      <c r="C31" s="45">
        <v>350</v>
      </c>
      <c r="D31" s="45">
        <f t="shared" si="4"/>
        <v>175</v>
      </c>
      <c r="E31" s="9">
        <f>E8*0.517</f>
        <v>46.53</v>
      </c>
      <c r="F31" s="66">
        <f t="shared" si="5"/>
        <v>8142.75</v>
      </c>
      <c r="G31" s="9">
        <f t="shared" si="6"/>
        <v>407.13750000000005</v>
      </c>
      <c r="H31" s="9">
        <f t="shared" si="7"/>
        <v>814.27500000000009</v>
      </c>
      <c r="I31" s="10">
        <f t="shared" si="8"/>
        <v>1124289.849375</v>
      </c>
      <c r="J31" s="2"/>
      <c r="K31" s="2"/>
      <c r="L31" s="2"/>
    </row>
    <row r="32" spans="1:12" x14ac:dyDescent="0.3">
      <c r="A32" s="8" t="s">
        <v>54</v>
      </c>
      <c r="B32" s="45" t="s">
        <v>27</v>
      </c>
      <c r="C32" s="4"/>
      <c r="D32" s="4"/>
      <c r="E32" s="4"/>
      <c r="F32" s="4"/>
      <c r="G32" s="4"/>
      <c r="H32" s="4"/>
      <c r="I32" s="4"/>
      <c r="J32" s="2"/>
      <c r="K32" s="2"/>
      <c r="L32" s="2"/>
    </row>
    <row r="33" spans="1:12" x14ac:dyDescent="0.3">
      <c r="A33" s="8" t="s">
        <v>55</v>
      </c>
      <c r="B33" s="45" t="s">
        <v>27</v>
      </c>
      <c r="C33" s="4"/>
      <c r="D33" s="4"/>
      <c r="E33" s="4"/>
      <c r="F33" s="4"/>
      <c r="G33" s="4"/>
      <c r="H33" s="4"/>
      <c r="I33" s="4"/>
      <c r="J33" s="2"/>
      <c r="K33" s="2"/>
      <c r="L33" s="2"/>
    </row>
    <row r="34" spans="1:12" x14ac:dyDescent="0.3">
      <c r="A34" s="12" t="s">
        <v>56</v>
      </c>
      <c r="B34" s="13"/>
      <c r="C34" s="13"/>
      <c r="D34" s="13"/>
      <c r="E34" s="14"/>
      <c r="F34" s="105">
        <f>SUM(F27:H31)</f>
        <v>52526.25</v>
      </c>
      <c r="G34" s="105"/>
      <c r="H34" s="105"/>
      <c r="I34" s="15">
        <f>SUM(I27:I31)</f>
        <v>6306461.4375</v>
      </c>
      <c r="J34" s="2"/>
      <c r="K34" s="18">
        <f>Responses!E9</f>
        <v>184.05</v>
      </c>
      <c r="L34" s="2" t="s">
        <v>57</v>
      </c>
    </row>
    <row r="35" spans="1:12" ht="15" x14ac:dyDescent="0.3">
      <c r="A35" s="42" t="s">
        <v>104</v>
      </c>
      <c r="B35" s="35"/>
      <c r="C35" s="35"/>
      <c r="D35" s="35"/>
      <c r="E35" s="47"/>
      <c r="F35" s="95">
        <f>ROUND(SUM(F34,F20),-2)</f>
        <v>56700</v>
      </c>
      <c r="G35" s="95"/>
      <c r="H35" s="95"/>
      <c r="I35" s="43">
        <f>ROUND(SUM(I34,I20),-4)</f>
        <v>6800000</v>
      </c>
      <c r="J35" s="2"/>
      <c r="K35" s="18">
        <f>F35/K34</f>
        <v>308.06845965770168</v>
      </c>
      <c r="L35" s="2" t="s">
        <v>58</v>
      </c>
    </row>
    <row r="36" spans="1:12" s="19" customFormat="1" ht="15" x14ac:dyDescent="0.3">
      <c r="A36" s="91" t="s">
        <v>105</v>
      </c>
      <c r="B36" s="91"/>
      <c r="C36" s="91"/>
      <c r="D36" s="91"/>
      <c r="E36" s="91"/>
      <c r="F36" s="91"/>
      <c r="G36" s="91"/>
      <c r="H36" s="92"/>
      <c r="I36" s="33">
        <f>ROUND('Capital_O&amp;M'!$D$7+'Capital_O&amp;M'!$G$7,-3)</f>
        <v>198000</v>
      </c>
    </row>
    <row r="37" spans="1:12" s="2" customFormat="1" ht="15" x14ac:dyDescent="0.3">
      <c r="A37" s="91" t="s">
        <v>106</v>
      </c>
      <c r="B37" s="93"/>
      <c r="C37" s="93"/>
      <c r="D37" s="93"/>
      <c r="E37" s="93"/>
      <c r="F37" s="93"/>
      <c r="G37" s="93"/>
      <c r="H37" s="94"/>
      <c r="I37" s="33">
        <f>ROUND(SUM(I35:I36),-4)</f>
        <v>7000000</v>
      </c>
      <c r="K37" s="19"/>
    </row>
    <row r="38" spans="1:12" s="2" customFormat="1" ht="13" x14ac:dyDescent="0.3">
      <c r="A38" s="20"/>
      <c r="B38" s="21"/>
      <c r="C38" s="21"/>
      <c r="D38" s="21"/>
      <c r="E38" s="21"/>
      <c r="F38" s="21"/>
      <c r="G38" s="21"/>
      <c r="H38" s="21"/>
      <c r="I38" s="22"/>
    </row>
    <row r="39" spans="1:12" x14ac:dyDescent="0.3">
      <c r="A39" s="23" t="s">
        <v>59</v>
      </c>
      <c r="B39" s="2"/>
      <c r="C39" s="2"/>
      <c r="D39" s="2"/>
      <c r="E39" s="2"/>
      <c r="F39" s="2"/>
      <c r="G39" s="2"/>
      <c r="H39" s="2"/>
      <c r="I39" s="2"/>
      <c r="J39" s="2"/>
      <c r="K39" s="2"/>
      <c r="L39" s="2"/>
    </row>
    <row r="40" spans="1:12" ht="28.5" customHeight="1" x14ac:dyDescent="0.3">
      <c r="A40" s="89" t="s">
        <v>136</v>
      </c>
      <c r="B40" s="89"/>
      <c r="C40" s="89"/>
      <c r="D40" s="89"/>
      <c r="E40" s="89"/>
      <c r="F40" s="89"/>
      <c r="G40" s="89"/>
      <c r="H40" s="89"/>
      <c r="I40" s="89"/>
      <c r="J40" s="80"/>
      <c r="K40" s="40"/>
      <c r="L40" s="77"/>
    </row>
    <row r="41" spans="1:12" ht="57.75" customHeight="1" x14ac:dyDescent="0.3">
      <c r="A41" s="89" t="s">
        <v>130</v>
      </c>
      <c r="B41" s="90"/>
      <c r="C41" s="90"/>
      <c r="D41" s="90"/>
      <c r="E41" s="90"/>
      <c r="F41" s="90"/>
      <c r="G41" s="90"/>
      <c r="H41" s="90"/>
      <c r="I41" s="90"/>
      <c r="J41" s="77"/>
      <c r="K41" s="77"/>
      <c r="L41" s="77"/>
    </row>
    <row r="42" spans="1:12" ht="40.5" customHeight="1" x14ac:dyDescent="0.3">
      <c r="A42" s="89" t="s">
        <v>134</v>
      </c>
      <c r="B42" s="89"/>
      <c r="C42" s="89"/>
      <c r="D42" s="89"/>
      <c r="E42" s="89"/>
      <c r="F42" s="89"/>
      <c r="G42" s="89"/>
      <c r="H42" s="89"/>
      <c r="I42" s="89"/>
      <c r="J42" s="88"/>
      <c r="K42" s="88"/>
      <c r="L42" s="88"/>
    </row>
    <row r="43" spans="1:12" ht="33" customHeight="1" x14ac:dyDescent="0.3">
      <c r="A43" s="89" t="s">
        <v>95</v>
      </c>
      <c r="B43" s="90"/>
      <c r="C43" s="90"/>
      <c r="D43" s="90"/>
      <c r="E43" s="90"/>
      <c r="F43" s="90"/>
      <c r="G43" s="90"/>
      <c r="H43" s="90"/>
      <c r="I43" s="90"/>
      <c r="J43" s="78"/>
      <c r="K43" s="78"/>
      <c r="L43" s="78"/>
    </row>
    <row r="44" spans="1:12" ht="44.25" customHeight="1" x14ac:dyDescent="0.3">
      <c r="A44" s="89" t="s">
        <v>97</v>
      </c>
      <c r="B44" s="90"/>
      <c r="C44" s="90"/>
      <c r="D44" s="90"/>
      <c r="E44" s="90"/>
      <c r="F44" s="90"/>
      <c r="G44" s="90"/>
      <c r="H44" s="90"/>
      <c r="I44" s="90"/>
      <c r="J44" s="78"/>
      <c r="K44" s="78"/>
      <c r="L44" s="78"/>
    </row>
    <row r="45" spans="1:12" ht="33.75" customHeight="1" x14ac:dyDescent="0.3">
      <c r="A45" s="89" t="s">
        <v>98</v>
      </c>
      <c r="B45" s="90"/>
      <c r="C45" s="90"/>
      <c r="D45" s="90"/>
      <c r="E45" s="90"/>
      <c r="F45" s="90"/>
      <c r="G45" s="90"/>
      <c r="H45" s="90"/>
      <c r="I45" s="90"/>
      <c r="J45" s="78"/>
      <c r="K45" s="78"/>
      <c r="L45" s="78"/>
    </row>
    <row r="46" spans="1:12" ht="28.5" customHeight="1" x14ac:dyDescent="0.3">
      <c r="A46" s="89" t="s">
        <v>129</v>
      </c>
      <c r="B46" s="90"/>
      <c r="C46" s="90"/>
      <c r="D46" s="90"/>
      <c r="E46" s="90"/>
      <c r="F46" s="90"/>
      <c r="G46" s="90"/>
      <c r="H46" s="90"/>
      <c r="I46" s="90"/>
      <c r="J46" s="77"/>
      <c r="K46" s="77"/>
      <c r="L46" s="77"/>
    </row>
    <row r="47" spans="1:12" ht="41.25" customHeight="1" x14ac:dyDescent="0.3">
      <c r="A47" s="89" t="s">
        <v>137</v>
      </c>
      <c r="B47" s="90"/>
      <c r="C47" s="90"/>
      <c r="D47" s="90"/>
      <c r="E47" s="90"/>
      <c r="F47" s="90"/>
      <c r="G47" s="90"/>
      <c r="H47" s="90"/>
      <c r="I47" s="90"/>
      <c r="J47" s="79"/>
      <c r="K47" s="79"/>
      <c r="L47" s="78"/>
    </row>
    <row r="48" spans="1:12" ht="28.5" customHeight="1" x14ac:dyDescent="0.3">
      <c r="A48" s="89" t="s">
        <v>138</v>
      </c>
      <c r="B48" s="90"/>
      <c r="C48" s="90"/>
      <c r="D48" s="90"/>
      <c r="E48" s="90"/>
      <c r="F48" s="90"/>
      <c r="G48" s="90"/>
      <c r="H48" s="90"/>
      <c r="I48" s="90"/>
      <c r="J48" s="80"/>
      <c r="K48" s="79"/>
      <c r="L48" s="79"/>
    </row>
    <row r="49" spans="1:12" ht="15.75" customHeight="1" x14ac:dyDescent="0.3">
      <c r="A49" s="89" t="s">
        <v>103</v>
      </c>
      <c r="B49" s="90"/>
      <c r="C49" s="90"/>
      <c r="D49" s="90"/>
      <c r="E49" s="90"/>
      <c r="F49" s="90"/>
      <c r="G49" s="90"/>
      <c r="H49" s="90"/>
      <c r="I49" s="90"/>
      <c r="J49" s="77"/>
      <c r="K49" s="77"/>
      <c r="L49" s="77"/>
    </row>
    <row r="50" spans="1:12" ht="15.5" x14ac:dyDescent="0.3">
      <c r="A50" s="2"/>
      <c r="B50" s="2"/>
      <c r="C50" s="2"/>
      <c r="D50" s="2"/>
      <c r="E50" s="2"/>
      <c r="F50" s="2"/>
      <c r="G50" s="2"/>
      <c r="H50" s="2"/>
      <c r="I50" s="2"/>
      <c r="J50" s="24"/>
      <c r="K50" s="24"/>
      <c r="L50" s="24"/>
    </row>
    <row r="51" spans="1:12" ht="15.5" x14ac:dyDescent="0.3">
      <c r="A51" s="2"/>
      <c r="B51" s="2"/>
      <c r="C51" s="2"/>
      <c r="D51" s="2"/>
      <c r="E51" s="2"/>
      <c r="F51" s="2"/>
      <c r="G51" s="2"/>
      <c r="H51" s="2"/>
      <c r="I51" s="2"/>
      <c r="J51" s="24"/>
      <c r="K51" s="24"/>
      <c r="L51" s="24"/>
    </row>
    <row r="52" spans="1:12" x14ac:dyDescent="0.3">
      <c r="A52" s="2"/>
      <c r="B52" s="2"/>
      <c r="C52" s="2"/>
      <c r="D52" s="2"/>
      <c r="E52" s="2"/>
      <c r="F52" s="2"/>
      <c r="G52" s="2"/>
      <c r="H52" s="2"/>
      <c r="I52" s="2"/>
      <c r="J52" s="26"/>
      <c r="K52" s="26"/>
      <c r="L52" s="26"/>
    </row>
    <row r="53" spans="1:12" x14ac:dyDescent="0.3">
      <c r="A53" s="26"/>
      <c r="B53" s="26"/>
      <c r="C53" s="26"/>
      <c r="D53" s="26"/>
      <c r="E53" s="26"/>
      <c r="F53" s="26"/>
      <c r="G53" s="26"/>
      <c r="H53" s="26"/>
      <c r="I53" s="26"/>
      <c r="J53" s="26"/>
      <c r="K53" s="26"/>
      <c r="L53" s="26"/>
    </row>
    <row r="54" spans="1:12" x14ac:dyDescent="0.3">
      <c r="A54" s="26"/>
      <c r="B54" s="26"/>
      <c r="C54" s="26"/>
      <c r="D54" s="26"/>
      <c r="E54" s="26"/>
      <c r="F54" s="26"/>
      <c r="G54" s="26"/>
      <c r="H54" s="26"/>
      <c r="I54" s="26"/>
      <c r="J54" s="26"/>
      <c r="K54" s="26"/>
      <c r="L54" s="26"/>
    </row>
    <row r="55" spans="1:12" x14ac:dyDescent="0.3">
      <c r="A55" s="26"/>
      <c r="B55" s="26"/>
      <c r="C55" s="26"/>
      <c r="D55" s="26"/>
      <c r="E55" s="26"/>
      <c r="F55" s="26"/>
      <c r="G55" s="26"/>
      <c r="H55" s="26"/>
      <c r="I55" s="26"/>
      <c r="J55" s="26"/>
      <c r="K55" s="26"/>
      <c r="L55" s="26"/>
    </row>
    <row r="56" spans="1:12" x14ac:dyDescent="0.3">
      <c r="A56" s="26"/>
      <c r="B56" s="26"/>
      <c r="C56" s="26"/>
      <c r="D56" s="26"/>
      <c r="E56" s="26"/>
      <c r="F56" s="26"/>
      <c r="G56" s="26"/>
      <c r="H56" s="26"/>
      <c r="I56" s="26"/>
      <c r="J56" s="26"/>
      <c r="K56" s="26"/>
      <c r="L56" s="26"/>
    </row>
    <row r="57" spans="1:12" x14ac:dyDescent="0.3">
      <c r="A57" s="26"/>
      <c r="B57" s="26"/>
      <c r="C57" s="26"/>
      <c r="D57" s="26"/>
      <c r="E57" s="26"/>
      <c r="F57" s="26"/>
      <c r="G57" s="26"/>
      <c r="H57" s="26"/>
      <c r="I57" s="26"/>
      <c r="J57" s="26"/>
      <c r="K57" s="26"/>
      <c r="L57" s="26"/>
    </row>
    <row r="58" spans="1:12" x14ac:dyDescent="0.3">
      <c r="A58" s="26"/>
      <c r="B58" s="26"/>
      <c r="C58" s="26"/>
      <c r="D58" s="26"/>
      <c r="E58" s="26"/>
      <c r="F58" s="26"/>
      <c r="G58" s="26"/>
      <c r="H58" s="26"/>
      <c r="I58" s="26"/>
      <c r="J58" s="26"/>
      <c r="K58" s="26"/>
      <c r="L58" s="26"/>
    </row>
  </sheetData>
  <mergeCells count="25">
    <mergeCell ref="F35:H35"/>
    <mergeCell ref="A1:I1"/>
    <mergeCell ref="A3:A4"/>
    <mergeCell ref="K5:L5"/>
    <mergeCell ref="B12:H12"/>
    <mergeCell ref="B13:H13"/>
    <mergeCell ref="B18:H18"/>
    <mergeCell ref="F20:H20"/>
    <mergeCell ref="B22:H22"/>
    <mergeCell ref="B23:H23"/>
    <mergeCell ref="B24:H24"/>
    <mergeCell ref="F34:H34"/>
    <mergeCell ref="J42:L42"/>
    <mergeCell ref="A49:I49"/>
    <mergeCell ref="A36:H36"/>
    <mergeCell ref="A37:H37"/>
    <mergeCell ref="A40:I40"/>
    <mergeCell ref="A41:I41"/>
    <mergeCell ref="A42:I42"/>
    <mergeCell ref="A43:I43"/>
    <mergeCell ref="A44:I44"/>
    <mergeCell ref="A45:I45"/>
    <mergeCell ref="A46:I46"/>
    <mergeCell ref="A47:I47"/>
    <mergeCell ref="A48:I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5F48E-9F18-4A21-91E5-DFBC91C90D6D}">
  <dimension ref="A1:L22"/>
  <sheetViews>
    <sheetView zoomScaleNormal="100" workbookViewId="0">
      <selection activeCell="A2" sqref="A2"/>
    </sheetView>
  </sheetViews>
  <sheetFormatPr defaultColWidth="9.1796875" defaultRowHeight="14" x14ac:dyDescent="0.3"/>
  <cols>
    <col min="1" max="1" width="35.7265625" style="1" customWidth="1"/>
    <col min="2" max="9" width="11.54296875" style="1" customWidth="1"/>
    <col min="10" max="10" width="8.7265625" style="1" customWidth="1"/>
    <col min="11" max="11" width="11" style="1" bestFit="1" customWidth="1"/>
    <col min="12" max="16384" width="9.1796875" style="1"/>
  </cols>
  <sheetData>
    <row r="1" spans="1:12" ht="32.25" customHeight="1" x14ac:dyDescent="0.3">
      <c r="A1" s="96" t="s">
        <v>109</v>
      </c>
      <c r="B1" s="96"/>
      <c r="C1" s="96"/>
      <c r="D1" s="96"/>
      <c r="E1" s="96"/>
      <c r="F1" s="96"/>
      <c r="G1" s="96"/>
      <c r="H1" s="96"/>
      <c r="I1" s="96"/>
    </row>
    <row r="2" spans="1:12" x14ac:dyDescent="0.3">
      <c r="A2" s="2"/>
      <c r="B2" s="2"/>
      <c r="C2" s="2"/>
      <c r="D2" s="2"/>
      <c r="E2" s="2"/>
      <c r="I2" s="2"/>
      <c r="J2" s="2"/>
      <c r="K2" s="2"/>
      <c r="L2" s="2"/>
    </row>
    <row r="3" spans="1:12" x14ac:dyDescent="0.3">
      <c r="A3" s="108" t="s">
        <v>60</v>
      </c>
      <c r="B3" s="27" t="s">
        <v>3</v>
      </c>
      <c r="C3" s="27" t="s">
        <v>4</v>
      </c>
      <c r="D3" s="27" t="s">
        <v>61</v>
      </c>
      <c r="E3" s="27" t="s">
        <v>62</v>
      </c>
      <c r="F3" s="27" t="s">
        <v>63</v>
      </c>
      <c r="G3" s="27" t="s">
        <v>64</v>
      </c>
      <c r="H3" s="27" t="s">
        <v>16</v>
      </c>
      <c r="I3" s="27" t="s">
        <v>65</v>
      </c>
      <c r="J3" s="2"/>
      <c r="K3" s="2"/>
      <c r="L3" s="2"/>
    </row>
    <row r="4" spans="1:12" ht="65" x14ac:dyDescent="0.3">
      <c r="A4" s="108"/>
      <c r="B4" s="46" t="s">
        <v>66</v>
      </c>
      <c r="C4" s="46" t="s">
        <v>67</v>
      </c>
      <c r="D4" s="46" t="s">
        <v>68</v>
      </c>
      <c r="E4" s="46" t="s">
        <v>69</v>
      </c>
      <c r="F4" s="46" t="s">
        <v>70</v>
      </c>
      <c r="G4" s="46" t="s">
        <v>71</v>
      </c>
      <c r="H4" s="46" t="s">
        <v>72</v>
      </c>
      <c r="I4" s="46" t="s">
        <v>73</v>
      </c>
      <c r="J4" s="26"/>
      <c r="K4" s="2"/>
      <c r="L4" s="2"/>
    </row>
    <row r="5" spans="1:12" x14ac:dyDescent="0.3">
      <c r="A5" s="4" t="s">
        <v>42</v>
      </c>
      <c r="B5" s="44">
        <v>2</v>
      </c>
      <c r="C5" s="44">
        <f>'Table 1'!C15</f>
        <v>1</v>
      </c>
      <c r="D5" s="44">
        <f>B5*C5</f>
        <v>2</v>
      </c>
      <c r="E5" s="81">
        <f>'Table 1'!E15</f>
        <v>1</v>
      </c>
      <c r="F5" s="44">
        <f>D5*E5</f>
        <v>2</v>
      </c>
      <c r="G5" s="44">
        <f>F5*0.05</f>
        <v>0.1</v>
      </c>
      <c r="H5" s="44">
        <f>F5*0.1</f>
        <v>0.2</v>
      </c>
      <c r="I5" s="28">
        <f t="shared" ref="I5:I11" si="0">F5*$L$7+G5*$L$6+H5*$L$8</f>
        <v>117.464</v>
      </c>
      <c r="J5" s="2"/>
      <c r="K5" s="99" t="s">
        <v>28</v>
      </c>
      <c r="L5" s="99"/>
    </row>
    <row r="6" spans="1:12" x14ac:dyDescent="0.3">
      <c r="A6" s="4" t="s">
        <v>43</v>
      </c>
      <c r="B6" s="44">
        <v>1</v>
      </c>
      <c r="C6" s="44">
        <f>'Table 1'!C16</f>
        <v>1</v>
      </c>
      <c r="D6" s="44">
        <f t="shared" ref="D6:D12" si="1">B6*C6</f>
        <v>1</v>
      </c>
      <c r="E6" s="81">
        <f>'Table 1'!E16</f>
        <v>1</v>
      </c>
      <c r="F6" s="44">
        <f t="shared" ref="F6:F12" si="2">D6*E6</f>
        <v>1</v>
      </c>
      <c r="G6" s="57">
        <f>F6*0.05</f>
        <v>0.05</v>
      </c>
      <c r="H6" s="57">
        <f t="shared" ref="H6:H11" si="3">F6*0.1</f>
        <v>0.1</v>
      </c>
      <c r="I6" s="28">
        <f t="shared" si="0"/>
        <v>58.731999999999999</v>
      </c>
      <c r="J6" s="2"/>
      <c r="K6" s="5" t="s">
        <v>30</v>
      </c>
      <c r="L6" s="6">
        <v>70.56</v>
      </c>
    </row>
    <row r="7" spans="1:12" ht="15.5" x14ac:dyDescent="0.3">
      <c r="A7" s="4" t="s">
        <v>74</v>
      </c>
      <c r="B7" s="44">
        <v>0.5</v>
      </c>
      <c r="C7" s="36">
        <f>'Table 1'!C17</f>
        <v>1</v>
      </c>
      <c r="D7" s="44">
        <f t="shared" si="1"/>
        <v>0.5</v>
      </c>
      <c r="E7" s="81">
        <f>'Table 1'!E17</f>
        <v>1</v>
      </c>
      <c r="F7" s="44">
        <f t="shared" si="2"/>
        <v>0.5</v>
      </c>
      <c r="G7" s="57">
        <f t="shared" ref="G7:G12" si="4">F7*0.05</f>
        <v>2.5000000000000001E-2</v>
      </c>
      <c r="H7" s="57">
        <f t="shared" si="3"/>
        <v>0.05</v>
      </c>
      <c r="I7" s="28">
        <f t="shared" si="0"/>
        <v>29.366</v>
      </c>
      <c r="J7" s="34"/>
      <c r="K7" s="5" t="s">
        <v>32</v>
      </c>
      <c r="L7" s="6">
        <v>52.37</v>
      </c>
    </row>
    <row r="8" spans="1:12" ht="15.5" x14ac:dyDescent="0.3">
      <c r="A8" s="4" t="s">
        <v>127</v>
      </c>
      <c r="B8" s="44">
        <v>24</v>
      </c>
      <c r="C8" s="36">
        <v>1.64</v>
      </c>
      <c r="D8" s="44">
        <f t="shared" si="1"/>
        <v>39.36</v>
      </c>
      <c r="E8" s="81">
        <f>'Table 1'!E10</f>
        <v>1</v>
      </c>
      <c r="F8" s="44">
        <f t="shared" si="2"/>
        <v>39.36</v>
      </c>
      <c r="G8" s="49">
        <f t="shared" si="4"/>
        <v>1.968</v>
      </c>
      <c r="H8" s="49">
        <f t="shared" si="3"/>
        <v>3.9359999999999999</v>
      </c>
      <c r="I8" s="28">
        <f t="shared" si="0"/>
        <v>2311.6915199999999</v>
      </c>
      <c r="J8" s="34"/>
      <c r="K8" s="5" t="s">
        <v>34</v>
      </c>
      <c r="L8" s="6">
        <v>28.34</v>
      </c>
    </row>
    <row r="9" spans="1:12" ht="15.5" x14ac:dyDescent="0.3">
      <c r="A9" s="4" t="s">
        <v>128</v>
      </c>
      <c r="B9" s="44">
        <v>24</v>
      </c>
      <c r="C9" s="36">
        <f>0.05*1.64</f>
        <v>8.2000000000000003E-2</v>
      </c>
      <c r="D9" s="44">
        <f t="shared" si="1"/>
        <v>1.968</v>
      </c>
      <c r="E9" s="81">
        <f>'Table 1'!E11</f>
        <v>1</v>
      </c>
      <c r="F9" s="44">
        <f t="shared" si="2"/>
        <v>1.968</v>
      </c>
      <c r="G9" s="57">
        <f t="shared" si="4"/>
        <v>9.8400000000000001E-2</v>
      </c>
      <c r="H9" s="57">
        <f t="shared" si="3"/>
        <v>0.1968</v>
      </c>
      <c r="I9" s="28">
        <f t="shared" si="0"/>
        <v>115.584576</v>
      </c>
      <c r="J9" s="34"/>
      <c r="K9" s="2"/>
      <c r="L9" s="2"/>
    </row>
    <row r="10" spans="1:12" ht="15.5" x14ac:dyDescent="0.3">
      <c r="A10" s="4" t="s">
        <v>75</v>
      </c>
      <c r="B10" s="44">
        <v>8</v>
      </c>
      <c r="C10" s="36">
        <v>1.05</v>
      </c>
      <c r="D10" s="44">
        <f t="shared" si="1"/>
        <v>8.4</v>
      </c>
      <c r="E10" s="81">
        <f>'Table 1'!E10</f>
        <v>1</v>
      </c>
      <c r="F10" s="44">
        <f t="shared" si="2"/>
        <v>8.4</v>
      </c>
      <c r="G10" s="49">
        <f t="shared" si="4"/>
        <v>0.42000000000000004</v>
      </c>
      <c r="H10" s="49">
        <f t="shared" si="3"/>
        <v>0.84000000000000008</v>
      </c>
      <c r="I10" s="28">
        <f t="shared" si="0"/>
        <v>493.34880000000004</v>
      </c>
      <c r="J10" s="34"/>
      <c r="K10" s="2"/>
      <c r="L10" s="2"/>
    </row>
    <row r="11" spans="1:12" x14ac:dyDescent="0.3">
      <c r="A11" s="4" t="s">
        <v>76</v>
      </c>
      <c r="B11" s="44">
        <v>0.5</v>
      </c>
      <c r="C11" s="44">
        <v>1</v>
      </c>
      <c r="D11" s="44">
        <f>B11*C11</f>
        <v>0.5</v>
      </c>
      <c r="E11" s="81">
        <f>E5</f>
        <v>1</v>
      </c>
      <c r="F11" s="44">
        <f t="shared" si="2"/>
        <v>0.5</v>
      </c>
      <c r="G11" s="57">
        <f t="shared" si="4"/>
        <v>2.5000000000000001E-2</v>
      </c>
      <c r="H11" s="57">
        <f t="shared" si="3"/>
        <v>0.05</v>
      </c>
      <c r="I11" s="28">
        <f t="shared" si="0"/>
        <v>29.366</v>
      </c>
      <c r="J11" s="34"/>
      <c r="K11" s="2"/>
      <c r="L11" s="2"/>
    </row>
    <row r="12" spans="1:12" x14ac:dyDescent="0.3">
      <c r="A12" s="4" t="s">
        <v>77</v>
      </c>
      <c r="B12" s="44">
        <v>8</v>
      </c>
      <c r="C12" s="44">
        <v>2</v>
      </c>
      <c r="D12" s="44">
        <f t="shared" si="1"/>
        <v>16</v>
      </c>
      <c r="E12" s="36">
        <f>'Table 1'!E19</f>
        <v>90</v>
      </c>
      <c r="F12" s="65">
        <f t="shared" si="2"/>
        <v>1440</v>
      </c>
      <c r="G12" s="44">
        <f t="shared" si="4"/>
        <v>72</v>
      </c>
      <c r="H12" s="44">
        <f>F12*0.1</f>
        <v>144</v>
      </c>
      <c r="I12" s="28">
        <f>F12*$L$7+G12*$L$6+H12*$L$8</f>
        <v>84574.080000000002</v>
      </c>
      <c r="J12" s="2"/>
      <c r="K12" s="2"/>
      <c r="L12" s="2"/>
    </row>
    <row r="13" spans="1:12" ht="15" x14ac:dyDescent="0.3">
      <c r="A13" s="29" t="s">
        <v>110</v>
      </c>
      <c r="B13" s="3"/>
      <c r="C13" s="3"/>
      <c r="D13" s="3"/>
      <c r="E13" s="3"/>
      <c r="F13" s="109">
        <f>ROUND(SUM(F5:H12),-1)</f>
        <v>1720</v>
      </c>
      <c r="G13" s="110"/>
      <c r="H13" s="111"/>
      <c r="I13" s="30">
        <f>ROUND(SUM(I5:I12),-2)</f>
        <v>87700</v>
      </c>
      <c r="J13" s="2"/>
      <c r="K13" s="2"/>
      <c r="L13" s="2"/>
    </row>
    <row r="14" spans="1:12" x14ac:dyDescent="0.3">
      <c r="A14" s="2"/>
      <c r="B14" s="2"/>
      <c r="C14" s="2"/>
      <c r="D14" s="2"/>
      <c r="E14" s="2"/>
      <c r="F14" s="2"/>
      <c r="G14" s="2"/>
      <c r="H14" s="2"/>
      <c r="I14" s="2"/>
      <c r="J14" s="2"/>
      <c r="K14" s="2"/>
      <c r="L14" s="2"/>
    </row>
    <row r="15" spans="1:12" x14ac:dyDescent="0.3">
      <c r="A15" s="31" t="s">
        <v>78</v>
      </c>
      <c r="B15" s="2"/>
      <c r="C15" s="2"/>
      <c r="D15" s="2"/>
      <c r="E15" s="2"/>
      <c r="F15" s="2"/>
      <c r="G15" s="2"/>
      <c r="H15" s="2"/>
      <c r="I15" s="2"/>
      <c r="J15" s="2"/>
      <c r="K15" s="2"/>
      <c r="L15" s="2"/>
    </row>
    <row r="16" spans="1:12" ht="41.25" customHeight="1" x14ac:dyDescent="0.3">
      <c r="A16" s="89" t="s">
        <v>136</v>
      </c>
      <c r="B16" s="89"/>
      <c r="C16" s="89"/>
      <c r="D16" s="89"/>
      <c r="E16" s="89"/>
      <c r="F16" s="89"/>
      <c r="G16" s="89"/>
      <c r="H16" s="89"/>
      <c r="I16" s="89"/>
      <c r="J16" s="76"/>
      <c r="K16" s="2"/>
      <c r="L16" s="2"/>
    </row>
    <row r="17" spans="1:12" ht="44.25" customHeight="1" x14ac:dyDescent="0.3">
      <c r="A17" s="106" t="s">
        <v>131</v>
      </c>
      <c r="B17" s="107"/>
      <c r="C17" s="107"/>
      <c r="D17" s="107"/>
      <c r="E17" s="107"/>
      <c r="F17" s="107"/>
      <c r="G17" s="107"/>
      <c r="H17" s="107"/>
      <c r="I17" s="107"/>
      <c r="J17" s="24"/>
      <c r="K17" s="2"/>
      <c r="L17" s="2"/>
    </row>
    <row r="18" spans="1:12" ht="47.25" customHeight="1" x14ac:dyDescent="0.3">
      <c r="A18" s="89" t="s">
        <v>135</v>
      </c>
      <c r="B18" s="89"/>
      <c r="C18" s="89"/>
      <c r="D18" s="89"/>
      <c r="E18" s="89"/>
      <c r="F18" s="89"/>
      <c r="G18" s="89"/>
      <c r="H18" s="89"/>
      <c r="I18" s="89"/>
      <c r="J18" s="24"/>
      <c r="K18" s="2"/>
      <c r="L18" s="2"/>
    </row>
    <row r="19" spans="1:12" x14ac:dyDescent="0.3">
      <c r="A19" s="106" t="s">
        <v>111</v>
      </c>
      <c r="B19" s="107"/>
      <c r="C19" s="107"/>
      <c r="D19" s="107"/>
      <c r="E19" s="107"/>
      <c r="F19" s="107"/>
      <c r="G19" s="107"/>
      <c r="H19" s="107"/>
      <c r="I19" s="107"/>
      <c r="J19" s="25"/>
    </row>
    <row r="20" spans="1:12" ht="25.5" customHeight="1" x14ac:dyDescent="0.3">
      <c r="B20" s="24"/>
      <c r="C20" s="24"/>
      <c r="D20" s="24"/>
      <c r="E20" s="24"/>
      <c r="F20" s="24"/>
      <c r="G20" s="24"/>
      <c r="H20" s="24"/>
      <c r="I20" s="24"/>
      <c r="J20" s="25"/>
      <c r="K20" s="2"/>
      <c r="L20" s="2"/>
    </row>
    <row r="21" spans="1:12" ht="15.75" customHeight="1" x14ac:dyDescent="0.3">
      <c r="J21" s="24"/>
    </row>
    <row r="22" spans="1:12" x14ac:dyDescent="0.3">
      <c r="J22" s="2"/>
    </row>
  </sheetData>
  <mergeCells count="8">
    <mergeCell ref="A19:I19"/>
    <mergeCell ref="A1:I1"/>
    <mergeCell ref="A3:A4"/>
    <mergeCell ref="K5:L5"/>
    <mergeCell ref="F13:H13"/>
    <mergeCell ref="A16:I16"/>
    <mergeCell ref="A17:I17"/>
    <mergeCell ref="A18:I18"/>
  </mergeCells>
  <pageMargins left="0.7" right="0.7" top="0.75" bottom="0.75" header="0.3" footer="0.3"/>
  <pageSetup orientation="portrait" horizontalDpi="4294967293" verticalDpi="300" r:id="rId1"/>
  <ignoredErrors>
    <ignoredError sqref="E5:E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7D3B9-CEF1-4C66-916B-081FD55E4E3D}">
  <dimension ref="A1:H15"/>
  <sheetViews>
    <sheetView zoomScale="90" zoomScaleNormal="90" workbookViewId="0">
      <selection sqref="A1:G1"/>
    </sheetView>
  </sheetViews>
  <sheetFormatPr defaultColWidth="9.1796875" defaultRowHeight="13" x14ac:dyDescent="0.3"/>
  <cols>
    <col min="1" max="1" width="20.1796875" style="2" customWidth="1"/>
    <col min="2" max="6" width="14.26953125" style="2" customWidth="1"/>
    <col min="7" max="7" width="11.54296875" style="2" customWidth="1"/>
    <col min="8" max="16384" width="9.1796875" style="2"/>
  </cols>
  <sheetData>
    <row r="1" spans="1:8" ht="35.25" customHeight="1" x14ac:dyDescent="0.3">
      <c r="A1" s="112" t="s">
        <v>79</v>
      </c>
      <c r="B1" s="112"/>
      <c r="C1" s="112"/>
      <c r="D1" s="112"/>
      <c r="E1" s="112"/>
      <c r="F1" s="112"/>
      <c r="G1" s="112"/>
    </row>
    <row r="2" spans="1:8" x14ac:dyDescent="0.3">
      <c r="A2" s="45" t="s">
        <v>3</v>
      </c>
      <c r="B2" s="45" t="s">
        <v>4</v>
      </c>
      <c r="C2" s="45" t="s">
        <v>5</v>
      </c>
      <c r="D2" s="45" t="s">
        <v>6</v>
      </c>
      <c r="E2" s="45" t="s">
        <v>7</v>
      </c>
      <c r="F2" s="45" t="s">
        <v>15</v>
      </c>
      <c r="G2" s="45" t="s">
        <v>16</v>
      </c>
    </row>
    <row r="3" spans="1:8" ht="39" x14ac:dyDescent="0.3">
      <c r="A3" s="35" t="s">
        <v>80</v>
      </c>
      <c r="B3" s="35" t="s">
        <v>81</v>
      </c>
      <c r="C3" s="35" t="s">
        <v>82</v>
      </c>
      <c r="D3" s="35" t="s">
        <v>112</v>
      </c>
      <c r="E3" s="35" t="s">
        <v>83</v>
      </c>
      <c r="F3" s="35" t="s">
        <v>84</v>
      </c>
      <c r="G3" s="35" t="s">
        <v>113</v>
      </c>
      <c r="H3" s="34"/>
    </row>
    <row r="4" spans="1:8" ht="28.5" x14ac:dyDescent="0.3">
      <c r="A4" s="67" t="s">
        <v>114</v>
      </c>
      <c r="B4" s="82">
        <v>25000</v>
      </c>
      <c r="C4" s="35">
        <v>0</v>
      </c>
      <c r="D4" s="82">
        <f>B4*C4</f>
        <v>0</v>
      </c>
      <c r="E4" s="82">
        <v>7500</v>
      </c>
      <c r="F4" s="74">
        <f>'Table 1'!E29</f>
        <v>23.976000000000003</v>
      </c>
      <c r="G4" s="82">
        <f>E4*F4</f>
        <v>179820.00000000003</v>
      </c>
      <c r="H4" s="34"/>
    </row>
    <row r="5" spans="1:8" ht="28.5" x14ac:dyDescent="0.3">
      <c r="A5" s="67" t="s">
        <v>115</v>
      </c>
      <c r="B5" s="82">
        <v>300</v>
      </c>
      <c r="C5" s="35">
        <v>1</v>
      </c>
      <c r="D5" s="82">
        <f t="shared" ref="D5:D6" si="0">B5*C5</f>
        <v>300</v>
      </c>
      <c r="E5" s="82">
        <v>0</v>
      </c>
      <c r="F5" s="74">
        <f>'Table 1'!E31</f>
        <v>46.53</v>
      </c>
      <c r="G5" s="82">
        <f>E5*F5</f>
        <v>0</v>
      </c>
      <c r="H5" s="34"/>
    </row>
    <row r="6" spans="1:8" ht="28.5" x14ac:dyDescent="0.3">
      <c r="A6" s="67" t="s">
        <v>116</v>
      </c>
      <c r="B6" s="82">
        <v>18000</v>
      </c>
      <c r="C6" s="35">
        <v>1</v>
      </c>
      <c r="D6" s="82">
        <f t="shared" si="0"/>
        <v>18000</v>
      </c>
      <c r="E6" s="82">
        <v>0</v>
      </c>
      <c r="F6" s="35">
        <f>'Table 1'!E27</f>
        <v>90</v>
      </c>
      <c r="G6" s="82">
        <f>E6*F6</f>
        <v>0</v>
      </c>
      <c r="H6" s="34"/>
    </row>
    <row r="7" spans="1:8" ht="15" x14ac:dyDescent="0.3">
      <c r="A7" s="42" t="s">
        <v>117</v>
      </c>
      <c r="B7" s="64"/>
      <c r="C7" s="64"/>
      <c r="D7" s="83">
        <f>ROUND(SUM(D4:D6),-2)</f>
        <v>18300</v>
      </c>
      <c r="E7" s="64"/>
      <c r="F7" s="64"/>
      <c r="G7" s="83">
        <f>ROUND(SUM(G4:G6),-3)</f>
        <v>180000</v>
      </c>
      <c r="H7" s="34"/>
    </row>
    <row r="8" spans="1:8" x14ac:dyDescent="0.3">
      <c r="A8" s="84"/>
      <c r="B8" s="34"/>
      <c r="C8" s="34"/>
      <c r="D8" s="85"/>
      <c r="E8" s="34"/>
      <c r="F8" s="34"/>
      <c r="G8" s="85"/>
      <c r="H8" s="34"/>
    </row>
    <row r="9" spans="1:8" ht="43.5" customHeight="1" x14ac:dyDescent="0.3">
      <c r="A9" s="113" t="s">
        <v>139</v>
      </c>
      <c r="B9" s="113"/>
      <c r="C9" s="113"/>
      <c r="D9" s="113"/>
      <c r="E9" s="113"/>
      <c r="F9" s="113"/>
      <c r="G9" s="113"/>
      <c r="H9" s="85"/>
    </row>
    <row r="10" spans="1:8" ht="54" customHeight="1" x14ac:dyDescent="0.3">
      <c r="A10" s="113" t="s">
        <v>140</v>
      </c>
      <c r="B10" s="113"/>
      <c r="C10" s="113"/>
      <c r="D10" s="113"/>
      <c r="E10" s="113"/>
      <c r="F10" s="113"/>
      <c r="G10" s="113"/>
      <c r="H10" s="34"/>
    </row>
    <row r="11" spans="1:8" ht="33" customHeight="1" x14ac:dyDescent="0.3">
      <c r="A11" s="90" t="s">
        <v>141</v>
      </c>
      <c r="B11" s="90"/>
      <c r="C11" s="90"/>
      <c r="D11" s="90"/>
      <c r="E11" s="90"/>
      <c r="F11" s="90"/>
      <c r="G11" s="90"/>
      <c r="H11" s="80"/>
    </row>
    <row r="12" spans="1:8" s="34" customFormat="1" ht="15.5" x14ac:dyDescent="0.3">
      <c r="A12" s="34" t="s">
        <v>118</v>
      </c>
    </row>
    <row r="15" spans="1:8" ht="72.75" customHeight="1" x14ac:dyDescent="0.3">
      <c r="F15" s="26"/>
    </row>
  </sheetData>
  <mergeCells count="4">
    <mergeCell ref="A1:G1"/>
    <mergeCell ref="A9:G9"/>
    <mergeCell ref="A10:G10"/>
    <mergeCell ref="A11:G11"/>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7C52-88E3-449F-8127-0B3B0C46CFBA}">
  <dimension ref="A1:E9"/>
  <sheetViews>
    <sheetView workbookViewId="0">
      <selection activeCell="C13" sqref="C13"/>
    </sheetView>
  </sheetViews>
  <sheetFormatPr defaultRowHeight="14.5" x14ac:dyDescent="0.35"/>
  <cols>
    <col min="1" max="1" width="19.1796875" customWidth="1"/>
    <col min="2" max="2" width="12.1796875" customWidth="1"/>
    <col min="4" max="4" width="26.81640625" customWidth="1"/>
    <col min="5" max="5" width="17.26953125" customWidth="1"/>
  </cols>
  <sheetData>
    <row r="1" spans="1:5" ht="15" x14ac:dyDescent="0.35">
      <c r="A1" s="114" t="s">
        <v>85</v>
      </c>
      <c r="B1" s="114"/>
      <c r="C1" s="114"/>
      <c r="D1" s="114"/>
      <c r="E1" s="114"/>
    </row>
    <row r="2" spans="1:5" x14ac:dyDescent="0.35">
      <c r="A2" s="37" t="s">
        <v>3</v>
      </c>
      <c r="B2" s="37" t="s">
        <v>4</v>
      </c>
      <c r="C2" s="37" t="s">
        <v>5</v>
      </c>
      <c r="D2" s="37" t="s">
        <v>6</v>
      </c>
      <c r="E2" s="37" t="s">
        <v>7</v>
      </c>
    </row>
    <row r="3" spans="1:5" ht="34.5" x14ac:dyDescent="0.35">
      <c r="A3" s="37" t="s">
        <v>86</v>
      </c>
      <c r="B3" s="37" t="s">
        <v>0</v>
      </c>
      <c r="C3" s="37" t="s">
        <v>87</v>
      </c>
      <c r="D3" s="37" t="s">
        <v>88</v>
      </c>
      <c r="E3" s="37" t="s">
        <v>89</v>
      </c>
    </row>
    <row r="4" spans="1:5" ht="26" x14ac:dyDescent="0.35">
      <c r="A4" s="4" t="s">
        <v>43</v>
      </c>
      <c r="B4" s="68">
        <f>'Table 1'!E16</f>
        <v>1</v>
      </c>
      <c r="C4" s="45">
        <f>'Table 2'!C6</f>
        <v>1</v>
      </c>
      <c r="D4" s="45">
        <v>0</v>
      </c>
      <c r="E4" s="41">
        <f>B4*C4+D4</f>
        <v>1</v>
      </c>
    </row>
    <row r="5" spans="1:5" ht="39" x14ac:dyDescent="0.35">
      <c r="A5" s="4" t="s">
        <v>90</v>
      </c>
      <c r="B5" s="68">
        <f>'Table 1'!E15</f>
        <v>1</v>
      </c>
      <c r="C5" s="45">
        <f>'Table 2'!C5</f>
        <v>1</v>
      </c>
      <c r="D5" s="45">
        <v>0</v>
      </c>
      <c r="E5" s="41">
        <f t="shared" ref="E5:E7" si="0">B5*C5+D5</f>
        <v>1</v>
      </c>
    </row>
    <row r="6" spans="1:5" ht="26" x14ac:dyDescent="0.35">
      <c r="A6" s="4" t="s">
        <v>91</v>
      </c>
      <c r="B6" s="68">
        <f>'Table 1'!E17</f>
        <v>1</v>
      </c>
      <c r="C6" s="35">
        <f>'Table 2'!C7</f>
        <v>1</v>
      </c>
      <c r="D6" s="45">
        <v>0</v>
      </c>
      <c r="E6" s="41">
        <f t="shared" si="0"/>
        <v>1</v>
      </c>
    </row>
    <row r="7" spans="1:5" ht="26" x14ac:dyDescent="0.35">
      <c r="A7" s="4" t="s">
        <v>45</v>
      </c>
      <c r="B7" s="68">
        <f>'Table 1'!E10</f>
        <v>1</v>
      </c>
      <c r="C7" s="35">
        <f>'Table 2'!C10</f>
        <v>1.05</v>
      </c>
      <c r="D7" s="45">
        <v>0</v>
      </c>
      <c r="E7" s="9">
        <f t="shared" si="0"/>
        <v>1.05</v>
      </c>
    </row>
    <row r="8" spans="1:5" x14ac:dyDescent="0.35">
      <c r="A8" s="4" t="s">
        <v>92</v>
      </c>
      <c r="B8" s="68">
        <f>'Table 1'!E19</f>
        <v>90</v>
      </c>
      <c r="C8" s="45">
        <f>'Table 2'!C12</f>
        <v>2</v>
      </c>
      <c r="D8" s="45">
        <v>0</v>
      </c>
      <c r="E8" s="41">
        <f>B8*C8+D8</f>
        <v>180</v>
      </c>
    </row>
    <row r="9" spans="1:5" x14ac:dyDescent="0.35">
      <c r="A9" s="38"/>
      <c r="B9" s="37"/>
      <c r="C9" s="37"/>
      <c r="D9" s="45" t="s">
        <v>93</v>
      </c>
      <c r="E9" s="39">
        <f>SUM(E4:E8)</f>
        <v>184.05</v>
      </c>
    </row>
  </sheetData>
  <mergeCells count="1">
    <mergeCell ref="A1:E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09E1-BBF8-4DFE-A66E-AC3D5B888F5F}">
  <dimension ref="A1:F9"/>
  <sheetViews>
    <sheetView workbookViewId="0">
      <selection activeCell="A11" sqref="A11"/>
    </sheetView>
  </sheetViews>
  <sheetFormatPr defaultColWidth="9.1796875" defaultRowHeight="14.5" x14ac:dyDescent="0.35"/>
  <cols>
    <col min="1" max="1" width="9.1796875" style="32"/>
    <col min="2" max="2" width="12.1796875" style="32" customWidth="1"/>
    <col min="3" max="3" width="12.453125" style="32" customWidth="1"/>
    <col min="4" max="4" width="21.1796875" style="32" customWidth="1"/>
    <col min="5" max="5" width="18.81640625" style="32" customWidth="1"/>
    <col min="6" max="6" width="13.7265625" style="32" customWidth="1"/>
    <col min="7" max="16384" width="9.1796875" style="32"/>
  </cols>
  <sheetData>
    <row r="1" spans="1:6" ht="15" x14ac:dyDescent="0.35">
      <c r="A1" s="115" t="s">
        <v>0</v>
      </c>
      <c r="B1" s="115"/>
      <c r="C1" s="115"/>
      <c r="D1" s="115"/>
      <c r="E1" s="115"/>
      <c r="F1" s="115"/>
    </row>
    <row r="2" spans="1:6" ht="26" x14ac:dyDescent="0.35">
      <c r="A2" s="50"/>
      <c r="B2" s="117" t="s">
        <v>1</v>
      </c>
      <c r="C2" s="117"/>
      <c r="D2" s="48" t="s">
        <v>2</v>
      </c>
      <c r="E2" s="116"/>
      <c r="F2" s="116"/>
    </row>
    <row r="3" spans="1:6" x14ac:dyDescent="0.35">
      <c r="A3" s="4"/>
      <c r="B3" s="48" t="s">
        <v>3</v>
      </c>
      <c r="C3" s="48" t="s">
        <v>4</v>
      </c>
      <c r="D3" s="48" t="s">
        <v>5</v>
      </c>
      <c r="E3" s="48" t="s">
        <v>6</v>
      </c>
      <c r="F3" s="48" t="s">
        <v>7</v>
      </c>
    </row>
    <row r="4" spans="1:6" ht="52" x14ac:dyDescent="0.35">
      <c r="A4" s="51" t="s">
        <v>8</v>
      </c>
      <c r="B4" s="52" t="s">
        <v>119</v>
      </c>
      <c r="C4" s="52" t="s">
        <v>9</v>
      </c>
      <c r="D4" s="52" t="s">
        <v>10</v>
      </c>
      <c r="E4" s="52" t="s">
        <v>11</v>
      </c>
      <c r="F4" s="52" t="s">
        <v>120</v>
      </c>
    </row>
    <row r="5" spans="1:6" x14ac:dyDescent="0.35">
      <c r="A5" s="48">
        <v>1</v>
      </c>
      <c r="B5" s="68">
        <v>1</v>
      </c>
      <c r="C5" s="35">
        <v>88</v>
      </c>
      <c r="D5" s="35">
        <v>0</v>
      </c>
      <c r="E5" s="35">
        <v>0</v>
      </c>
      <c r="F5" s="68">
        <f>B5+C5+D5-E5</f>
        <v>89</v>
      </c>
    </row>
    <row r="6" spans="1:6" x14ac:dyDescent="0.35">
      <c r="A6" s="48">
        <v>2</v>
      </c>
      <c r="B6" s="68">
        <v>1</v>
      </c>
      <c r="C6" s="35">
        <v>89</v>
      </c>
      <c r="D6" s="35">
        <v>0</v>
      </c>
      <c r="E6" s="35">
        <v>0</v>
      </c>
      <c r="F6" s="35">
        <f t="shared" ref="F6:F7" si="0">B6+C6+D6-E6</f>
        <v>90</v>
      </c>
    </row>
    <row r="7" spans="1:6" x14ac:dyDescent="0.35">
      <c r="A7" s="48">
        <v>3</v>
      </c>
      <c r="B7" s="68">
        <v>1</v>
      </c>
      <c r="C7" s="35">
        <v>90</v>
      </c>
      <c r="D7" s="35">
        <v>0</v>
      </c>
      <c r="E7" s="35">
        <v>0</v>
      </c>
      <c r="F7" s="35">
        <f t="shared" si="0"/>
        <v>91</v>
      </c>
    </row>
    <row r="8" spans="1:6" x14ac:dyDescent="0.35">
      <c r="A8" s="48" t="s">
        <v>12</v>
      </c>
      <c r="B8" s="86">
        <f>AVERAGE(B5:B7)</f>
        <v>1</v>
      </c>
      <c r="C8" s="64">
        <f>AVERAGE(C5:C7)</f>
        <v>89</v>
      </c>
      <c r="D8" s="35">
        <f>AVERAGE(D5:D7)</f>
        <v>0</v>
      </c>
      <c r="E8" s="35">
        <f>AVERAGE(E5:E7)</f>
        <v>0</v>
      </c>
      <c r="F8" s="86">
        <f>AVERAGE(F5:F7)</f>
        <v>90</v>
      </c>
    </row>
    <row r="9" spans="1:6" ht="15.5" x14ac:dyDescent="0.35">
      <c r="A9" s="53" t="s">
        <v>121</v>
      </c>
    </row>
  </sheetData>
  <mergeCells count="3">
    <mergeCell ref="A1:F1"/>
    <mergeCell ref="E2:F2"/>
    <mergeCell ref="B2:C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265998420E866543852ABC0B554EB060" ma:contentTypeVersion="6" ma:contentTypeDescription="Create a new document." ma:contentTypeScope="" ma:versionID="64a79c28c2c47c3d3e654c267d0b86fa">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3e29bcb-9350-42f3-97a7-5ff43888b250" xmlns:ns6="63031b9c-c5f7-44ec-a602-679994037bb6" targetNamespace="http://schemas.microsoft.com/office/2006/metadata/properties" ma:root="true" ma:fieldsID="cbb5a377cf28a2d65cb3ffdf8487998d" ns1:_="" ns2:_="" ns3:_="" ns4:_="" ns5:_="" ns6:_="">
    <xsd:import namespace="http://schemas.microsoft.com/sharepoint/v3"/>
    <xsd:import namespace="4ffa91fb-a0ff-4ac5-b2db-65c790d184a4"/>
    <xsd:import namespace="http://schemas.microsoft.com/sharepoint.v3"/>
    <xsd:import namespace="http://schemas.microsoft.com/sharepoint/v3/fields"/>
    <xsd:import namespace="53e29bcb-9350-42f3-97a7-5ff43888b250"/>
    <xsd:import namespace="63031b9c-c5f7-44ec-a602-679994037bb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cd5211d-3dca-44cf-b31d-f1e39ee0a1f6}" ma:internalName="TaxCatchAllLabel" ma:readOnly="true" ma:showField="CatchAllDataLabel" ma:web="63031b9c-c5f7-44ec-a602-679994037bb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cd5211d-3dca-44cf-b31d-f1e39ee0a1f6}" ma:internalName="TaxCatchAll" ma:showField="CatchAllData" ma:web="63031b9c-c5f7-44ec-a602-679994037b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e29bcb-9350-42f3-97a7-5ff43888b25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031b9c-c5f7-44ec-a602-679994037bb6"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2022-02-23T15:27:34+00:00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F0EA0-A5C4-4453-8156-3A275F04E049}">
  <ds:schemaRefs>
    <ds:schemaRef ds:uri="Microsoft.SharePoint.Taxonomy.ContentTypeSync"/>
  </ds:schemaRefs>
</ds:datastoreItem>
</file>

<file path=customXml/itemProps2.xml><?xml version="1.0" encoding="utf-8"?>
<ds:datastoreItem xmlns:ds="http://schemas.openxmlformats.org/officeDocument/2006/customXml" ds:itemID="{AE1DECF5-4F4E-405B-8ED1-98C5354AF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3e29bcb-9350-42f3-97a7-5ff43888b250"/>
    <ds:schemaRef ds:uri="63031b9c-c5f7-44ec-a602-679994037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9ECA29-2C6C-455C-B29E-2ABEE986305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F695B99D-95C6-426E-A2DD-C668506D98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Capital_O&amp;M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DonnaLee</dc:creator>
  <cp:keywords/>
  <dc:description/>
  <cp:lastModifiedBy>Wrigley, William</cp:lastModifiedBy>
  <cp:revision/>
  <dcterms:created xsi:type="dcterms:W3CDTF">2021-06-28T15:12:01Z</dcterms:created>
  <dcterms:modified xsi:type="dcterms:W3CDTF">2022-08-05T19:22:53Z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0x010100265998420E866543852ABC0B554EB060</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