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usnrc-my.sharepoint.com/personal/keb1_nrc_gov/Documents/KEB1/RULES/Enhanced weapons/FINAL RULE SUBMISSION/"/>
    </mc:Choice>
  </mc:AlternateContent>
  <xr:revisionPtr revIDLastSave="128" documentId="8_{364D9E89-FAA1-4D10-B92B-A776132863A8}" xr6:coauthVersionLast="47" xr6:coauthVersionMax="47" xr10:uidLastSave="{59B697E1-BED7-489B-AC4D-E21F46FEF0A8}"/>
  <bookViews>
    <workbookView xWindow="-110" yWindow="-110" windowWidth="19420" windowHeight="10420" tabRatio="994" activeTab="6" xr2:uid="{00000000-000D-0000-FFFF-FFFF00000000}"/>
  </bookViews>
  <sheets>
    <sheet name="1x Reporting" sheetId="1" r:id="rId1"/>
    <sheet name="Annual Reporting" sheetId="2" r:id="rId2"/>
    <sheet name="1x rkeeping" sheetId="10" r:id="rId3"/>
    <sheet name="Annual Rkeeping" sheetId="4" r:id="rId4"/>
    <sheet name="1x 3rd Party" sheetId="15" r:id="rId5"/>
    <sheet name="Annual 3rd Party" sheetId="3" r:id="rId6"/>
    <sheet name="TOTALS" sheetId="17" r:id="rId7"/>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Pal_Workbook_GUID" hidden="1">"PD8826W4BGXRPNMT3ES5TTRB"</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1143</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SwapState" hidden="1">FALSE</definedName>
    <definedName name="RiskUpdateDisplay" hidden="1">FALSE</definedName>
    <definedName name="RiskUseDifferentSeedForEachSim" hidden="1">FALSE</definedName>
    <definedName name="RiskUseFixedSeed" hidden="1">TRUE</definedName>
    <definedName name="RiskUseMultipleCPUs" hidden="1">TRUE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17" l="1"/>
  <c r="B20" i="17"/>
  <c r="C16" i="17"/>
  <c r="B18" i="2"/>
  <c r="B15" i="17"/>
  <c r="B17" i="17" s="1"/>
  <c r="D2" i="17"/>
  <c r="B16" i="17"/>
  <c r="B4" i="17"/>
  <c r="D4" i="17" s="1"/>
  <c r="B3" i="17"/>
  <c r="D3" i="17" s="1"/>
  <c r="B2" i="17"/>
  <c r="E13" i="2"/>
  <c r="C18" i="2"/>
  <c r="G7" i="2"/>
  <c r="H7" i="2"/>
  <c r="H3" i="3"/>
  <c r="H4" i="3"/>
  <c r="H5" i="3"/>
  <c r="H7" i="3"/>
  <c r="H2" i="3"/>
  <c r="H2" i="15"/>
  <c r="G3" i="4"/>
  <c r="G5" i="4"/>
  <c r="G2" i="4"/>
  <c r="G3" i="10"/>
  <c r="G4" i="10"/>
  <c r="G2" i="10"/>
  <c r="H3" i="1"/>
  <c r="H4" i="1"/>
  <c r="H5" i="1"/>
  <c r="H6" i="1"/>
  <c r="H2" i="1"/>
  <c r="D5" i="3"/>
  <c r="E2" i="3"/>
  <c r="E6" i="3"/>
  <c r="D9" i="4" l="1"/>
  <c r="E11" i="2"/>
  <c r="D11" i="10" l="1"/>
  <c r="E8" i="3"/>
  <c r="E7" i="3"/>
  <c r="C12" i="3" l="1"/>
  <c r="F4" i="4"/>
  <c r="F3" i="4"/>
  <c r="F2" i="10"/>
  <c r="E14" i="2"/>
  <c r="G13" i="2"/>
  <c r="H13" i="2" s="1"/>
  <c r="E10" i="2"/>
  <c r="G10" i="2" s="1"/>
  <c r="H10" i="2" s="1"/>
  <c r="E9" i="2"/>
  <c r="G9" i="2" s="1"/>
  <c r="H9" i="2" s="1"/>
  <c r="G6" i="2"/>
  <c r="H6" i="2" s="1"/>
  <c r="E4" i="2"/>
  <c r="G4" i="2" s="1"/>
  <c r="H4" i="2" s="1"/>
  <c r="G7" i="3"/>
  <c r="G8" i="3"/>
  <c r="H8" i="3" s="1"/>
  <c r="F5" i="10"/>
  <c r="G5" i="10" s="1"/>
  <c r="F4" i="10"/>
  <c r="E2" i="15"/>
  <c r="G2" i="15" s="1"/>
  <c r="G5" i="3"/>
  <c r="G3" i="3"/>
  <c r="G2" i="3"/>
  <c r="G5" i="2"/>
  <c r="H5" i="2" s="1"/>
  <c r="E8" i="2"/>
  <c r="E2" i="2"/>
  <c r="G2" i="2" s="1"/>
  <c r="H2" i="2" s="1"/>
  <c r="G6" i="3"/>
  <c r="H6" i="3" s="1"/>
  <c r="F5" i="4"/>
  <c r="F3" i="10"/>
  <c r="F2" i="4"/>
  <c r="C10" i="4" s="1"/>
  <c r="E4" i="3"/>
  <c r="C13" i="3" s="1"/>
  <c r="E3" i="2"/>
  <c r="G3" i="2" s="1"/>
  <c r="H3" i="2" s="1"/>
  <c r="E4" i="1"/>
  <c r="G4" i="1" s="1"/>
  <c r="E3" i="1"/>
  <c r="G3" i="1" s="1"/>
  <c r="E2" i="1"/>
  <c r="G2" i="1"/>
  <c r="G11" i="2"/>
  <c r="H11" i="2" s="1"/>
  <c r="E12" i="2"/>
  <c r="G12" i="2" s="1"/>
  <c r="H12" i="2" s="1"/>
  <c r="G14" i="2"/>
  <c r="H14" i="2" s="1"/>
  <c r="E5" i="1"/>
  <c r="E6" i="1" s="1"/>
  <c r="C9" i="4" l="1"/>
  <c r="G4" i="4"/>
  <c r="G6" i="4" s="1"/>
  <c r="G5" i="1"/>
  <c r="F6" i="10"/>
  <c r="F7" i="10" s="1"/>
  <c r="C11" i="10" s="1"/>
  <c r="E9" i="3"/>
  <c r="B13" i="3"/>
  <c r="B12" i="3"/>
  <c r="G4" i="3"/>
  <c r="G9" i="3"/>
  <c r="C4" i="17"/>
  <c r="F6" i="4"/>
  <c r="G6" i="10"/>
  <c r="G7" i="10" s="1"/>
  <c r="G8" i="2"/>
  <c r="H8" i="2" s="1"/>
  <c r="C15" i="17"/>
  <c r="C19" i="2"/>
  <c r="B19" i="2"/>
  <c r="E15" i="2"/>
  <c r="C2" i="17" s="1"/>
  <c r="G15" i="2"/>
  <c r="G3" i="15"/>
  <c r="G4" i="15" s="1"/>
  <c r="B8" i="15" s="1"/>
  <c r="H3" i="15"/>
  <c r="H4" i="15" s="1"/>
  <c r="C17" i="17" l="1"/>
  <c r="G6" i="1"/>
  <c r="B11" i="17"/>
  <c r="H9" i="3"/>
  <c r="C5" i="17"/>
  <c r="H15" i="2"/>
  <c r="B5" i="17" l="1"/>
  <c r="D5" i="17"/>
  <c r="B10" i="1"/>
  <c r="B7" i="17" l="1"/>
</calcChain>
</file>

<file path=xl/sharedStrings.xml><?xml version="1.0" encoding="utf-8"?>
<sst xmlns="http://schemas.openxmlformats.org/spreadsheetml/2006/main" count="163" uniqueCount="93">
  <si>
    <t>Requirement</t>
  </si>
  <si>
    <t>Description</t>
  </si>
  <si>
    <t>No. of Respondents</t>
  </si>
  <si>
    <t xml:space="preserve"> Responses per Respondent</t>
  </si>
  <si>
    <t xml:space="preserve">Number of Responses </t>
  </si>
  <si>
    <t>Burden Hours per Response</t>
  </si>
  <si>
    <t>Total Annual Burden Hours</t>
  </si>
  <si>
    <t>Develop Firearms Background Check Plan</t>
  </si>
  <si>
    <t>TOTAL</t>
  </si>
  <si>
    <t>ANNUALIZED TOTAL</t>
  </si>
  <si>
    <t>Number of Recordkeepers</t>
  </si>
  <si>
    <t>Burden Hours Per Recordkeeper</t>
  </si>
  <si>
    <t>Reporting</t>
  </si>
  <si>
    <t>Recordkeeping</t>
  </si>
  <si>
    <t>Responses</t>
  </si>
  <si>
    <t>Total</t>
  </si>
  <si>
    <t>Annualized total</t>
  </si>
  <si>
    <t>Burden</t>
  </si>
  <si>
    <t>73.17(b)(1)</t>
  </si>
  <si>
    <t>73.17(k)(3)</t>
  </si>
  <si>
    <t>73.15(r)(4)</t>
  </si>
  <si>
    <t>73.17(h)</t>
  </si>
  <si>
    <t>73.1210(b)*</t>
  </si>
  <si>
    <t>73.1200(a) &amp;(b)</t>
  </si>
  <si>
    <t>Employee Notification to licensee of disqualifying events or status</t>
  </si>
  <si>
    <t>73.17(n)(3)</t>
  </si>
  <si>
    <t>Establish procedures for quality finger print card submission</t>
  </si>
  <si>
    <t>73.15(f)</t>
  </si>
  <si>
    <t>Notification of lost or stolen enhanced weapon, notification of receipt of an adverse inspection, enforcement action, or other adverse notice from the ATF</t>
  </si>
  <si>
    <t xml:space="preserve">73.15(e) </t>
  </si>
  <si>
    <t xml:space="preserve"> 73.15(g)(1)  </t>
  </si>
  <si>
    <t>73.15(k)&amp;(p), 73.1200(m)&amp;(n)</t>
  </si>
  <si>
    <t>73.1215(d)</t>
  </si>
  <si>
    <t>Notification of suspicious activities related to facilities and materials</t>
  </si>
  <si>
    <t xml:space="preserve">73.1215(e) </t>
  </si>
  <si>
    <t>Notification of suspicious activities related to shipment of SSNM, SNF, and HLW</t>
  </si>
  <si>
    <t>73.1215(f)</t>
  </si>
  <si>
    <t>73.15(h), 73.17(j), 73.17(p)</t>
  </si>
  <si>
    <t>73.15(p), 73.1200(m)(1)(iii)</t>
  </si>
  <si>
    <t>Notification of LLEA of lost or stolen enhanced weapons</t>
  </si>
  <si>
    <t xml:space="preserve">73.15(s)(3), &amp; 73.17(r)(3) </t>
  </si>
  <si>
    <t>Notification of FBI field office and LLEA for suspicious activity events, facilities and materials</t>
  </si>
  <si>
    <t>73.1215(e)</t>
  </si>
  <si>
    <t>Notification of FBI field office and LLEA for suspicious activity events, shipping activities</t>
  </si>
  <si>
    <t>Notification of FBI field office and LLEA for suspicious activity events, enrichment facilities</t>
  </si>
  <si>
    <t>73.1200(q)</t>
  </si>
  <si>
    <t>Telephonic retraction of previous security event report</t>
  </si>
  <si>
    <t>Burden hours</t>
  </si>
  <si>
    <t>Training of employees (training on disqualifying events, training on process for delayed or denied NICS responses)</t>
  </si>
  <si>
    <t>Average burden per response</t>
  </si>
  <si>
    <t>73.15(d)</t>
  </si>
  <si>
    <t xml:space="preserve">Additional info for enhanced weps application:
Updated physical security plan, training and qualification plan, safeguards contingency plan, and weapons safety assessment </t>
  </si>
  <si>
    <t>73.15(r)(2)</t>
  </si>
  <si>
    <t>73.15(r)(1)</t>
  </si>
  <si>
    <t>Applications to terminate § 161A authorities</t>
  </si>
  <si>
    <t>Applications to modify § 161A enhanced weapons authority</t>
  </si>
  <si>
    <t>Re-applications for Section 161A preemption authority after termination, suspension or revocation.</t>
  </si>
  <si>
    <t>Re-applications for Section 161A enhanced weps authority after termination, suspension or revocation.</t>
  </si>
  <si>
    <t>Notification of an imminent or actual hostile action (Rx &amp; SSNM facilities and shipments of SNF, HLW, or SSNM)</t>
  </si>
  <si>
    <t>73.1200(c) thru (h)</t>
  </si>
  <si>
    <t>Notifications of 1-hr, 4-hr, or 8-hr [facility and transportation events]</t>
  </si>
  <si>
    <t>Notification of suspicious activities related to RD info at enrichment facilities</t>
  </si>
  <si>
    <t>Retention period yr.</t>
  </si>
  <si>
    <t>Develop training modules for Section 161A background check process, disqualifying events and conditions, and personnel notification requirements</t>
  </si>
  <si>
    <t>Updating procedures and instruction material to transition from requirements under the order to the requirements of § 73.15</t>
  </si>
  <si>
    <t>73.15(q) &amp;(m)(9)</t>
  </si>
  <si>
    <t>Records of receipt, transfer, transportation of enhanced weapon; and lost or stolen enhanced weapons</t>
  </si>
  <si>
    <t>73.15(o)</t>
  </si>
  <si>
    <t>Periodic inventories of enhanced weapons and logs of tamper indicating devices</t>
  </si>
  <si>
    <t>Copy of NRC authorization to FFL to receive enhanced weapons</t>
  </si>
  <si>
    <t>Third Party Disclosures</t>
  </si>
  <si>
    <t>Records storage costs</t>
  </si>
  <si>
    <t>Agency discretion</t>
  </si>
  <si>
    <t>New statute</t>
  </si>
  <si>
    <t>Hours</t>
  </si>
  <si>
    <t>Submission of written report following security event notification (includes retracted events greater than 60 days under 73.1200(q)).  Renumbering of existing requirement  - burden covered under current Part 73 clearance.</t>
  </si>
  <si>
    <t>Record events in a Safeguards Event Log.  Renumbering of existing requirement  - burden covered under current Part 73 clearance.</t>
  </si>
  <si>
    <t>Provide results of NICS check to employees
(New checks + periodic checks + break in service checks
430 + 120 = 550)</t>
  </si>
  <si>
    <t>Application for § 161A stand-alone preemption
authority</t>
  </si>
  <si>
    <t>Application for § 161A combined preemption authority and enhanced weapons authority</t>
  </si>
  <si>
    <t xml:space="preserve"> Cost at $288/hour </t>
  </si>
  <si>
    <t xml:space="preserve"> Cost at $288/hour</t>
  </si>
  <si>
    <t>Burden cost at $288/hr</t>
  </si>
  <si>
    <t>73.17(g)</t>
  </si>
  <si>
    <t>not included in the total because it reflects row 9 (no double counting)</t>
  </si>
  <si>
    <t>Estimated average of 1.5 reports per year based upon ILTAT review of SIDS data</t>
  </si>
  <si>
    <t>Estimated average of 1 report per year, as most licensees make less than 1 shipment a year</t>
  </si>
  <si>
    <t>Estimated average of 1 report per year</t>
  </si>
  <si>
    <t xml:space="preserve">Records of written follow-up reports.  Renumbering of existing requirement  - burden covered under current Part 73 clearance. </t>
  </si>
  <si>
    <t>notify within 72 hours after removing security personnel from duties requiring access to covered weapons due to the identification or occurrence of any Federal or State disqualifying status condition or disqualifying event that would prohibit them from possessing, receiving, or using firearms or ammunition.</t>
  </si>
  <si>
    <t>(0 new recordkeepers = 0 recordkeeping responses in ROCIS)</t>
  </si>
  <si>
    <t>Responses per respondent</t>
  </si>
  <si>
    <t>Additional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</si>
</sst>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0.0"/>
    <numFmt numFmtId="166" formatCode="_(&quot;$&quot;* #,##0_);_(&quot;$&quot;* \(#,##0\);_(&quot;$&quot;* &quot;-&quot;??_);_(@_)"/>
    <numFmt numFmtId="167" formatCode="_(* #,##0_);_(* \(#,##0\);_(* &quot;-&quot;??_);_(@_)"/>
    <numFmt numFmtId="168" formatCode="#,##0.00\ [$€-1];[Red]\-#,##0.00\ [$€-1]"/>
    <numFmt numFmtId="169" formatCode="_(* #,##0.00000000000_);_(* \(#,##0.00000000000\);_(* &quot;-&quot;??_);_(@_)"/>
  </numFmts>
  <fonts count="6" x14ac:knownFonts="1">
    <font>
      <sz val="11"/>
      <color theme="1"/>
      <name val="Arial"/>
      <family val="2"/>
    </font>
    <font>
      <b/>
      <sz val="11"/>
      <color theme="1"/>
      <name val="Arial"/>
      <family val="2"/>
    </font>
    <font>
      <b/>
      <sz val="10"/>
      <color rgb="FF000000"/>
      <name val="Arial"/>
      <family val="2"/>
    </font>
    <font>
      <sz val="10"/>
      <color rgb="FF000000"/>
      <name val="Arial"/>
      <family val="2"/>
    </font>
    <font>
      <sz val="11"/>
      <color theme="1"/>
      <name val="Arial"/>
      <family val="2"/>
    </font>
    <font>
      <b/>
      <sz val="10"/>
      <color theme="1"/>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44" fontId="4" fillId="0" borderId="0" applyFont="0" applyFill="0" applyBorder="0" applyAlignment="0" applyProtection="0"/>
    <xf numFmtId="43" fontId="4" fillId="0" borderId="0" applyFont="0" applyFill="0" applyBorder="0" applyAlignment="0" applyProtection="0"/>
  </cellStyleXfs>
  <cellXfs count="104">
    <xf numFmtId="0" fontId="0" fillId="0" borderId="0" xfId="0"/>
    <xf numFmtId="0" fontId="0" fillId="0" borderId="0" xfId="0" applyAlignment="1">
      <alignment wrapText="1"/>
    </xf>
    <xf numFmtId="0" fontId="0" fillId="0" borderId="2" xfId="0" applyBorder="1"/>
    <xf numFmtId="0" fontId="1" fillId="0" borderId="2" xfId="0" applyFont="1" applyBorder="1"/>
    <xf numFmtId="0" fontId="2" fillId="0" borderId="2" xfId="0" applyFont="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6" fontId="3" fillId="0" borderId="2" xfId="0" applyNumberFormat="1" applyFont="1" applyBorder="1" applyAlignment="1">
      <alignment horizontal="center" vertical="center"/>
    </xf>
    <xf numFmtId="1" fontId="1" fillId="0" borderId="2" xfId="0" applyNumberFormat="1" applyFont="1" applyBorder="1"/>
    <xf numFmtId="164" fontId="1" fillId="0" borderId="2" xfId="0" applyNumberFormat="1" applyFont="1" applyBorder="1"/>
    <xf numFmtId="0" fontId="2" fillId="0" borderId="2" xfId="0" applyFont="1" applyBorder="1" applyAlignment="1">
      <alignment vertical="center"/>
    </xf>
    <xf numFmtId="3"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2"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0" fillId="0" borderId="0" xfId="0" applyFill="1"/>
    <xf numFmtId="0" fontId="3" fillId="0" borderId="2" xfId="0" applyFont="1" applyFill="1" applyBorder="1" applyAlignment="1">
      <alignment horizontal="justify" vertical="center" wrapText="1"/>
    </xf>
    <xf numFmtId="0" fontId="3" fillId="0" borderId="2" xfId="0" applyFont="1" applyFill="1" applyBorder="1" applyAlignment="1">
      <alignment vertical="center" wrapText="1"/>
    </xf>
    <xf numFmtId="0" fontId="3" fillId="0" borderId="2" xfId="0"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0" fontId="2" fillId="0" borderId="5" xfId="0" applyFont="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0" fillId="0" borderId="0" xfId="0" applyFill="1" applyAlignment="1">
      <alignment wrapText="1"/>
    </xf>
    <xf numFmtId="2" fontId="3" fillId="0" borderId="2" xfId="0" applyNumberFormat="1" applyFont="1" applyFill="1" applyBorder="1" applyAlignment="1">
      <alignment horizontal="center" vertical="center" wrapText="1"/>
    </xf>
    <xf numFmtId="43" fontId="3" fillId="0" borderId="2" xfId="2" applyFont="1" applyFill="1" applyBorder="1" applyAlignment="1">
      <alignment horizontal="center" vertical="center" wrapText="1"/>
    </xf>
    <xf numFmtId="167" fontId="2" fillId="0" borderId="2" xfId="2" applyNumberFormat="1" applyFont="1" applyFill="1" applyBorder="1" applyAlignment="1">
      <alignment horizontal="center" vertical="center" wrapText="1"/>
    </xf>
    <xf numFmtId="167" fontId="3" fillId="0" borderId="2" xfId="2" applyNumberFormat="1" applyFont="1" applyFill="1" applyBorder="1" applyAlignment="1">
      <alignment horizontal="center" vertical="center" wrapText="1"/>
    </xf>
    <xf numFmtId="167" fontId="0" fillId="0" borderId="0" xfId="2" applyNumberFormat="1" applyFont="1" applyFill="1"/>
    <xf numFmtId="44" fontId="2" fillId="0" borderId="2" xfId="1" applyFont="1" applyFill="1" applyBorder="1" applyAlignment="1">
      <alignment horizontal="center" vertical="center" wrapText="1"/>
    </xf>
    <xf numFmtId="44" fontId="0" fillId="0" borderId="0" xfId="1" applyFont="1" applyFill="1"/>
    <xf numFmtId="166" fontId="2" fillId="0" borderId="2" xfId="1" applyNumberFormat="1" applyFont="1" applyBorder="1" applyAlignment="1">
      <alignment horizontal="center" vertical="center" wrapText="1"/>
    </xf>
    <xf numFmtId="166" fontId="3" fillId="0" borderId="2" xfId="1" applyNumberFormat="1" applyFont="1" applyBorder="1" applyAlignment="1">
      <alignment horizontal="center" vertical="center"/>
    </xf>
    <xf numFmtId="166" fontId="2" fillId="0" borderId="2" xfId="1" applyNumberFormat="1" applyFont="1" applyBorder="1" applyAlignment="1">
      <alignment horizontal="center" vertical="center"/>
    </xf>
    <xf numFmtId="166" fontId="0" fillId="0" borderId="0" xfId="1" applyNumberFormat="1" applyFont="1"/>
    <xf numFmtId="49" fontId="3" fillId="0" borderId="2" xfId="0" applyNumberFormat="1" applyFont="1" applyFill="1" applyBorder="1" applyAlignment="1">
      <alignment horizontal="justify" vertical="center" wrapText="1"/>
    </xf>
    <xf numFmtId="168" fontId="3" fillId="0" borderId="2" xfId="0" applyNumberFormat="1" applyFont="1" applyBorder="1" applyAlignment="1">
      <alignment vertical="center" wrapText="1"/>
    </xf>
    <xf numFmtId="0" fontId="3" fillId="0" borderId="2" xfId="0" applyFont="1" applyFill="1" applyBorder="1" applyAlignment="1">
      <alignment horizontal="center" vertical="center"/>
    </xf>
    <xf numFmtId="0" fontId="3" fillId="0" borderId="2" xfId="0" applyFont="1" applyBorder="1" applyAlignment="1">
      <alignment horizontal="left" vertical="center" wrapText="1"/>
    </xf>
    <xf numFmtId="166" fontId="3" fillId="0" borderId="2" xfId="1" applyNumberFormat="1" applyFont="1" applyBorder="1" applyAlignment="1">
      <alignment horizontal="center" vertical="center" wrapText="1"/>
    </xf>
    <xf numFmtId="43" fontId="2" fillId="0" borderId="2" xfId="2" applyFont="1" applyBorder="1" applyAlignment="1">
      <alignment horizontal="center" vertical="center" wrapText="1"/>
    </xf>
    <xf numFmtId="43" fontId="3" fillId="0" borderId="2" xfId="2" applyFont="1" applyBorder="1" applyAlignment="1">
      <alignment horizontal="center" vertical="center" wrapText="1"/>
    </xf>
    <xf numFmtId="43" fontId="2" fillId="0" borderId="2" xfId="2" applyFont="1" applyBorder="1" applyAlignment="1">
      <alignment horizontal="center" vertical="center"/>
    </xf>
    <xf numFmtId="43" fontId="0" fillId="0" borderId="0" xfId="2" applyFont="1"/>
    <xf numFmtId="166" fontId="2" fillId="0" borderId="2" xfId="1" applyNumberFormat="1" applyFont="1" applyFill="1" applyBorder="1" applyAlignment="1">
      <alignment horizontal="center" vertical="center" wrapText="1"/>
    </xf>
    <xf numFmtId="166" fontId="3" fillId="0" borderId="2" xfId="1"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5" fillId="0" borderId="2" xfId="0" applyFont="1" applyBorder="1" applyAlignment="1">
      <alignment wrapText="1"/>
    </xf>
    <xf numFmtId="0" fontId="1" fillId="0" borderId="2" xfId="0" applyNumberFormat="1" applyFont="1" applyBorder="1"/>
    <xf numFmtId="166" fontId="1" fillId="0" borderId="2" xfId="1" applyNumberFormat="1" applyFont="1" applyBorder="1"/>
    <xf numFmtId="165" fontId="0" fillId="0" borderId="0" xfId="0" applyNumberFormat="1"/>
    <xf numFmtId="44" fontId="0" fillId="0" borderId="0" xfId="1" applyFont="1" applyFill="1" applyAlignment="1">
      <alignment horizontal="right"/>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wrapText="1"/>
    </xf>
    <xf numFmtId="37" fontId="0" fillId="0" borderId="2" xfId="2" applyNumberFormat="1" applyFont="1" applyBorder="1" applyAlignment="1">
      <alignment horizontal="right"/>
    </xf>
    <xf numFmtId="1" fontId="2" fillId="0" borderId="2" xfId="0" applyNumberFormat="1" applyFont="1" applyBorder="1" applyAlignment="1">
      <alignment horizontal="center" vertical="center"/>
    </xf>
    <xf numFmtId="5" fontId="0" fillId="0" borderId="2" xfId="2" applyNumberFormat="1" applyFont="1" applyBorder="1" applyAlignment="1">
      <alignment horizontal="right"/>
    </xf>
    <xf numFmtId="37" fontId="1" fillId="0" borderId="2" xfId="2" applyNumberFormat="1" applyFont="1" applyBorder="1" applyAlignment="1">
      <alignment horizontal="right"/>
    </xf>
    <xf numFmtId="0" fontId="1" fillId="0" borderId="0" xfId="0" applyFont="1" applyFill="1" applyBorder="1" applyAlignment="1">
      <alignment vertical="center" wrapText="1"/>
    </xf>
    <xf numFmtId="3" fontId="1" fillId="0" borderId="0" xfId="2" applyNumberFormat="1" applyFont="1" applyBorder="1" applyAlignment="1">
      <alignment horizontal="right"/>
    </xf>
    <xf numFmtId="5" fontId="1" fillId="0" borderId="0" xfId="2" applyNumberFormat="1" applyFont="1" applyBorder="1"/>
    <xf numFmtId="1" fontId="3" fillId="0" borderId="2" xfId="0" applyNumberFormat="1" applyFont="1" applyFill="1" applyBorder="1" applyAlignment="1">
      <alignment horizontal="center" vertical="center" wrapText="1"/>
    </xf>
    <xf numFmtId="0" fontId="5" fillId="0" borderId="2" xfId="0" applyFont="1" applyFill="1" applyBorder="1" applyAlignment="1">
      <alignment wrapText="1"/>
    </xf>
    <xf numFmtId="0" fontId="2" fillId="0" borderId="6" xfId="0" applyFont="1" applyFill="1" applyBorder="1" applyAlignment="1">
      <alignment horizontal="center" vertical="center" wrapText="1"/>
    </xf>
    <xf numFmtId="0" fontId="0" fillId="0" borderId="2" xfId="0" applyFill="1" applyBorder="1" applyAlignment="1">
      <alignment horizontal="center"/>
    </xf>
    <xf numFmtId="0" fontId="0" fillId="0" borderId="0" xfId="0" applyFill="1" applyAlignment="1">
      <alignment vertical="center" wrapText="1"/>
    </xf>
    <xf numFmtId="0" fontId="1" fillId="0" borderId="2" xfId="0" applyFont="1" applyFill="1" applyBorder="1"/>
    <xf numFmtId="0" fontId="1" fillId="0" borderId="2" xfId="0" applyFont="1" applyFill="1" applyBorder="1" applyAlignment="1">
      <alignment horizontal="center"/>
    </xf>
    <xf numFmtId="166" fontId="1" fillId="0" borderId="2" xfId="0" applyNumberFormat="1" applyFont="1" applyFill="1" applyBorder="1"/>
    <xf numFmtId="1" fontId="1" fillId="0" borderId="2" xfId="0" applyNumberFormat="1" applyFont="1" applyFill="1" applyBorder="1"/>
    <xf numFmtId="164" fontId="1" fillId="0" borderId="2" xfId="0" applyNumberFormat="1" applyFont="1" applyFill="1" applyBorder="1"/>
    <xf numFmtId="0" fontId="3" fillId="0" borderId="1" xfId="0" applyFont="1" applyFill="1" applyBorder="1" applyAlignment="1">
      <alignment vertical="center" wrapText="1"/>
    </xf>
    <xf numFmtId="0" fontId="0" fillId="0" borderId="0" xfId="0" applyFont="1" applyFill="1" applyAlignment="1">
      <alignment wrapText="1"/>
    </xf>
    <xf numFmtId="0" fontId="0" fillId="0" borderId="2" xfId="0" applyFont="1" applyBorder="1" applyAlignment="1">
      <alignment horizontal="center"/>
    </xf>
    <xf numFmtId="166" fontId="4" fillId="0" borderId="2" xfId="1" applyNumberFormat="1" applyFont="1" applyBorder="1" applyAlignment="1">
      <alignment horizontal="center" wrapText="1"/>
    </xf>
    <xf numFmtId="0" fontId="0" fillId="0" borderId="2" xfId="0" applyBorder="1" applyAlignment="1">
      <alignment horizontal="center"/>
    </xf>
    <xf numFmtId="0" fontId="0" fillId="0" borderId="2" xfId="0" applyFont="1" applyFill="1" applyBorder="1" applyAlignment="1">
      <alignment vertical="center" wrapText="1"/>
    </xf>
    <xf numFmtId="164" fontId="0" fillId="0" borderId="2" xfId="0" applyNumberFormat="1" applyBorder="1"/>
    <xf numFmtId="0" fontId="0" fillId="0" borderId="2" xfId="0" applyBorder="1" applyAlignment="1">
      <alignment wrapText="1"/>
    </xf>
    <xf numFmtId="3" fontId="0" fillId="0" borderId="2" xfId="0" applyNumberFormat="1" applyBorder="1" applyAlignment="1">
      <alignment wrapText="1"/>
    </xf>
    <xf numFmtId="1" fontId="0" fillId="0" borderId="2" xfId="0" applyNumberFormat="1" applyBorder="1" applyAlignment="1">
      <alignment wrapText="1"/>
    </xf>
    <xf numFmtId="43" fontId="0" fillId="0" borderId="2" xfId="0" applyNumberFormat="1" applyBorder="1" applyAlignment="1">
      <alignment wrapText="1"/>
    </xf>
    <xf numFmtId="0" fontId="0" fillId="0" borderId="3" xfId="0" applyBorder="1"/>
    <xf numFmtId="0" fontId="0" fillId="0" borderId="2" xfId="0" applyFill="1" applyBorder="1"/>
    <xf numFmtId="164" fontId="1" fillId="0" borderId="2" xfId="1" applyNumberFormat="1" applyFont="1" applyBorder="1"/>
    <xf numFmtId="0" fontId="2"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0" fillId="0" borderId="0" xfId="0" applyAlignment="1">
      <alignment horizontal="left" vertical="center" wrapText="1"/>
    </xf>
    <xf numFmtId="167" fontId="0" fillId="0" borderId="2" xfId="2" applyNumberFormat="1" applyFont="1" applyBorder="1" applyAlignment="1">
      <alignment horizontal="right"/>
    </xf>
    <xf numFmtId="167" fontId="0" fillId="0" borderId="2" xfId="2" applyNumberFormat="1" applyFont="1" applyBorder="1" applyAlignment="1"/>
    <xf numFmtId="167" fontId="1" fillId="0" borderId="2" xfId="2" applyNumberFormat="1" applyFont="1" applyBorder="1" applyAlignment="1">
      <alignment horizontal="right"/>
    </xf>
    <xf numFmtId="167" fontId="0" fillId="0" borderId="2" xfId="2" applyNumberFormat="1" applyFont="1" applyBorder="1" applyAlignment="1">
      <alignment wrapText="1"/>
    </xf>
    <xf numFmtId="167" fontId="0" fillId="0" borderId="2" xfId="2" applyNumberFormat="1" applyFont="1" applyBorder="1"/>
    <xf numFmtId="169" fontId="0" fillId="0" borderId="0" xfId="0" applyNumberFormat="1"/>
    <xf numFmtId="0" fontId="1" fillId="0" borderId="3" xfId="0" applyFont="1" applyBorder="1" applyAlignment="1">
      <alignment horizontal="left"/>
    </xf>
    <xf numFmtId="0" fontId="1" fillId="0" borderId="5" xfId="0" applyFont="1" applyBorder="1" applyAlignment="1">
      <alignment horizontal="left"/>
    </xf>
  </cellXfs>
  <cellStyles count="3">
    <cellStyle name="Comma" xfId="2" builtinId="3"/>
    <cellStyle name="Currency" xfId="1" builtinId="4"/>
    <cellStyle name="Normal" xfId="0" builtinId="0"/>
  </cellStyles>
  <dxfs count="0"/>
  <tableStyles count="0" defaultTableStyle="TableStyleMedium2" defaultPivotStyle="PivotStyleLight16"/>
  <colors>
    <mruColors>
      <color rgb="FFFFFF99"/>
      <color rgb="FFBDDEFF"/>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zoomScaleNormal="100" workbookViewId="0">
      <pane ySplit="1" topLeftCell="A2" activePane="bottomLeft" state="frozen"/>
      <selection pane="bottomLeft" activeCell="H6" sqref="H6"/>
    </sheetView>
  </sheetViews>
  <sheetFormatPr defaultColWidth="9" defaultRowHeight="14" x14ac:dyDescent="0.3"/>
  <cols>
    <col min="1" max="1" width="12.83203125" style="21" customWidth="1"/>
    <col min="2" max="2" width="34.83203125" style="21" customWidth="1"/>
    <col min="3" max="3" width="12.08203125" style="21" customWidth="1"/>
    <col min="4" max="4" width="16" style="21" customWidth="1"/>
    <col min="5" max="5" width="11.58203125" style="21" customWidth="1"/>
    <col min="6" max="6" width="12.4140625" style="35" customWidth="1"/>
    <col min="7" max="7" width="9" style="21"/>
    <col min="8" max="8" width="11.83203125" style="37" customWidth="1"/>
    <col min="9" max="9" width="13" style="21" bestFit="1" customWidth="1"/>
    <col min="10" max="10" width="32.58203125" style="21" customWidth="1"/>
    <col min="11" max="16384" width="9" style="21"/>
  </cols>
  <sheetData>
    <row r="1" spans="1:10" ht="52" x14ac:dyDescent="0.3">
      <c r="A1" s="19" t="s">
        <v>0</v>
      </c>
      <c r="B1" s="19" t="s">
        <v>1</v>
      </c>
      <c r="C1" s="20" t="s">
        <v>2</v>
      </c>
      <c r="D1" s="20" t="s">
        <v>3</v>
      </c>
      <c r="E1" s="20" t="s">
        <v>4</v>
      </c>
      <c r="F1" s="33" t="s">
        <v>5</v>
      </c>
      <c r="G1" s="20" t="s">
        <v>6</v>
      </c>
      <c r="H1" s="36" t="s">
        <v>80</v>
      </c>
      <c r="J1" s="5"/>
    </row>
    <row r="2" spans="1:10" ht="37.5" x14ac:dyDescent="0.3">
      <c r="A2" s="22" t="s">
        <v>50</v>
      </c>
      <c r="B2" s="23" t="s">
        <v>78</v>
      </c>
      <c r="C2" s="24">
        <v>0</v>
      </c>
      <c r="D2" s="24">
        <v>1</v>
      </c>
      <c r="E2" s="24">
        <f>C2*D2</f>
        <v>0</v>
      </c>
      <c r="F2" s="34">
        <v>1200</v>
      </c>
      <c r="G2" s="24">
        <f>E2*F2</f>
        <v>0</v>
      </c>
      <c r="H2" s="39">
        <f>G2*288</f>
        <v>0</v>
      </c>
    </row>
    <row r="3" spans="1:10" ht="25" x14ac:dyDescent="0.3">
      <c r="A3" s="42" t="s">
        <v>29</v>
      </c>
      <c r="B3" s="23" t="s">
        <v>79</v>
      </c>
      <c r="C3" s="24">
        <v>0</v>
      </c>
      <c r="D3" s="24">
        <v>1</v>
      </c>
      <c r="E3" s="24">
        <f>C3*D3</f>
        <v>0</v>
      </c>
      <c r="F3" s="34">
        <v>600</v>
      </c>
      <c r="G3" s="24">
        <f>E3*F3</f>
        <v>0</v>
      </c>
      <c r="H3" s="39">
        <f t="shared" ref="H3:H6" si="0">G3*288</f>
        <v>0</v>
      </c>
    </row>
    <row r="4" spans="1:10" ht="50" x14ac:dyDescent="0.3">
      <c r="A4" s="22" t="s">
        <v>27</v>
      </c>
      <c r="B4" s="23" t="s">
        <v>51</v>
      </c>
      <c r="C4" s="24">
        <v>0</v>
      </c>
      <c r="D4" s="24">
        <v>1</v>
      </c>
      <c r="E4" s="24">
        <f>C4*D4</f>
        <v>0</v>
      </c>
      <c r="F4" s="34">
        <v>2000</v>
      </c>
      <c r="G4" s="24">
        <f>E4*F4</f>
        <v>0</v>
      </c>
      <c r="H4" s="39">
        <f t="shared" si="0"/>
        <v>0</v>
      </c>
    </row>
    <row r="5" spans="1:10" x14ac:dyDescent="0.3">
      <c r="A5" s="20" t="s">
        <v>8</v>
      </c>
      <c r="B5" s="20"/>
      <c r="C5" s="20">
        <v>0</v>
      </c>
      <c r="D5" s="24"/>
      <c r="E5" s="25">
        <f>SUM(E2:E4,)</f>
        <v>0</v>
      </c>
      <c r="F5" s="33"/>
      <c r="G5" s="25">
        <f>SUM(G2:G4)</f>
        <v>0</v>
      </c>
      <c r="H5" s="39">
        <f t="shared" si="0"/>
        <v>0</v>
      </c>
    </row>
    <row r="6" spans="1:10" ht="26" x14ac:dyDescent="0.3">
      <c r="A6" s="20" t="s">
        <v>9</v>
      </c>
      <c r="B6" s="20"/>
      <c r="C6" s="20">
        <v>0</v>
      </c>
      <c r="D6" s="24"/>
      <c r="E6" s="25">
        <f>(E5/3)</f>
        <v>0</v>
      </c>
      <c r="F6" s="33"/>
      <c r="G6" s="25">
        <f>G5/3</f>
        <v>0</v>
      </c>
      <c r="H6" s="39">
        <f t="shared" si="0"/>
        <v>0</v>
      </c>
    </row>
    <row r="8" spans="1:10" x14ac:dyDescent="0.3">
      <c r="B8" s="91" t="s">
        <v>74</v>
      </c>
      <c r="C8" s="91" t="s">
        <v>14</v>
      </c>
    </row>
    <row r="9" spans="1:10" x14ac:dyDescent="0.3">
      <c r="A9" s="90" t="s">
        <v>72</v>
      </c>
      <c r="B9" s="86">
        <v>0</v>
      </c>
      <c r="C9" s="91">
        <v>0</v>
      </c>
    </row>
    <row r="10" spans="1:10" x14ac:dyDescent="0.3">
      <c r="A10" s="90" t="s">
        <v>73</v>
      </c>
      <c r="B10" s="87">
        <f>G6</f>
        <v>0</v>
      </c>
      <c r="C10" s="91">
        <v>0</v>
      </c>
      <c r="H10" s="58"/>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9"/>
  <sheetViews>
    <sheetView zoomScale="110" zoomScaleNormal="110" workbookViewId="0">
      <pane ySplit="1" topLeftCell="A12" activePane="bottomLeft" state="frozen"/>
      <selection pane="bottomLeft" activeCell="B19" sqref="B19"/>
    </sheetView>
  </sheetViews>
  <sheetFormatPr defaultRowHeight="14" x14ac:dyDescent="0.3"/>
  <cols>
    <col min="1" max="1" width="19.83203125" customWidth="1"/>
    <col min="2" max="2" width="21.58203125" style="1" customWidth="1"/>
    <col min="3" max="3" width="12.25" customWidth="1"/>
    <col min="4" max="4" width="10.58203125" customWidth="1"/>
    <col min="5" max="5" width="10.08203125" customWidth="1"/>
    <col min="8" max="8" width="11.08203125" style="41" bestFit="1" customWidth="1"/>
    <col min="9" max="9" width="62.25" style="1" customWidth="1"/>
    <col min="10" max="10" width="56.6640625" customWidth="1"/>
  </cols>
  <sheetData>
    <row r="1" spans="1:15" ht="52" x14ac:dyDescent="0.3">
      <c r="A1" s="8" t="s">
        <v>0</v>
      </c>
      <c r="B1" s="8" t="s">
        <v>1</v>
      </c>
      <c r="C1" s="4" t="s">
        <v>2</v>
      </c>
      <c r="D1" s="4" t="s">
        <v>3</v>
      </c>
      <c r="E1" s="4" t="s">
        <v>4</v>
      </c>
      <c r="F1" s="4" t="s">
        <v>5</v>
      </c>
      <c r="G1" s="4" t="s">
        <v>6</v>
      </c>
      <c r="H1" s="38" t="s">
        <v>81</v>
      </c>
      <c r="I1" s="6"/>
      <c r="K1" s="6"/>
      <c r="M1" s="7"/>
      <c r="O1" s="6"/>
    </row>
    <row r="2" spans="1:15" ht="87.5" x14ac:dyDescent="0.3">
      <c r="A2" s="9" t="s">
        <v>31</v>
      </c>
      <c r="B2" s="9" t="s">
        <v>28</v>
      </c>
      <c r="C2" s="28">
        <v>0</v>
      </c>
      <c r="D2" s="28">
        <v>0</v>
      </c>
      <c r="E2" s="28">
        <f>C2*D2</f>
        <v>0</v>
      </c>
      <c r="F2" s="12">
        <v>1</v>
      </c>
      <c r="G2" s="12">
        <f t="shared" ref="G2:G14" si="0">E2*F2</f>
        <v>0</v>
      </c>
      <c r="H2" s="39">
        <f>G2*288</f>
        <v>0</v>
      </c>
      <c r="I2"/>
    </row>
    <row r="3" spans="1:15" ht="25" x14ac:dyDescent="0.3">
      <c r="A3" s="9" t="s">
        <v>53</v>
      </c>
      <c r="B3" s="9" t="s">
        <v>54</v>
      </c>
      <c r="C3" s="24">
        <v>0</v>
      </c>
      <c r="D3" s="24">
        <v>0</v>
      </c>
      <c r="E3" s="24">
        <f>C3*D3</f>
        <v>0</v>
      </c>
      <c r="F3" s="10">
        <v>400</v>
      </c>
      <c r="G3" s="12">
        <f t="shared" si="0"/>
        <v>0</v>
      </c>
      <c r="H3" s="39">
        <f t="shared" ref="H3:H14" si="1">G3*288</f>
        <v>0</v>
      </c>
      <c r="I3"/>
    </row>
    <row r="4" spans="1:15" ht="37.5" x14ac:dyDescent="0.3">
      <c r="A4" s="9" t="s">
        <v>52</v>
      </c>
      <c r="B4" s="9" t="s">
        <v>55</v>
      </c>
      <c r="C4" s="24">
        <v>0</v>
      </c>
      <c r="D4" s="24">
        <v>0</v>
      </c>
      <c r="E4" s="24">
        <f>C4*D4</f>
        <v>0</v>
      </c>
      <c r="F4" s="29">
        <v>400</v>
      </c>
      <c r="G4" s="12">
        <f t="shared" si="0"/>
        <v>0</v>
      </c>
      <c r="H4" s="39">
        <f t="shared" si="1"/>
        <v>0</v>
      </c>
      <c r="I4"/>
    </row>
    <row r="5" spans="1:15" ht="65.25" customHeight="1" x14ac:dyDescent="0.3">
      <c r="A5" s="9" t="s">
        <v>20</v>
      </c>
      <c r="B5" s="9" t="s">
        <v>56</v>
      </c>
      <c r="C5" s="24">
        <v>0</v>
      </c>
      <c r="D5" s="24">
        <v>0</v>
      </c>
      <c r="E5" s="24">
        <v>0</v>
      </c>
      <c r="F5" s="24">
        <v>1200</v>
      </c>
      <c r="G5" s="44">
        <f t="shared" si="0"/>
        <v>0</v>
      </c>
      <c r="H5" s="39">
        <f t="shared" si="1"/>
        <v>0</v>
      </c>
      <c r="I5"/>
    </row>
    <row r="6" spans="1:15" ht="65.25" customHeight="1" x14ac:dyDescent="0.3">
      <c r="A6" s="9" t="s">
        <v>20</v>
      </c>
      <c r="B6" s="9" t="s">
        <v>57</v>
      </c>
      <c r="C6" s="24">
        <v>0</v>
      </c>
      <c r="D6" s="24">
        <v>0</v>
      </c>
      <c r="E6" s="24">
        <v>0</v>
      </c>
      <c r="F6" s="24">
        <v>2600</v>
      </c>
      <c r="G6" s="44">
        <f t="shared" si="0"/>
        <v>0</v>
      </c>
      <c r="H6" s="39">
        <f t="shared" si="1"/>
        <v>0</v>
      </c>
      <c r="I6"/>
    </row>
    <row r="7" spans="1:15" ht="214" customHeight="1" x14ac:dyDescent="0.3">
      <c r="A7" s="45" t="s">
        <v>83</v>
      </c>
      <c r="B7" s="95" t="s">
        <v>89</v>
      </c>
      <c r="C7" s="24">
        <v>1</v>
      </c>
      <c r="D7" s="24">
        <v>1</v>
      </c>
      <c r="E7" s="24">
        <v>1</v>
      </c>
      <c r="F7" s="24">
        <v>0.5</v>
      </c>
      <c r="G7" s="44">
        <f t="shared" si="0"/>
        <v>0.5</v>
      </c>
      <c r="H7" s="39">
        <f t="shared" si="1"/>
        <v>144</v>
      </c>
      <c r="I7"/>
    </row>
    <row r="8" spans="1:15" ht="62.5" x14ac:dyDescent="0.3">
      <c r="A8" s="9" t="s">
        <v>23</v>
      </c>
      <c r="B8" s="9" t="s">
        <v>58</v>
      </c>
      <c r="C8" s="24">
        <v>1</v>
      </c>
      <c r="D8" s="10">
        <v>1</v>
      </c>
      <c r="E8" s="59">
        <f t="shared" ref="E8:E14" si="2">C8*D8</f>
        <v>1</v>
      </c>
      <c r="F8" s="12">
        <v>1</v>
      </c>
      <c r="G8" s="60">
        <f t="shared" si="0"/>
        <v>1</v>
      </c>
      <c r="H8" s="39">
        <f t="shared" si="1"/>
        <v>288</v>
      </c>
      <c r="I8"/>
    </row>
    <row r="9" spans="1:15" ht="37.5" x14ac:dyDescent="0.3">
      <c r="A9" s="23" t="s">
        <v>59</v>
      </c>
      <c r="B9" s="23" t="s">
        <v>60</v>
      </c>
      <c r="C9" s="24">
        <v>30</v>
      </c>
      <c r="D9" s="24">
        <v>1</v>
      </c>
      <c r="E9" s="69">
        <f t="shared" si="2"/>
        <v>30</v>
      </c>
      <c r="F9" s="44">
        <v>1</v>
      </c>
      <c r="G9" s="60">
        <f t="shared" si="0"/>
        <v>30</v>
      </c>
      <c r="H9" s="39">
        <f t="shared" si="1"/>
        <v>8640</v>
      </c>
      <c r="I9"/>
    </row>
    <row r="10" spans="1:15" ht="37.5" x14ac:dyDescent="0.3">
      <c r="A10" s="23" t="s">
        <v>45</v>
      </c>
      <c r="B10" s="23" t="s">
        <v>46</v>
      </c>
      <c r="C10" s="24">
        <v>10</v>
      </c>
      <c r="D10" s="24">
        <v>1</v>
      </c>
      <c r="E10" s="69">
        <f t="shared" si="2"/>
        <v>10</v>
      </c>
      <c r="F10" s="44">
        <v>0.5</v>
      </c>
      <c r="G10" s="60">
        <f t="shared" si="0"/>
        <v>5</v>
      </c>
      <c r="H10" s="39">
        <f t="shared" si="1"/>
        <v>1440</v>
      </c>
      <c r="I10"/>
      <c r="J10" t="s">
        <v>84</v>
      </c>
    </row>
    <row r="11" spans="1:15" ht="112.5" x14ac:dyDescent="0.3">
      <c r="A11" s="45">
        <v>73.120500000000007</v>
      </c>
      <c r="B11" s="23" t="s">
        <v>75</v>
      </c>
      <c r="C11" s="24">
        <v>22</v>
      </c>
      <c r="D11" s="69">
        <v>1</v>
      </c>
      <c r="E11" s="69">
        <f t="shared" si="2"/>
        <v>22</v>
      </c>
      <c r="F11" s="44">
        <v>64</v>
      </c>
      <c r="G11" s="12">
        <f t="shared" si="0"/>
        <v>1408</v>
      </c>
      <c r="H11" s="39">
        <f t="shared" si="1"/>
        <v>405504</v>
      </c>
      <c r="I11"/>
      <c r="J11" t="s">
        <v>84</v>
      </c>
    </row>
    <row r="12" spans="1:15" ht="37.5" x14ac:dyDescent="0.3">
      <c r="A12" s="9" t="s">
        <v>32</v>
      </c>
      <c r="B12" s="9" t="s">
        <v>33</v>
      </c>
      <c r="C12" s="24">
        <v>20</v>
      </c>
      <c r="D12" s="31">
        <v>1.5</v>
      </c>
      <c r="E12" s="69">
        <f t="shared" si="2"/>
        <v>30</v>
      </c>
      <c r="F12" s="44">
        <v>0.1</v>
      </c>
      <c r="G12" s="44">
        <f t="shared" si="0"/>
        <v>3</v>
      </c>
      <c r="H12" s="39">
        <f t="shared" si="1"/>
        <v>864</v>
      </c>
      <c r="I12" s="30"/>
      <c r="J12" s="1" t="s">
        <v>85</v>
      </c>
    </row>
    <row r="13" spans="1:15" ht="50" x14ac:dyDescent="0.3">
      <c r="A13" s="43" t="s">
        <v>34</v>
      </c>
      <c r="B13" s="9" t="s">
        <v>35</v>
      </c>
      <c r="C13" s="24">
        <v>1</v>
      </c>
      <c r="D13" s="24">
        <v>1</v>
      </c>
      <c r="E13" s="69">
        <f>C13*D13</f>
        <v>1</v>
      </c>
      <c r="F13" s="44">
        <v>0.1</v>
      </c>
      <c r="G13" s="44">
        <f t="shared" si="0"/>
        <v>0.1</v>
      </c>
      <c r="H13" s="39">
        <f t="shared" si="1"/>
        <v>28.8</v>
      </c>
      <c r="I13" s="30"/>
      <c r="J13" s="1" t="s">
        <v>86</v>
      </c>
    </row>
    <row r="14" spans="1:15" ht="37.5" x14ac:dyDescent="0.3">
      <c r="A14" s="43" t="s">
        <v>36</v>
      </c>
      <c r="B14" s="9" t="s">
        <v>61</v>
      </c>
      <c r="C14" s="24">
        <v>1</v>
      </c>
      <c r="D14" s="24">
        <v>1</v>
      </c>
      <c r="E14" s="69">
        <f t="shared" si="2"/>
        <v>1</v>
      </c>
      <c r="F14" s="44">
        <v>0.1</v>
      </c>
      <c r="G14" s="44">
        <f t="shared" si="0"/>
        <v>0.1</v>
      </c>
      <c r="H14" s="39">
        <f t="shared" si="1"/>
        <v>28.8</v>
      </c>
      <c r="I14" s="30"/>
      <c r="J14" s="1" t="s">
        <v>87</v>
      </c>
    </row>
    <row r="15" spans="1:15" x14ac:dyDescent="0.3">
      <c r="A15" s="16" t="s">
        <v>8</v>
      </c>
      <c r="B15" s="8"/>
      <c r="C15" s="17">
        <v>54</v>
      </c>
      <c r="D15" s="16"/>
      <c r="E15" s="17">
        <f>SUM(E2:E14)</f>
        <v>96</v>
      </c>
      <c r="F15" s="17"/>
      <c r="G15" s="17">
        <f>SUM(G2:G14)</f>
        <v>1447.6999999999998</v>
      </c>
      <c r="H15" s="40">
        <f>SUM(H2:H14)</f>
        <v>416937.6</v>
      </c>
      <c r="I15" s="1">
        <v>778465</v>
      </c>
    </row>
    <row r="17" spans="1:3" x14ac:dyDescent="0.3">
      <c r="B17" s="86" t="s">
        <v>74</v>
      </c>
      <c r="C17" s="2" t="s">
        <v>14</v>
      </c>
    </row>
    <row r="18" spans="1:3" x14ac:dyDescent="0.3">
      <c r="A18" s="90" t="s">
        <v>72</v>
      </c>
      <c r="B18" s="88">
        <f>G15</f>
        <v>1447.6999999999998</v>
      </c>
      <c r="C18" s="88">
        <f>SUM(E7,E8,E9,E10,E11,E12,E13,E14)</f>
        <v>96</v>
      </c>
    </row>
    <row r="19" spans="1:3" x14ac:dyDescent="0.3">
      <c r="A19" s="90" t="s">
        <v>73</v>
      </c>
      <c r="B19" s="86">
        <f>SUM(G2:G6)</f>
        <v>0</v>
      </c>
      <c r="C19" s="86">
        <f>SUM(H2:H6)</f>
        <v>0</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1"/>
  <sheetViews>
    <sheetView zoomScale="110" zoomScaleNormal="110" workbookViewId="0">
      <selection activeCell="E11" sqref="E11"/>
    </sheetView>
  </sheetViews>
  <sheetFormatPr defaultColWidth="8.75" defaultRowHeight="14" x14ac:dyDescent="0.3"/>
  <cols>
    <col min="1" max="1" width="8.75" style="21"/>
    <col min="2" max="2" width="16.58203125" style="21" customWidth="1"/>
    <col min="3" max="3" width="37.08203125" style="21" customWidth="1"/>
    <col min="4" max="4" width="13" style="21" customWidth="1"/>
    <col min="5" max="5" width="11.83203125" style="21" customWidth="1"/>
    <col min="6" max="6" width="8.75" style="21"/>
    <col min="7" max="7" width="12.25" style="21" customWidth="1"/>
    <col min="8" max="8" width="55.25" style="30" customWidth="1"/>
    <col min="9" max="9" width="39.25" style="21" customWidth="1"/>
    <col min="10" max="16384" width="8.75" style="21"/>
  </cols>
  <sheetData>
    <row r="1" spans="1:10" ht="52" x14ac:dyDescent="0.3">
      <c r="A1" s="70" t="s">
        <v>62</v>
      </c>
      <c r="B1" s="19" t="s">
        <v>0</v>
      </c>
      <c r="C1" s="19" t="s">
        <v>1</v>
      </c>
      <c r="D1" s="20" t="s">
        <v>10</v>
      </c>
      <c r="E1" s="20" t="s">
        <v>11</v>
      </c>
      <c r="F1" s="20" t="s">
        <v>6</v>
      </c>
      <c r="G1" s="20" t="s">
        <v>81</v>
      </c>
      <c r="I1" s="71"/>
    </row>
    <row r="2" spans="1:10" ht="50" x14ac:dyDescent="0.3">
      <c r="A2" s="72">
        <v>40</v>
      </c>
      <c r="B2" s="53" t="s">
        <v>37</v>
      </c>
      <c r="C2" s="53" t="s">
        <v>63</v>
      </c>
      <c r="D2" s="24">
        <v>7</v>
      </c>
      <c r="E2" s="24">
        <v>160</v>
      </c>
      <c r="F2" s="24">
        <f>D2*E2</f>
        <v>1120</v>
      </c>
      <c r="G2" s="52">
        <f>F2*288</f>
        <v>322560</v>
      </c>
      <c r="H2" s="21"/>
      <c r="J2" s="30"/>
    </row>
    <row r="3" spans="1:10" ht="37.5" x14ac:dyDescent="0.3">
      <c r="A3" s="72">
        <v>40</v>
      </c>
      <c r="B3" s="53" t="s">
        <v>40</v>
      </c>
      <c r="C3" s="23" t="s">
        <v>64</v>
      </c>
      <c r="D3" s="24">
        <v>7</v>
      </c>
      <c r="E3" s="44">
        <v>420</v>
      </c>
      <c r="F3" s="24">
        <f>D3*E3</f>
        <v>2940</v>
      </c>
      <c r="G3" s="52">
        <f t="shared" ref="G3:G5" si="0">F3*288</f>
        <v>846720</v>
      </c>
      <c r="H3" s="21"/>
    </row>
    <row r="4" spans="1:10" x14ac:dyDescent="0.3">
      <c r="A4" s="72">
        <v>40</v>
      </c>
      <c r="B4" s="22" t="s">
        <v>18</v>
      </c>
      <c r="C4" s="23" t="s">
        <v>7</v>
      </c>
      <c r="D4" s="24">
        <v>7</v>
      </c>
      <c r="E4" s="24">
        <v>380</v>
      </c>
      <c r="F4" s="24">
        <f>D4*E4</f>
        <v>2660</v>
      </c>
      <c r="G4" s="52">
        <f t="shared" si="0"/>
        <v>766080</v>
      </c>
      <c r="I4" s="73"/>
    </row>
    <row r="5" spans="1:10" ht="25" x14ac:dyDescent="0.3">
      <c r="A5" s="72">
        <v>40</v>
      </c>
      <c r="B5" s="22" t="s">
        <v>19</v>
      </c>
      <c r="C5" s="23" t="s">
        <v>26</v>
      </c>
      <c r="D5" s="24">
        <v>7</v>
      </c>
      <c r="E5" s="24">
        <v>80</v>
      </c>
      <c r="F5" s="24">
        <f>D5*E5</f>
        <v>560</v>
      </c>
      <c r="G5" s="52">
        <f t="shared" si="0"/>
        <v>161280</v>
      </c>
      <c r="I5" s="30"/>
    </row>
    <row r="6" spans="1:10" x14ac:dyDescent="0.3">
      <c r="B6" s="74" t="s">
        <v>15</v>
      </c>
      <c r="C6" s="74"/>
      <c r="D6" s="75">
        <v>7</v>
      </c>
      <c r="E6" s="74"/>
      <c r="F6" s="74">
        <f>SUM(F2:F5)</f>
        <v>7280</v>
      </c>
      <c r="G6" s="76">
        <f>SUM(G2:G5)</f>
        <v>2096640</v>
      </c>
    </row>
    <row r="7" spans="1:10" x14ac:dyDescent="0.3">
      <c r="B7" s="74" t="s">
        <v>16</v>
      </c>
      <c r="C7" s="74"/>
      <c r="D7" s="75">
        <v>7</v>
      </c>
      <c r="E7" s="74"/>
      <c r="F7" s="77">
        <f>F6/3</f>
        <v>2426.6666666666665</v>
      </c>
      <c r="G7" s="78">
        <f>G6/3</f>
        <v>698880</v>
      </c>
    </row>
    <row r="9" spans="1:10" x14ac:dyDescent="0.3">
      <c r="C9" s="91" t="s">
        <v>74</v>
      </c>
      <c r="D9" s="91" t="s">
        <v>14</v>
      </c>
    </row>
    <row r="10" spans="1:10" x14ac:dyDescent="0.3">
      <c r="B10" s="90" t="s">
        <v>72</v>
      </c>
      <c r="C10" s="86">
        <v>0</v>
      </c>
      <c r="D10" s="91">
        <v>0</v>
      </c>
    </row>
    <row r="11" spans="1:10" x14ac:dyDescent="0.3">
      <c r="B11" s="90" t="s">
        <v>73</v>
      </c>
      <c r="C11" s="88">
        <f>F7</f>
        <v>2426.6666666666665</v>
      </c>
      <c r="D11" s="91">
        <f>D7</f>
        <v>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0"/>
  <sheetViews>
    <sheetView topLeftCell="A4" zoomScale="110" zoomScaleNormal="110" workbookViewId="0">
      <selection activeCell="E10" sqref="E10"/>
    </sheetView>
  </sheetViews>
  <sheetFormatPr defaultRowHeight="14" x14ac:dyDescent="0.3"/>
  <cols>
    <col min="1" max="1" width="10.08203125" customWidth="1"/>
    <col min="2" max="2" width="16.75" style="1" customWidth="1"/>
    <col min="3" max="3" width="20.75" customWidth="1"/>
    <col min="4" max="4" width="14" customWidth="1"/>
    <col min="5" max="5" width="13" customWidth="1"/>
    <col min="7" max="7" width="10.25" customWidth="1"/>
    <col min="8" max="8" width="34.75" bestFit="1" customWidth="1"/>
  </cols>
  <sheetData>
    <row r="1" spans="1:8" ht="52" x14ac:dyDescent="0.3">
      <c r="A1" s="54" t="s">
        <v>62</v>
      </c>
      <c r="B1" s="26" t="s">
        <v>0</v>
      </c>
      <c r="C1" s="8" t="s">
        <v>1</v>
      </c>
      <c r="D1" s="4" t="s">
        <v>10</v>
      </c>
      <c r="E1" s="4" t="s">
        <v>11</v>
      </c>
      <c r="F1" s="4" t="s">
        <v>6</v>
      </c>
      <c r="G1" s="4" t="s">
        <v>81</v>
      </c>
    </row>
    <row r="2" spans="1:8" ht="50" x14ac:dyDescent="0.3">
      <c r="A2" s="72">
        <v>40</v>
      </c>
      <c r="B2" s="27" t="s">
        <v>67</v>
      </c>
      <c r="C2" s="23" t="s">
        <v>68</v>
      </c>
      <c r="D2" s="44">
        <v>0</v>
      </c>
      <c r="E2" s="44">
        <v>98</v>
      </c>
      <c r="F2" s="12">
        <f>D2*E2</f>
        <v>0</v>
      </c>
      <c r="G2" s="13">
        <f>F2*288</f>
        <v>0</v>
      </c>
    </row>
    <row r="3" spans="1:8" ht="62.5" x14ac:dyDescent="0.3">
      <c r="A3" s="72">
        <v>40</v>
      </c>
      <c r="B3" s="27" t="s">
        <v>65</v>
      </c>
      <c r="C3" s="23" t="s">
        <v>66</v>
      </c>
      <c r="D3" s="44">
        <v>0</v>
      </c>
      <c r="E3" s="44">
        <v>20</v>
      </c>
      <c r="F3" s="12">
        <f>D3*E3</f>
        <v>0</v>
      </c>
      <c r="G3" s="13">
        <f t="shared" ref="G3:G5" si="0">F3*288</f>
        <v>0</v>
      </c>
    </row>
    <row r="4" spans="1:8" s="21" customFormat="1" ht="62.5" x14ac:dyDescent="0.3">
      <c r="A4" s="72">
        <v>3</v>
      </c>
      <c r="B4" s="53">
        <v>73.120500000000007</v>
      </c>
      <c r="C4" s="23" t="s">
        <v>88</v>
      </c>
      <c r="D4" s="44">
        <v>22</v>
      </c>
      <c r="E4" s="44">
        <v>16</v>
      </c>
      <c r="F4" s="44">
        <f>D4*E4</f>
        <v>352</v>
      </c>
      <c r="G4" s="13">
        <f t="shared" si="0"/>
        <v>101376</v>
      </c>
      <c r="H4" s="30"/>
    </row>
    <row r="5" spans="1:8" s="21" customFormat="1" ht="75.5" thickBot="1" x14ac:dyDescent="0.35">
      <c r="A5" s="72">
        <v>40</v>
      </c>
      <c r="B5" s="79" t="s">
        <v>22</v>
      </c>
      <c r="C5" s="23" t="s">
        <v>76</v>
      </c>
      <c r="D5" s="44">
        <v>0</v>
      </c>
      <c r="E5" s="44">
        <v>4</v>
      </c>
      <c r="F5" s="44">
        <f>D5*E5</f>
        <v>0</v>
      </c>
      <c r="G5" s="13">
        <f t="shared" si="0"/>
        <v>0</v>
      </c>
    </row>
    <row r="6" spans="1:8" x14ac:dyDescent="0.3">
      <c r="A6" s="2"/>
      <c r="B6" s="26" t="s">
        <v>8</v>
      </c>
      <c r="C6" s="16"/>
      <c r="D6" s="93">
        <v>22</v>
      </c>
      <c r="E6" s="18"/>
      <c r="F6" s="17">
        <f>SUM(F2:F5)</f>
        <v>352</v>
      </c>
      <c r="G6" s="17">
        <f>SUM(G2:G5)</f>
        <v>101376</v>
      </c>
    </row>
    <row r="8" spans="1:8" x14ac:dyDescent="0.3">
      <c r="C8" s="2" t="s">
        <v>74</v>
      </c>
      <c r="D8" s="2" t="s">
        <v>14</v>
      </c>
    </row>
    <row r="9" spans="1:8" x14ac:dyDescent="0.3">
      <c r="B9" s="90" t="s">
        <v>72</v>
      </c>
      <c r="C9" s="86">
        <f>SUM(F4:F5)</f>
        <v>352</v>
      </c>
      <c r="D9" s="2">
        <f>D6</f>
        <v>22</v>
      </c>
      <c r="E9" t="s">
        <v>90</v>
      </c>
    </row>
    <row r="10" spans="1:8" x14ac:dyDescent="0.3">
      <c r="B10" s="90" t="s">
        <v>73</v>
      </c>
      <c r="C10" s="86">
        <f>SUM(F2:F3)</f>
        <v>0</v>
      </c>
      <c r="D10" s="2">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8"/>
  <sheetViews>
    <sheetView zoomScale="110" zoomScaleNormal="110" workbookViewId="0">
      <selection activeCell="E13" sqref="E13"/>
    </sheetView>
  </sheetViews>
  <sheetFormatPr defaultRowHeight="14" x14ac:dyDescent="0.3"/>
  <cols>
    <col min="1" max="1" width="15.75" customWidth="1"/>
    <col min="2" max="2" width="18.83203125" customWidth="1"/>
    <col min="3" max="3" width="12" customWidth="1"/>
    <col min="4" max="4" width="10.25" customWidth="1"/>
    <col min="5" max="5" width="9.75" customWidth="1"/>
    <col min="9" max="9" width="51.08203125" customWidth="1"/>
    <col min="10" max="10" width="52.5" customWidth="1"/>
  </cols>
  <sheetData>
    <row r="1" spans="1:11" ht="52" x14ac:dyDescent="0.3">
      <c r="A1" s="4" t="s">
        <v>0</v>
      </c>
      <c r="B1" s="4" t="s">
        <v>1</v>
      </c>
      <c r="C1" s="4" t="s">
        <v>2</v>
      </c>
      <c r="D1" s="4" t="s">
        <v>3</v>
      </c>
      <c r="E1" s="4" t="s">
        <v>4</v>
      </c>
      <c r="F1" s="4" t="s">
        <v>5</v>
      </c>
      <c r="G1" s="4" t="s">
        <v>6</v>
      </c>
      <c r="H1" s="20" t="s">
        <v>81</v>
      </c>
      <c r="K1" s="1"/>
    </row>
    <row r="2" spans="1:11" s="21" customFormat="1" ht="50" x14ac:dyDescent="0.3">
      <c r="A2" s="24" t="s">
        <v>30</v>
      </c>
      <c r="B2" s="53" t="s">
        <v>69</v>
      </c>
      <c r="C2" s="24">
        <v>0</v>
      </c>
      <c r="D2" s="24">
        <v>0</v>
      </c>
      <c r="E2" s="24">
        <f>C2*D2</f>
        <v>0</v>
      </c>
      <c r="F2" s="24">
        <v>1</v>
      </c>
      <c r="G2" s="24">
        <f>E2*F2</f>
        <v>0</v>
      </c>
      <c r="H2" s="52">
        <f>G2*288</f>
        <v>0</v>
      </c>
      <c r="I2" s="30"/>
      <c r="K2" s="30"/>
    </row>
    <row r="3" spans="1:11" x14ac:dyDescent="0.3">
      <c r="A3" s="102" t="s">
        <v>15</v>
      </c>
      <c r="B3" s="103"/>
      <c r="C3" s="3">
        <v>0</v>
      </c>
      <c r="D3" s="3"/>
      <c r="E3" s="3"/>
      <c r="F3" s="55"/>
      <c r="G3" s="3">
        <f>SUM(G2:G2)</f>
        <v>0</v>
      </c>
      <c r="H3" s="56">
        <f>SUM(H2:H2)</f>
        <v>0</v>
      </c>
    </row>
    <row r="4" spans="1:11" x14ac:dyDescent="0.3">
      <c r="A4" s="3" t="s">
        <v>16</v>
      </c>
      <c r="B4" s="3"/>
      <c r="C4" s="3">
        <v>0</v>
      </c>
      <c r="D4" s="3"/>
      <c r="E4" s="14"/>
      <c r="F4" s="15"/>
      <c r="G4" s="3">
        <f>G3/3</f>
        <v>0</v>
      </c>
      <c r="H4" s="56">
        <f>H3/3</f>
        <v>0</v>
      </c>
    </row>
    <row r="6" spans="1:11" x14ac:dyDescent="0.3">
      <c r="B6" s="2" t="s">
        <v>74</v>
      </c>
      <c r="C6" s="2" t="s">
        <v>14</v>
      </c>
    </row>
    <row r="7" spans="1:11" x14ac:dyDescent="0.3">
      <c r="A7" s="90" t="s">
        <v>72</v>
      </c>
      <c r="B7" s="86">
        <v>0</v>
      </c>
      <c r="C7" s="2">
        <v>0</v>
      </c>
    </row>
    <row r="8" spans="1:11" x14ac:dyDescent="0.3">
      <c r="A8" s="90" t="s">
        <v>73</v>
      </c>
      <c r="B8" s="86">
        <f>G4</f>
        <v>0</v>
      </c>
      <c r="C8" s="2">
        <v>0</v>
      </c>
    </row>
  </sheetData>
  <mergeCells count="1">
    <mergeCell ref="A3:B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3"/>
  <sheetViews>
    <sheetView zoomScale="120" zoomScaleNormal="120" workbookViewId="0">
      <pane ySplit="1" topLeftCell="A6" activePane="bottomLeft" state="frozen"/>
      <selection pane="bottomLeft" activeCell="B13" sqref="B13"/>
    </sheetView>
  </sheetViews>
  <sheetFormatPr defaultRowHeight="14" x14ac:dyDescent="0.3"/>
  <cols>
    <col min="1" max="1" width="18.5" bestFit="1" customWidth="1"/>
    <col min="2" max="2" width="44.75" customWidth="1"/>
    <col min="3" max="3" width="13.33203125" customWidth="1"/>
    <col min="4" max="4" width="11.25" customWidth="1"/>
    <col min="5" max="5" width="10.75" customWidth="1"/>
    <col min="6" max="6" width="10.33203125" bestFit="1" customWidth="1"/>
    <col min="7" max="7" width="11.25" style="50" customWidth="1"/>
    <col min="8" max="8" width="11.25" style="41" bestFit="1" customWidth="1"/>
    <col min="9" max="9" width="33.58203125" style="1" customWidth="1"/>
    <col min="10" max="10" width="50.75" style="30" customWidth="1"/>
  </cols>
  <sheetData>
    <row r="1" spans="1:10" ht="52" x14ac:dyDescent="0.3">
      <c r="A1" s="4" t="s">
        <v>0</v>
      </c>
      <c r="B1" s="4" t="s">
        <v>1</v>
      </c>
      <c r="C1" s="4" t="s">
        <v>2</v>
      </c>
      <c r="D1" s="4" t="s">
        <v>3</v>
      </c>
      <c r="E1" s="4" t="s">
        <v>4</v>
      </c>
      <c r="F1" s="4" t="s">
        <v>5</v>
      </c>
      <c r="G1" s="47" t="s">
        <v>6</v>
      </c>
      <c r="H1" s="51" t="s">
        <v>81</v>
      </c>
    </row>
    <row r="2" spans="1:10" ht="25" x14ac:dyDescent="0.3">
      <c r="A2" s="53" t="s">
        <v>37</v>
      </c>
      <c r="B2" s="9" t="s">
        <v>48</v>
      </c>
      <c r="C2" s="29">
        <v>7</v>
      </c>
      <c r="D2" s="61">
        <v>230</v>
      </c>
      <c r="E2" s="24">
        <f>C2*D2</f>
        <v>1610</v>
      </c>
      <c r="F2" s="24">
        <v>0.75</v>
      </c>
      <c r="G2" s="48">
        <f>E2*F2</f>
        <v>1207.5</v>
      </c>
      <c r="H2" s="46">
        <f>G2*288</f>
        <v>347760</v>
      </c>
      <c r="I2"/>
      <c r="J2"/>
    </row>
    <row r="3" spans="1:10" ht="25" x14ac:dyDescent="0.3">
      <c r="A3" s="53" t="s">
        <v>38</v>
      </c>
      <c r="B3" s="9" t="s">
        <v>39</v>
      </c>
      <c r="C3" s="11">
        <v>0</v>
      </c>
      <c r="D3" s="11">
        <v>0</v>
      </c>
      <c r="E3" s="11">
        <v>0</v>
      </c>
      <c r="F3" s="24">
        <v>0.25</v>
      </c>
      <c r="G3" s="48">
        <f>E3*F3</f>
        <v>0</v>
      </c>
      <c r="H3" s="46">
        <f t="shared" ref="H3:H8" si="0">G3*288</f>
        <v>0</v>
      </c>
    </row>
    <row r="4" spans="1:10" s="21" customFormat="1" ht="25" x14ac:dyDescent="0.3">
      <c r="A4" s="53" t="s">
        <v>21</v>
      </c>
      <c r="B4" s="23" t="s">
        <v>24</v>
      </c>
      <c r="C4" s="24">
        <v>1</v>
      </c>
      <c r="D4" s="24">
        <v>1</v>
      </c>
      <c r="E4" s="24">
        <f>C4*D4</f>
        <v>1</v>
      </c>
      <c r="F4" s="24">
        <v>0.25</v>
      </c>
      <c r="G4" s="32">
        <f>E4*F4</f>
        <v>0.25</v>
      </c>
      <c r="H4" s="46">
        <f t="shared" si="0"/>
        <v>72</v>
      </c>
    </row>
    <row r="5" spans="1:10" ht="37.5" x14ac:dyDescent="0.3">
      <c r="A5" s="45" t="s">
        <v>25</v>
      </c>
      <c r="B5" s="9" t="s">
        <v>77</v>
      </c>
      <c r="C5" s="11">
        <v>7</v>
      </c>
      <c r="D5" s="61">
        <f>E5/C5</f>
        <v>78.571428571428569</v>
      </c>
      <c r="E5" s="24">
        <v>550</v>
      </c>
      <c r="F5" s="24">
        <v>0.25</v>
      </c>
      <c r="G5" s="32">
        <f>E5*F5</f>
        <v>137.5</v>
      </c>
      <c r="H5" s="46">
        <f t="shared" si="0"/>
        <v>39600</v>
      </c>
    </row>
    <row r="6" spans="1:10" s="21" customFormat="1" ht="25" x14ac:dyDescent="0.3">
      <c r="A6" s="53" t="s">
        <v>32</v>
      </c>
      <c r="B6" s="23" t="s">
        <v>41</v>
      </c>
      <c r="C6" s="94">
        <v>20</v>
      </c>
      <c r="D6" s="31">
        <v>1.5</v>
      </c>
      <c r="E6" s="24">
        <f>C6*D6</f>
        <v>30</v>
      </c>
      <c r="F6" s="24">
        <v>0.2</v>
      </c>
      <c r="G6" s="32">
        <f>F6*E6</f>
        <v>6</v>
      </c>
      <c r="H6" s="46">
        <f t="shared" si="0"/>
        <v>1728</v>
      </c>
      <c r="I6" s="30"/>
      <c r="J6" s="80"/>
    </row>
    <row r="7" spans="1:10" ht="25" x14ac:dyDescent="0.3">
      <c r="A7" s="45" t="s">
        <v>42</v>
      </c>
      <c r="B7" s="23" t="s">
        <v>43</v>
      </c>
      <c r="C7" s="24">
        <v>5</v>
      </c>
      <c r="D7" s="24">
        <v>1</v>
      </c>
      <c r="E7" s="24">
        <f>C7*D7</f>
        <v>5</v>
      </c>
      <c r="F7" s="24">
        <v>0.2</v>
      </c>
      <c r="G7" s="32">
        <f>F7*E7</f>
        <v>1</v>
      </c>
      <c r="H7" s="46">
        <f t="shared" si="0"/>
        <v>288</v>
      </c>
      <c r="J7" s="80"/>
    </row>
    <row r="8" spans="1:10" ht="25" x14ac:dyDescent="0.3">
      <c r="A8" s="45" t="s">
        <v>36</v>
      </c>
      <c r="B8" s="23" t="s">
        <v>44</v>
      </c>
      <c r="C8" s="24">
        <v>1</v>
      </c>
      <c r="D8" s="24">
        <v>1</v>
      </c>
      <c r="E8" s="24">
        <f>C8*D8</f>
        <v>1</v>
      </c>
      <c r="F8" s="24">
        <v>0.2</v>
      </c>
      <c r="G8" s="32">
        <f>F8*E8</f>
        <v>0.2</v>
      </c>
      <c r="H8" s="46">
        <f t="shared" si="0"/>
        <v>57.6</v>
      </c>
      <c r="J8" s="80"/>
    </row>
    <row r="9" spans="1:10" x14ac:dyDescent="0.3">
      <c r="A9" s="18" t="s">
        <v>8</v>
      </c>
      <c r="B9" s="18"/>
      <c r="C9" s="18">
        <v>33</v>
      </c>
      <c r="D9" s="18"/>
      <c r="E9" s="63">
        <f>SUM(E2:E8)</f>
        <v>2197</v>
      </c>
      <c r="F9" s="18"/>
      <c r="G9" s="49">
        <f>SUM(G2:G8)</f>
        <v>1352.45</v>
      </c>
      <c r="H9" s="40">
        <f>SUM(H2:H8)</f>
        <v>389505.6</v>
      </c>
    </row>
    <row r="11" spans="1:10" x14ac:dyDescent="0.3">
      <c r="B11" s="23" t="s">
        <v>74</v>
      </c>
      <c r="C11" s="2" t="s">
        <v>14</v>
      </c>
    </row>
    <row r="12" spans="1:10" x14ac:dyDescent="0.3">
      <c r="A12" s="2" t="s">
        <v>72</v>
      </c>
      <c r="B12" s="89">
        <f>SUM(G6:G8)</f>
        <v>7.2</v>
      </c>
      <c r="C12" s="89">
        <f>SUM(E6:E8)</f>
        <v>36</v>
      </c>
    </row>
    <row r="13" spans="1:10" x14ac:dyDescent="0.3">
      <c r="A13" s="2" t="s">
        <v>73</v>
      </c>
      <c r="B13" s="89">
        <f>SUM(G2:G5)</f>
        <v>1345.25</v>
      </c>
      <c r="C13" s="89">
        <f>SUM(E2:E5)</f>
        <v>2161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1"/>
  <sheetViews>
    <sheetView tabSelected="1" topLeftCell="A2" zoomScaleNormal="100" workbookViewId="0">
      <selection activeCell="C22" sqref="C22"/>
    </sheetView>
  </sheetViews>
  <sheetFormatPr defaultRowHeight="14" x14ac:dyDescent="0.3"/>
  <cols>
    <col min="1" max="1" width="28.25" bestFit="1" customWidth="1"/>
    <col min="2" max="2" width="14.5" bestFit="1" customWidth="1"/>
    <col min="3" max="3" width="13.75" customWidth="1"/>
    <col min="4" max="4" width="13.75" style="41" customWidth="1"/>
    <col min="5" max="5" width="9.33203125" customWidth="1"/>
    <col min="6" max="6" width="20.25" customWidth="1"/>
    <col min="7" max="7" width="16.25" customWidth="1"/>
  </cols>
  <sheetData>
    <row r="1" spans="1:7" ht="28" x14ac:dyDescent="0.3">
      <c r="B1" s="81" t="s">
        <v>47</v>
      </c>
      <c r="C1" s="81" t="s">
        <v>14</v>
      </c>
      <c r="D1" s="82" t="s">
        <v>82</v>
      </c>
    </row>
    <row r="2" spans="1:7" x14ac:dyDescent="0.3">
      <c r="A2" s="2" t="s">
        <v>12</v>
      </c>
      <c r="B2" s="96">
        <f>ROUND(SUM('1x Reporting'!G6,'Annual Reporting'!G15),0)</f>
        <v>1448</v>
      </c>
      <c r="C2" s="62">
        <f>SUM('1x Reporting'!E6,'Annual Reporting'!E15)</f>
        <v>96</v>
      </c>
      <c r="D2" s="64">
        <f>B2*288</f>
        <v>417024</v>
      </c>
    </row>
    <row r="3" spans="1:7" x14ac:dyDescent="0.3">
      <c r="A3" s="2" t="s">
        <v>13</v>
      </c>
      <c r="B3" s="96">
        <f>ROUND(SUM('1x rkeeping'!F7,'Annual Rkeeping'!F6),0)</f>
        <v>2779</v>
      </c>
      <c r="C3" s="62">
        <v>7</v>
      </c>
      <c r="D3" s="64">
        <f t="shared" ref="D3:D4" si="0">B3*288</f>
        <v>800352</v>
      </c>
    </row>
    <row r="4" spans="1:7" x14ac:dyDescent="0.3">
      <c r="A4" s="2" t="s">
        <v>70</v>
      </c>
      <c r="B4" s="97">
        <f>ROUND(SUM('1x 3rd Party'!G4,'Annual 3rd Party'!G9),0)</f>
        <v>1352</v>
      </c>
      <c r="C4" s="62">
        <f>SUM('1x 3rd Party'!E4,'Annual 3rd Party'!E9)</f>
        <v>2197</v>
      </c>
      <c r="D4" s="64">
        <f t="shared" si="0"/>
        <v>389376</v>
      </c>
    </row>
    <row r="5" spans="1:7" x14ac:dyDescent="0.3">
      <c r="A5" s="3" t="s">
        <v>8</v>
      </c>
      <c r="B5" s="98">
        <f>SUM(B2:B4)</f>
        <v>5579</v>
      </c>
      <c r="C5" s="65">
        <f>SUM(C2:C4)</f>
        <v>2300</v>
      </c>
      <c r="D5" s="92">
        <f>SUM(D2:D4)</f>
        <v>1606752</v>
      </c>
    </row>
    <row r="7" spans="1:7" x14ac:dyDescent="0.3">
      <c r="A7" t="s">
        <v>49</v>
      </c>
      <c r="B7" s="57">
        <f>B5/C5</f>
        <v>2.4256521739130434</v>
      </c>
      <c r="G7" s="50"/>
    </row>
    <row r="9" spans="1:7" x14ac:dyDescent="0.3">
      <c r="A9" s="66"/>
      <c r="B9" s="67"/>
      <c r="C9" s="68"/>
    </row>
    <row r="11" spans="1:7" x14ac:dyDescent="0.3">
      <c r="A11" s="84" t="s">
        <v>71</v>
      </c>
      <c r="B11" s="85">
        <f>B3*0.0004*288</f>
        <v>320.14080000000001</v>
      </c>
    </row>
    <row r="14" spans="1:7" x14ac:dyDescent="0.3">
      <c r="B14" s="83" t="s">
        <v>17</v>
      </c>
      <c r="C14" s="2" t="s">
        <v>14</v>
      </c>
    </row>
    <row r="15" spans="1:7" x14ac:dyDescent="0.3">
      <c r="A15" s="2" t="s">
        <v>72</v>
      </c>
      <c r="B15" s="99">
        <f>ROUND(SUM('1x Reporting'!B9,'Annual Reporting'!B18,'1x rkeeping'!C10,'Annual Rkeeping'!C9,'1x 3rd Party'!B7,'Annual 3rd Party'!B12),0)</f>
        <v>1807</v>
      </c>
      <c r="C15" s="99">
        <f>SUM('1x Reporting'!C9,'Annual Reporting'!C18,'1x rkeeping'!D10,'Annual Rkeeping'!D9,'1x 3rd Party'!C7,'Annual 3rd Party'!C12,)</f>
        <v>154</v>
      </c>
    </row>
    <row r="16" spans="1:7" x14ac:dyDescent="0.3">
      <c r="A16" s="2" t="s">
        <v>73</v>
      </c>
      <c r="B16" s="99">
        <f>ROUND(SUM('1x Reporting'!B10,'Annual Reporting'!B19,'1x rkeeping'!C11,'Annual Rkeeping'!C10,'1x 3rd Party'!B8,'Annual 3rd Party'!B13),0)</f>
        <v>3772</v>
      </c>
      <c r="C16" s="99">
        <f>SUM('Annual Reporting'!C19,'1x rkeeping'!D11,'Annual Rkeeping'!D10,'1x 3rd Party'!C8,'Annual 3rd Party'!C13,)-22</f>
        <v>2146</v>
      </c>
    </row>
    <row r="17" spans="1:3" x14ac:dyDescent="0.3">
      <c r="A17" s="2" t="s">
        <v>15</v>
      </c>
      <c r="B17" s="100">
        <f>ROUND(SUM(B15:B16),0)</f>
        <v>5579</v>
      </c>
      <c r="C17" s="100">
        <f>SUM(C15:C16)</f>
        <v>2300</v>
      </c>
    </row>
    <row r="20" spans="1:3" x14ac:dyDescent="0.3">
      <c r="A20" t="s">
        <v>91</v>
      </c>
      <c r="B20">
        <f>C5/56</f>
        <v>41.071428571428569</v>
      </c>
    </row>
    <row r="21" spans="1:3" x14ac:dyDescent="0.3">
      <c r="A21" t="s">
        <v>92</v>
      </c>
      <c r="B21" s="101">
        <f>B11/C17</f>
        <v>0.13919165217391305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1x Reporting</vt:lpstr>
      <vt:lpstr>Annual Reporting</vt:lpstr>
      <vt:lpstr>1x rkeeping</vt:lpstr>
      <vt:lpstr>Annual Rkeeping</vt:lpstr>
      <vt:lpstr>1x 3rd Party</vt:lpstr>
      <vt:lpstr>Annual 3rd Party</vt:lpstr>
      <vt:lpstr>TOTALS</vt:lpstr>
    </vt:vector>
  </TitlesOfParts>
  <Company>USNRC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Benney, Kristen</dc:creator>
  <cp:lastModifiedBy>Benney, Kristen</cp:lastModifiedBy>
  <dcterms:created xsi:type="dcterms:W3CDTF">2015-01-26T20:30:40Z</dcterms:created>
  <dcterms:modified xsi:type="dcterms:W3CDTF">2022-04-11T15:32:15Z</dcterms:modified>
</cp:coreProperties>
</file>