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usnrc-my.sharepoint.com/personal/keb1_nrc_gov/Documents/KEB1/RULES/Enhanced weapons/FINAL RULE SUBMISSION/"/>
    </mc:Choice>
  </mc:AlternateContent>
  <xr:revisionPtr revIDLastSave="128" documentId="8_{364D9E89-FAA1-4D10-B92B-A776132863A8}" xr6:coauthVersionLast="47" xr6:coauthVersionMax="47" xr10:uidLastSave="{59B697E1-BED7-489B-AC4D-E21F46FEF0A8}"/>
  <bookViews>
    <workbookView xWindow="-110" yWindow="-110" windowWidth="19420" windowHeight="10420" tabRatio="994" activeTab="6" xr2:uid="{00000000-000D-0000-FFFF-FFFF00000000}"/>
  </bookViews>
  <sheets>
    <sheet name="1x Reporting" sheetId="1" r:id="rId1"/>
    <sheet name="Annual Reporting" sheetId="2" r:id="rId2"/>
    <sheet name="1x rkeeping" sheetId="10" r:id="rId3"/>
    <sheet name="Annual Rkeeping" sheetId="4" r:id="rId4"/>
    <sheet name="1x 3rd Party" sheetId="15" r:id="rId5"/>
    <sheet name="Annual 3rd Party" sheetId="3" r:id="rId6"/>
    <sheet name="TOTALS" sheetId="17" r:id="rId7"/>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Pal_Workbook_GUID" hidden="1">"PD8826W4BGXRPNMT3ES5TTRB"</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1143</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7" l="1"/>
  <c r="B20" i="17"/>
  <c r="C16" i="17"/>
  <c r="B18" i="2"/>
  <c r="B15" i="17"/>
  <c r="B17" i="17" s="1"/>
  <c r="D2" i="17"/>
  <c r="B16" i="17"/>
  <c r="B4" i="17"/>
  <c r="D4" i="17" s="1"/>
  <c r="B3" i="17"/>
  <c r="D3" i="17" s="1"/>
  <c r="B2" i="17"/>
  <c r="E13" i="2"/>
  <c r="C18" i="2"/>
  <c r="G7" i="2"/>
  <c r="H7" i="2"/>
  <c r="H3" i="3"/>
  <c r="H4" i="3"/>
  <c r="H5" i="3"/>
  <c r="H7" i="3"/>
  <c r="H2" i="3"/>
  <c r="H2" i="15"/>
  <c r="G3" i="4"/>
  <c r="G5" i="4"/>
  <c r="G2" i="4"/>
  <c r="G3" i="10"/>
  <c r="G4" i="10"/>
  <c r="G2" i="10"/>
  <c r="H3" i="1"/>
  <c r="H4" i="1"/>
  <c r="H5" i="1"/>
  <c r="H6" i="1"/>
  <c r="H2" i="1"/>
  <c r="D5" i="3"/>
  <c r="E2" i="3"/>
  <c r="E6" i="3"/>
  <c r="D9" i="4" l="1"/>
  <c r="E11" i="2"/>
  <c r="D11" i="10" l="1"/>
  <c r="E8" i="3"/>
  <c r="E7" i="3"/>
  <c r="C12" i="3" l="1"/>
  <c r="F4" i="4"/>
  <c r="F3" i="4"/>
  <c r="F2" i="10"/>
  <c r="E14" i="2"/>
  <c r="G13" i="2"/>
  <c r="H13" i="2" s="1"/>
  <c r="E10" i="2"/>
  <c r="G10" i="2" s="1"/>
  <c r="H10" i="2" s="1"/>
  <c r="E9" i="2"/>
  <c r="G9" i="2" s="1"/>
  <c r="H9" i="2" s="1"/>
  <c r="G6" i="2"/>
  <c r="H6" i="2" s="1"/>
  <c r="E4" i="2"/>
  <c r="G4" i="2" s="1"/>
  <c r="H4" i="2" s="1"/>
  <c r="G7" i="3"/>
  <c r="G8" i="3"/>
  <c r="H8" i="3" s="1"/>
  <c r="F5" i="10"/>
  <c r="G5" i="10" s="1"/>
  <c r="F4" i="10"/>
  <c r="E2" i="15"/>
  <c r="G2" i="15" s="1"/>
  <c r="G5" i="3"/>
  <c r="G3" i="3"/>
  <c r="G2" i="3"/>
  <c r="G5" i="2"/>
  <c r="H5" i="2" s="1"/>
  <c r="E8" i="2"/>
  <c r="E2" i="2"/>
  <c r="G2" i="2" s="1"/>
  <c r="H2" i="2" s="1"/>
  <c r="G6" i="3"/>
  <c r="H6" i="3" s="1"/>
  <c r="F5" i="4"/>
  <c r="F3" i="10"/>
  <c r="F2" i="4"/>
  <c r="C10" i="4" s="1"/>
  <c r="E4" i="3"/>
  <c r="C13" i="3" s="1"/>
  <c r="E3" i="2"/>
  <c r="G3" i="2" s="1"/>
  <c r="H3" i="2" s="1"/>
  <c r="E4" i="1"/>
  <c r="G4" i="1" s="1"/>
  <c r="E3" i="1"/>
  <c r="G3" i="1" s="1"/>
  <c r="E2" i="1"/>
  <c r="G2" i="1"/>
  <c r="G11" i="2"/>
  <c r="H11" i="2" s="1"/>
  <c r="E12" i="2"/>
  <c r="G12" i="2" s="1"/>
  <c r="H12" i="2" s="1"/>
  <c r="G14" i="2"/>
  <c r="H14" i="2" s="1"/>
  <c r="E5" i="1"/>
  <c r="E6" i="1" s="1"/>
  <c r="C9" i="4" l="1"/>
  <c r="G4" i="4"/>
  <c r="G6" i="4" s="1"/>
  <c r="G5" i="1"/>
  <c r="F6" i="10"/>
  <c r="F7" i="10" s="1"/>
  <c r="C11" i="10" s="1"/>
  <c r="E9" i="3"/>
  <c r="B13" i="3"/>
  <c r="B12" i="3"/>
  <c r="G4" i="3"/>
  <c r="G9" i="3"/>
  <c r="C4" i="17"/>
  <c r="F6" i="4"/>
  <c r="G6" i="10"/>
  <c r="G7" i="10" s="1"/>
  <c r="G8" i="2"/>
  <c r="H8" i="2" s="1"/>
  <c r="C15" i="17"/>
  <c r="C19" i="2"/>
  <c r="B19" i="2"/>
  <c r="E15" i="2"/>
  <c r="C2" i="17" s="1"/>
  <c r="G15" i="2"/>
  <c r="G3" i="15"/>
  <c r="G4" i="15" s="1"/>
  <c r="B8" i="15" s="1"/>
  <c r="H3" i="15"/>
  <c r="H4" i="15" s="1"/>
  <c r="C17" i="17" l="1"/>
  <c r="G6" i="1"/>
  <c r="B11" i="17"/>
  <c r="H9" i="3"/>
  <c r="C5" i="17"/>
  <c r="H15" i="2"/>
  <c r="B5" i="17" l="1"/>
  <c r="D5" i="17"/>
  <c r="B10" i="1"/>
  <c r="B7" i="17" l="1"/>
</calcChain>
</file>

<file path=xl/sharedStrings.xml><?xml version="1.0" encoding="utf-8"?>
<sst xmlns="http://schemas.openxmlformats.org/spreadsheetml/2006/main" count="163" uniqueCount="93">
  <si>
    <t>Requirement</t>
  </si>
  <si>
    <t>Description</t>
  </si>
  <si>
    <t>No. of Respondents</t>
  </si>
  <si>
    <t xml:space="preserve"> Responses per Respondent</t>
  </si>
  <si>
    <t xml:space="preserve">Number of Responses </t>
  </si>
  <si>
    <t>Burden Hours per Response</t>
  </si>
  <si>
    <t>Total Annual Burden Hours</t>
  </si>
  <si>
    <t>Develop Firearms Background Check Plan</t>
  </si>
  <si>
    <t>TOTAL</t>
  </si>
  <si>
    <t>ANNUALIZED TOTAL</t>
  </si>
  <si>
    <t>Number of Recordkeepers</t>
  </si>
  <si>
    <t>Burden Hours Per Recordkeeper</t>
  </si>
  <si>
    <t>Reporting</t>
  </si>
  <si>
    <t>Recordkeeping</t>
  </si>
  <si>
    <t>Responses</t>
  </si>
  <si>
    <t>Total</t>
  </si>
  <si>
    <t>Annualized total</t>
  </si>
  <si>
    <t>Burden</t>
  </si>
  <si>
    <t>73.17(b)(1)</t>
  </si>
  <si>
    <t>73.17(k)(3)</t>
  </si>
  <si>
    <t>73.15(r)(4)</t>
  </si>
  <si>
    <t>73.17(h)</t>
  </si>
  <si>
    <t>73.1210(b)*</t>
  </si>
  <si>
    <t>73.1200(a) &amp;(b)</t>
  </si>
  <si>
    <t>Employee Notification to licensee of disqualifying events or status</t>
  </si>
  <si>
    <t>73.17(n)(3)</t>
  </si>
  <si>
    <t>Establish procedures for quality finger print card submission</t>
  </si>
  <si>
    <t>73.15(f)</t>
  </si>
  <si>
    <t>Notification of lost or stolen enhanced weapon, notification of receipt of an adverse inspection, enforcement action, or other adverse notice from the ATF</t>
  </si>
  <si>
    <t xml:space="preserve">73.15(e) </t>
  </si>
  <si>
    <t xml:space="preserve"> 73.15(g)(1)  </t>
  </si>
  <si>
    <t>73.15(k)&amp;(p), 73.1200(m)&amp;(n)</t>
  </si>
  <si>
    <t>73.1215(d)</t>
  </si>
  <si>
    <t>Notification of suspicious activities related to facilities and materials</t>
  </si>
  <si>
    <t xml:space="preserve">73.1215(e) </t>
  </si>
  <si>
    <t>Notification of suspicious activities related to shipment of SSNM, SNF, and HLW</t>
  </si>
  <si>
    <t>73.1215(f)</t>
  </si>
  <si>
    <t>73.15(h), 73.17(j), 73.17(p)</t>
  </si>
  <si>
    <t>73.15(p), 73.1200(m)(1)(iii)</t>
  </si>
  <si>
    <t>Notification of LLEA of lost or stolen enhanced weapons</t>
  </si>
  <si>
    <t xml:space="preserve">73.15(s)(3), &amp; 73.17(r)(3) </t>
  </si>
  <si>
    <t>Notification of FBI field office and LLEA for suspicious activity events, facilities and materials</t>
  </si>
  <si>
    <t>73.1215(e)</t>
  </si>
  <si>
    <t>Notification of FBI field office and LLEA for suspicious activity events, shipping activities</t>
  </si>
  <si>
    <t>Notification of FBI field office and LLEA for suspicious activity events, enrichment facilities</t>
  </si>
  <si>
    <t>73.1200(q)</t>
  </si>
  <si>
    <t>Telephonic retraction of previous security event report</t>
  </si>
  <si>
    <t>Burden hours</t>
  </si>
  <si>
    <t>Training of employees (training on disqualifying events, training on process for delayed or denied NICS responses)</t>
  </si>
  <si>
    <t>Average burden per response</t>
  </si>
  <si>
    <t>73.15(d)</t>
  </si>
  <si>
    <t xml:space="preserve">Additional info for enhanced weps application:
Updated physical security plan, training and qualification plan, safeguards contingency plan, and weapons safety assessment </t>
  </si>
  <si>
    <t>73.15(r)(2)</t>
  </si>
  <si>
    <t>73.15(r)(1)</t>
  </si>
  <si>
    <t>Applications to terminate § 161A authorities</t>
  </si>
  <si>
    <t>Applications to modify § 161A enhanced weapons authority</t>
  </si>
  <si>
    <t>Re-applications for Section 161A preemption authority after termination, suspension or revocation.</t>
  </si>
  <si>
    <t>Re-applications for Section 161A enhanced weps authority after termination, suspension or revocation.</t>
  </si>
  <si>
    <t>Notification of an imminent or actual hostile action (Rx &amp; SSNM facilities and shipments of SNF, HLW, or SSNM)</t>
  </si>
  <si>
    <t>73.1200(c) thru (h)</t>
  </si>
  <si>
    <t>Notifications of 1-hr, 4-hr, or 8-hr [facility and transportation events]</t>
  </si>
  <si>
    <t>Notification of suspicious activities related to RD info at enrichment facilities</t>
  </si>
  <si>
    <t>Retention period yr.</t>
  </si>
  <si>
    <t>Develop training modules for Section 161A background check process, disqualifying events and conditions, and personnel notification requirements</t>
  </si>
  <si>
    <t>Updating procedures and instruction material to transition from requirements under the order to the requirements of § 73.15</t>
  </si>
  <si>
    <t>73.15(q) &amp;(m)(9)</t>
  </si>
  <si>
    <t>Records of receipt, transfer, transportation of enhanced weapon; and lost or stolen enhanced weapons</t>
  </si>
  <si>
    <t>73.15(o)</t>
  </si>
  <si>
    <t>Periodic inventories of enhanced weapons and logs of tamper indicating devices</t>
  </si>
  <si>
    <t>Copy of NRC authorization to FFL to receive enhanced weapons</t>
  </si>
  <si>
    <t>Third Party Disclosures</t>
  </si>
  <si>
    <t>Records storage costs</t>
  </si>
  <si>
    <t>Agency discretion</t>
  </si>
  <si>
    <t>New statute</t>
  </si>
  <si>
    <t>Hours</t>
  </si>
  <si>
    <t>Submission of written report following security event notification (includes retracted events greater than 60 days under 73.1200(q)).  Renumbering of existing requirement  - burden covered under current Part 73 clearance.</t>
  </si>
  <si>
    <t>Record events in a Safeguards Event Log.  Renumbering of existing requirement  - burden covered under current Part 73 clearance.</t>
  </si>
  <si>
    <t>Provide results of NICS check to employees
(New checks + periodic checks + break in service checks
430 + 120 = 550)</t>
  </si>
  <si>
    <t>Application for § 161A stand-alone preemption
authority</t>
  </si>
  <si>
    <t>Application for § 161A combined preemption authority and enhanced weapons authority</t>
  </si>
  <si>
    <t xml:space="preserve"> Cost at $288/hour </t>
  </si>
  <si>
    <t xml:space="preserve"> Cost at $288/hour</t>
  </si>
  <si>
    <t>Burden cost at $288/hr</t>
  </si>
  <si>
    <t>73.17(g)</t>
  </si>
  <si>
    <t>not included in the total because it reflects row 9 (no double counting)</t>
  </si>
  <si>
    <t>Estimated average of 1.5 reports per year based upon ILTAT review of SIDS data</t>
  </si>
  <si>
    <t>Estimated average of 1 report per year, as most licensees make less than 1 shipment a year</t>
  </si>
  <si>
    <t>Estimated average of 1 report per year</t>
  </si>
  <si>
    <t xml:space="preserve">Records of written follow-up reports.  Renumbering of existing requirement  - burden covered under current Part 73 clearance. </t>
  </si>
  <si>
    <t>notify within 72 hours after removing security personnel from duties requiring access to covered weapons due to the identification or occurrence of any Federal or State disqualifying status condition or disqualifying event that would prohibit them from possessing, receiving, or using firearms or ammunition.</t>
  </si>
  <si>
    <t>(0 new recordkeepers = 0 recordkeeping responses in ROCIS)</t>
  </si>
  <si>
    <t>Responses per respondent</t>
  </si>
  <si>
    <t>Additional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</si>
</sst>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quot;$&quot;* #,##0_);_(&quot;$&quot;* \(#,##0\);_(&quot;$&quot;* &quot;-&quot;??_);_(@_)"/>
    <numFmt numFmtId="167" formatCode="_(* #,##0_);_(* \(#,##0\);_(* &quot;-&quot;??_);_(@_)"/>
    <numFmt numFmtId="168" formatCode="#,##0.00\ [$€-1];[Red]\-#,##0.00\ [$€-1]"/>
    <numFmt numFmtId="169" formatCode="_(* #,##0.00000000000_);_(* \(#,##0.00000000000\);_(* &quot;-&quot;??_);_(@_)"/>
  </numFmts>
  <fonts count="6" x14ac:knownFonts="1">
    <font>
      <sz val="11"/>
      <color theme="1"/>
      <name val="Arial"/>
      <family val="2"/>
    </font>
    <font>
      <b/>
      <sz val="11"/>
      <color theme="1"/>
      <name val="Arial"/>
      <family val="2"/>
    </font>
    <font>
      <b/>
      <sz val="10"/>
      <color rgb="FF000000"/>
      <name val="Arial"/>
      <family val="2"/>
    </font>
    <font>
      <sz val="10"/>
      <color rgb="FF000000"/>
      <name val="Arial"/>
      <family val="2"/>
    </font>
    <font>
      <sz val="11"/>
      <color theme="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104">
    <xf numFmtId="0" fontId="0" fillId="0" borderId="0" xfId="0"/>
    <xf numFmtId="0" fontId="0" fillId="0" borderId="0" xfId="0" applyAlignment="1">
      <alignment wrapText="1"/>
    </xf>
    <xf numFmtId="0" fontId="0" fillId="0" borderId="2" xfId="0" applyBorder="1"/>
    <xf numFmtId="0" fontId="1" fillId="0" borderId="2" xfId="0" applyFont="1" applyBorder="1"/>
    <xf numFmtId="0" fontId="2" fillId="0" borderId="2" xfId="0" applyFont="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6" fontId="3" fillId="0" borderId="2" xfId="0" applyNumberFormat="1" applyFont="1" applyBorder="1" applyAlignment="1">
      <alignment horizontal="center" vertical="center"/>
    </xf>
    <xf numFmtId="1" fontId="1" fillId="0" borderId="2" xfId="0" applyNumberFormat="1" applyFont="1" applyBorder="1"/>
    <xf numFmtId="164" fontId="1" fillId="0" borderId="2" xfId="0" applyNumberFormat="1" applyFont="1" applyBorder="1"/>
    <xf numFmtId="0" fontId="2" fillId="0" borderId="2" xfId="0" applyFont="1" applyBorder="1" applyAlignment="1">
      <alignment vertical="center"/>
    </xf>
    <xf numFmtId="3"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0" fillId="0" borderId="0" xfId="0" applyFill="1"/>
    <xf numFmtId="0" fontId="3" fillId="0" borderId="2" xfId="0" applyFont="1" applyFill="1" applyBorder="1" applyAlignment="1">
      <alignment horizontal="justify"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 fillId="0" borderId="5"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Fill="1" applyAlignment="1">
      <alignment wrapText="1"/>
    </xf>
    <xf numFmtId="2" fontId="3" fillId="0" borderId="2" xfId="0" applyNumberFormat="1" applyFont="1" applyFill="1" applyBorder="1" applyAlignment="1">
      <alignment horizontal="center" vertical="center" wrapText="1"/>
    </xf>
    <xf numFmtId="43" fontId="3" fillId="0" borderId="2" xfId="2" applyFont="1" applyFill="1" applyBorder="1" applyAlignment="1">
      <alignment horizontal="center" vertical="center" wrapText="1"/>
    </xf>
    <xf numFmtId="167" fontId="2" fillId="0" borderId="2" xfId="2" applyNumberFormat="1" applyFont="1" applyFill="1" applyBorder="1" applyAlignment="1">
      <alignment horizontal="center" vertical="center" wrapText="1"/>
    </xf>
    <xf numFmtId="167" fontId="3" fillId="0" borderId="2" xfId="2" applyNumberFormat="1" applyFont="1" applyFill="1" applyBorder="1" applyAlignment="1">
      <alignment horizontal="center" vertical="center" wrapText="1"/>
    </xf>
    <xf numFmtId="167" fontId="0" fillId="0" borderId="0" xfId="2" applyNumberFormat="1" applyFont="1" applyFill="1"/>
    <xf numFmtId="44" fontId="2" fillId="0" borderId="2" xfId="1" applyFont="1" applyFill="1" applyBorder="1" applyAlignment="1">
      <alignment horizontal="center" vertical="center" wrapText="1"/>
    </xf>
    <xf numFmtId="44" fontId="0" fillId="0" borderId="0" xfId="1" applyFont="1" applyFill="1"/>
    <xf numFmtId="166" fontId="2" fillId="0" borderId="2" xfId="1" applyNumberFormat="1" applyFont="1" applyBorder="1" applyAlignment="1">
      <alignment horizontal="center" vertical="center" wrapText="1"/>
    </xf>
    <xf numFmtId="166" fontId="3" fillId="0" borderId="2" xfId="1" applyNumberFormat="1" applyFont="1" applyBorder="1" applyAlignment="1">
      <alignment horizontal="center" vertical="center"/>
    </xf>
    <xf numFmtId="166" fontId="2" fillId="0" borderId="2" xfId="1" applyNumberFormat="1" applyFont="1" applyBorder="1" applyAlignment="1">
      <alignment horizontal="center" vertical="center"/>
    </xf>
    <xf numFmtId="166" fontId="0" fillId="0" borderId="0" xfId="1" applyNumberFormat="1" applyFont="1"/>
    <xf numFmtId="49" fontId="3" fillId="0" borderId="2" xfId="0" applyNumberFormat="1" applyFont="1" applyFill="1" applyBorder="1" applyAlignment="1">
      <alignment horizontal="justify" vertical="center" wrapText="1"/>
    </xf>
    <xf numFmtId="168" fontId="3" fillId="0" borderId="2" xfId="0" applyNumberFormat="1" applyFont="1" applyBorder="1" applyAlignment="1">
      <alignment vertical="center" wrapText="1"/>
    </xf>
    <xf numFmtId="0" fontId="3" fillId="0" borderId="2" xfId="0" applyFont="1" applyFill="1" applyBorder="1" applyAlignment="1">
      <alignment horizontal="center" vertical="center"/>
    </xf>
    <xf numFmtId="0" fontId="3" fillId="0" borderId="2" xfId="0" applyFont="1" applyBorder="1" applyAlignment="1">
      <alignment horizontal="left" vertical="center" wrapText="1"/>
    </xf>
    <xf numFmtId="166" fontId="3" fillId="0" borderId="2" xfId="1" applyNumberFormat="1" applyFont="1" applyBorder="1" applyAlignment="1">
      <alignment horizontal="center" vertical="center" wrapText="1"/>
    </xf>
    <xf numFmtId="43" fontId="2" fillId="0" borderId="2" xfId="2" applyFont="1" applyBorder="1" applyAlignment="1">
      <alignment horizontal="center" vertical="center" wrapText="1"/>
    </xf>
    <xf numFmtId="43" fontId="3" fillId="0" borderId="2" xfId="2" applyFont="1" applyBorder="1" applyAlignment="1">
      <alignment horizontal="center" vertical="center" wrapText="1"/>
    </xf>
    <xf numFmtId="43" fontId="2" fillId="0" borderId="2" xfId="2" applyFont="1" applyBorder="1" applyAlignment="1">
      <alignment horizontal="center" vertical="center"/>
    </xf>
    <xf numFmtId="43" fontId="0" fillId="0" borderId="0" xfId="2" applyFont="1"/>
    <xf numFmtId="166" fontId="2" fillId="0" borderId="2" xfId="1" applyNumberFormat="1" applyFont="1" applyFill="1" applyBorder="1" applyAlignment="1">
      <alignment horizontal="center" vertical="center" wrapText="1"/>
    </xf>
    <xf numFmtId="166" fontId="3" fillId="0" borderId="2" xfId="1"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5" fillId="0" borderId="2" xfId="0" applyFont="1" applyBorder="1" applyAlignment="1">
      <alignment wrapText="1"/>
    </xf>
    <xf numFmtId="0" fontId="1" fillId="0" borderId="2" xfId="0" applyNumberFormat="1" applyFont="1" applyBorder="1"/>
    <xf numFmtId="166" fontId="1" fillId="0" borderId="2" xfId="1" applyNumberFormat="1" applyFont="1" applyBorder="1"/>
    <xf numFmtId="165" fontId="0" fillId="0" borderId="0" xfId="0" applyNumberFormat="1"/>
    <xf numFmtId="44" fontId="0" fillId="0" borderId="0" xfId="1" applyFont="1" applyFill="1" applyAlignment="1">
      <alignment horizontal="right"/>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xf>
    <xf numFmtId="165" fontId="3" fillId="0" borderId="2" xfId="0" applyNumberFormat="1" applyFont="1" applyBorder="1" applyAlignment="1">
      <alignment horizontal="center" vertical="center" wrapText="1"/>
    </xf>
    <xf numFmtId="37" fontId="0" fillId="0" borderId="2" xfId="2" applyNumberFormat="1" applyFont="1" applyBorder="1" applyAlignment="1">
      <alignment horizontal="right"/>
    </xf>
    <xf numFmtId="1" fontId="2" fillId="0" borderId="2" xfId="0" applyNumberFormat="1" applyFont="1" applyBorder="1" applyAlignment="1">
      <alignment horizontal="center" vertical="center"/>
    </xf>
    <xf numFmtId="5" fontId="0" fillId="0" borderId="2" xfId="2" applyNumberFormat="1" applyFont="1" applyBorder="1" applyAlignment="1">
      <alignment horizontal="right"/>
    </xf>
    <xf numFmtId="37" fontId="1" fillId="0" borderId="2" xfId="2" applyNumberFormat="1" applyFont="1" applyBorder="1" applyAlignment="1">
      <alignment horizontal="right"/>
    </xf>
    <xf numFmtId="0" fontId="1" fillId="0" borderId="0" xfId="0" applyFont="1" applyFill="1" applyBorder="1" applyAlignment="1">
      <alignment vertical="center" wrapText="1"/>
    </xf>
    <xf numFmtId="3" fontId="1" fillId="0" borderId="0" xfId="2" applyNumberFormat="1" applyFont="1" applyBorder="1" applyAlignment="1">
      <alignment horizontal="right"/>
    </xf>
    <xf numFmtId="5" fontId="1" fillId="0" borderId="0" xfId="2" applyNumberFormat="1" applyFont="1" applyBorder="1"/>
    <xf numFmtId="1" fontId="3" fillId="0" borderId="2" xfId="0" applyNumberFormat="1" applyFont="1" applyFill="1" applyBorder="1" applyAlignment="1">
      <alignment horizontal="center" vertical="center" wrapText="1"/>
    </xf>
    <xf numFmtId="0" fontId="5" fillId="0" borderId="2" xfId="0" applyFont="1" applyFill="1" applyBorder="1" applyAlignment="1">
      <alignment wrapText="1"/>
    </xf>
    <xf numFmtId="0" fontId="2" fillId="0" borderId="6" xfId="0" applyFont="1" applyFill="1" applyBorder="1" applyAlignment="1">
      <alignment horizontal="center" vertical="center" wrapText="1"/>
    </xf>
    <xf numFmtId="0" fontId="0" fillId="0" borderId="2" xfId="0" applyFill="1" applyBorder="1" applyAlignment="1">
      <alignment horizontal="center"/>
    </xf>
    <xf numFmtId="0" fontId="0" fillId="0" borderId="0" xfId="0" applyFill="1" applyAlignment="1">
      <alignment vertical="center" wrapText="1"/>
    </xf>
    <xf numFmtId="0" fontId="1" fillId="0" borderId="2" xfId="0" applyFont="1" applyFill="1" applyBorder="1"/>
    <xf numFmtId="0" fontId="1" fillId="0" borderId="2" xfId="0" applyFont="1" applyFill="1" applyBorder="1" applyAlignment="1">
      <alignment horizontal="center"/>
    </xf>
    <xf numFmtId="166" fontId="1" fillId="0" borderId="2" xfId="0" applyNumberFormat="1" applyFont="1" applyFill="1" applyBorder="1"/>
    <xf numFmtId="1" fontId="1" fillId="0" borderId="2" xfId="0" applyNumberFormat="1" applyFont="1" applyFill="1" applyBorder="1"/>
    <xf numFmtId="164" fontId="1" fillId="0" borderId="2" xfId="0" applyNumberFormat="1" applyFont="1" applyFill="1" applyBorder="1"/>
    <xf numFmtId="0" fontId="3" fillId="0" borderId="1" xfId="0" applyFont="1" applyFill="1" applyBorder="1" applyAlignment="1">
      <alignment vertical="center" wrapText="1"/>
    </xf>
    <xf numFmtId="0" fontId="0" fillId="0" borderId="0" xfId="0" applyFont="1" applyFill="1" applyAlignment="1">
      <alignment wrapText="1"/>
    </xf>
    <xf numFmtId="0" fontId="0" fillId="0" borderId="2" xfId="0" applyFont="1" applyBorder="1" applyAlignment="1">
      <alignment horizontal="center"/>
    </xf>
    <xf numFmtId="166" fontId="4" fillId="0" borderId="2" xfId="1" applyNumberFormat="1" applyFont="1" applyBorder="1" applyAlignment="1">
      <alignment horizontal="center" wrapText="1"/>
    </xf>
    <xf numFmtId="0" fontId="0" fillId="0" borderId="2" xfId="0" applyBorder="1" applyAlignment="1">
      <alignment horizontal="center"/>
    </xf>
    <xf numFmtId="0" fontId="0" fillId="0" borderId="2" xfId="0" applyFont="1" applyFill="1" applyBorder="1" applyAlignment="1">
      <alignment vertical="center" wrapText="1"/>
    </xf>
    <xf numFmtId="164" fontId="0" fillId="0" borderId="2" xfId="0" applyNumberFormat="1" applyBorder="1"/>
    <xf numFmtId="0" fontId="0" fillId="0" borderId="2" xfId="0" applyBorder="1" applyAlignment="1">
      <alignment wrapText="1"/>
    </xf>
    <xf numFmtId="3" fontId="0" fillId="0" borderId="2" xfId="0" applyNumberFormat="1" applyBorder="1" applyAlignment="1">
      <alignment wrapText="1"/>
    </xf>
    <xf numFmtId="1" fontId="0" fillId="0" borderId="2" xfId="0" applyNumberFormat="1" applyBorder="1" applyAlignment="1">
      <alignment wrapText="1"/>
    </xf>
    <xf numFmtId="43" fontId="0" fillId="0" borderId="2" xfId="0" applyNumberFormat="1" applyBorder="1" applyAlignment="1">
      <alignment wrapText="1"/>
    </xf>
    <xf numFmtId="0" fontId="0" fillId="0" borderId="3" xfId="0" applyBorder="1"/>
    <xf numFmtId="0" fontId="0" fillId="0" borderId="2" xfId="0" applyFill="1" applyBorder="1"/>
    <xf numFmtId="164" fontId="1" fillId="0" borderId="2" xfId="1" applyNumberFormat="1" applyFont="1" applyBorder="1"/>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0" fillId="0" borderId="0" xfId="0" applyAlignment="1">
      <alignment horizontal="left" vertical="center" wrapText="1"/>
    </xf>
    <xf numFmtId="167" fontId="0" fillId="0" borderId="2" xfId="2" applyNumberFormat="1" applyFont="1" applyBorder="1" applyAlignment="1">
      <alignment horizontal="right"/>
    </xf>
    <xf numFmtId="167" fontId="0" fillId="0" borderId="2" xfId="2" applyNumberFormat="1" applyFont="1" applyBorder="1" applyAlignment="1"/>
    <xf numFmtId="167" fontId="1" fillId="0" borderId="2" xfId="2" applyNumberFormat="1" applyFont="1" applyBorder="1" applyAlignment="1">
      <alignment horizontal="right"/>
    </xf>
    <xf numFmtId="167" fontId="0" fillId="0" borderId="2" xfId="2" applyNumberFormat="1" applyFont="1" applyBorder="1" applyAlignment="1">
      <alignment wrapText="1"/>
    </xf>
    <xf numFmtId="167" fontId="0" fillId="0" borderId="2" xfId="2" applyNumberFormat="1" applyFont="1" applyBorder="1"/>
    <xf numFmtId="169" fontId="0" fillId="0" borderId="0" xfId="0" applyNumberFormat="1"/>
    <xf numFmtId="0" fontId="1" fillId="0" borderId="3" xfId="0" applyFont="1" applyBorder="1" applyAlignment="1">
      <alignment horizontal="left"/>
    </xf>
    <xf numFmtId="0" fontId="1" fillId="0" borderId="5" xfId="0" applyFont="1" applyBorder="1" applyAlignment="1">
      <alignment horizontal="left"/>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FF99"/>
      <color rgb="FFBDDE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zoomScaleNormal="100" workbookViewId="0">
      <pane ySplit="1" topLeftCell="A2" activePane="bottomLeft" state="frozen"/>
      <selection pane="bottomLeft" activeCell="H6" sqref="H6"/>
    </sheetView>
  </sheetViews>
  <sheetFormatPr defaultColWidth="9" defaultRowHeight="14" x14ac:dyDescent="0.3"/>
  <cols>
    <col min="1" max="1" width="12.83203125" style="21" customWidth="1"/>
    <col min="2" max="2" width="34.83203125" style="21" customWidth="1"/>
    <col min="3" max="3" width="12.08203125" style="21" customWidth="1"/>
    <col min="4" max="4" width="16" style="21" customWidth="1"/>
    <col min="5" max="5" width="11.58203125" style="21" customWidth="1"/>
    <col min="6" max="6" width="12.4140625" style="35" customWidth="1"/>
    <col min="7" max="7" width="9" style="21"/>
    <col min="8" max="8" width="11.83203125" style="37" customWidth="1"/>
    <col min="9" max="9" width="13" style="21" bestFit="1" customWidth="1"/>
    <col min="10" max="10" width="32.58203125" style="21" customWidth="1"/>
    <col min="11" max="16384" width="9" style="21"/>
  </cols>
  <sheetData>
    <row r="1" spans="1:10" ht="52" x14ac:dyDescent="0.3">
      <c r="A1" s="19" t="s">
        <v>0</v>
      </c>
      <c r="B1" s="19" t="s">
        <v>1</v>
      </c>
      <c r="C1" s="20" t="s">
        <v>2</v>
      </c>
      <c r="D1" s="20" t="s">
        <v>3</v>
      </c>
      <c r="E1" s="20" t="s">
        <v>4</v>
      </c>
      <c r="F1" s="33" t="s">
        <v>5</v>
      </c>
      <c r="G1" s="20" t="s">
        <v>6</v>
      </c>
      <c r="H1" s="36" t="s">
        <v>80</v>
      </c>
      <c r="J1" s="5"/>
    </row>
    <row r="2" spans="1:10" ht="37.5" x14ac:dyDescent="0.3">
      <c r="A2" s="22" t="s">
        <v>50</v>
      </c>
      <c r="B2" s="23" t="s">
        <v>78</v>
      </c>
      <c r="C2" s="24">
        <v>0</v>
      </c>
      <c r="D2" s="24">
        <v>1</v>
      </c>
      <c r="E2" s="24">
        <f>C2*D2</f>
        <v>0</v>
      </c>
      <c r="F2" s="34">
        <v>1200</v>
      </c>
      <c r="G2" s="24">
        <f>E2*F2</f>
        <v>0</v>
      </c>
      <c r="H2" s="39">
        <f>G2*288</f>
        <v>0</v>
      </c>
    </row>
    <row r="3" spans="1:10" ht="25" x14ac:dyDescent="0.3">
      <c r="A3" s="42" t="s">
        <v>29</v>
      </c>
      <c r="B3" s="23" t="s">
        <v>79</v>
      </c>
      <c r="C3" s="24">
        <v>0</v>
      </c>
      <c r="D3" s="24">
        <v>1</v>
      </c>
      <c r="E3" s="24">
        <f>C3*D3</f>
        <v>0</v>
      </c>
      <c r="F3" s="34">
        <v>600</v>
      </c>
      <c r="G3" s="24">
        <f>E3*F3</f>
        <v>0</v>
      </c>
      <c r="H3" s="39">
        <f t="shared" ref="H3:H6" si="0">G3*288</f>
        <v>0</v>
      </c>
    </row>
    <row r="4" spans="1:10" ht="50" x14ac:dyDescent="0.3">
      <c r="A4" s="22" t="s">
        <v>27</v>
      </c>
      <c r="B4" s="23" t="s">
        <v>51</v>
      </c>
      <c r="C4" s="24">
        <v>0</v>
      </c>
      <c r="D4" s="24">
        <v>1</v>
      </c>
      <c r="E4" s="24">
        <f>C4*D4</f>
        <v>0</v>
      </c>
      <c r="F4" s="34">
        <v>2000</v>
      </c>
      <c r="G4" s="24">
        <f>E4*F4</f>
        <v>0</v>
      </c>
      <c r="H4" s="39">
        <f t="shared" si="0"/>
        <v>0</v>
      </c>
    </row>
    <row r="5" spans="1:10" x14ac:dyDescent="0.3">
      <c r="A5" s="20" t="s">
        <v>8</v>
      </c>
      <c r="B5" s="20"/>
      <c r="C5" s="20">
        <v>0</v>
      </c>
      <c r="D5" s="24"/>
      <c r="E5" s="25">
        <f>SUM(E2:E4,)</f>
        <v>0</v>
      </c>
      <c r="F5" s="33"/>
      <c r="G5" s="25">
        <f>SUM(G2:G4)</f>
        <v>0</v>
      </c>
      <c r="H5" s="39">
        <f t="shared" si="0"/>
        <v>0</v>
      </c>
    </row>
    <row r="6" spans="1:10" ht="26" x14ac:dyDescent="0.3">
      <c r="A6" s="20" t="s">
        <v>9</v>
      </c>
      <c r="B6" s="20"/>
      <c r="C6" s="20">
        <v>0</v>
      </c>
      <c r="D6" s="24"/>
      <c r="E6" s="25">
        <f>(E5/3)</f>
        <v>0</v>
      </c>
      <c r="F6" s="33"/>
      <c r="G6" s="25">
        <f>G5/3</f>
        <v>0</v>
      </c>
      <c r="H6" s="39">
        <f t="shared" si="0"/>
        <v>0</v>
      </c>
    </row>
    <row r="8" spans="1:10" x14ac:dyDescent="0.3">
      <c r="B8" s="91" t="s">
        <v>74</v>
      </c>
      <c r="C8" s="91" t="s">
        <v>14</v>
      </c>
    </row>
    <row r="9" spans="1:10" x14ac:dyDescent="0.3">
      <c r="A9" s="90" t="s">
        <v>72</v>
      </c>
      <c r="B9" s="86">
        <v>0</v>
      </c>
      <c r="C9" s="91">
        <v>0</v>
      </c>
    </row>
    <row r="10" spans="1:10" x14ac:dyDescent="0.3">
      <c r="A10" s="90" t="s">
        <v>73</v>
      </c>
      <c r="B10" s="87">
        <f>G6</f>
        <v>0</v>
      </c>
      <c r="C10" s="91">
        <v>0</v>
      </c>
      <c r="H10" s="58"/>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9"/>
  <sheetViews>
    <sheetView zoomScale="110" zoomScaleNormal="110" workbookViewId="0">
      <pane ySplit="1" topLeftCell="A12" activePane="bottomLeft" state="frozen"/>
      <selection pane="bottomLeft" activeCell="B19" sqref="B19"/>
    </sheetView>
  </sheetViews>
  <sheetFormatPr defaultRowHeight="14" x14ac:dyDescent="0.3"/>
  <cols>
    <col min="1" max="1" width="19.83203125" customWidth="1"/>
    <col min="2" max="2" width="21.58203125" style="1" customWidth="1"/>
    <col min="3" max="3" width="12.25" customWidth="1"/>
    <col min="4" max="4" width="10.58203125" customWidth="1"/>
    <col min="5" max="5" width="10.08203125" customWidth="1"/>
    <col min="8" max="8" width="11.08203125" style="41" bestFit="1" customWidth="1"/>
    <col min="9" max="9" width="62.25" style="1" customWidth="1"/>
    <col min="10" max="10" width="56.6640625" customWidth="1"/>
  </cols>
  <sheetData>
    <row r="1" spans="1:15" ht="52" x14ac:dyDescent="0.3">
      <c r="A1" s="8" t="s">
        <v>0</v>
      </c>
      <c r="B1" s="8" t="s">
        <v>1</v>
      </c>
      <c r="C1" s="4" t="s">
        <v>2</v>
      </c>
      <c r="D1" s="4" t="s">
        <v>3</v>
      </c>
      <c r="E1" s="4" t="s">
        <v>4</v>
      </c>
      <c r="F1" s="4" t="s">
        <v>5</v>
      </c>
      <c r="G1" s="4" t="s">
        <v>6</v>
      </c>
      <c r="H1" s="38" t="s">
        <v>81</v>
      </c>
      <c r="I1" s="6"/>
      <c r="K1" s="6"/>
      <c r="M1" s="7"/>
      <c r="O1" s="6"/>
    </row>
    <row r="2" spans="1:15" ht="87.5" x14ac:dyDescent="0.3">
      <c r="A2" s="9" t="s">
        <v>31</v>
      </c>
      <c r="B2" s="9" t="s">
        <v>28</v>
      </c>
      <c r="C2" s="28">
        <v>0</v>
      </c>
      <c r="D2" s="28">
        <v>0</v>
      </c>
      <c r="E2" s="28">
        <f>C2*D2</f>
        <v>0</v>
      </c>
      <c r="F2" s="12">
        <v>1</v>
      </c>
      <c r="G2" s="12">
        <f t="shared" ref="G2:G14" si="0">E2*F2</f>
        <v>0</v>
      </c>
      <c r="H2" s="39">
        <f>G2*288</f>
        <v>0</v>
      </c>
      <c r="I2"/>
    </row>
    <row r="3" spans="1:15" ht="25" x14ac:dyDescent="0.3">
      <c r="A3" s="9" t="s">
        <v>53</v>
      </c>
      <c r="B3" s="9" t="s">
        <v>54</v>
      </c>
      <c r="C3" s="24">
        <v>0</v>
      </c>
      <c r="D3" s="24">
        <v>0</v>
      </c>
      <c r="E3" s="24">
        <f>C3*D3</f>
        <v>0</v>
      </c>
      <c r="F3" s="10">
        <v>400</v>
      </c>
      <c r="G3" s="12">
        <f t="shared" si="0"/>
        <v>0</v>
      </c>
      <c r="H3" s="39">
        <f t="shared" ref="H3:H14" si="1">G3*288</f>
        <v>0</v>
      </c>
      <c r="I3"/>
    </row>
    <row r="4" spans="1:15" ht="37.5" x14ac:dyDescent="0.3">
      <c r="A4" s="9" t="s">
        <v>52</v>
      </c>
      <c r="B4" s="9" t="s">
        <v>55</v>
      </c>
      <c r="C4" s="24">
        <v>0</v>
      </c>
      <c r="D4" s="24">
        <v>0</v>
      </c>
      <c r="E4" s="24">
        <f>C4*D4</f>
        <v>0</v>
      </c>
      <c r="F4" s="29">
        <v>400</v>
      </c>
      <c r="G4" s="12">
        <f t="shared" si="0"/>
        <v>0</v>
      </c>
      <c r="H4" s="39">
        <f t="shared" si="1"/>
        <v>0</v>
      </c>
      <c r="I4"/>
    </row>
    <row r="5" spans="1:15" ht="65.25" customHeight="1" x14ac:dyDescent="0.3">
      <c r="A5" s="9" t="s">
        <v>20</v>
      </c>
      <c r="B5" s="9" t="s">
        <v>56</v>
      </c>
      <c r="C5" s="24">
        <v>0</v>
      </c>
      <c r="D5" s="24">
        <v>0</v>
      </c>
      <c r="E5" s="24">
        <v>0</v>
      </c>
      <c r="F5" s="24">
        <v>1200</v>
      </c>
      <c r="G5" s="44">
        <f t="shared" si="0"/>
        <v>0</v>
      </c>
      <c r="H5" s="39">
        <f t="shared" si="1"/>
        <v>0</v>
      </c>
      <c r="I5"/>
    </row>
    <row r="6" spans="1:15" ht="65.25" customHeight="1" x14ac:dyDescent="0.3">
      <c r="A6" s="9" t="s">
        <v>20</v>
      </c>
      <c r="B6" s="9" t="s">
        <v>57</v>
      </c>
      <c r="C6" s="24">
        <v>0</v>
      </c>
      <c r="D6" s="24">
        <v>0</v>
      </c>
      <c r="E6" s="24">
        <v>0</v>
      </c>
      <c r="F6" s="24">
        <v>2600</v>
      </c>
      <c r="G6" s="44">
        <f t="shared" si="0"/>
        <v>0</v>
      </c>
      <c r="H6" s="39">
        <f t="shared" si="1"/>
        <v>0</v>
      </c>
      <c r="I6"/>
    </row>
    <row r="7" spans="1:15" ht="214" customHeight="1" x14ac:dyDescent="0.3">
      <c r="A7" s="45" t="s">
        <v>83</v>
      </c>
      <c r="B7" s="95" t="s">
        <v>89</v>
      </c>
      <c r="C7" s="24">
        <v>1</v>
      </c>
      <c r="D7" s="24">
        <v>1</v>
      </c>
      <c r="E7" s="24">
        <v>1</v>
      </c>
      <c r="F7" s="24">
        <v>0.5</v>
      </c>
      <c r="G7" s="44">
        <f t="shared" si="0"/>
        <v>0.5</v>
      </c>
      <c r="H7" s="39">
        <f t="shared" si="1"/>
        <v>144</v>
      </c>
      <c r="I7"/>
    </row>
    <row r="8" spans="1:15" ht="62.5" x14ac:dyDescent="0.3">
      <c r="A8" s="9" t="s">
        <v>23</v>
      </c>
      <c r="B8" s="9" t="s">
        <v>58</v>
      </c>
      <c r="C8" s="24">
        <v>1</v>
      </c>
      <c r="D8" s="10">
        <v>1</v>
      </c>
      <c r="E8" s="59">
        <f t="shared" ref="E8:E14" si="2">C8*D8</f>
        <v>1</v>
      </c>
      <c r="F8" s="12">
        <v>1</v>
      </c>
      <c r="G8" s="60">
        <f t="shared" si="0"/>
        <v>1</v>
      </c>
      <c r="H8" s="39">
        <f t="shared" si="1"/>
        <v>288</v>
      </c>
      <c r="I8"/>
    </row>
    <row r="9" spans="1:15" ht="37.5" x14ac:dyDescent="0.3">
      <c r="A9" s="23" t="s">
        <v>59</v>
      </c>
      <c r="B9" s="23" t="s">
        <v>60</v>
      </c>
      <c r="C9" s="24">
        <v>30</v>
      </c>
      <c r="D9" s="24">
        <v>1</v>
      </c>
      <c r="E9" s="69">
        <f t="shared" si="2"/>
        <v>30</v>
      </c>
      <c r="F9" s="44">
        <v>1</v>
      </c>
      <c r="G9" s="60">
        <f t="shared" si="0"/>
        <v>30</v>
      </c>
      <c r="H9" s="39">
        <f t="shared" si="1"/>
        <v>8640</v>
      </c>
      <c r="I9"/>
    </row>
    <row r="10" spans="1:15" ht="37.5" x14ac:dyDescent="0.3">
      <c r="A10" s="23" t="s">
        <v>45</v>
      </c>
      <c r="B10" s="23" t="s">
        <v>46</v>
      </c>
      <c r="C10" s="24">
        <v>10</v>
      </c>
      <c r="D10" s="24">
        <v>1</v>
      </c>
      <c r="E10" s="69">
        <f t="shared" si="2"/>
        <v>10</v>
      </c>
      <c r="F10" s="44">
        <v>0.5</v>
      </c>
      <c r="G10" s="60">
        <f t="shared" si="0"/>
        <v>5</v>
      </c>
      <c r="H10" s="39">
        <f t="shared" si="1"/>
        <v>1440</v>
      </c>
      <c r="I10"/>
      <c r="J10" t="s">
        <v>84</v>
      </c>
    </row>
    <row r="11" spans="1:15" ht="112.5" x14ac:dyDescent="0.3">
      <c r="A11" s="45">
        <v>73.120500000000007</v>
      </c>
      <c r="B11" s="23" t="s">
        <v>75</v>
      </c>
      <c r="C11" s="24">
        <v>22</v>
      </c>
      <c r="D11" s="69">
        <v>1</v>
      </c>
      <c r="E11" s="69">
        <f t="shared" si="2"/>
        <v>22</v>
      </c>
      <c r="F11" s="44">
        <v>64</v>
      </c>
      <c r="G11" s="12">
        <f t="shared" si="0"/>
        <v>1408</v>
      </c>
      <c r="H11" s="39">
        <f t="shared" si="1"/>
        <v>405504</v>
      </c>
      <c r="I11"/>
      <c r="J11" t="s">
        <v>84</v>
      </c>
    </row>
    <row r="12" spans="1:15" ht="37.5" x14ac:dyDescent="0.3">
      <c r="A12" s="9" t="s">
        <v>32</v>
      </c>
      <c r="B12" s="9" t="s">
        <v>33</v>
      </c>
      <c r="C12" s="24">
        <v>20</v>
      </c>
      <c r="D12" s="31">
        <v>1.5</v>
      </c>
      <c r="E12" s="69">
        <f t="shared" si="2"/>
        <v>30</v>
      </c>
      <c r="F12" s="44">
        <v>0.1</v>
      </c>
      <c r="G12" s="44">
        <f t="shared" si="0"/>
        <v>3</v>
      </c>
      <c r="H12" s="39">
        <f t="shared" si="1"/>
        <v>864</v>
      </c>
      <c r="I12" s="30"/>
      <c r="J12" s="1" t="s">
        <v>85</v>
      </c>
    </row>
    <row r="13" spans="1:15" ht="50" x14ac:dyDescent="0.3">
      <c r="A13" s="43" t="s">
        <v>34</v>
      </c>
      <c r="B13" s="9" t="s">
        <v>35</v>
      </c>
      <c r="C13" s="24">
        <v>1</v>
      </c>
      <c r="D13" s="24">
        <v>1</v>
      </c>
      <c r="E13" s="69">
        <f>C13*D13</f>
        <v>1</v>
      </c>
      <c r="F13" s="44">
        <v>0.1</v>
      </c>
      <c r="G13" s="44">
        <f t="shared" si="0"/>
        <v>0.1</v>
      </c>
      <c r="H13" s="39">
        <f t="shared" si="1"/>
        <v>28.8</v>
      </c>
      <c r="I13" s="30"/>
      <c r="J13" s="1" t="s">
        <v>86</v>
      </c>
    </row>
    <row r="14" spans="1:15" ht="37.5" x14ac:dyDescent="0.3">
      <c r="A14" s="43" t="s">
        <v>36</v>
      </c>
      <c r="B14" s="9" t="s">
        <v>61</v>
      </c>
      <c r="C14" s="24">
        <v>1</v>
      </c>
      <c r="D14" s="24">
        <v>1</v>
      </c>
      <c r="E14" s="69">
        <f t="shared" si="2"/>
        <v>1</v>
      </c>
      <c r="F14" s="44">
        <v>0.1</v>
      </c>
      <c r="G14" s="44">
        <f t="shared" si="0"/>
        <v>0.1</v>
      </c>
      <c r="H14" s="39">
        <f t="shared" si="1"/>
        <v>28.8</v>
      </c>
      <c r="I14" s="30"/>
      <c r="J14" s="1" t="s">
        <v>87</v>
      </c>
    </row>
    <row r="15" spans="1:15" x14ac:dyDescent="0.3">
      <c r="A15" s="16" t="s">
        <v>8</v>
      </c>
      <c r="B15" s="8"/>
      <c r="C15" s="17">
        <v>54</v>
      </c>
      <c r="D15" s="16"/>
      <c r="E15" s="17">
        <f>SUM(E2:E14)</f>
        <v>96</v>
      </c>
      <c r="F15" s="17"/>
      <c r="G15" s="17">
        <f>SUM(G2:G14)</f>
        <v>1447.6999999999998</v>
      </c>
      <c r="H15" s="40">
        <f>SUM(H2:H14)</f>
        <v>416937.6</v>
      </c>
      <c r="I15" s="1">
        <v>778465</v>
      </c>
    </row>
    <row r="17" spans="1:3" x14ac:dyDescent="0.3">
      <c r="B17" s="86" t="s">
        <v>74</v>
      </c>
      <c r="C17" s="2" t="s">
        <v>14</v>
      </c>
    </row>
    <row r="18" spans="1:3" x14ac:dyDescent="0.3">
      <c r="A18" s="90" t="s">
        <v>72</v>
      </c>
      <c r="B18" s="88">
        <f>G15</f>
        <v>1447.6999999999998</v>
      </c>
      <c r="C18" s="88">
        <f>SUM(E7,E8,E9,E10,E11,E12,E13,E14)</f>
        <v>96</v>
      </c>
    </row>
    <row r="19" spans="1:3" x14ac:dyDescent="0.3">
      <c r="A19" s="90" t="s">
        <v>73</v>
      </c>
      <c r="B19" s="86">
        <f>SUM(G2:G6)</f>
        <v>0</v>
      </c>
      <c r="C19" s="86">
        <f>SUM(H2:H6)</f>
        <v>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
  <sheetViews>
    <sheetView zoomScale="110" zoomScaleNormal="110" workbookViewId="0">
      <selection activeCell="E11" sqref="E11"/>
    </sheetView>
  </sheetViews>
  <sheetFormatPr defaultColWidth="8.75" defaultRowHeight="14" x14ac:dyDescent="0.3"/>
  <cols>
    <col min="1" max="1" width="8.75" style="21"/>
    <col min="2" max="2" width="16.58203125" style="21" customWidth="1"/>
    <col min="3" max="3" width="37.08203125" style="21" customWidth="1"/>
    <col min="4" max="4" width="13" style="21" customWidth="1"/>
    <col min="5" max="5" width="11.83203125" style="21" customWidth="1"/>
    <col min="6" max="6" width="8.75" style="21"/>
    <col min="7" max="7" width="12.25" style="21" customWidth="1"/>
    <col min="8" max="8" width="55.25" style="30" customWidth="1"/>
    <col min="9" max="9" width="39.25" style="21" customWidth="1"/>
    <col min="10" max="16384" width="8.75" style="21"/>
  </cols>
  <sheetData>
    <row r="1" spans="1:10" ht="52" x14ac:dyDescent="0.3">
      <c r="A1" s="70" t="s">
        <v>62</v>
      </c>
      <c r="B1" s="19" t="s">
        <v>0</v>
      </c>
      <c r="C1" s="19" t="s">
        <v>1</v>
      </c>
      <c r="D1" s="20" t="s">
        <v>10</v>
      </c>
      <c r="E1" s="20" t="s">
        <v>11</v>
      </c>
      <c r="F1" s="20" t="s">
        <v>6</v>
      </c>
      <c r="G1" s="20" t="s">
        <v>81</v>
      </c>
      <c r="I1" s="71"/>
    </row>
    <row r="2" spans="1:10" ht="50" x14ac:dyDescent="0.3">
      <c r="A2" s="72">
        <v>40</v>
      </c>
      <c r="B2" s="53" t="s">
        <v>37</v>
      </c>
      <c r="C2" s="53" t="s">
        <v>63</v>
      </c>
      <c r="D2" s="24">
        <v>7</v>
      </c>
      <c r="E2" s="24">
        <v>160</v>
      </c>
      <c r="F2" s="24">
        <f>D2*E2</f>
        <v>1120</v>
      </c>
      <c r="G2" s="52">
        <f>F2*288</f>
        <v>322560</v>
      </c>
      <c r="H2" s="21"/>
      <c r="J2" s="30"/>
    </row>
    <row r="3" spans="1:10" ht="37.5" x14ac:dyDescent="0.3">
      <c r="A3" s="72">
        <v>40</v>
      </c>
      <c r="B3" s="53" t="s">
        <v>40</v>
      </c>
      <c r="C3" s="23" t="s">
        <v>64</v>
      </c>
      <c r="D3" s="24">
        <v>7</v>
      </c>
      <c r="E3" s="44">
        <v>420</v>
      </c>
      <c r="F3" s="24">
        <f>D3*E3</f>
        <v>2940</v>
      </c>
      <c r="G3" s="52">
        <f t="shared" ref="G3:G5" si="0">F3*288</f>
        <v>846720</v>
      </c>
      <c r="H3" s="21"/>
    </row>
    <row r="4" spans="1:10" x14ac:dyDescent="0.3">
      <c r="A4" s="72">
        <v>40</v>
      </c>
      <c r="B4" s="22" t="s">
        <v>18</v>
      </c>
      <c r="C4" s="23" t="s">
        <v>7</v>
      </c>
      <c r="D4" s="24">
        <v>7</v>
      </c>
      <c r="E4" s="24">
        <v>380</v>
      </c>
      <c r="F4" s="24">
        <f>D4*E4</f>
        <v>2660</v>
      </c>
      <c r="G4" s="52">
        <f t="shared" si="0"/>
        <v>766080</v>
      </c>
      <c r="I4" s="73"/>
    </row>
    <row r="5" spans="1:10" ht="25" x14ac:dyDescent="0.3">
      <c r="A5" s="72">
        <v>40</v>
      </c>
      <c r="B5" s="22" t="s">
        <v>19</v>
      </c>
      <c r="C5" s="23" t="s">
        <v>26</v>
      </c>
      <c r="D5" s="24">
        <v>7</v>
      </c>
      <c r="E5" s="24">
        <v>80</v>
      </c>
      <c r="F5" s="24">
        <f>D5*E5</f>
        <v>560</v>
      </c>
      <c r="G5" s="52">
        <f t="shared" si="0"/>
        <v>161280</v>
      </c>
      <c r="I5" s="30"/>
    </row>
    <row r="6" spans="1:10" x14ac:dyDescent="0.3">
      <c r="B6" s="74" t="s">
        <v>15</v>
      </c>
      <c r="C6" s="74"/>
      <c r="D6" s="75">
        <v>7</v>
      </c>
      <c r="E6" s="74"/>
      <c r="F6" s="74">
        <f>SUM(F2:F5)</f>
        <v>7280</v>
      </c>
      <c r="G6" s="76">
        <f>SUM(G2:G5)</f>
        <v>2096640</v>
      </c>
    </row>
    <row r="7" spans="1:10" x14ac:dyDescent="0.3">
      <c r="B7" s="74" t="s">
        <v>16</v>
      </c>
      <c r="C7" s="74"/>
      <c r="D7" s="75">
        <v>7</v>
      </c>
      <c r="E7" s="74"/>
      <c r="F7" s="77">
        <f>F6/3</f>
        <v>2426.6666666666665</v>
      </c>
      <c r="G7" s="78">
        <f>G6/3</f>
        <v>698880</v>
      </c>
    </row>
    <row r="9" spans="1:10" x14ac:dyDescent="0.3">
      <c r="C9" s="91" t="s">
        <v>74</v>
      </c>
      <c r="D9" s="91" t="s">
        <v>14</v>
      </c>
    </row>
    <row r="10" spans="1:10" x14ac:dyDescent="0.3">
      <c r="B10" s="90" t="s">
        <v>72</v>
      </c>
      <c r="C10" s="86">
        <v>0</v>
      </c>
      <c r="D10" s="91">
        <v>0</v>
      </c>
    </row>
    <row r="11" spans="1:10" x14ac:dyDescent="0.3">
      <c r="B11" s="90" t="s">
        <v>73</v>
      </c>
      <c r="C11" s="88">
        <f>F7</f>
        <v>2426.6666666666665</v>
      </c>
      <c r="D11" s="91">
        <f>D7</f>
        <v>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
  <sheetViews>
    <sheetView topLeftCell="A4" zoomScale="110" zoomScaleNormal="110" workbookViewId="0">
      <selection activeCell="E10" sqref="E10"/>
    </sheetView>
  </sheetViews>
  <sheetFormatPr defaultRowHeight="14" x14ac:dyDescent="0.3"/>
  <cols>
    <col min="1" max="1" width="10.08203125" customWidth="1"/>
    <col min="2" max="2" width="16.75" style="1" customWidth="1"/>
    <col min="3" max="3" width="20.75" customWidth="1"/>
    <col min="4" max="4" width="14" customWidth="1"/>
    <col min="5" max="5" width="13" customWidth="1"/>
    <col min="7" max="7" width="10.25" customWidth="1"/>
    <col min="8" max="8" width="34.75" bestFit="1" customWidth="1"/>
  </cols>
  <sheetData>
    <row r="1" spans="1:8" ht="52" x14ac:dyDescent="0.3">
      <c r="A1" s="54" t="s">
        <v>62</v>
      </c>
      <c r="B1" s="26" t="s">
        <v>0</v>
      </c>
      <c r="C1" s="8" t="s">
        <v>1</v>
      </c>
      <c r="D1" s="4" t="s">
        <v>10</v>
      </c>
      <c r="E1" s="4" t="s">
        <v>11</v>
      </c>
      <c r="F1" s="4" t="s">
        <v>6</v>
      </c>
      <c r="G1" s="4" t="s">
        <v>81</v>
      </c>
    </row>
    <row r="2" spans="1:8" ht="50" x14ac:dyDescent="0.3">
      <c r="A2" s="72">
        <v>40</v>
      </c>
      <c r="B2" s="27" t="s">
        <v>67</v>
      </c>
      <c r="C2" s="23" t="s">
        <v>68</v>
      </c>
      <c r="D2" s="44">
        <v>0</v>
      </c>
      <c r="E2" s="44">
        <v>98</v>
      </c>
      <c r="F2" s="12">
        <f>D2*E2</f>
        <v>0</v>
      </c>
      <c r="G2" s="13">
        <f>F2*288</f>
        <v>0</v>
      </c>
    </row>
    <row r="3" spans="1:8" ht="62.5" x14ac:dyDescent="0.3">
      <c r="A3" s="72">
        <v>40</v>
      </c>
      <c r="B3" s="27" t="s">
        <v>65</v>
      </c>
      <c r="C3" s="23" t="s">
        <v>66</v>
      </c>
      <c r="D3" s="44">
        <v>0</v>
      </c>
      <c r="E3" s="44">
        <v>20</v>
      </c>
      <c r="F3" s="12">
        <f>D3*E3</f>
        <v>0</v>
      </c>
      <c r="G3" s="13">
        <f t="shared" ref="G3:G5" si="0">F3*288</f>
        <v>0</v>
      </c>
    </row>
    <row r="4" spans="1:8" s="21" customFormat="1" ht="62.5" x14ac:dyDescent="0.3">
      <c r="A4" s="72">
        <v>3</v>
      </c>
      <c r="B4" s="53">
        <v>73.120500000000007</v>
      </c>
      <c r="C4" s="23" t="s">
        <v>88</v>
      </c>
      <c r="D4" s="44">
        <v>22</v>
      </c>
      <c r="E4" s="44">
        <v>16</v>
      </c>
      <c r="F4" s="44">
        <f>D4*E4</f>
        <v>352</v>
      </c>
      <c r="G4" s="13">
        <f t="shared" si="0"/>
        <v>101376</v>
      </c>
      <c r="H4" s="30"/>
    </row>
    <row r="5" spans="1:8" s="21" customFormat="1" ht="75.5" thickBot="1" x14ac:dyDescent="0.35">
      <c r="A5" s="72">
        <v>40</v>
      </c>
      <c r="B5" s="79" t="s">
        <v>22</v>
      </c>
      <c r="C5" s="23" t="s">
        <v>76</v>
      </c>
      <c r="D5" s="44">
        <v>0</v>
      </c>
      <c r="E5" s="44">
        <v>4</v>
      </c>
      <c r="F5" s="44">
        <f>D5*E5</f>
        <v>0</v>
      </c>
      <c r="G5" s="13">
        <f t="shared" si="0"/>
        <v>0</v>
      </c>
    </row>
    <row r="6" spans="1:8" x14ac:dyDescent="0.3">
      <c r="A6" s="2"/>
      <c r="B6" s="26" t="s">
        <v>8</v>
      </c>
      <c r="C6" s="16"/>
      <c r="D6" s="93">
        <v>22</v>
      </c>
      <c r="E6" s="18"/>
      <c r="F6" s="17">
        <f>SUM(F2:F5)</f>
        <v>352</v>
      </c>
      <c r="G6" s="17">
        <f>SUM(G2:G5)</f>
        <v>101376</v>
      </c>
    </row>
    <row r="8" spans="1:8" x14ac:dyDescent="0.3">
      <c r="C8" s="2" t="s">
        <v>74</v>
      </c>
      <c r="D8" s="2" t="s">
        <v>14</v>
      </c>
    </row>
    <row r="9" spans="1:8" x14ac:dyDescent="0.3">
      <c r="B9" s="90" t="s">
        <v>72</v>
      </c>
      <c r="C9" s="86">
        <f>SUM(F4:F5)</f>
        <v>352</v>
      </c>
      <c r="D9" s="2">
        <f>D6</f>
        <v>22</v>
      </c>
      <c r="E9" t="s">
        <v>90</v>
      </c>
    </row>
    <row r="10" spans="1:8" x14ac:dyDescent="0.3">
      <c r="B10" s="90" t="s">
        <v>73</v>
      </c>
      <c r="C10" s="86">
        <f>SUM(F2:F3)</f>
        <v>0</v>
      </c>
      <c r="D10" s="2">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
  <sheetViews>
    <sheetView zoomScale="110" zoomScaleNormal="110" workbookViewId="0">
      <selection activeCell="E13" sqref="E13"/>
    </sheetView>
  </sheetViews>
  <sheetFormatPr defaultRowHeight="14" x14ac:dyDescent="0.3"/>
  <cols>
    <col min="1" max="1" width="15.75" customWidth="1"/>
    <col min="2" max="2" width="18.83203125" customWidth="1"/>
    <col min="3" max="3" width="12" customWidth="1"/>
    <col min="4" max="4" width="10.25" customWidth="1"/>
    <col min="5" max="5" width="9.75" customWidth="1"/>
    <col min="9" max="9" width="51.08203125" customWidth="1"/>
    <col min="10" max="10" width="52.5" customWidth="1"/>
  </cols>
  <sheetData>
    <row r="1" spans="1:11" ht="52" x14ac:dyDescent="0.3">
      <c r="A1" s="4" t="s">
        <v>0</v>
      </c>
      <c r="B1" s="4" t="s">
        <v>1</v>
      </c>
      <c r="C1" s="4" t="s">
        <v>2</v>
      </c>
      <c r="D1" s="4" t="s">
        <v>3</v>
      </c>
      <c r="E1" s="4" t="s">
        <v>4</v>
      </c>
      <c r="F1" s="4" t="s">
        <v>5</v>
      </c>
      <c r="G1" s="4" t="s">
        <v>6</v>
      </c>
      <c r="H1" s="20" t="s">
        <v>81</v>
      </c>
      <c r="K1" s="1"/>
    </row>
    <row r="2" spans="1:11" s="21" customFormat="1" ht="50" x14ac:dyDescent="0.3">
      <c r="A2" s="24" t="s">
        <v>30</v>
      </c>
      <c r="B2" s="53" t="s">
        <v>69</v>
      </c>
      <c r="C2" s="24">
        <v>0</v>
      </c>
      <c r="D2" s="24">
        <v>0</v>
      </c>
      <c r="E2" s="24">
        <f>C2*D2</f>
        <v>0</v>
      </c>
      <c r="F2" s="24">
        <v>1</v>
      </c>
      <c r="G2" s="24">
        <f>E2*F2</f>
        <v>0</v>
      </c>
      <c r="H2" s="52">
        <f>G2*288</f>
        <v>0</v>
      </c>
      <c r="I2" s="30"/>
      <c r="K2" s="30"/>
    </row>
    <row r="3" spans="1:11" x14ac:dyDescent="0.3">
      <c r="A3" s="102" t="s">
        <v>15</v>
      </c>
      <c r="B3" s="103"/>
      <c r="C3" s="3">
        <v>0</v>
      </c>
      <c r="D3" s="3"/>
      <c r="E3" s="3"/>
      <c r="F3" s="55"/>
      <c r="G3" s="3">
        <f>SUM(G2:G2)</f>
        <v>0</v>
      </c>
      <c r="H3" s="56">
        <f>SUM(H2:H2)</f>
        <v>0</v>
      </c>
    </row>
    <row r="4" spans="1:11" x14ac:dyDescent="0.3">
      <c r="A4" s="3" t="s">
        <v>16</v>
      </c>
      <c r="B4" s="3"/>
      <c r="C4" s="3">
        <v>0</v>
      </c>
      <c r="D4" s="3"/>
      <c r="E4" s="14"/>
      <c r="F4" s="15"/>
      <c r="G4" s="3">
        <f>G3/3</f>
        <v>0</v>
      </c>
      <c r="H4" s="56">
        <f>H3/3</f>
        <v>0</v>
      </c>
    </row>
    <row r="6" spans="1:11" x14ac:dyDescent="0.3">
      <c r="B6" s="2" t="s">
        <v>74</v>
      </c>
      <c r="C6" s="2" t="s">
        <v>14</v>
      </c>
    </row>
    <row r="7" spans="1:11" x14ac:dyDescent="0.3">
      <c r="A7" s="90" t="s">
        <v>72</v>
      </c>
      <c r="B7" s="86">
        <v>0</v>
      </c>
      <c r="C7" s="2">
        <v>0</v>
      </c>
    </row>
    <row r="8" spans="1:11" x14ac:dyDescent="0.3">
      <c r="A8" s="90" t="s">
        <v>73</v>
      </c>
      <c r="B8" s="86">
        <f>G4</f>
        <v>0</v>
      </c>
      <c r="C8" s="2">
        <v>0</v>
      </c>
    </row>
  </sheetData>
  <mergeCells count="1">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
  <sheetViews>
    <sheetView zoomScale="120" zoomScaleNormal="120" workbookViewId="0">
      <pane ySplit="1" topLeftCell="A6" activePane="bottomLeft" state="frozen"/>
      <selection pane="bottomLeft" activeCell="B13" sqref="B13"/>
    </sheetView>
  </sheetViews>
  <sheetFormatPr defaultRowHeight="14" x14ac:dyDescent="0.3"/>
  <cols>
    <col min="1" max="1" width="18.5" bestFit="1" customWidth="1"/>
    <col min="2" max="2" width="44.75" customWidth="1"/>
    <col min="3" max="3" width="13.33203125" customWidth="1"/>
    <col min="4" max="4" width="11.25" customWidth="1"/>
    <col min="5" max="5" width="10.75" customWidth="1"/>
    <col min="6" max="6" width="10.33203125" bestFit="1" customWidth="1"/>
    <col min="7" max="7" width="11.25" style="50" customWidth="1"/>
    <col min="8" max="8" width="11.25" style="41" bestFit="1" customWidth="1"/>
    <col min="9" max="9" width="33.58203125" style="1" customWidth="1"/>
    <col min="10" max="10" width="50.75" style="30" customWidth="1"/>
  </cols>
  <sheetData>
    <row r="1" spans="1:10" ht="52" x14ac:dyDescent="0.3">
      <c r="A1" s="4" t="s">
        <v>0</v>
      </c>
      <c r="B1" s="4" t="s">
        <v>1</v>
      </c>
      <c r="C1" s="4" t="s">
        <v>2</v>
      </c>
      <c r="D1" s="4" t="s">
        <v>3</v>
      </c>
      <c r="E1" s="4" t="s">
        <v>4</v>
      </c>
      <c r="F1" s="4" t="s">
        <v>5</v>
      </c>
      <c r="G1" s="47" t="s">
        <v>6</v>
      </c>
      <c r="H1" s="51" t="s">
        <v>81</v>
      </c>
    </row>
    <row r="2" spans="1:10" ht="25" x14ac:dyDescent="0.3">
      <c r="A2" s="53" t="s">
        <v>37</v>
      </c>
      <c r="B2" s="9" t="s">
        <v>48</v>
      </c>
      <c r="C2" s="29">
        <v>7</v>
      </c>
      <c r="D2" s="61">
        <v>230</v>
      </c>
      <c r="E2" s="24">
        <f>C2*D2</f>
        <v>1610</v>
      </c>
      <c r="F2" s="24">
        <v>0.75</v>
      </c>
      <c r="G2" s="48">
        <f>E2*F2</f>
        <v>1207.5</v>
      </c>
      <c r="H2" s="46">
        <f>G2*288</f>
        <v>347760</v>
      </c>
      <c r="I2"/>
      <c r="J2"/>
    </row>
    <row r="3" spans="1:10" ht="25" x14ac:dyDescent="0.3">
      <c r="A3" s="53" t="s">
        <v>38</v>
      </c>
      <c r="B3" s="9" t="s">
        <v>39</v>
      </c>
      <c r="C3" s="11">
        <v>0</v>
      </c>
      <c r="D3" s="11">
        <v>0</v>
      </c>
      <c r="E3" s="11">
        <v>0</v>
      </c>
      <c r="F3" s="24">
        <v>0.25</v>
      </c>
      <c r="G3" s="48">
        <f>E3*F3</f>
        <v>0</v>
      </c>
      <c r="H3" s="46">
        <f t="shared" ref="H3:H8" si="0">G3*288</f>
        <v>0</v>
      </c>
    </row>
    <row r="4" spans="1:10" s="21" customFormat="1" ht="25" x14ac:dyDescent="0.3">
      <c r="A4" s="53" t="s">
        <v>21</v>
      </c>
      <c r="B4" s="23" t="s">
        <v>24</v>
      </c>
      <c r="C4" s="24">
        <v>1</v>
      </c>
      <c r="D4" s="24">
        <v>1</v>
      </c>
      <c r="E4" s="24">
        <f>C4*D4</f>
        <v>1</v>
      </c>
      <c r="F4" s="24">
        <v>0.25</v>
      </c>
      <c r="G4" s="32">
        <f>E4*F4</f>
        <v>0.25</v>
      </c>
      <c r="H4" s="46">
        <f t="shared" si="0"/>
        <v>72</v>
      </c>
    </row>
    <row r="5" spans="1:10" ht="37.5" x14ac:dyDescent="0.3">
      <c r="A5" s="45" t="s">
        <v>25</v>
      </c>
      <c r="B5" s="9" t="s">
        <v>77</v>
      </c>
      <c r="C5" s="11">
        <v>7</v>
      </c>
      <c r="D5" s="61">
        <f>E5/C5</f>
        <v>78.571428571428569</v>
      </c>
      <c r="E5" s="24">
        <v>550</v>
      </c>
      <c r="F5" s="24">
        <v>0.25</v>
      </c>
      <c r="G5" s="32">
        <f>E5*F5</f>
        <v>137.5</v>
      </c>
      <c r="H5" s="46">
        <f t="shared" si="0"/>
        <v>39600</v>
      </c>
    </row>
    <row r="6" spans="1:10" s="21" customFormat="1" ht="25" x14ac:dyDescent="0.3">
      <c r="A6" s="53" t="s">
        <v>32</v>
      </c>
      <c r="B6" s="23" t="s">
        <v>41</v>
      </c>
      <c r="C6" s="94">
        <v>20</v>
      </c>
      <c r="D6" s="31">
        <v>1.5</v>
      </c>
      <c r="E6" s="24">
        <f>C6*D6</f>
        <v>30</v>
      </c>
      <c r="F6" s="24">
        <v>0.2</v>
      </c>
      <c r="G6" s="32">
        <f>F6*E6</f>
        <v>6</v>
      </c>
      <c r="H6" s="46">
        <f t="shared" si="0"/>
        <v>1728</v>
      </c>
      <c r="I6" s="30"/>
      <c r="J6" s="80"/>
    </row>
    <row r="7" spans="1:10" ht="25" x14ac:dyDescent="0.3">
      <c r="A7" s="45" t="s">
        <v>42</v>
      </c>
      <c r="B7" s="23" t="s">
        <v>43</v>
      </c>
      <c r="C7" s="24">
        <v>5</v>
      </c>
      <c r="D7" s="24">
        <v>1</v>
      </c>
      <c r="E7" s="24">
        <f>C7*D7</f>
        <v>5</v>
      </c>
      <c r="F7" s="24">
        <v>0.2</v>
      </c>
      <c r="G7" s="32">
        <f>F7*E7</f>
        <v>1</v>
      </c>
      <c r="H7" s="46">
        <f t="shared" si="0"/>
        <v>288</v>
      </c>
      <c r="J7" s="80"/>
    </row>
    <row r="8" spans="1:10" ht="25" x14ac:dyDescent="0.3">
      <c r="A8" s="45" t="s">
        <v>36</v>
      </c>
      <c r="B8" s="23" t="s">
        <v>44</v>
      </c>
      <c r="C8" s="24">
        <v>1</v>
      </c>
      <c r="D8" s="24">
        <v>1</v>
      </c>
      <c r="E8" s="24">
        <f>C8*D8</f>
        <v>1</v>
      </c>
      <c r="F8" s="24">
        <v>0.2</v>
      </c>
      <c r="G8" s="32">
        <f>F8*E8</f>
        <v>0.2</v>
      </c>
      <c r="H8" s="46">
        <f t="shared" si="0"/>
        <v>57.6</v>
      </c>
      <c r="J8" s="80"/>
    </row>
    <row r="9" spans="1:10" x14ac:dyDescent="0.3">
      <c r="A9" s="18" t="s">
        <v>8</v>
      </c>
      <c r="B9" s="18"/>
      <c r="C9" s="18">
        <v>33</v>
      </c>
      <c r="D9" s="18"/>
      <c r="E9" s="63">
        <f>SUM(E2:E8)</f>
        <v>2197</v>
      </c>
      <c r="F9" s="18"/>
      <c r="G9" s="49">
        <f>SUM(G2:G8)</f>
        <v>1352.45</v>
      </c>
      <c r="H9" s="40">
        <f>SUM(H2:H8)</f>
        <v>389505.6</v>
      </c>
    </row>
    <row r="11" spans="1:10" x14ac:dyDescent="0.3">
      <c r="B11" s="23" t="s">
        <v>74</v>
      </c>
      <c r="C11" s="2" t="s">
        <v>14</v>
      </c>
    </row>
    <row r="12" spans="1:10" x14ac:dyDescent="0.3">
      <c r="A12" s="2" t="s">
        <v>72</v>
      </c>
      <c r="B12" s="89">
        <f>SUM(G6:G8)</f>
        <v>7.2</v>
      </c>
      <c r="C12" s="89">
        <f>SUM(E6:E8)</f>
        <v>36</v>
      </c>
    </row>
    <row r="13" spans="1:10" x14ac:dyDescent="0.3">
      <c r="A13" s="2" t="s">
        <v>73</v>
      </c>
      <c r="B13" s="89">
        <f>SUM(G2:G5)</f>
        <v>1345.25</v>
      </c>
      <c r="C13" s="89">
        <f>SUM(E2:E5)</f>
        <v>2161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tabSelected="1" topLeftCell="A2" zoomScaleNormal="100" workbookViewId="0">
      <selection activeCell="C22" sqref="C22"/>
    </sheetView>
  </sheetViews>
  <sheetFormatPr defaultRowHeight="14" x14ac:dyDescent="0.3"/>
  <cols>
    <col min="1" max="1" width="28.25" bestFit="1" customWidth="1"/>
    <col min="2" max="2" width="14.5" bestFit="1" customWidth="1"/>
    <col min="3" max="3" width="13.75" customWidth="1"/>
    <col min="4" max="4" width="13.75" style="41" customWidth="1"/>
    <col min="5" max="5" width="9.33203125" customWidth="1"/>
    <col min="6" max="6" width="20.25" customWidth="1"/>
    <col min="7" max="7" width="16.25" customWidth="1"/>
  </cols>
  <sheetData>
    <row r="1" spans="1:7" ht="28" x14ac:dyDescent="0.3">
      <c r="B1" s="81" t="s">
        <v>47</v>
      </c>
      <c r="C1" s="81" t="s">
        <v>14</v>
      </c>
      <c r="D1" s="82" t="s">
        <v>82</v>
      </c>
    </row>
    <row r="2" spans="1:7" x14ac:dyDescent="0.3">
      <c r="A2" s="2" t="s">
        <v>12</v>
      </c>
      <c r="B2" s="96">
        <f>ROUND(SUM('1x Reporting'!G6,'Annual Reporting'!G15),0)</f>
        <v>1448</v>
      </c>
      <c r="C2" s="62">
        <f>SUM('1x Reporting'!E6,'Annual Reporting'!E15)</f>
        <v>96</v>
      </c>
      <c r="D2" s="64">
        <f>B2*288</f>
        <v>417024</v>
      </c>
    </row>
    <row r="3" spans="1:7" x14ac:dyDescent="0.3">
      <c r="A3" s="2" t="s">
        <v>13</v>
      </c>
      <c r="B3" s="96">
        <f>ROUND(SUM('1x rkeeping'!F7,'Annual Rkeeping'!F6),0)</f>
        <v>2779</v>
      </c>
      <c r="C3" s="62">
        <v>7</v>
      </c>
      <c r="D3" s="64">
        <f t="shared" ref="D3:D4" si="0">B3*288</f>
        <v>800352</v>
      </c>
    </row>
    <row r="4" spans="1:7" x14ac:dyDescent="0.3">
      <c r="A4" s="2" t="s">
        <v>70</v>
      </c>
      <c r="B4" s="97">
        <f>ROUND(SUM('1x 3rd Party'!G4,'Annual 3rd Party'!G9),0)</f>
        <v>1352</v>
      </c>
      <c r="C4" s="62">
        <f>SUM('1x 3rd Party'!E4,'Annual 3rd Party'!E9)</f>
        <v>2197</v>
      </c>
      <c r="D4" s="64">
        <f t="shared" si="0"/>
        <v>389376</v>
      </c>
    </row>
    <row r="5" spans="1:7" x14ac:dyDescent="0.3">
      <c r="A5" s="3" t="s">
        <v>8</v>
      </c>
      <c r="B5" s="98">
        <f>SUM(B2:B4)</f>
        <v>5579</v>
      </c>
      <c r="C5" s="65">
        <f>SUM(C2:C4)</f>
        <v>2300</v>
      </c>
      <c r="D5" s="92">
        <f>SUM(D2:D4)</f>
        <v>1606752</v>
      </c>
    </row>
    <row r="7" spans="1:7" x14ac:dyDescent="0.3">
      <c r="A7" t="s">
        <v>49</v>
      </c>
      <c r="B7" s="57">
        <f>B5/C5</f>
        <v>2.4256521739130434</v>
      </c>
      <c r="G7" s="50"/>
    </row>
    <row r="9" spans="1:7" x14ac:dyDescent="0.3">
      <c r="A9" s="66"/>
      <c r="B9" s="67"/>
      <c r="C9" s="68"/>
    </row>
    <row r="11" spans="1:7" x14ac:dyDescent="0.3">
      <c r="A11" s="84" t="s">
        <v>71</v>
      </c>
      <c r="B11" s="85">
        <f>B3*0.0004*288</f>
        <v>320.14080000000001</v>
      </c>
    </row>
    <row r="14" spans="1:7" x14ac:dyDescent="0.3">
      <c r="B14" s="83" t="s">
        <v>17</v>
      </c>
      <c r="C14" s="2" t="s">
        <v>14</v>
      </c>
    </row>
    <row r="15" spans="1:7" x14ac:dyDescent="0.3">
      <c r="A15" s="2" t="s">
        <v>72</v>
      </c>
      <c r="B15" s="99">
        <f>ROUND(SUM('1x Reporting'!B9,'Annual Reporting'!B18,'1x rkeeping'!C10,'Annual Rkeeping'!C9,'1x 3rd Party'!B7,'Annual 3rd Party'!B12),0)</f>
        <v>1807</v>
      </c>
      <c r="C15" s="99">
        <f>SUM('1x Reporting'!C9,'Annual Reporting'!C18,'1x rkeeping'!D10,'Annual Rkeeping'!D9,'1x 3rd Party'!C7,'Annual 3rd Party'!C12,)</f>
        <v>154</v>
      </c>
    </row>
    <row r="16" spans="1:7" x14ac:dyDescent="0.3">
      <c r="A16" s="2" t="s">
        <v>73</v>
      </c>
      <c r="B16" s="99">
        <f>ROUND(SUM('1x Reporting'!B10,'Annual Reporting'!B19,'1x rkeeping'!C11,'Annual Rkeeping'!C10,'1x 3rd Party'!B8,'Annual 3rd Party'!B13),0)</f>
        <v>3772</v>
      </c>
      <c r="C16" s="99">
        <f>SUM('Annual Reporting'!C19,'1x rkeeping'!D11,'Annual Rkeeping'!D10,'1x 3rd Party'!C8,'Annual 3rd Party'!C13,)-22</f>
        <v>2146</v>
      </c>
    </row>
    <row r="17" spans="1:3" x14ac:dyDescent="0.3">
      <c r="A17" s="2" t="s">
        <v>15</v>
      </c>
      <c r="B17" s="100">
        <f>ROUND(SUM(B15:B16),0)</f>
        <v>5579</v>
      </c>
      <c r="C17" s="100">
        <f>SUM(C15:C16)</f>
        <v>2300</v>
      </c>
    </row>
    <row r="20" spans="1:3" x14ac:dyDescent="0.3">
      <c r="A20" t="s">
        <v>91</v>
      </c>
      <c r="B20">
        <f>C5/56</f>
        <v>41.071428571428569</v>
      </c>
    </row>
    <row r="21" spans="1:3" x14ac:dyDescent="0.3">
      <c r="A21" t="s">
        <v>92</v>
      </c>
      <c r="B21" s="101">
        <f>B11/C17</f>
        <v>0.13919165217391305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1x Reporting</vt:lpstr>
      <vt:lpstr>Annual Reporting</vt:lpstr>
      <vt:lpstr>1x rkeeping</vt:lpstr>
      <vt:lpstr>Annual Rkeeping</vt:lpstr>
      <vt:lpstr>1x 3rd Party</vt:lpstr>
      <vt:lpstr>Annual 3rd Party</vt:lpstr>
      <vt:lpstr>TOTALS</vt:lpstr>
    </vt:vector>
  </TitlesOfParts>
  <Company>USNRC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Benney, Kristen</dc:creator>
  <cp:lastModifiedBy>Benney, Kristen</cp:lastModifiedBy>
  <dcterms:created xsi:type="dcterms:W3CDTF">2015-01-26T20:30:40Z</dcterms:created>
  <dcterms:modified xsi:type="dcterms:W3CDTF">2022-04-11T15:32:15Z</dcterms:modified>
</cp:coreProperties>
</file>