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pivotTables/pivotTable1.xml" ContentType="application/vnd.openxmlformats-officedocument.spreadsheetml.pivotTable+xml"/>
  <Override PartName="/xl/comments5.xml" ContentType="application/vnd.openxmlformats-officedocument.spreadsheetml.comments+xml"/>
  <Override PartName="/xl/pivotTables/pivotTable2.xml" ContentType="application/vnd.openxmlformats-officedocument.spreadsheetml.pivotTable+xml"/>
  <Override PartName="/xl/pivotTables/pivotTable3.xml" ContentType="application/vnd.openxmlformats-officedocument.spreadsheetml.pivotTable+xml"/>
  <Override PartName="/xl/comments6.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hidePivotFieldList="1" defaultThemeVersion="166925"/>
  <mc:AlternateContent xmlns:mc="http://schemas.openxmlformats.org/markup-compatibility/2006">
    <mc:Choice Requires="x15">
      <x15ac:absPath xmlns:x15ac="http://schemas.microsoft.com/office/spreadsheetml/2010/11/ac" url="https://usepa-my.sharepoint.com/personal/schultz_eric_epa_gov/Documents/03 ICR materials/"/>
    </mc:Choice>
  </mc:AlternateContent>
  <xr:revisionPtr revIDLastSave="0" documentId="8_{66F8F02B-F142-464F-9E8B-E6396DB8D8A1}" xr6:coauthVersionLast="47" xr6:coauthVersionMax="47" xr10:uidLastSave="{00000000-0000-0000-0000-000000000000}"/>
  <bookViews>
    <workbookView xWindow="-26445" yWindow="2505" windowWidth="29010" windowHeight="13425" tabRatio="797" xr2:uid="{20C1602A-0557-4A4C-8A53-B4C18266E67D}"/>
  </bookViews>
  <sheets>
    <sheet name="Table of Contents" sheetId="51" r:id="rId1"/>
    <sheet name="Cost Summary" sheetId="1" r:id="rId2"/>
    <sheet name="2.1 Updates to GWPs " sheetId="46" r:id="rId3"/>
    <sheet name="Subpart V (Applicability)" sheetId="3" r:id="rId4"/>
    <sheet name="Subpart W (Applicability)" sheetId="55" r:id="rId5"/>
    <sheet name="Subpart DD (Applicability)" sheetId="30" r:id="rId6"/>
    <sheet name="Subpart HH (Applicability)" sheetId="31" r:id="rId7"/>
    <sheet name="Subpart II (Applicability)" sheetId="32" r:id="rId8"/>
    <sheet name="Subpart OO (Applicability)" sheetId="33" r:id="rId9"/>
    <sheet name="Subpart TT (Applicability)" sheetId="34" r:id="rId10"/>
    <sheet name="2.2 New Subparts" sheetId="47" r:id="rId11"/>
    <sheet name="B (New Subpart)" sheetId="23" r:id="rId12"/>
    <sheet name="WW (New subpart)" sheetId="26" r:id="rId13"/>
    <sheet name="XX (New subpart)" sheetId="24" r:id="rId14"/>
    <sheet name="YY (New subpart)" sheetId="25" r:id="rId15"/>
    <sheet name="ZZ (New Subpart)" sheetId="27" r:id="rId16"/>
    <sheet name="2.3 Other Applicability" sheetId="48" r:id="rId17"/>
    <sheet name="Subpart P (Applicability)" sheetId="35" r:id="rId18"/>
    <sheet name="Subpart Y (Applicability)" sheetId="36" r:id="rId19"/>
    <sheet name="2.4 Monitoring and Calculations" sheetId="49" r:id="rId20"/>
    <sheet name="Subpart AA (Calculations)" sheetId="18" r:id="rId21"/>
    <sheet name="Subpart HH (Calculations)" sheetId="44" r:id="rId22"/>
    <sheet name="2.5 Recordkeeping and Reporting" sheetId="50" r:id="rId23"/>
    <sheet name="Reporting Cost Summary" sheetId="2" r:id="rId24"/>
    <sheet name="A (Data Elements)" sheetId="39" r:id="rId25"/>
    <sheet name="C (Data Elements)" sheetId="42" r:id="rId26"/>
    <sheet name="F (Data Elements)" sheetId="11" r:id="rId27"/>
    <sheet name="G (Data Elements)" sheetId="8" r:id="rId28"/>
    <sheet name="N (Data Elements)" sheetId="12" r:id="rId29"/>
    <sheet name="P (Data Elements)" sheetId="13" r:id="rId30"/>
    <sheet name="Y (Data Elements)" sheetId="16" r:id="rId31"/>
    <sheet name="AA (Data Elements)" sheetId="17" r:id="rId32"/>
    <sheet name="HH (Data Elements)" sheetId="43" r:id="rId33"/>
    <sheet name="OO (Data Elements)" sheetId="20" r:id="rId34"/>
    <sheet name="PP (Data Elements)" sheetId="75" r:id="rId35"/>
    <sheet name="QQ (Data Elements)" sheetId="21" r:id="rId36"/>
    <sheet name="Supporting Statement Tables --&gt;" sheetId="54" state="hidden" r:id="rId37"/>
    <sheet name="Respondent Burden-All Yrs" sheetId="53" state="hidden" r:id="rId38"/>
    <sheet name="Respondent Burden Summary" sheetId="66" state="hidden" r:id="rId39"/>
    <sheet name="Average Burden by Subpart" sheetId="67" state="hidden" r:id="rId40"/>
    <sheet name="EPA-YR1" sheetId="69" state="hidden" r:id="rId41"/>
    <sheet name="EPA-YR2" sheetId="70" state="hidden" r:id="rId42"/>
    <sheet name="EPA-YR3" sheetId="71" state="hidden" r:id="rId43"/>
    <sheet name="EPA Burden Summary " sheetId="72" state="hidden" r:id="rId44"/>
    <sheet name="Bottom-Line Burden" sheetId="73" state="hidden" r:id="rId45"/>
    <sheet name="Input Sheets - HIDE THESE --&gt;" sheetId="74" state="hidden" r:id="rId46"/>
    <sheet name="Inputs" sheetId="7" state="hidden" r:id="rId47"/>
    <sheet name="UPDATE-Input-EPA Burden-Others" sheetId="68" state="hidden" r:id="rId48"/>
    <sheet name="W Burden Hours Baseline" sheetId="62" state="hidden" r:id="rId49"/>
    <sheet name="Sub W Baseline" sheetId="59" state="hidden" r:id="rId50"/>
    <sheet name="W_2019 ICR_revised rates" sheetId="57" state="hidden" r:id="rId51"/>
    <sheet name="W (Data Elements) - Pkg 1" sheetId="56" state="hidden" r:id="rId52"/>
    <sheet name="Subpart W Revised" sheetId="58" state="hidden" r:id="rId53"/>
    <sheet name="CEPCI" sheetId="60" state="hidden" r:id="rId54"/>
  </sheets>
  <externalReferences>
    <externalReference r:id="rId55"/>
    <externalReference r:id="rId56"/>
  </externalReferences>
  <definedNames>
    <definedName name="_xlnm._FilterDatabase" localSheetId="49" hidden="1">'Sub W Baseline'!$C$5:$K$16</definedName>
    <definedName name="_xlnm._FilterDatabase" localSheetId="50" hidden="1">'W_2019 ICR_revised rates'!$B$11:$T$381</definedName>
    <definedName name="_Key1" localSheetId="44" hidden="1">#REF!</definedName>
    <definedName name="_Key1" localSheetId="47" hidden="1">#REF!</definedName>
    <definedName name="_Key1" hidden="1">#REF!</definedName>
    <definedName name="_Key2" localSheetId="44" hidden="1">#REF!</definedName>
    <definedName name="_Key2" localSheetId="47" hidden="1">#REF!</definedName>
    <definedName name="_Key2" hidden="1">#REF!</definedName>
    <definedName name="_Order1" hidden="1">0</definedName>
    <definedName name="_Order2" hidden="1">0</definedName>
    <definedName name="_P" localSheetId="44" hidden="1">#REF!</definedName>
    <definedName name="_P" localSheetId="47" hidden="1">#REF!</definedName>
    <definedName name="_P" hidden="1">#REF!</definedName>
    <definedName name="_Sort" localSheetId="44" hidden="1">#REF!</definedName>
    <definedName name="_Sort" localSheetId="47" hidden="1">#REF!</definedName>
    <definedName name="_Sort" hidden="1">#REF!</definedName>
    <definedName name="_Y" localSheetId="44" hidden="1">#REF!</definedName>
    <definedName name="_Y" localSheetId="47" hidden="1">#REF!</definedName>
    <definedName name="_Y" hidden="1">#REF!</definedName>
    <definedName name="_Y2" localSheetId="44" hidden="1">#REF!</definedName>
    <definedName name="_Y2" localSheetId="47" hidden="1">#REF!</definedName>
    <definedName name="_Y2" hidden="1">#REF!</definedName>
    <definedName name="_YY" localSheetId="44" hidden="1">#REF!</definedName>
    <definedName name="_YY" localSheetId="47" hidden="1">#REF!</definedName>
    <definedName name="_YY" hidden="1">#REF!</definedName>
    <definedName name="Admin">Inputs!$K$7</definedName>
    <definedName name="C_only" localSheetId="44" hidden="1">#REF!</definedName>
    <definedName name="C_only" localSheetId="47" hidden="1">#REF!</definedName>
    <definedName name="C_only" hidden="1">#REF!</definedName>
    <definedName name="Eng">Inputs!$D$53</definedName>
    <definedName name="EPA_Admin">Inputs!$L$37</definedName>
    <definedName name="EPA_Mgr">Inputs!$L$36</definedName>
    <definedName name="EPA_Tech">Inputs!$L$35</definedName>
    <definedName name="Inflation">Inputs!$C$27</definedName>
    <definedName name="Inflation2">Inputs!$D$27</definedName>
    <definedName name="Lawyer">Inputs!$K$4</definedName>
    <definedName name="Legal">Inputs!$D$50</definedName>
    <definedName name="Manager">Inputs!$K$5</definedName>
    <definedName name="MdManager">Inputs!$D$51</definedName>
    <definedName name="P" localSheetId="44" hidden="1">#REF!</definedName>
    <definedName name="P" localSheetId="47" hidden="1">#REF!</definedName>
    <definedName name="P" hidden="1">#REF!</definedName>
    <definedName name="PP" localSheetId="44" hidden="1">#REF!</definedName>
    <definedName name="PP" localSheetId="47" hidden="1">#REF!</definedName>
    <definedName name="PP" hidden="1">#REF!</definedName>
    <definedName name="_xlnm.Print_Area" localSheetId="39">'Average Burden by Subpart'!$A$1:$I$30</definedName>
    <definedName name="_xlnm.Print_Area" localSheetId="43">'EPA Burden Summary '!$A$1:$K$16</definedName>
    <definedName name="_xlnm.Print_Area" localSheetId="40">'EPA-YR1'!$B$4:$J$24</definedName>
    <definedName name="_xlnm.Print_Area" localSheetId="41">'EPA-YR2'!$B$4:$J$24</definedName>
    <definedName name="_xlnm.Print_Area" localSheetId="42">'EPA-YR3'!$B$4:$J$26</definedName>
    <definedName name="_xlnm.Print_Area" localSheetId="37">'Respondent Burden-All Yrs'!$A$1:$AR$30</definedName>
    <definedName name="SrManager">Inputs!$D$52</definedName>
    <definedName name="Tech" localSheetId="53">[1]Rates!$E$25</definedName>
    <definedName name="Tech">Inputs!$K$6</definedName>
    <definedName name="Tech2">Inputs!$D$54</definedName>
    <definedName name="Y" localSheetId="44" hidden="1">#REF!</definedName>
    <definedName name="Y" localSheetId="47" hidden="1">#REF!</definedName>
    <definedName name="Y" hidden="1">#REF!</definedName>
  </definedNames>
  <calcPr calcId="191028"/>
  <pivotCaches>
    <pivotCache cacheId="0" r:id="rId57"/>
    <pivotCache cacheId="1" r:id="rId58"/>
    <pivotCache cacheId="2" r:id="rId5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V17" i="55" l="1"/>
  <c r="C32" i="1"/>
  <c r="I27" i="1"/>
  <c r="H27" i="1"/>
  <c r="Y10" i="68" l="1"/>
  <c r="R13" i="68"/>
  <c r="R12" i="68"/>
  <c r="R11" i="68"/>
  <c r="R10" i="68"/>
  <c r="R9" i="68"/>
  <c r="R8" i="68"/>
  <c r="R7" i="68"/>
  <c r="R6" i="68"/>
  <c r="R5" i="68"/>
  <c r="D32" i="67"/>
  <c r="F32" i="67"/>
  <c r="H23" i="67"/>
  <c r="G23" i="67"/>
  <c r="F23" i="67"/>
  <c r="E23" i="67"/>
  <c r="D23" i="67"/>
  <c r="C23" i="67"/>
  <c r="C6" i="66"/>
  <c r="AR20" i="53"/>
  <c r="AQ20" i="53"/>
  <c r="H20" i="53"/>
  <c r="AO20" i="53" s="1"/>
  <c r="AN20" i="53"/>
  <c r="AM20" i="53"/>
  <c r="AL20" i="53"/>
  <c r="AK20" i="53"/>
  <c r="AJ20" i="53"/>
  <c r="AI20" i="53"/>
  <c r="AG20" i="53"/>
  <c r="AF20" i="53"/>
  <c r="AD20" i="53"/>
  <c r="AC20" i="53"/>
  <c r="AB20" i="53"/>
  <c r="AA20" i="53"/>
  <c r="Z20" i="53"/>
  <c r="Y20" i="53"/>
  <c r="X20" i="53"/>
  <c r="V20" i="53"/>
  <c r="AE20" i="53"/>
  <c r="AP20" i="53" s="1"/>
  <c r="S20" i="53"/>
  <c r="R20" i="53"/>
  <c r="P20" i="53"/>
  <c r="E20" i="53"/>
  <c r="O20" i="53"/>
  <c r="D20" i="53"/>
  <c r="N20" i="53"/>
  <c r="C20" i="53"/>
  <c r="G20" i="53" s="1"/>
  <c r="M20" i="53"/>
  <c r="K20" i="53"/>
  <c r="L20" i="53"/>
  <c r="W20" i="53" s="1"/>
  <c r="AH20" i="53" s="1"/>
  <c r="I54" i="1"/>
  <c r="H54" i="1"/>
  <c r="E54" i="1"/>
  <c r="D54" i="1"/>
  <c r="C54" i="1"/>
  <c r="D32" i="1"/>
  <c r="I22" i="1"/>
  <c r="H22" i="1"/>
  <c r="E22" i="1"/>
  <c r="D22" i="1"/>
  <c r="C22" i="1"/>
  <c r="E19" i="2"/>
  <c r="D19" i="2"/>
  <c r="E16" i="2"/>
  <c r="D16" i="2"/>
  <c r="C6" i="75"/>
  <c r="C10" i="75" l="1"/>
  <c r="C9" i="75"/>
  <c r="C8" i="75"/>
  <c r="C7" i="75"/>
  <c r="D11" i="75"/>
  <c r="D10" i="75"/>
  <c r="B54" i="1"/>
  <c r="D13" i="75" l="1"/>
  <c r="C13" i="75" l="1"/>
  <c r="D18" i="75"/>
  <c r="C18" i="75" s="1"/>
  <c r="D14" i="75"/>
  <c r="D15" i="75"/>
  <c r="C15" i="1"/>
  <c r="C17" i="55"/>
  <c r="D20" i="75" l="1"/>
  <c r="D16" i="75"/>
  <c r="C16" i="75" s="1"/>
  <c r="C15" i="75"/>
  <c r="C14" i="75"/>
  <c r="D19" i="75"/>
  <c r="C19" i="75" s="1"/>
  <c r="U16" i="68"/>
  <c r="C20" i="75" l="1"/>
  <c r="D21" i="75"/>
  <c r="G5" i="49"/>
  <c r="F5" i="49"/>
  <c r="D23" i="75" l="1"/>
  <c r="C23" i="75" s="1"/>
  <c r="C24" i="75" s="1"/>
  <c r="C21" i="75"/>
  <c r="P17" i="53" l="1"/>
  <c r="C17" i="53"/>
  <c r="O17" i="53"/>
  <c r="D17" i="53"/>
  <c r="N17" i="53"/>
  <c r="I14" i="53"/>
  <c r="P14" i="53"/>
  <c r="O14" i="53"/>
  <c r="N14" i="53"/>
  <c r="E23" i="53"/>
  <c r="E17" i="53"/>
  <c r="F17" i="53"/>
  <c r="E64" i="62"/>
  <c r="C6" i="53"/>
  <c r="C5" i="53"/>
  <c r="C11" i="53"/>
  <c r="T8" i="68" l="1"/>
  <c r="T7" i="68"/>
  <c r="T6" i="68"/>
  <c r="T5" i="68"/>
  <c r="S8" i="68"/>
  <c r="S7" i="68"/>
  <c r="S6" i="68"/>
  <c r="S5" i="68"/>
  <c r="Q8" i="68"/>
  <c r="Q7" i="68"/>
  <c r="Q6" i="68"/>
  <c r="Q5" i="68"/>
  <c r="P8" i="68"/>
  <c r="P7" i="68"/>
  <c r="P6" i="68"/>
  <c r="P5" i="68"/>
  <c r="O8" i="68"/>
  <c r="O7" i="68"/>
  <c r="O6" i="68"/>
  <c r="O5" i="68"/>
  <c r="N8" i="68"/>
  <c r="N7" i="68"/>
  <c r="N6" i="68"/>
  <c r="N5" i="68"/>
  <c r="M8" i="68"/>
  <c r="M7" i="68"/>
  <c r="M6" i="68"/>
  <c r="M5" i="68"/>
  <c r="L8" i="68"/>
  <c r="L7" i="68"/>
  <c r="L6" i="68"/>
  <c r="L5" i="68"/>
  <c r="K8" i="68"/>
  <c r="K7" i="68"/>
  <c r="K6" i="68"/>
  <c r="K5" i="68"/>
  <c r="J8" i="68"/>
  <c r="J7" i="68"/>
  <c r="J6" i="68"/>
  <c r="J5" i="68"/>
  <c r="I8" i="68"/>
  <c r="I7" i="68"/>
  <c r="I6" i="68"/>
  <c r="I5" i="68"/>
  <c r="H8" i="68"/>
  <c r="H7" i="68"/>
  <c r="H6" i="68"/>
  <c r="H5" i="68"/>
  <c r="G8" i="68"/>
  <c r="G7" i="68"/>
  <c r="G6" i="68"/>
  <c r="G5" i="68"/>
  <c r="F8" i="68"/>
  <c r="F7" i="68"/>
  <c r="F6" i="68"/>
  <c r="F5" i="68"/>
  <c r="E8" i="68"/>
  <c r="E7" i="68"/>
  <c r="E6" i="68"/>
  <c r="E5" i="68"/>
  <c r="D8" i="68"/>
  <c r="D7" i="68"/>
  <c r="D6" i="68"/>
  <c r="D5" i="68"/>
  <c r="B8" i="68" l="1"/>
  <c r="Y8" i="68" s="1"/>
  <c r="B7" i="68"/>
  <c r="B6" i="68"/>
  <c r="U17" i="68" s="1"/>
  <c r="G8" i="72"/>
  <c r="F8" i="72"/>
  <c r="G7" i="72"/>
  <c r="F7" i="72"/>
  <c r="G6" i="72"/>
  <c r="G9" i="72" s="1"/>
  <c r="F6" i="72"/>
  <c r="F9" i="72" s="1"/>
  <c r="B12" i="71"/>
  <c r="B12" i="70"/>
  <c r="B12" i="69"/>
  <c r="X9" i="68"/>
  <c r="W9" i="68"/>
  <c r="V9" i="68"/>
  <c r="U9" i="68"/>
  <c r="T9" i="68"/>
  <c r="S9" i="68"/>
  <c r="Q9" i="68"/>
  <c r="P9" i="68"/>
  <c r="O9" i="68"/>
  <c r="N9" i="68"/>
  <c r="M9" i="68"/>
  <c r="L9" i="68"/>
  <c r="K9" i="68"/>
  <c r="J9" i="68"/>
  <c r="I9" i="68"/>
  <c r="H9" i="68"/>
  <c r="G9" i="68"/>
  <c r="G12" i="68" s="1"/>
  <c r="F9" i="68"/>
  <c r="E9" i="68"/>
  <c r="D9" i="68"/>
  <c r="C9" i="68"/>
  <c r="Y6" i="68"/>
  <c r="P14" i="68"/>
  <c r="N14" i="68"/>
  <c r="M14" i="68"/>
  <c r="L14" i="68"/>
  <c r="H14" i="68"/>
  <c r="G14" i="68"/>
  <c r="F14" i="68"/>
  <c r="D14" i="68"/>
  <c r="B14" i="68"/>
  <c r="O11" i="68" l="1"/>
  <c r="O12" i="68"/>
  <c r="O10" i="68"/>
  <c r="O13" i="68" s="1"/>
  <c r="X12" i="68"/>
  <c r="X11" i="68"/>
  <c r="X10" i="68"/>
  <c r="X13" i="68" s="1"/>
  <c r="H11" i="68"/>
  <c r="H10" i="68"/>
  <c r="H13" i="68" s="1"/>
  <c r="H12" i="68"/>
  <c r="P11" i="68"/>
  <c r="P10" i="68"/>
  <c r="I13" i="68"/>
  <c r="I11" i="68"/>
  <c r="I10" i="68"/>
  <c r="I12" i="68"/>
  <c r="Q12" i="68"/>
  <c r="Q11" i="68"/>
  <c r="Q10" i="68"/>
  <c r="Q13" i="68" s="1"/>
  <c r="J13" i="68"/>
  <c r="J10" i="68"/>
  <c r="J11" i="68"/>
  <c r="J12" i="68"/>
  <c r="S11" i="68"/>
  <c r="S10" i="68"/>
  <c r="S13" i="68" s="1"/>
  <c r="S12" i="68"/>
  <c r="Y7" i="68"/>
  <c r="U18" i="68"/>
  <c r="U19" i="68" s="1"/>
  <c r="K10" i="68"/>
  <c r="K12" i="68"/>
  <c r="K11" i="68"/>
  <c r="T11" i="68"/>
  <c r="T10" i="68"/>
  <c r="T13" i="68" s="1"/>
  <c r="T12" i="68"/>
  <c r="D12" i="68"/>
  <c r="D10" i="68"/>
  <c r="D13" i="68" s="1"/>
  <c r="D11" i="68"/>
  <c r="L12" i="68"/>
  <c r="L11" i="68"/>
  <c r="L10" i="68"/>
  <c r="L13" i="68" s="1"/>
  <c r="U11" i="68"/>
  <c r="U10" i="68"/>
  <c r="U13" i="68" s="1"/>
  <c r="U12" i="68"/>
  <c r="G10" i="68"/>
  <c r="G13" i="68" s="1"/>
  <c r="E10" i="68"/>
  <c r="E13" i="68" s="1"/>
  <c r="E12" i="68"/>
  <c r="E11" i="68"/>
  <c r="M12" i="68"/>
  <c r="M11" i="68"/>
  <c r="M10" i="68"/>
  <c r="M13" i="68" s="1"/>
  <c r="V10" i="68"/>
  <c r="V13" i="68" s="1"/>
  <c r="V11" i="68"/>
  <c r="V12" i="68"/>
  <c r="G11" i="68"/>
  <c r="F11" i="68"/>
  <c r="F10" i="68"/>
  <c r="F13" i="68" s="1"/>
  <c r="N12" i="68"/>
  <c r="N10" i="68"/>
  <c r="N13" i="68" s="1"/>
  <c r="N11" i="68"/>
  <c r="W12" i="68"/>
  <c r="W11" i="68"/>
  <c r="W10" i="68"/>
  <c r="W13" i="68" s="1"/>
  <c r="F12" i="68"/>
  <c r="B9" i="68"/>
  <c r="Y9" i="68" s="1"/>
  <c r="G10" i="72"/>
  <c r="F10" i="72"/>
  <c r="P12" i="68"/>
  <c r="K13" i="68" l="1"/>
  <c r="P13" i="68"/>
  <c r="I41" i="62" l="1"/>
  <c r="I40" i="62"/>
  <c r="I39" i="62"/>
  <c r="I38" i="62"/>
  <c r="I37" i="62"/>
  <c r="I36" i="62"/>
  <c r="I35" i="62"/>
  <c r="I34" i="62"/>
  <c r="I33" i="62"/>
  <c r="I32" i="62"/>
  <c r="H27" i="62"/>
  <c r="B43" i="62"/>
  <c r="B55" i="62" s="1"/>
  <c r="B59" i="62"/>
  <c r="D58" i="62"/>
  <c r="D59" i="62"/>
  <c r="F79" i="62"/>
  <c r="F78" i="62"/>
  <c r="F77" i="62"/>
  <c r="F76" i="62"/>
  <c r="F75" i="62"/>
  <c r="F74" i="62"/>
  <c r="F73" i="62"/>
  <c r="F72" i="62"/>
  <c r="F71" i="62"/>
  <c r="F70" i="62"/>
  <c r="B44" i="62"/>
  <c r="B56" i="62" s="1"/>
  <c r="B45" i="62"/>
  <c r="B57" i="62" s="1"/>
  <c r="B46" i="62"/>
  <c r="B58" i="62" s="1"/>
  <c r="B47" i="62"/>
  <c r="B48" i="62"/>
  <c r="B49" i="62"/>
  <c r="B61" i="62" s="1"/>
  <c r="B50" i="62"/>
  <c r="B62" i="62" s="1"/>
  <c r="B51" i="62"/>
  <c r="B63" i="62" s="1"/>
  <c r="B52" i="62"/>
  <c r="B64" i="62" s="1"/>
  <c r="C43" i="62"/>
  <c r="C55" i="62" s="1"/>
  <c r="C44" i="62"/>
  <c r="C56" i="62" s="1"/>
  <c r="C45" i="62"/>
  <c r="C57" i="62" s="1"/>
  <c r="C46" i="62"/>
  <c r="C47" i="62"/>
  <c r="C59" i="62" s="1"/>
  <c r="C48" i="62"/>
  <c r="C60" i="62" s="1"/>
  <c r="C49" i="62"/>
  <c r="C61" i="62" s="1"/>
  <c r="C50" i="62"/>
  <c r="C62" i="62" s="1"/>
  <c r="C51" i="62"/>
  <c r="C63" i="62" s="1"/>
  <c r="C52" i="62"/>
  <c r="C64" i="62" s="1"/>
  <c r="D43" i="62"/>
  <c r="D55" i="62" s="1"/>
  <c r="D44" i="62"/>
  <c r="D45" i="62"/>
  <c r="D57" i="62" s="1"/>
  <c r="D46" i="62"/>
  <c r="D47" i="62"/>
  <c r="D48" i="62"/>
  <c r="D60" i="62" s="1"/>
  <c r="D49" i="62"/>
  <c r="D61" i="62" s="1"/>
  <c r="D50" i="62"/>
  <c r="D62" i="62" s="1"/>
  <c r="D51" i="62"/>
  <c r="D63" i="62" s="1"/>
  <c r="D52" i="62"/>
  <c r="D64" i="62" s="1"/>
  <c r="E43" i="62"/>
  <c r="E55" i="62" s="1"/>
  <c r="E44" i="62"/>
  <c r="E56" i="62" s="1"/>
  <c r="E45" i="62"/>
  <c r="E57" i="62" s="1"/>
  <c r="E46" i="62"/>
  <c r="E58" i="62" s="1"/>
  <c r="E47" i="62"/>
  <c r="E59" i="62" s="1"/>
  <c r="E48" i="62"/>
  <c r="E60" i="62" s="1"/>
  <c r="E49" i="62"/>
  <c r="E50" i="62"/>
  <c r="E62" i="62" s="1"/>
  <c r="E51" i="62"/>
  <c r="E63" i="62" s="1"/>
  <c r="E52" i="62"/>
  <c r="I52" i="62"/>
  <c r="I51" i="62"/>
  <c r="I50" i="62"/>
  <c r="I49" i="62"/>
  <c r="I48" i="62"/>
  <c r="I47" i="62"/>
  <c r="I46" i="62"/>
  <c r="I45" i="62"/>
  <c r="I44" i="62"/>
  <c r="I43" i="62"/>
  <c r="F106" i="62"/>
  <c r="F105" i="62"/>
  <c r="F119" i="62" s="1"/>
  <c r="F104" i="62"/>
  <c r="F118" i="62" s="1"/>
  <c r="F103" i="62"/>
  <c r="F117" i="62" s="1"/>
  <c r="F102" i="62"/>
  <c r="F116" i="62" s="1"/>
  <c r="F101" i="62"/>
  <c r="F100" i="62"/>
  <c r="F99" i="62"/>
  <c r="F98" i="62"/>
  <c r="F97" i="62"/>
  <c r="E97" i="62"/>
  <c r="E111" i="62" s="1"/>
  <c r="E122" i="62" s="1"/>
  <c r="E106" i="62"/>
  <c r="E120" i="62" s="1"/>
  <c r="E105" i="62"/>
  <c r="E119" i="62" s="1"/>
  <c r="E104" i="62"/>
  <c r="E118" i="62" s="1"/>
  <c r="E103" i="62"/>
  <c r="E117" i="62" s="1"/>
  <c r="E102" i="62"/>
  <c r="E116" i="62" s="1"/>
  <c r="E101" i="62"/>
  <c r="E115" i="62" s="1"/>
  <c r="E100" i="62"/>
  <c r="E114" i="62" s="1"/>
  <c r="E99" i="62"/>
  <c r="E113" i="62" s="1"/>
  <c r="E98" i="62"/>
  <c r="E112" i="62" s="1"/>
  <c r="D106" i="62"/>
  <c r="D120" i="62" s="1"/>
  <c r="D105" i="62"/>
  <c r="D119" i="62" s="1"/>
  <c r="D104" i="62"/>
  <c r="D118" i="62" s="1"/>
  <c r="D103" i="62"/>
  <c r="D117" i="62" s="1"/>
  <c r="D102" i="62"/>
  <c r="D116" i="62" s="1"/>
  <c r="D101" i="62"/>
  <c r="D115" i="62" s="1"/>
  <c r="D100" i="62"/>
  <c r="D114" i="62" s="1"/>
  <c r="D99" i="62"/>
  <c r="D113" i="62" s="1"/>
  <c r="D98" i="62"/>
  <c r="D112" i="62" s="1"/>
  <c r="D97" i="62"/>
  <c r="D111" i="62" s="1"/>
  <c r="C97" i="62"/>
  <c r="C106" i="62"/>
  <c r="C120" i="62" s="1"/>
  <c r="C105" i="62"/>
  <c r="C119" i="62" s="1"/>
  <c r="C104" i="62"/>
  <c r="C118" i="62" s="1"/>
  <c r="C103" i="62"/>
  <c r="C117" i="62" s="1"/>
  <c r="C102" i="62"/>
  <c r="C116" i="62" s="1"/>
  <c r="C101" i="62"/>
  <c r="C115" i="62" s="1"/>
  <c r="C100" i="62"/>
  <c r="C114" i="62" s="1"/>
  <c r="C99" i="62"/>
  <c r="C113" i="62" s="1"/>
  <c r="C98" i="62"/>
  <c r="C112" i="62" s="1"/>
  <c r="B97" i="62"/>
  <c r="B106" i="62"/>
  <c r="B120" i="62" s="1"/>
  <c r="B105" i="62"/>
  <c r="B104" i="62"/>
  <c r="B118" i="62" s="1"/>
  <c r="B103" i="62"/>
  <c r="B117" i="62" s="1"/>
  <c r="B102" i="62"/>
  <c r="B116" i="62" s="1"/>
  <c r="B101" i="62"/>
  <c r="B115" i="62" s="1"/>
  <c r="B100" i="62"/>
  <c r="B114" i="62" s="1"/>
  <c r="B99" i="62"/>
  <c r="B113" i="62" s="1"/>
  <c r="B98" i="62"/>
  <c r="B112" i="62" s="1"/>
  <c r="D78" i="62"/>
  <c r="D91" i="62" s="1"/>
  <c r="D77" i="62"/>
  <c r="D90" i="62" s="1"/>
  <c r="D76" i="62"/>
  <c r="D89" i="62" s="1"/>
  <c r="D75" i="62"/>
  <c r="D74" i="62"/>
  <c r="D87" i="62" s="1"/>
  <c r="D73" i="62"/>
  <c r="D72" i="62"/>
  <c r="D85" i="62" s="1"/>
  <c r="D71" i="62"/>
  <c r="D84" i="62" s="1"/>
  <c r="D70" i="62"/>
  <c r="D83" i="62" s="1"/>
  <c r="D79" i="62"/>
  <c r="D92" i="62" s="1"/>
  <c r="C79" i="62"/>
  <c r="C92" i="62" s="1"/>
  <c r="C78" i="62"/>
  <c r="C91" i="62" s="1"/>
  <c r="C77" i="62"/>
  <c r="C90" i="62" s="1"/>
  <c r="C76" i="62"/>
  <c r="C89" i="62" s="1"/>
  <c r="C75" i="62"/>
  <c r="C88" i="62" s="1"/>
  <c r="C74" i="62"/>
  <c r="C87" i="62" s="1"/>
  <c r="C73" i="62"/>
  <c r="C86" i="62" s="1"/>
  <c r="C72" i="62"/>
  <c r="C85" i="62" s="1"/>
  <c r="C71" i="62"/>
  <c r="C84" i="62" s="1"/>
  <c r="C70" i="62"/>
  <c r="C83" i="62" s="1"/>
  <c r="B70" i="62"/>
  <c r="B79" i="62"/>
  <c r="B78" i="62"/>
  <c r="B77" i="62"/>
  <c r="B90" i="62" s="1"/>
  <c r="B76" i="62"/>
  <c r="B89" i="62" s="1"/>
  <c r="B75" i="62"/>
  <c r="B88" i="62" s="1"/>
  <c r="B74" i="62"/>
  <c r="B87" i="62" s="1"/>
  <c r="B73" i="62"/>
  <c r="B86" i="62" s="1"/>
  <c r="B72" i="62"/>
  <c r="B85" i="62" s="1"/>
  <c r="B71" i="62"/>
  <c r="F52" i="62"/>
  <c r="F64" i="62" s="1"/>
  <c r="F51" i="62"/>
  <c r="F63" i="62" s="1"/>
  <c r="F50" i="62"/>
  <c r="F62" i="62" s="1"/>
  <c r="F49" i="62"/>
  <c r="F61" i="62" s="1"/>
  <c r="F48" i="62"/>
  <c r="F60" i="62" s="1"/>
  <c r="F47" i="62"/>
  <c r="F59" i="62" s="1"/>
  <c r="F46" i="62"/>
  <c r="F58" i="62" s="1"/>
  <c r="F45" i="62"/>
  <c r="F57" i="62" s="1"/>
  <c r="F44" i="62"/>
  <c r="F56" i="62" s="1"/>
  <c r="F43" i="62"/>
  <c r="F55" i="62" s="1"/>
  <c r="L15" i="55"/>
  <c r="L14" i="55"/>
  <c r="L13" i="55"/>
  <c r="L12" i="55"/>
  <c r="L11" i="55"/>
  <c r="L10" i="55"/>
  <c r="L9" i="55"/>
  <c r="L8" i="55"/>
  <c r="L7" i="55"/>
  <c r="L6" i="55"/>
  <c r="H43" i="62" l="1"/>
  <c r="H44" i="62"/>
  <c r="H46" i="62"/>
  <c r="H48" i="62"/>
  <c r="H51" i="62"/>
  <c r="H49" i="62"/>
  <c r="H47" i="62"/>
  <c r="D122" i="62"/>
  <c r="F66" i="62"/>
  <c r="H50" i="62"/>
  <c r="B60" i="62"/>
  <c r="B66" i="62" s="1"/>
  <c r="H52" i="62"/>
  <c r="C58" i="62"/>
  <c r="C66" i="62" s="1"/>
  <c r="H45" i="62"/>
  <c r="D56" i="62"/>
  <c r="D66" i="62" s="1"/>
  <c r="E61" i="62"/>
  <c r="E66" i="62" s="1"/>
  <c r="F108" i="62"/>
  <c r="C108" i="62"/>
  <c r="H97" i="62"/>
  <c r="C94" i="62"/>
  <c r="H105" i="62"/>
  <c r="B111" i="62"/>
  <c r="B122" i="62" s="1"/>
  <c r="B119" i="62"/>
  <c r="F111" i="62"/>
  <c r="H98" i="62"/>
  <c r="H106" i="62"/>
  <c r="F112" i="62"/>
  <c r="F120" i="62"/>
  <c r="H99" i="62"/>
  <c r="B108" i="62"/>
  <c r="C111" i="62"/>
  <c r="C122" i="62" s="1"/>
  <c r="F113" i="62"/>
  <c r="H100" i="62"/>
  <c r="F114" i="62"/>
  <c r="H102" i="62"/>
  <c r="H101" i="62"/>
  <c r="D108" i="62"/>
  <c r="F115" i="62"/>
  <c r="H103" i="62"/>
  <c r="E108" i="62"/>
  <c r="H104" i="62"/>
  <c r="E78" i="62"/>
  <c r="E71" i="62"/>
  <c r="E73" i="62"/>
  <c r="E70" i="62"/>
  <c r="K32" i="62" s="1"/>
  <c r="E75" i="62"/>
  <c r="B91" i="62"/>
  <c r="E76" i="62"/>
  <c r="E77" i="62"/>
  <c r="E72" i="62"/>
  <c r="E79" i="62"/>
  <c r="D86" i="62"/>
  <c r="E74" i="62"/>
  <c r="B83" i="62"/>
  <c r="D88" i="62"/>
  <c r="B84" i="62"/>
  <c r="B92" i="62"/>
  <c r="T330" i="57"/>
  <c r="T329" i="57"/>
  <c r="T328" i="57"/>
  <c r="T327" i="57"/>
  <c r="T326" i="57"/>
  <c r="T325" i="57"/>
  <c r="T324" i="57"/>
  <c r="T323" i="57"/>
  <c r="T322" i="57"/>
  <c r="T321" i="57"/>
  <c r="T320" i="57"/>
  <c r="T319" i="57"/>
  <c r="T318" i="57"/>
  <c r="T317" i="57"/>
  <c r="T316" i="57"/>
  <c r="T315" i="57"/>
  <c r="T314" i="57"/>
  <c r="T313" i="57"/>
  <c r="T312" i="57"/>
  <c r="T311" i="57"/>
  <c r="T310" i="57"/>
  <c r="T309" i="57"/>
  <c r="T308" i="57"/>
  <c r="T307" i="57"/>
  <c r="T306" i="57"/>
  <c r="T305" i="57"/>
  <c r="T304" i="57"/>
  <c r="T303" i="57"/>
  <c r="T302" i="57"/>
  <c r="T301" i="57"/>
  <c r="T300" i="57"/>
  <c r="T299" i="57"/>
  <c r="T298" i="57"/>
  <c r="T297" i="57"/>
  <c r="T296" i="57"/>
  <c r="T295" i="57"/>
  <c r="T294" i="57"/>
  <c r="T293" i="57"/>
  <c r="T292" i="57"/>
  <c r="T291" i="57"/>
  <c r="T290" i="57"/>
  <c r="T289" i="57"/>
  <c r="T288" i="57"/>
  <c r="T287" i="57"/>
  <c r="T286" i="57"/>
  <c r="T285" i="57"/>
  <c r="T284" i="57"/>
  <c r="T283" i="57"/>
  <c r="T282" i="57"/>
  <c r="T281" i="57"/>
  <c r="T280" i="57"/>
  <c r="T279" i="57"/>
  <c r="T278" i="57"/>
  <c r="T277" i="57"/>
  <c r="T276" i="57"/>
  <c r="T275" i="57"/>
  <c r="T274" i="57"/>
  <c r="T273" i="57"/>
  <c r="T272" i="57"/>
  <c r="T271" i="57"/>
  <c r="T270" i="57"/>
  <c r="T269" i="57"/>
  <c r="T268" i="57"/>
  <c r="T267" i="57"/>
  <c r="T266" i="57"/>
  <c r="T265" i="57"/>
  <c r="T264" i="57"/>
  <c r="H66" i="62" l="1"/>
  <c r="F122" i="62"/>
  <c r="H122" i="62"/>
  <c r="F13" i="53"/>
  <c r="Q13" i="53" s="1"/>
  <c r="AB13" i="53" s="1"/>
  <c r="D94" i="62"/>
  <c r="D13" i="53" s="1"/>
  <c r="O13" i="53" s="1"/>
  <c r="Z13" i="53" s="1"/>
  <c r="E13" i="53"/>
  <c r="P13" i="53" s="1"/>
  <c r="AA13" i="53" s="1"/>
  <c r="H108" i="62"/>
  <c r="M32" i="62"/>
  <c r="B94" i="62"/>
  <c r="K37" i="62"/>
  <c r="M37" i="62" s="1"/>
  <c r="K35" i="62"/>
  <c r="M35" i="62" s="1"/>
  <c r="K41" i="62"/>
  <c r="M41" i="62" s="1"/>
  <c r="K33" i="62"/>
  <c r="M33" i="62" s="1"/>
  <c r="K36" i="62"/>
  <c r="M36" i="62" s="1"/>
  <c r="K34" i="62"/>
  <c r="M34" i="62" s="1"/>
  <c r="K39" i="62"/>
  <c r="M39" i="62" s="1"/>
  <c r="K38" i="62"/>
  <c r="M38" i="62" s="1"/>
  <c r="K40" i="62"/>
  <c r="M40" i="62" s="1"/>
  <c r="M1" i="57"/>
  <c r="O1" i="57" a="1"/>
  <c r="O1" i="57" s="1"/>
  <c r="N1" i="57"/>
  <c r="F94" i="62" l="1"/>
  <c r="C124" i="62" s="1"/>
  <c r="M43" i="62"/>
  <c r="C13" i="53"/>
  <c r="N13" i="53" s="1"/>
  <c r="Y13" i="53" s="1"/>
  <c r="C7" i="43"/>
  <c r="C8" i="43"/>
  <c r="C9" i="43"/>
  <c r="G11" i="43"/>
  <c r="G10" i="43"/>
  <c r="G13" i="43" s="1"/>
  <c r="F10" i="43"/>
  <c r="G14" i="43" l="1"/>
  <c r="G19" i="43" s="1"/>
  <c r="G18" i="43"/>
  <c r="G15" i="43"/>
  <c r="G20" i="43" s="1"/>
  <c r="G21" i="43" s="1"/>
  <c r="G23" i="43" s="1"/>
  <c r="G16" i="43"/>
  <c r="C7" i="12" l="1"/>
  <c r="N36" i="23" l="1"/>
  <c r="D6" i="39" l="1"/>
  <c r="N38" i="23"/>
  <c r="D6" i="43" l="1"/>
  <c r="B19" i="44"/>
  <c r="P9" i="55" l="1"/>
  <c r="P7" i="55"/>
  <c r="P6" i="55"/>
  <c r="O15" i="55"/>
  <c r="I106" i="62" s="1"/>
  <c r="O14" i="55"/>
  <c r="O13" i="55"/>
  <c r="I104" i="62" s="1"/>
  <c r="O12" i="55"/>
  <c r="I103" i="62" s="1"/>
  <c r="O11" i="55"/>
  <c r="O9" i="55"/>
  <c r="I100" i="62" s="1"/>
  <c r="O8" i="55"/>
  <c r="I99" i="62" s="1"/>
  <c r="O7" i="55"/>
  <c r="I98" i="62" s="1"/>
  <c r="O6" i="55"/>
  <c r="I15" i="55"/>
  <c r="I14" i="55"/>
  <c r="I13" i="55"/>
  <c r="I12" i="55"/>
  <c r="I11" i="55"/>
  <c r="I10" i="55"/>
  <c r="I9" i="55"/>
  <c r="I8" i="55"/>
  <c r="I7" i="55"/>
  <c r="I6" i="55"/>
  <c r="J16" i="59"/>
  <c r="J15" i="59"/>
  <c r="N15" i="59" s="1"/>
  <c r="J14" i="59"/>
  <c r="J13" i="59"/>
  <c r="J12" i="59"/>
  <c r="J11" i="59"/>
  <c r="J10" i="59"/>
  <c r="J9" i="59"/>
  <c r="J8" i="59"/>
  <c r="J7" i="59"/>
  <c r="G3" i="60"/>
  <c r="G2" i="60"/>
  <c r="L16" i="59"/>
  <c r="N16" i="59"/>
  <c r="L15" i="59"/>
  <c r="L14" i="59"/>
  <c r="N14" i="59"/>
  <c r="L13" i="59"/>
  <c r="N13" i="59"/>
  <c r="L12" i="59"/>
  <c r="N12" i="59"/>
  <c r="N11" i="59"/>
  <c r="L11" i="59"/>
  <c r="N10" i="59"/>
  <c r="L10" i="59"/>
  <c r="N9" i="59"/>
  <c r="L9" i="59"/>
  <c r="N8" i="59"/>
  <c r="L8" i="59"/>
  <c r="L7" i="59"/>
  <c r="BZ22" i="58"/>
  <c r="BR22" i="58"/>
  <c r="BT22" i="58" s="1"/>
  <c r="BO22" i="58"/>
  <c r="BN22" i="58"/>
  <c r="BM22" i="58"/>
  <c r="BL22" i="58"/>
  <c r="BK22" i="58"/>
  <c r="AR22" i="58"/>
  <c r="AM22" i="58"/>
  <c r="AS22" i="58" s="1"/>
  <c r="BZ21" i="58"/>
  <c r="BR21" i="58"/>
  <c r="BO21" i="58"/>
  <c r="BN21" i="58"/>
  <c r="BM21" i="58"/>
  <c r="BL21" i="58"/>
  <c r="BK21" i="58"/>
  <c r="AR21" i="58"/>
  <c r="AM21" i="58"/>
  <c r="AS21" i="58" s="1"/>
  <c r="BK20" i="58"/>
  <c r="AS20" i="58"/>
  <c r="AU20" i="58" s="1"/>
  <c r="AR20" i="58"/>
  <c r="AO20" i="58"/>
  <c r="AM20" i="58"/>
  <c r="AL20" i="58"/>
  <c r="BK19" i="58"/>
  <c r="AM19" i="58"/>
  <c r="BZ18" i="58"/>
  <c r="BR18" i="58"/>
  <c r="BT18" i="58" s="1"/>
  <c r="BO18" i="58"/>
  <c r="BN18" i="58"/>
  <c r="BM18" i="58"/>
  <c r="BL18" i="58"/>
  <c r="BK18" i="58"/>
  <c r="AV18" i="58"/>
  <c r="AU18" i="58"/>
  <c r="AT18" i="58"/>
  <c r="AS18" i="58"/>
  <c r="AR18" i="58"/>
  <c r="BK17" i="58"/>
  <c r="AM17" i="58"/>
  <c r="BK16" i="58"/>
  <c r="AU16" i="58"/>
  <c r="AT16" i="58"/>
  <c r="AS16" i="58"/>
  <c r="AR16" i="58"/>
  <c r="BZ15" i="58"/>
  <c r="BR15" i="58"/>
  <c r="BT15" i="58" s="1"/>
  <c r="BO15" i="58"/>
  <c r="BN15" i="58"/>
  <c r="BM15" i="58"/>
  <c r="BL15" i="58"/>
  <c r="BK15" i="58"/>
  <c r="BD15" i="58"/>
  <c r="AS15" i="58"/>
  <c r="AV15" i="58" s="1"/>
  <c r="AR15" i="58"/>
  <c r="AO15" i="58"/>
  <c r="AM15" i="58"/>
  <c r="BK14" i="58"/>
  <c r="AM14" i="58"/>
  <c r="AK14" i="58"/>
  <c r="BK13" i="58"/>
  <c r="AV13" i="58"/>
  <c r="AS13" i="58"/>
  <c r="AR13" i="58"/>
  <c r="AK13" i="58"/>
  <c r="AT13" i="58" s="1"/>
  <c r="AU13" i="58" s="1"/>
  <c r="BK12" i="58"/>
  <c r="AM12" i="58"/>
  <c r="AS11" i="58" s="1"/>
  <c r="BZ11" i="58"/>
  <c r="BR11" i="58"/>
  <c r="BS11" i="58" s="1"/>
  <c r="BO11" i="58"/>
  <c r="BN11" i="58"/>
  <c r="BM11" i="58"/>
  <c r="BL11" i="58"/>
  <c r="BK11" i="58"/>
  <c r="AT11" i="58"/>
  <c r="AR11" i="58"/>
  <c r="BK10" i="58"/>
  <c r="AM10" i="58"/>
  <c r="AS9" i="58" s="1"/>
  <c r="BZ9" i="58"/>
  <c r="BR9" i="58"/>
  <c r="BU9" i="58" s="1"/>
  <c r="BO9" i="58"/>
  <c r="BN9" i="58"/>
  <c r="BM9" i="58"/>
  <c r="BL9" i="58"/>
  <c r="BK9" i="58"/>
  <c r="AT9" i="58"/>
  <c r="AR9" i="58"/>
  <c r="BK8" i="58"/>
  <c r="AO8" i="58"/>
  <c r="AN8" i="58"/>
  <c r="AM8" i="58"/>
  <c r="AL8" i="58"/>
  <c r="BZ7" i="58"/>
  <c r="BR7" i="58"/>
  <c r="BS7" i="58" s="1"/>
  <c r="BO7" i="58"/>
  <c r="BN7" i="58"/>
  <c r="BM7" i="58"/>
  <c r="BL7" i="58"/>
  <c r="BK7" i="58"/>
  <c r="O10" i="55" s="1"/>
  <c r="I101" i="62" s="1"/>
  <c r="BD7" i="58"/>
  <c r="AT7" i="58"/>
  <c r="AS7" i="58"/>
  <c r="AV7" i="58" s="1"/>
  <c r="AR7" i="58"/>
  <c r="AR6" i="58"/>
  <c r="R381" i="57"/>
  <c r="R380" i="57"/>
  <c r="R379" i="57"/>
  <c r="R378" i="57"/>
  <c r="R377" i="57"/>
  <c r="R376" i="57"/>
  <c r="R375" i="57"/>
  <c r="R374" i="57"/>
  <c r="R373" i="57"/>
  <c r="R372" i="57"/>
  <c r="R371" i="57"/>
  <c r="R370" i="57"/>
  <c r="R369" i="57"/>
  <c r="R368" i="57"/>
  <c r="R367" i="57"/>
  <c r="R366" i="57"/>
  <c r="R365" i="57"/>
  <c r="R364" i="57"/>
  <c r="R363" i="57"/>
  <c r="R362" i="57"/>
  <c r="R361" i="57"/>
  <c r="R360" i="57"/>
  <c r="R359" i="57"/>
  <c r="R358" i="57"/>
  <c r="R357" i="57"/>
  <c r="R356" i="57"/>
  <c r="R355" i="57"/>
  <c r="R354" i="57"/>
  <c r="R353" i="57"/>
  <c r="R352" i="57"/>
  <c r="R351" i="57"/>
  <c r="R350" i="57"/>
  <c r="R349" i="57"/>
  <c r="R348" i="57"/>
  <c r="R347" i="57"/>
  <c r="R346" i="57"/>
  <c r="R345" i="57"/>
  <c r="R344" i="57"/>
  <c r="R343" i="57"/>
  <c r="R342" i="57"/>
  <c r="R341" i="57"/>
  <c r="R340" i="57"/>
  <c r="R339" i="57"/>
  <c r="R338" i="57"/>
  <c r="R337" i="57"/>
  <c r="R336" i="57"/>
  <c r="R335" i="57"/>
  <c r="R334" i="57"/>
  <c r="R333" i="57"/>
  <c r="R332" i="57"/>
  <c r="R331" i="57"/>
  <c r="R329" i="57"/>
  <c r="R328" i="57"/>
  <c r="R327" i="57"/>
  <c r="R326" i="57"/>
  <c r="R325" i="57"/>
  <c r="R324" i="57"/>
  <c r="R323" i="57"/>
  <c r="R322" i="57"/>
  <c r="R321" i="57"/>
  <c r="R320" i="57"/>
  <c r="R319" i="57"/>
  <c r="R318" i="57"/>
  <c r="R317" i="57"/>
  <c r="R316" i="57"/>
  <c r="R315" i="57"/>
  <c r="R314" i="57"/>
  <c r="R313" i="57"/>
  <c r="R312" i="57"/>
  <c r="R311" i="57"/>
  <c r="R310" i="57"/>
  <c r="R309" i="57"/>
  <c r="R308" i="57"/>
  <c r="R307" i="57"/>
  <c r="R306" i="57"/>
  <c r="R305" i="57"/>
  <c r="R304" i="57"/>
  <c r="R303" i="57"/>
  <c r="R302" i="57"/>
  <c r="R301" i="57"/>
  <c r="R300" i="57"/>
  <c r="R299" i="57"/>
  <c r="R298" i="57"/>
  <c r="R297" i="57"/>
  <c r="R296" i="57"/>
  <c r="R295" i="57"/>
  <c r="R294" i="57"/>
  <c r="R293" i="57"/>
  <c r="R292" i="57"/>
  <c r="R291" i="57"/>
  <c r="R290" i="57"/>
  <c r="R289" i="57"/>
  <c r="R288" i="57"/>
  <c r="R287" i="57"/>
  <c r="R286" i="57"/>
  <c r="R285" i="57"/>
  <c r="R284" i="57"/>
  <c r="R283" i="57"/>
  <c r="R282" i="57"/>
  <c r="R281" i="57"/>
  <c r="R280" i="57"/>
  <c r="R279" i="57"/>
  <c r="R278" i="57"/>
  <c r="R277" i="57"/>
  <c r="R276" i="57"/>
  <c r="R275" i="57"/>
  <c r="R274" i="57"/>
  <c r="R273" i="57"/>
  <c r="R272" i="57"/>
  <c r="R271" i="57"/>
  <c r="R270" i="57"/>
  <c r="R269" i="57"/>
  <c r="R268" i="57"/>
  <c r="R267" i="57"/>
  <c r="R266" i="57"/>
  <c r="R265" i="57"/>
  <c r="R264" i="57"/>
  <c r="R263" i="57"/>
  <c r="R262" i="57"/>
  <c r="R261" i="57"/>
  <c r="R260" i="57"/>
  <c r="R259" i="57"/>
  <c r="R258" i="57"/>
  <c r="R257" i="57"/>
  <c r="R256" i="57"/>
  <c r="R255" i="57"/>
  <c r="R254" i="57"/>
  <c r="R253" i="57"/>
  <c r="R252" i="57"/>
  <c r="R251" i="57"/>
  <c r="R250" i="57"/>
  <c r="R249" i="57"/>
  <c r="R248" i="57"/>
  <c r="R247" i="57"/>
  <c r="R246" i="57"/>
  <c r="R245" i="57"/>
  <c r="R244" i="57"/>
  <c r="R243" i="57"/>
  <c r="R242" i="57"/>
  <c r="R241" i="57"/>
  <c r="R240" i="57"/>
  <c r="R239" i="57"/>
  <c r="R238" i="57"/>
  <c r="R237" i="57"/>
  <c r="R236" i="57"/>
  <c r="R235" i="57"/>
  <c r="R234" i="57"/>
  <c r="R233" i="57"/>
  <c r="R232" i="57"/>
  <c r="R231" i="57"/>
  <c r="R230" i="57"/>
  <c r="R229" i="57"/>
  <c r="R228" i="57"/>
  <c r="R227" i="57"/>
  <c r="R226" i="57"/>
  <c r="R225" i="57"/>
  <c r="R224" i="57"/>
  <c r="R223" i="57"/>
  <c r="R222" i="57"/>
  <c r="R221" i="57"/>
  <c r="R220" i="57"/>
  <c r="R219" i="57"/>
  <c r="R218" i="57"/>
  <c r="R217" i="57"/>
  <c r="R216" i="57"/>
  <c r="R215" i="57"/>
  <c r="R214" i="57"/>
  <c r="R213" i="57"/>
  <c r="R212" i="57"/>
  <c r="R211" i="57"/>
  <c r="R210" i="57"/>
  <c r="R209" i="57"/>
  <c r="R208" i="57"/>
  <c r="R207" i="57"/>
  <c r="R206" i="57"/>
  <c r="R205" i="57"/>
  <c r="R204" i="57"/>
  <c r="R203" i="57"/>
  <c r="R202" i="57"/>
  <c r="R201" i="57"/>
  <c r="R200" i="57"/>
  <c r="R199" i="57"/>
  <c r="R198" i="57"/>
  <c r="R197" i="57"/>
  <c r="R196" i="57"/>
  <c r="R195" i="57"/>
  <c r="R194" i="57"/>
  <c r="R193" i="57"/>
  <c r="R192" i="57"/>
  <c r="R191" i="57"/>
  <c r="R190" i="57"/>
  <c r="R189" i="57"/>
  <c r="R188" i="57"/>
  <c r="R187" i="57"/>
  <c r="R186" i="57"/>
  <c r="R185" i="57"/>
  <c r="R184" i="57"/>
  <c r="R183" i="57"/>
  <c r="R182" i="57"/>
  <c r="R181" i="57"/>
  <c r="R180" i="57"/>
  <c r="R179" i="57"/>
  <c r="R178" i="57"/>
  <c r="R177" i="57"/>
  <c r="R176" i="57"/>
  <c r="R175" i="57"/>
  <c r="R174" i="57"/>
  <c r="R173" i="57"/>
  <c r="R172" i="57"/>
  <c r="R171" i="57"/>
  <c r="R170" i="57"/>
  <c r="R169" i="57"/>
  <c r="R168" i="57"/>
  <c r="R167" i="57"/>
  <c r="R166" i="57"/>
  <c r="R165" i="57"/>
  <c r="R164" i="57"/>
  <c r="R163" i="57"/>
  <c r="R162" i="57"/>
  <c r="R161" i="57"/>
  <c r="R160" i="57"/>
  <c r="R159" i="57"/>
  <c r="R158" i="57"/>
  <c r="R157" i="57"/>
  <c r="R156" i="57"/>
  <c r="R155" i="57"/>
  <c r="R154" i="57"/>
  <c r="R153" i="57"/>
  <c r="R152" i="57"/>
  <c r="R151" i="57"/>
  <c r="R150" i="57"/>
  <c r="R149" i="57"/>
  <c r="R148" i="57"/>
  <c r="R147" i="57"/>
  <c r="R146" i="57"/>
  <c r="R145" i="57"/>
  <c r="R144" i="57"/>
  <c r="R143" i="57"/>
  <c r="R142" i="57"/>
  <c r="R141" i="57"/>
  <c r="R140" i="57"/>
  <c r="R139" i="57"/>
  <c r="R138" i="57"/>
  <c r="R137" i="57"/>
  <c r="R136" i="57"/>
  <c r="R135" i="57"/>
  <c r="R134" i="57"/>
  <c r="R133" i="57"/>
  <c r="R132" i="57"/>
  <c r="R131" i="57"/>
  <c r="R130" i="57"/>
  <c r="R129" i="57"/>
  <c r="R128" i="57"/>
  <c r="R127" i="57"/>
  <c r="R126" i="57"/>
  <c r="R125" i="57"/>
  <c r="R124" i="57"/>
  <c r="R123" i="57"/>
  <c r="R122" i="57"/>
  <c r="R121" i="57"/>
  <c r="R120" i="57"/>
  <c r="R119" i="57"/>
  <c r="R118" i="57"/>
  <c r="R117" i="57"/>
  <c r="R116" i="57"/>
  <c r="R115" i="57"/>
  <c r="R114" i="57"/>
  <c r="R113" i="57"/>
  <c r="R112" i="57"/>
  <c r="R111" i="57"/>
  <c r="R110" i="57"/>
  <c r="R109" i="57"/>
  <c r="R108" i="57"/>
  <c r="R107" i="57"/>
  <c r="R106" i="57"/>
  <c r="R105" i="57"/>
  <c r="R104" i="57"/>
  <c r="R103" i="57"/>
  <c r="R102" i="57"/>
  <c r="R101" i="57"/>
  <c r="R100" i="57"/>
  <c r="R99" i="57"/>
  <c r="R98" i="57"/>
  <c r="R97" i="57"/>
  <c r="R96" i="57"/>
  <c r="R95" i="57"/>
  <c r="R94" i="57"/>
  <c r="R93" i="57"/>
  <c r="R92" i="57"/>
  <c r="R91" i="57"/>
  <c r="R90" i="57"/>
  <c r="R89" i="57"/>
  <c r="R88" i="57"/>
  <c r="R87" i="57"/>
  <c r="R86" i="57"/>
  <c r="R85" i="57"/>
  <c r="R84" i="57"/>
  <c r="R83" i="57"/>
  <c r="R82" i="57"/>
  <c r="R81" i="57"/>
  <c r="R80" i="57"/>
  <c r="R79" i="57"/>
  <c r="R78" i="57"/>
  <c r="R77" i="57"/>
  <c r="R76" i="57"/>
  <c r="R75" i="57"/>
  <c r="R74" i="57"/>
  <c r="R73" i="57"/>
  <c r="R72" i="57"/>
  <c r="R71" i="57"/>
  <c r="R70" i="57"/>
  <c r="R69" i="57"/>
  <c r="R68" i="57"/>
  <c r="R67" i="57"/>
  <c r="R66" i="57"/>
  <c r="R65" i="57"/>
  <c r="R64" i="57"/>
  <c r="R63" i="57"/>
  <c r="R62" i="57"/>
  <c r="R61" i="57"/>
  <c r="R60" i="57"/>
  <c r="R59" i="57"/>
  <c r="R58" i="57"/>
  <c r="R57" i="57"/>
  <c r="R56" i="57"/>
  <c r="R55" i="57"/>
  <c r="R54" i="57"/>
  <c r="R53" i="57"/>
  <c r="R52" i="57"/>
  <c r="R51" i="57"/>
  <c r="R50" i="57"/>
  <c r="R49" i="57"/>
  <c r="R48" i="57"/>
  <c r="R47" i="57"/>
  <c r="R46" i="57"/>
  <c r="R45" i="57"/>
  <c r="R44" i="57"/>
  <c r="R43" i="57"/>
  <c r="R42" i="57"/>
  <c r="G16" i="59"/>
  <c r="R41" i="57"/>
  <c r="R40" i="57"/>
  <c r="R39" i="57"/>
  <c r="G15" i="59"/>
  <c r="M15" i="59" s="1"/>
  <c r="H14" i="55" s="1"/>
  <c r="R38" i="57"/>
  <c r="R37" i="57"/>
  <c r="R36" i="57"/>
  <c r="G14" i="59"/>
  <c r="M14" i="59" s="1"/>
  <c r="H13" i="55" s="1"/>
  <c r="R35" i="57"/>
  <c r="R34" i="57"/>
  <c r="R33" i="57"/>
  <c r="G13" i="59"/>
  <c r="M13" i="59" s="1"/>
  <c r="H12" i="55" s="1"/>
  <c r="R32" i="57"/>
  <c r="R31" i="57"/>
  <c r="R30" i="57"/>
  <c r="G12" i="59"/>
  <c r="M12" i="59" s="1"/>
  <c r="H11" i="55" s="1"/>
  <c r="R29" i="57"/>
  <c r="R28" i="57"/>
  <c r="R27" i="57"/>
  <c r="G11" i="59"/>
  <c r="M11" i="59" s="1"/>
  <c r="H10" i="55" s="1"/>
  <c r="R26" i="57"/>
  <c r="R25" i="57"/>
  <c r="R24" i="57"/>
  <c r="G10" i="59"/>
  <c r="M10" i="59" s="1"/>
  <c r="H9" i="55" s="1"/>
  <c r="R23" i="57"/>
  <c r="R22" i="57"/>
  <c r="R21" i="57"/>
  <c r="G9" i="59"/>
  <c r="R20" i="57"/>
  <c r="R19" i="57"/>
  <c r="R18" i="57"/>
  <c r="G8" i="59"/>
  <c r="M8" i="59" s="1"/>
  <c r="H7" i="55" s="1"/>
  <c r="R17" i="57"/>
  <c r="R16" i="57"/>
  <c r="R15" i="57"/>
  <c r="G7" i="59"/>
  <c r="M7" i="59" s="1"/>
  <c r="H6" i="55" s="1"/>
  <c r="R14" i="57"/>
  <c r="R13" i="57"/>
  <c r="R12" i="57"/>
  <c r="T11" i="57"/>
  <c r="R11" i="57"/>
  <c r="AC10" i="57"/>
  <c r="AB10" i="57"/>
  <c r="AA10" i="57"/>
  <c r="P1" i="57"/>
  <c r="L1" i="57"/>
  <c r="D54" i="7"/>
  <c r="B37" i="56" s="1"/>
  <c r="D53" i="7"/>
  <c r="B36" i="56" s="1"/>
  <c r="D52" i="7"/>
  <c r="D51" i="7"/>
  <c r="B35" i="56" s="1"/>
  <c r="D50" i="7"/>
  <c r="I102" i="62" l="1"/>
  <c r="T11" i="55"/>
  <c r="I105" i="62"/>
  <c r="T14" i="55"/>
  <c r="I97" i="62"/>
  <c r="T6" i="55"/>
  <c r="BY22" i="58"/>
  <c r="I108" i="62"/>
  <c r="T381" i="57"/>
  <c r="T365" i="57"/>
  <c r="T356" i="57"/>
  <c r="T347" i="57"/>
  <c r="T337" i="57"/>
  <c r="T253" i="57"/>
  <c r="T245" i="57"/>
  <c r="T232" i="57"/>
  <c r="T221" i="57"/>
  <c r="T212" i="57"/>
  <c r="T181" i="57"/>
  <c r="T169" i="57"/>
  <c r="T158" i="57"/>
  <c r="T144" i="57"/>
  <c r="T131" i="57"/>
  <c r="T121" i="57"/>
  <c r="T105" i="57"/>
  <c r="T96" i="57"/>
  <c r="T85" i="57"/>
  <c r="T74" i="57"/>
  <c r="T64" i="57"/>
  <c r="T55" i="57"/>
  <c r="T44" i="57"/>
  <c r="T379" i="57"/>
  <c r="T364" i="57"/>
  <c r="T355" i="57"/>
  <c r="T346" i="57"/>
  <c r="T336" i="57"/>
  <c r="T252" i="57"/>
  <c r="T239" i="57"/>
  <c r="T231" i="57"/>
  <c r="T220" i="57"/>
  <c r="T209" i="57"/>
  <c r="T180" i="57"/>
  <c r="T168" i="57"/>
  <c r="T157" i="57"/>
  <c r="T142" i="57"/>
  <c r="T130" i="57"/>
  <c r="T118" i="57"/>
  <c r="T104" i="57"/>
  <c r="T95" i="57"/>
  <c r="T83" i="57"/>
  <c r="T73" i="57"/>
  <c r="T63" i="57"/>
  <c r="T54" i="57"/>
  <c r="T42" i="57"/>
  <c r="T28" i="57"/>
  <c r="T19" i="57"/>
  <c r="T103" i="57"/>
  <c r="T53" i="57"/>
  <c r="T361" i="57"/>
  <c r="T162" i="57"/>
  <c r="T80" i="57"/>
  <c r="T350" i="57"/>
  <c r="T215" i="57"/>
  <c r="T161" i="57"/>
  <c r="T111" i="57"/>
  <c r="T67" i="57"/>
  <c r="T15" i="57"/>
  <c r="T377" i="57"/>
  <c r="T363" i="57"/>
  <c r="T354" i="57"/>
  <c r="T344" i="57"/>
  <c r="T335" i="57"/>
  <c r="T251" i="57"/>
  <c r="T238" i="57"/>
  <c r="T230" i="57"/>
  <c r="T218" i="57"/>
  <c r="T206" i="57"/>
  <c r="T178" i="57"/>
  <c r="T166" i="57"/>
  <c r="T156" i="57"/>
  <c r="T139" i="57"/>
  <c r="T129" i="57"/>
  <c r="T116" i="57"/>
  <c r="T72" i="57"/>
  <c r="T27" i="57"/>
  <c r="T236" i="57"/>
  <c r="T175" i="57"/>
  <c r="T112" i="57"/>
  <c r="T36" i="57"/>
  <c r="T235" i="57"/>
  <c r="T192" i="57"/>
  <c r="T151" i="57"/>
  <c r="T88" i="57"/>
  <c r="T48" i="57"/>
  <c r="T24" i="57"/>
  <c r="T375" i="57"/>
  <c r="T362" i="57"/>
  <c r="T353" i="57"/>
  <c r="T343" i="57"/>
  <c r="T334" i="57"/>
  <c r="T250" i="57"/>
  <c r="T237" i="57"/>
  <c r="T226" i="57"/>
  <c r="T217" i="57"/>
  <c r="T204" i="57"/>
  <c r="T177" i="57"/>
  <c r="T165" i="57"/>
  <c r="T155" i="57"/>
  <c r="T138" i="57"/>
  <c r="T127" i="57"/>
  <c r="T113" i="57"/>
  <c r="T102" i="57"/>
  <c r="T91" i="57"/>
  <c r="T81" i="57"/>
  <c r="T69" i="57"/>
  <c r="T60" i="57"/>
  <c r="T50" i="57"/>
  <c r="T40" i="57"/>
  <c r="T26" i="57"/>
  <c r="T17" i="57"/>
  <c r="T373" i="57"/>
  <c r="T249" i="57"/>
  <c r="T199" i="57"/>
  <c r="T137" i="57"/>
  <c r="T101" i="57"/>
  <c r="T68" i="57"/>
  <c r="T16" i="57"/>
  <c r="T341" i="57"/>
  <c r="T369" i="57"/>
  <c r="T358" i="57"/>
  <c r="T349" i="57"/>
  <c r="T340" i="57"/>
  <c r="T247" i="57"/>
  <c r="T234" i="57"/>
  <c r="T223" i="57"/>
  <c r="T214" i="57"/>
  <c r="T185" i="57"/>
  <c r="T171" i="57"/>
  <c r="T160" i="57"/>
  <c r="T149" i="57"/>
  <c r="T134" i="57"/>
  <c r="T123" i="57"/>
  <c r="T108" i="57"/>
  <c r="T98" i="57"/>
  <c r="T87" i="57"/>
  <c r="T76" i="57"/>
  <c r="T66" i="57"/>
  <c r="T57" i="57"/>
  <c r="T46" i="57"/>
  <c r="T31" i="57"/>
  <c r="T23" i="57"/>
  <c r="T14" i="57"/>
  <c r="T20" i="57"/>
  <c r="T92" i="57"/>
  <c r="T41" i="57"/>
  <c r="T351" i="57"/>
  <c r="T216" i="57"/>
  <c r="T126" i="57"/>
  <c r="T59" i="57"/>
  <c r="T360" i="57"/>
  <c r="T248" i="57"/>
  <c r="T174" i="57"/>
  <c r="T125" i="57"/>
  <c r="T99" i="57"/>
  <c r="T58" i="57"/>
  <c r="T32" i="57"/>
  <c r="T367" i="57"/>
  <c r="T357" i="57"/>
  <c r="T348" i="57"/>
  <c r="T338" i="57"/>
  <c r="T254" i="57"/>
  <c r="T246" i="57"/>
  <c r="T233" i="57"/>
  <c r="T222" i="57"/>
  <c r="T213" i="57"/>
  <c r="T184" i="57"/>
  <c r="T170" i="57"/>
  <c r="T159" i="57"/>
  <c r="T146" i="57"/>
  <c r="T133" i="57"/>
  <c r="T122" i="57"/>
  <c r="T107" i="57"/>
  <c r="T97" i="57"/>
  <c r="T86" i="57"/>
  <c r="T75" i="57"/>
  <c r="T65" i="57"/>
  <c r="T56" i="57"/>
  <c r="T45" i="57"/>
  <c r="T30" i="57"/>
  <c r="T21" i="57"/>
  <c r="T13" i="57"/>
  <c r="T29" i="57"/>
  <c r="T12" i="57"/>
  <c r="T82" i="57"/>
  <c r="T62" i="57"/>
  <c r="T18" i="57"/>
  <c r="T342" i="57"/>
  <c r="T225" i="57"/>
  <c r="T153" i="57"/>
  <c r="T89" i="57"/>
  <c r="T49" i="57"/>
  <c r="T25" i="57"/>
  <c r="T371" i="57"/>
  <c r="T224" i="57"/>
  <c r="T135" i="57"/>
  <c r="T79" i="57"/>
  <c r="BX22" i="58"/>
  <c r="K9" i="59"/>
  <c r="O9" i="59" s="1"/>
  <c r="M9" i="59"/>
  <c r="H8" i="55" s="1"/>
  <c r="M16" i="59"/>
  <c r="H15" i="55" s="1"/>
  <c r="K16" i="59"/>
  <c r="O16" i="59" s="1"/>
  <c r="G18" i="59"/>
  <c r="BY18" i="58"/>
  <c r="BS18" i="58"/>
  <c r="BV18" i="58"/>
  <c r="BX21" i="58"/>
  <c r="BU7" i="58"/>
  <c r="BS9" i="58"/>
  <c r="BV11" i="58"/>
  <c r="BU11" i="58"/>
  <c r="BV21" i="58"/>
  <c r="BT11" i="58"/>
  <c r="BU15" i="58"/>
  <c r="BV7" i="58"/>
  <c r="BT9" i="58"/>
  <c r="BV15" i="58"/>
  <c r="BU22" i="58"/>
  <c r="BS21" i="58"/>
  <c r="BP7" i="58"/>
  <c r="P10" i="55" s="1"/>
  <c r="BV9" i="58"/>
  <c r="BX11" i="58"/>
  <c r="BW15" i="58"/>
  <c r="BV22" i="58"/>
  <c r="BX7" i="58"/>
  <c r="BP9" i="58"/>
  <c r="P11" i="55" s="1"/>
  <c r="BX15" i="58"/>
  <c r="BY21" i="58"/>
  <c r="BT7" i="58"/>
  <c r="BT21" i="58"/>
  <c r="BY7" i="58"/>
  <c r="BX9" i="58"/>
  <c r="BY15" i="58"/>
  <c r="J18" i="59"/>
  <c r="BP18" i="58"/>
  <c r="P8" i="55" s="1"/>
  <c r="BP11" i="58"/>
  <c r="P15" i="55" s="1"/>
  <c r="K10" i="59"/>
  <c r="O10" i="59" s="1"/>
  <c r="K8" i="59"/>
  <c r="O8" i="59" s="1"/>
  <c r="BW7" i="58"/>
  <c r="K7" i="59"/>
  <c r="K15" i="59"/>
  <c r="O15" i="59" s="1"/>
  <c r="K14" i="59"/>
  <c r="O14" i="59" s="1"/>
  <c r="K13" i="59"/>
  <c r="O13" i="59" s="1"/>
  <c r="BP21" i="58"/>
  <c r="P12" i="55" s="1"/>
  <c r="N7" i="59"/>
  <c r="K12" i="59"/>
  <c r="O12" i="59" s="1"/>
  <c r="BY11" i="58"/>
  <c r="BP15" i="58"/>
  <c r="P14" i="55" s="1"/>
  <c r="BX18" i="58"/>
  <c r="K11" i="59"/>
  <c r="O11" i="59" s="1"/>
  <c r="BY9" i="58"/>
  <c r="BP22" i="58"/>
  <c r="P13" i="55" s="1"/>
  <c r="AV11" i="58"/>
  <c r="AU11" i="58"/>
  <c r="AV9" i="58"/>
  <c r="AU9" i="58"/>
  <c r="AV22" i="58"/>
  <c r="AU22" i="58"/>
  <c r="AU21" i="58"/>
  <c r="AV21" i="58"/>
  <c r="AU15" i="58"/>
  <c r="AU7" i="58"/>
  <c r="BU18" i="58"/>
  <c r="AV20" i="58"/>
  <c r="BU21" i="58"/>
  <c r="BW22" i="58"/>
  <c r="BW9" i="58"/>
  <c r="BW11" i="58"/>
  <c r="BS15" i="58"/>
  <c r="BW18" i="58"/>
  <c r="BW21" i="58"/>
  <c r="BS22" i="58"/>
  <c r="CB22" i="58" l="1"/>
  <c r="CA7" i="58"/>
  <c r="CA9" i="58"/>
  <c r="CB15" i="58"/>
  <c r="CA18" i="58"/>
  <c r="CA21" i="58"/>
  <c r="CB7" i="58"/>
  <c r="CA11" i="58"/>
  <c r="CA22" i="58"/>
  <c r="CB21" i="58"/>
  <c r="CA15" i="58"/>
  <c r="CB9" i="58"/>
  <c r="CB11" i="58"/>
  <c r="CB18" i="58"/>
  <c r="K18" i="59"/>
  <c r="O7" i="59"/>
  <c r="CA4" i="58" l="1"/>
  <c r="CB4" i="58"/>
  <c r="L22" i="56"/>
  <c r="K22" i="56"/>
  <c r="J22" i="56"/>
  <c r="I22" i="56"/>
  <c r="H22" i="56"/>
  <c r="G22" i="56"/>
  <c r="F22" i="56"/>
  <c r="E22" i="56"/>
  <c r="D22" i="56"/>
  <c r="C22" i="56"/>
  <c r="B22" i="56"/>
  <c r="G12" i="56"/>
  <c r="G14" i="56" s="1"/>
  <c r="L10" i="56"/>
  <c r="K10" i="56"/>
  <c r="J10" i="56"/>
  <c r="J12" i="56" s="1"/>
  <c r="I10" i="56"/>
  <c r="H10" i="56"/>
  <c r="G10" i="56"/>
  <c r="F10" i="56"/>
  <c r="E10" i="56"/>
  <c r="D10" i="56"/>
  <c r="C10" i="56"/>
  <c r="B10" i="56"/>
  <c r="L9" i="56"/>
  <c r="L12" i="56" s="1"/>
  <c r="K9" i="56"/>
  <c r="K12" i="56" s="1"/>
  <c r="J9" i="56"/>
  <c r="I9" i="56"/>
  <c r="I12" i="56" s="1"/>
  <c r="H9" i="56"/>
  <c r="H12" i="56" s="1"/>
  <c r="G9" i="56"/>
  <c r="F9" i="56"/>
  <c r="F12" i="56" s="1"/>
  <c r="E9" i="56"/>
  <c r="E12" i="56" s="1"/>
  <c r="D9" i="56"/>
  <c r="D12" i="56" s="1"/>
  <c r="C9" i="56"/>
  <c r="B9" i="56" s="1"/>
  <c r="B8" i="56"/>
  <c r="B7" i="56"/>
  <c r="B6" i="56"/>
  <c r="L5" i="56"/>
  <c r="B5" i="56" s="1"/>
  <c r="D17" i="55"/>
  <c r="N37" i="23" s="1"/>
  <c r="Q36" i="23" s="1"/>
  <c r="V15" i="55"/>
  <c r="Z15" i="55" s="1"/>
  <c r="R15" i="55"/>
  <c r="T15" i="55"/>
  <c r="N41" i="62" s="1"/>
  <c r="J15" i="55"/>
  <c r="V14" i="55"/>
  <c r="Z14" i="55" s="1"/>
  <c r="R14" i="55"/>
  <c r="N40" i="62"/>
  <c r="J14" i="55"/>
  <c r="V13" i="55"/>
  <c r="Z13" i="55" s="1"/>
  <c r="R13" i="55"/>
  <c r="T13" i="55"/>
  <c r="N39" i="62" s="1"/>
  <c r="J13" i="55"/>
  <c r="V12" i="55"/>
  <c r="Z12" i="55" s="1"/>
  <c r="R12" i="55"/>
  <c r="T12" i="55"/>
  <c r="N38" i="62" s="1"/>
  <c r="J12" i="55"/>
  <c r="V11" i="55"/>
  <c r="Z11" i="55" s="1"/>
  <c r="R11" i="55"/>
  <c r="N37" i="62"/>
  <c r="J11" i="55"/>
  <c r="V10" i="55"/>
  <c r="R10" i="55"/>
  <c r="T10" i="55"/>
  <c r="N36" i="62" s="1"/>
  <c r="J10" i="55"/>
  <c r="V9" i="55"/>
  <c r="R9" i="55"/>
  <c r="T9" i="55"/>
  <c r="N35" i="62" s="1"/>
  <c r="J9" i="55"/>
  <c r="V8" i="55"/>
  <c r="Z8" i="55" s="1"/>
  <c r="R8" i="55"/>
  <c r="T8" i="55"/>
  <c r="N34" i="62" s="1"/>
  <c r="J8" i="55"/>
  <c r="V7" i="55"/>
  <c r="R7" i="55"/>
  <c r="T7" i="55"/>
  <c r="J7" i="55"/>
  <c r="V6" i="55"/>
  <c r="R6" i="55"/>
  <c r="N32" i="62"/>
  <c r="J6" i="55"/>
  <c r="N33" i="62" l="1"/>
  <c r="T17" i="55"/>
  <c r="Z19" i="55"/>
  <c r="F47" i="1" s="1"/>
  <c r="Z21" i="55"/>
  <c r="J13" i="53"/>
  <c r="U13" i="53" s="1"/>
  <c r="AF13" i="53" s="1"/>
  <c r="G13" i="53"/>
  <c r="I17" i="56"/>
  <c r="I13" i="56"/>
  <c r="I18" i="56" s="1"/>
  <c r="I14" i="56"/>
  <c r="G19" i="56"/>
  <c r="K14" i="56"/>
  <c r="K17" i="56"/>
  <c r="K13" i="56"/>
  <c r="K18" i="56" s="1"/>
  <c r="D14" i="56"/>
  <c r="D17" i="56"/>
  <c r="D13" i="56"/>
  <c r="D18" i="56" s="1"/>
  <c r="L14" i="56"/>
  <c r="L17" i="56"/>
  <c r="L13" i="56"/>
  <c r="L18" i="56" s="1"/>
  <c r="E14" i="56"/>
  <c r="E17" i="56"/>
  <c r="E13" i="56"/>
  <c r="E18" i="56" s="1"/>
  <c r="J13" i="56"/>
  <c r="J18" i="56" s="1"/>
  <c r="J14" i="56"/>
  <c r="J17" i="56"/>
  <c r="H17" i="56"/>
  <c r="H13" i="56"/>
  <c r="H18" i="56" s="1"/>
  <c r="H14" i="56"/>
  <c r="F14" i="56"/>
  <c r="F17" i="56"/>
  <c r="F13" i="56"/>
  <c r="F18" i="56" s="1"/>
  <c r="C12" i="56"/>
  <c r="G17" i="56"/>
  <c r="G13" i="56"/>
  <c r="G18" i="56" s="1"/>
  <c r="R13" i="53" l="1"/>
  <c r="AC13" i="53" s="1"/>
  <c r="AN13" i="53" s="1"/>
  <c r="D16" i="67" s="1"/>
  <c r="F15" i="1"/>
  <c r="V21" i="55"/>
  <c r="G20" i="56"/>
  <c r="G24" i="56" s="1"/>
  <c r="G25" i="56" s="1"/>
  <c r="G15" i="56"/>
  <c r="B12" i="56"/>
  <c r="C14" i="56"/>
  <c r="C17" i="56"/>
  <c r="B17" i="56" s="1"/>
  <c r="C13" i="56"/>
  <c r="J19" i="56"/>
  <c r="J20" i="56" s="1"/>
  <c r="J24" i="56" s="1"/>
  <c r="J25" i="56" s="1"/>
  <c r="M9" i="55" s="1"/>
  <c r="P31" i="55" s="1"/>
  <c r="Q31" i="55" s="1"/>
  <c r="J15" i="56"/>
  <c r="I15" i="56"/>
  <c r="I19" i="56"/>
  <c r="I20" i="56" s="1"/>
  <c r="I24" i="56" s="1"/>
  <c r="I25" i="56" s="1"/>
  <c r="M14" i="55" s="1"/>
  <c r="F19" i="56"/>
  <c r="F20" i="56" s="1"/>
  <c r="F24" i="56" s="1"/>
  <c r="F25" i="56" s="1"/>
  <c r="M11" i="55" s="1"/>
  <c r="F15" i="56"/>
  <c r="H15" i="56"/>
  <c r="H19" i="56"/>
  <c r="H20" i="56" s="1"/>
  <c r="H24" i="56" s="1"/>
  <c r="H25" i="56" s="1"/>
  <c r="M7" i="55" s="1"/>
  <c r="P29" i="55" s="1"/>
  <c r="Q29" i="55" s="1"/>
  <c r="E19" i="56"/>
  <c r="E20" i="56" s="1"/>
  <c r="E24" i="56" s="1"/>
  <c r="E25" i="56" s="1"/>
  <c r="M10" i="55" s="1"/>
  <c r="P32" i="55" s="1"/>
  <c r="Q32" i="55" s="1"/>
  <c r="E15" i="56"/>
  <c r="K19" i="56"/>
  <c r="K20" i="56" s="1"/>
  <c r="K24" i="56" s="1"/>
  <c r="K25" i="56" s="1"/>
  <c r="K15" i="56"/>
  <c r="L15" i="56"/>
  <c r="L19" i="56"/>
  <c r="L20" i="56" s="1"/>
  <c r="L24" i="56" s="1"/>
  <c r="L25" i="56" s="1"/>
  <c r="M13" i="55" s="1"/>
  <c r="D15" i="56"/>
  <c r="D19" i="56"/>
  <c r="D20" i="56" s="1"/>
  <c r="D24" i="56" s="1"/>
  <c r="D25" i="56" s="1"/>
  <c r="M6" i="55" s="1"/>
  <c r="P28" i="55" s="1"/>
  <c r="Q28" i="55" s="1"/>
  <c r="U7" i="55" l="1"/>
  <c r="W7" i="55" s="1"/>
  <c r="P33" i="55"/>
  <c r="Q33" i="55" s="1"/>
  <c r="U6" i="55"/>
  <c r="W6" i="55" s="1"/>
  <c r="P35" i="55"/>
  <c r="Q35" i="55" s="1"/>
  <c r="P36" i="55"/>
  <c r="Q36" i="55" s="1"/>
  <c r="U10" i="55"/>
  <c r="W10" i="55" s="1"/>
  <c r="U9" i="55"/>
  <c r="W9" i="55" s="1"/>
  <c r="U11" i="55"/>
  <c r="Y11" i="55" s="1"/>
  <c r="U13" i="55"/>
  <c r="Y13" i="55" s="1"/>
  <c r="U14" i="55"/>
  <c r="Y14" i="55" s="1"/>
  <c r="M8" i="55"/>
  <c r="M15" i="55"/>
  <c r="B13" i="56"/>
  <c r="C18" i="56"/>
  <c r="B18" i="56" s="1"/>
  <c r="C19" i="56"/>
  <c r="C15" i="56"/>
  <c r="B15" i="56" s="1"/>
  <c r="B14" i="56"/>
  <c r="W14" i="55" l="1"/>
  <c r="P37" i="55"/>
  <c r="Q37" i="55" s="1"/>
  <c r="P30" i="55"/>
  <c r="Q30" i="55" s="1"/>
  <c r="W11" i="55"/>
  <c r="W13" i="55"/>
  <c r="U15" i="55"/>
  <c r="Y15" i="55" s="1"/>
  <c r="U8" i="55"/>
  <c r="Y8" i="55" s="1"/>
  <c r="B19" i="56"/>
  <c r="C20" i="56"/>
  <c r="W8" i="55" l="1"/>
  <c r="W15" i="55"/>
  <c r="B20" i="56"/>
  <c r="C24" i="56"/>
  <c r="B24" i="56" l="1"/>
  <c r="B25" i="56" s="1"/>
  <c r="M17" i="55" s="1"/>
  <c r="C25" i="56"/>
  <c r="M12" i="55" s="1"/>
  <c r="P34" i="55" l="1"/>
  <c r="Q34" i="55" s="1"/>
  <c r="Q39" i="55" s="1"/>
  <c r="U12" i="55"/>
  <c r="Y12" i="55" s="1"/>
  <c r="AM13" i="53"/>
  <c r="AL13" i="53"/>
  <c r="AK13" i="53"/>
  <c r="AJ13" i="53"/>
  <c r="AQ13" i="53"/>
  <c r="AP13" i="53"/>
  <c r="G16" i="67" l="1"/>
  <c r="G32" i="67" s="1"/>
  <c r="U17" i="55"/>
  <c r="W12" i="55"/>
  <c r="W17" i="55" s="1"/>
  <c r="Y19" i="55"/>
  <c r="AA19" i="55" s="1"/>
  <c r="Y21" i="55"/>
  <c r="AE28" i="53"/>
  <c r="AP28" i="53" s="1"/>
  <c r="AE18" i="53"/>
  <c r="AP18" i="53" s="1"/>
  <c r="Q18" i="53"/>
  <c r="AB18" i="53" s="1"/>
  <c r="P18" i="53"/>
  <c r="O18" i="53"/>
  <c r="N18" i="53"/>
  <c r="M18" i="53"/>
  <c r="X18" i="53" s="1"/>
  <c r="AI18" i="53" s="1"/>
  <c r="C21" i="67" s="1"/>
  <c r="K22" i="53"/>
  <c r="Q28" i="53"/>
  <c r="AB28" i="53" s="1"/>
  <c r="P28" i="53"/>
  <c r="AA28" i="53" s="1"/>
  <c r="D28" i="53"/>
  <c r="O28" i="53"/>
  <c r="Z28" i="53" s="1"/>
  <c r="AK28" i="53" s="1"/>
  <c r="N28" i="53"/>
  <c r="Y28" i="53" s="1"/>
  <c r="F28" i="53"/>
  <c r="E28" i="53"/>
  <c r="AE27" i="53"/>
  <c r="AP27" i="53" s="1"/>
  <c r="F18" i="53"/>
  <c r="E18" i="53"/>
  <c r="D18" i="53"/>
  <c r="G18" i="53" s="1"/>
  <c r="C18" i="53"/>
  <c r="L18" i="53"/>
  <c r="W18" i="53" s="1"/>
  <c r="AH18" i="53" s="1"/>
  <c r="Q26" i="53"/>
  <c r="AE26" i="53"/>
  <c r="AP26" i="53" s="1"/>
  <c r="P26" i="53"/>
  <c r="AA26" i="53" s="1"/>
  <c r="O26" i="53"/>
  <c r="Z26" i="53" s="1"/>
  <c r="N26" i="53"/>
  <c r="Y26" i="53" s="1"/>
  <c r="F26" i="53"/>
  <c r="E26" i="53"/>
  <c r="D26" i="53"/>
  <c r="AE25" i="53"/>
  <c r="Q25" i="53"/>
  <c r="AB25" i="53" s="1"/>
  <c r="P25" i="53"/>
  <c r="AA25" i="53" s="1"/>
  <c r="O25" i="53"/>
  <c r="Z25" i="53" s="1"/>
  <c r="N25" i="53"/>
  <c r="Y25" i="53" s="1"/>
  <c r="I25" i="53"/>
  <c r="F25" i="53"/>
  <c r="E25" i="53"/>
  <c r="D25" i="53"/>
  <c r="AF24" i="53"/>
  <c r="AQ24" i="53" s="1"/>
  <c r="AE24" i="53"/>
  <c r="AP24" i="53" s="1"/>
  <c r="G27" i="67" s="1"/>
  <c r="AD24" i="53"/>
  <c r="AO24" i="53" s="1"/>
  <c r="F27" i="67" s="1"/>
  <c r="AB24" i="53"/>
  <c r="AM24" i="53" s="1"/>
  <c r="AA24" i="53"/>
  <c r="Z24" i="53"/>
  <c r="AK24" i="53" s="1"/>
  <c r="Y24" i="53"/>
  <c r="AE23" i="53"/>
  <c r="AF22" i="53"/>
  <c r="AQ22" i="53" s="1"/>
  <c r="AE22" i="53"/>
  <c r="AP22" i="53" s="1"/>
  <c r="G25" i="67" s="1"/>
  <c r="AD22" i="53"/>
  <c r="AO22" i="53" s="1"/>
  <c r="F25" i="67" s="1"/>
  <c r="AB22" i="53"/>
  <c r="AM22" i="53" s="1"/>
  <c r="AA22" i="53"/>
  <c r="AL22" i="53" s="1"/>
  <c r="Z22" i="53"/>
  <c r="AK22" i="53" s="1"/>
  <c r="Y22" i="53"/>
  <c r="AJ22" i="53" s="1"/>
  <c r="R22" i="53"/>
  <c r="Q23" i="53"/>
  <c r="AB23" i="53" s="1"/>
  <c r="P23" i="53"/>
  <c r="AA23" i="53" s="1"/>
  <c r="O23" i="53"/>
  <c r="Z23" i="53" s="1"/>
  <c r="N23" i="53"/>
  <c r="Y23" i="53" s="1"/>
  <c r="I23" i="53"/>
  <c r="F23" i="53"/>
  <c r="D23" i="53"/>
  <c r="C23" i="53"/>
  <c r="G23" i="53" s="1"/>
  <c r="AK26" i="53" l="1"/>
  <c r="AM23" i="53"/>
  <c r="U21" i="55"/>
  <c r="H13" i="53"/>
  <c r="S13" i="53" s="1"/>
  <c r="AD13" i="53" s="1"/>
  <c r="AO13" i="53" s="1"/>
  <c r="F16" i="67" s="1"/>
  <c r="E15" i="1"/>
  <c r="I15" i="1" s="1"/>
  <c r="I32" i="1" s="1"/>
  <c r="D15" i="1"/>
  <c r="H15" i="1" s="1"/>
  <c r="D47" i="1"/>
  <c r="H47" i="1" s="1"/>
  <c r="E47" i="1"/>
  <c r="I47" i="1" s="1"/>
  <c r="AM18" i="53"/>
  <c r="AC24" i="53"/>
  <c r="AL25" i="53"/>
  <c r="AL28" i="53"/>
  <c r="AM28" i="53"/>
  <c r="AP25" i="53"/>
  <c r="R28" i="53"/>
  <c r="AK25" i="53"/>
  <c r="AL26" i="53"/>
  <c r="Y18" i="53"/>
  <c r="AC28" i="53"/>
  <c r="AK23" i="53"/>
  <c r="AL24" i="53"/>
  <c r="Z18" i="53"/>
  <c r="AK18" i="53" s="1"/>
  <c r="AA18" i="53"/>
  <c r="AL18" i="53" s="1"/>
  <c r="AG22" i="53"/>
  <c r="AG24" i="53"/>
  <c r="R25" i="53"/>
  <c r="AL23" i="53"/>
  <c r="AM25" i="53"/>
  <c r="R18" i="53"/>
  <c r="AP23" i="53"/>
  <c r="AJ23" i="53"/>
  <c r="AC23" i="53"/>
  <c r="AC25" i="53"/>
  <c r="AJ24" i="53"/>
  <c r="R23" i="53"/>
  <c r="AN23" i="53" s="1"/>
  <c r="D26" i="67" s="1"/>
  <c r="R26" i="53"/>
  <c r="AB26" i="53"/>
  <c r="AM26" i="53" s="1"/>
  <c r="AC26" i="53"/>
  <c r="AF21" i="53"/>
  <c r="AE21" i="53"/>
  <c r="AB21" i="53"/>
  <c r="Y21" i="53"/>
  <c r="P21" i="53"/>
  <c r="AA21" i="53" s="1"/>
  <c r="E21" i="53"/>
  <c r="O21" i="53"/>
  <c r="D21" i="53"/>
  <c r="N21" i="53"/>
  <c r="C21" i="53"/>
  <c r="J21" i="53"/>
  <c r="I21" i="53"/>
  <c r="F21" i="53"/>
  <c r="AE19" i="53"/>
  <c r="AP19" i="53" s="1"/>
  <c r="P19" i="53"/>
  <c r="AA19" i="53" s="1"/>
  <c r="E19" i="53"/>
  <c r="O19" i="53"/>
  <c r="Z19" i="53" s="1"/>
  <c r="AK19" i="53" s="1"/>
  <c r="D19" i="53"/>
  <c r="N19" i="53"/>
  <c r="Y19" i="53" s="1"/>
  <c r="C19" i="53"/>
  <c r="Q19" i="53"/>
  <c r="AB19" i="53" s="1"/>
  <c r="F19" i="53"/>
  <c r="AE17" i="53"/>
  <c r="Q17" i="53"/>
  <c r="AB17" i="53" s="1"/>
  <c r="I17" i="53"/>
  <c r="T16" i="53"/>
  <c r="AE16" i="53" s="1"/>
  <c r="AP16" i="53" s="1"/>
  <c r="I16" i="53"/>
  <c r="U15" i="53"/>
  <c r="AF15" i="53" s="1"/>
  <c r="T15" i="53"/>
  <c r="AE15" i="53" s="1"/>
  <c r="Q15" i="53"/>
  <c r="AB15" i="53" s="1"/>
  <c r="P15" i="53"/>
  <c r="AA15" i="53" s="1"/>
  <c r="O15" i="53"/>
  <c r="Z15" i="53" s="1"/>
  <c r="N15" i="53"/>
  <c r="C15" i="53"/>
  <c r="J15" i="53"/>
  <c r="I15" i="53"/>
  <c r="F15" i="53"/>
  <c r="E15" i="53"/>
  <c r="D15" i="53"/>
  <c r="T14" i="53"/>
  <c r="AE14" i="53" s="1"/>
  <c r="Q14" i="53"/>
  <c r="AB14" i="53" s="1"/>
  <c r="AA14" i="53"/>
  <c r="Z14" i="53"/>
  <c r="Y14" i="53"/>
  <c r="E14" i="53"/>
  <c r="D14" i="53"/>
  <c r="C14" i="53"/>
  <c r="F14" i="53"/>
  <c r="AE12" i="53"/>
  <c r="W4" i="53"/>
  <c r="AH4" i="53" s="1"/>
  <c r="Q12" i="53"/>
  <c r="AB12" i="53" s="1"/>
  <c r="P12" i="53"/>
  <c r="AA12" i="53" s="1"/>
  <c r="O12" i="53"/>
  <c r="Z12" i="53" s="1"/>
  <c r="N12" i="53"/>
  <c r="Y12" i="53" s="1"/>
  <c r="M24" i="53"/>
  <c r="X24" i="53" s="1"/>
  <c r="AI24" i="53" s="1"/>
  <c r="C27" i="67" s="1"/>
  <c r="L28" i="53"/>
  <c r="W28" i="53" s="1"/>
  <c r="AH28" i="53" s="1"/>
  <c r="L27" i="53"/>
  <c r="W27" i="53" s="1"/>
  <c r="AH27" i="53" s="1"/>
  <c r="L26" i="53"/>
  <c r="W26" i="53" s="1"/>
  <c r="AH26" i="53" s="1"/>
  <c r="L25" i="53"/>
  <c r="W25" i="53" s="1"/>
  <c r="AH25" i="53" s="1"/>
  <c r="L24" i="53"/>
  <c r="W24" i="53" s="1"/>
  <c r="AH24" i="53" s="1"/>
  <c r="L23" i="53"/>
  <c r="W23" i="53" s="1"/>
  <c r="AH23" i="53" s="1"/>
  <c r="L22" i="53"/>
  <c r="W22" i="53" s="1"/>
  <c r="AH22" i="53" s="1"/>
  <c r="L21" i="53"/>
  <c r="W21" i="53" s="1"/>
  <c r="AH21" i="53" s="1"/>
  <c r="L19" i="53"/>
  <c r="W19" i="53" s="1"/>
  <c r="AH19" i="53" s="1"/>
  <c r="L17" i="53"/>
  <c r="W17" i="53" s="1"/>
  <c r="AH17" i="53" s="1"/>
  <c r="L16" i="53"/>
  <c r="W16" i="53" s="1"/>
  <c r="AH16" i="53" s="1"/>
  <c r="L15" i="53"/>
  <c r="W15" i="53" s="1"/>
  <c r="AH15" i="53" s="1"/>
  <c r="L14" i="53"/>
  <c r="W14" i="53" s="1"/>
  <c r="AH14" i="53" s="1"/>
  <c r="L13" i="53"/>
  <c r="W13" i="53" s="1"/>
  <c r="AH13" i="53" s="1"/>
  <c r="L12" i="53"/>
  <c r="W12" i="53" s="1"/>
  <c r="AH12" i="53" s="1"/>
  <c r="L11" i="53"/>
  <c r="W11" i="53" s="1"/>
  <c r="AH11" i="53" s="1"/>
  <c r="L10" i="53"/>
  <c r="W10" i="53" s="1"/>
  <c r="AH10" i="53" s="1"/>
  <c r="L9" i="53"/>
  <c r="W9" i="53" s="1"/>
  <c r="AH9" i="53" s="1"/>
  <c r="L8" i="53"/>
  <c r="W8" i="53" s="1"/>
  <c r="AH8" i="53" s="1"/>
  <c r="F12" i="53"/>
  <c r="E12" i="53"/>
  <c r="D12" i="53"/>
  <c r="C12" i="53"/>
  <c r="T11" i="53"/>
  <c r="AE11" i="53" s="1"/>
  <c r="Q11" i="53"/>
  <c r="AB11" i="53" s="1"/>
  <c r="AM11" i="53" s="1"/>
  <c r="I11" i="53"/>
  <c r="AF10" i="53"/>
  <c r="AQ10" i="53" s="1"/>
  <c r="AE10" i="53"/>
  <c r="AP10" i="53" s="1"/>
  <c r="G13" i="67" s="1"/>
  <c r="AB10" i="53"/>
  <c r="AM10" i="53" s="1"/>
  <c r="AF9" i="53"/>
  <c r="AQ9" i="53" s="1"/>
  <c r="AE9" i="53"/>
  <c r="AP9" i="53" s="1"/>
  <c r="G12" i="67" s="1"/>
  <c r="AB9" i="53"/>
  <c r="AM9" i="53" s="1"/>
  <c r="S9" i="53"/>
  <c r="AD9" i="53" s="1"/>
  <c r="AO9" i="53" s="1"/>
  <c r="F12" i="67" s="1"/>
  <c r="P9" i="53"/>
  <c r="AA9" i="53" s="1"/>
  <c r="AL9" i="53" s="1"/>
  <c r="O9" i="53"/>
  <c r="Z9" i="53" s="1"/>
  <c r="AK9" i="53" s="1"/>
  <c r="N9" i="53"/>
  <c r="Y9" i="53" s="1"/>
  <c r="AF8" i="53"/>
  <c r="AQ8" i="53" s="1"/>
  <c r="AE8" i="53"/>
  <c r="AP8" i="53" s="1"/>
  <c r="G11" i="67" s="1"/>
  <c r="AB8" i="53"/>
  <c r="AM8" i="53" s="1"/>
  <c r="E8" i="53"/>
  <c r="P8" i="53" s="1"/>
  <c r="AA8" i="53" s="1"/>
  <c r="AL8" i="53" s="1"/>
  <c r="D8" i="53"/>
  <c r="O8" i="53" s="1"/>
  <c r="Z8" i="53" s="1"/>
  <c r="AK8" i="53" s="1"/>
  <c r="C8" i="53"/>
  <c r="AF7" i="53"/>
  <c r="AE7" i="53"/>
  <c r="AB7" i="53"/>
  <c r="L7" i="53"/>
  <c r="W7" i="53" s="1"/>
  <c r="AH7" i="53" s="1"/>
  <c r="L6" i="53"/>
  <c r="W6" i="53" s="1"/>
  <c r="AH6" i="53" s="1"/>
  <c r="J7" i="53"/>
  <c r="I7" i="53"/>
  <c r="F7" i="53"/>
  <c r="E7" i="53"/>
  <c r="P7" i="53" s="1"/>
  <c r="AA7" i="53" s="1"/>
  <c r="AL7" i="53" s="1"/>
  <c r="D7" i="53"/>
  <c r="O7" i="53" s="1"/>
  <c r="Z7" i="53" s="1"/>
  <c r="AK7" i="53" s="1"/>
  <c r="C7" i="53"/>
  <c r="N7" i="53" s="1"/>
  <c r="AF6" i="53"/>
  <c r="AE6" i="53"/>
  <c r="AB6" i="53"/>
  <c r="J6" i="53"/>
  <c r="I6" i="53"/>
  <c r="F6" i="53"/>
  <c r="E6" i="53"/>
  <c r="P6" i="53" s="1"/>
  <c r="AA6" i="53" s="1"/>
  <c r="AL6" i="53" s="1"/>
  <c r="D6" i="53"/>
  <c r="O6" i="53" s="1"/>
  <c r="Z6" i="53" s="1"/>
  <c r="AK6" i="53" s="1"/>
  <c r="T5" i="53"/>
  <c r="Q5" i="53"/>
  <c r="P5" i="53"/>
  <c r="AA5" i="53" s="1"/>
  <c r="E5" i="53"/>
  <c r="AF4" i="53"/>
  <c r="AQ4" i="53" s="1"/>
  <c r="AE4" i="53"/>
  <c r="AP4" i="53" s="1"/>
  <c r="AB4" i="53"/>
  <c r="AM4" i="53" s="1"/>
  <c r="L5" i="53"/>
  <c r="W5" i="53" s="1"/>
  <c r="AH5" i="53" s="1"/>
  <c r="I5" i="53"/>
  <c r="AJ19" i="53" l="1"/>
  <c r="G7" i="67"/>
  <c r="G15" i="53"/>
  <c r="Y15" i="53"/>
  <c r="R15" i="53"/>
  <c r="R21" i="53"/>
  <c r="N8" i="53"/>
  <c r="Y8" i="53" s="1"/>
  <c r="AJ8" i="53" s="1"/>
  <c r="G8" i="53"/>
  <c r="T29" i="53"/>
  <c r="I29" i="53"/>
  <c r="AL21" i="53"/>
  <c r="AQ6" i="53"/>
  <c r="AL19" i="53"/>
  <c r="AM19" i="53"/>
  <c r="AJ15" i="53"/>
  <c r="AM17" i="53"/>
  <c r="AM21" i="53"/>
  <c r="AB5" i="53"/>
  <c r="AP7" i="53"/>
  <c r="AP21" i="53"/>
  <c r="AC18" i="53"/>
  <c r="AN18" i="53" s="1"/>
  <c r="D21" i="67" s="1"/>
  <c r="E21" i="67" s="1"/>
  <c r="AJ18" i="53"/>
  <c r="AJ14" i="53"/>
  <c r="AQ21" i="53"/>
  <c r="AK15" i="53"/>
  <c r="Z21" i="53"/>
  <c r="AK21" i="53" s="1"/>
  <c r="AJ21" i="53"/>
  <c r="AL5" i="53"/>
  <c r="AP17" i="53"/>
  <c r="AP11" i="53"/>
  <c r="AE5" i="53"/>
  <c r="AP5" i="53" s="1"/>
  <c r="AQ15" i="53"/>
  <c r="G21" i="53"/>
  <c r="G6" i="53"/>
  <c r="AM6" i="53"/>
  <c r="G12" i="53"/>
  <c r="AP14" i="53"/>
  <c r="AK12" i="53"/>
  <c r="AP12" i="53"/>
  <c r="AL15" i="53"/>
  <c r="AC9" i="53"/>
  <c r="AL12" i="53"/>
  <c r="AK14" i="53"/>
  <c r="AM15" i="53"/>
  <c r="AM12" i="53"/>
  <c r="AP6" i="53"/>
  <c r="G9" i="67" s="1"/>
  <c r="AM7" i="53"/>
  <c r="AG9" i="53"/>
  <c r="AL14" i="53"/>
  <c r="AM14" i="53"/>
  <c r="AP15" i="53"/>
  <c r="AQ7" i="53"/>
  <c r="R7" i="53"/>
  <c r="Y7" i="53"/>
  <c r="AC12" i="53"/>
  <c r="AJ12" i="53"/>
  <c r="N6" i="53"/>
  <c r="Y6" i="53" s="1"/>
  <c r="G7" i="53"/>
  <c r="V9" i="53"/>
  <c r="R12" i="53"/>
  <c r="R8" i="53"/>
  <c r="AJ9" i="53"/>
  <c r="G24" i="67" l="1"/>
  <c r="G10" i="67"/>
  <c r="AC8" i="53"/>
  <c r="AN8" i="53" s="1"/>
  <c r="D11" i="67" s="1"/>
  <c r="G18" i="67"/>
  <c r="AN12" i="53"/>
  <c r="D15" i="67" s="1"/>
  <c r="AE29" i="53"/>
  <c r="AP29" i="53"/>
  <c r="AC21" i="53"/>
  <c r="AN21" i="53" s="1"/>
  <c r="D24" i="67" s="1"/>
  <c r="AJ6" i="53"/>
  <c r="AC6" i="53"/>
  <c r="AC7" i="53"/>
  <c r="AN7" i="53" s="1"/>
  <c r="D10" i="67" s="1"/>
  <c r="AJ7" i="53"/>
  <c r="AC22" i="53" l="1"/>
  <c r="AN22" i="53" s="1"/>
  <c r="D25" i="67" s="1"/>
  <c r="AC19" i="53"/>
  <c r="AC15" i="53"/>
  <c r="AN15" i="53" s="1"/>
  <c r="D18" i="67" s="1"/>
  <c r="AC14" i="53"/>
  <c r="V22" i="53" l="1"/>
  <c r="V24" i="53" l="1"/>
  <c r="AG13" i="53"/>
  <c r="V13" i="53"/>
  <c r="K9" i="53"/>
  <c r="R19" i="53"/>
  <c r="AR22" i="53"/>
  <c r="H25" i="67" s="1"/>
  <c r="R24" i="53"/>
  <c r="R9" i="53"/>
  <c r="G9" i="53"/>
  <c r="R14" i="53"/>
  <c r="G14" i="53"/>
  <c r="K24" i="53"/>
  <c r="AR24" i="53" s="1"/>
  <c r="H27" i="67" s="1"/>
  <c r="K13" i="53"/>
  <c r="R6" i="53"/>
  <c r="AN6" i="53" s="1"/>
  <c r="D9" i="67" s="1"/>
  <c r="G19" i="53"/>
  <c r="AN19" i="53" s="1"/>
  <c r="D22" i="67" s="1"/>
  <c r="G24" i="53"/>
  <c r="AN24" i="53" s="1"/>
  <c r="D27" i="67" s="1"/>
  <c r="E27" i="67" s="1"/>
  <c r="AN9" i="53" l="1"/>
  <c r="D12" i="67" s="1"/>
  <c r="AN14" i="53"/>
  <c r="D17" i="67" s="1"/>
  <c r="AR9" i="53"/>
  <c r="H12" i="67" s="1"/>
  <c r="AR13" i="53"/>
  <c r="H16" i="67" s="1"/>
  <c r="H32" i="67" s="1"/>
  <c r="C56" i="1" l="1"/>
  <c r="B22" i="53" s="1"/>
  <c r="M22" i="53" s="1"/>
  <c r="X22" i="53" s="1"/>
  <c r="C47" i="1"/>
  <c r="B13" i="53" s="1"/>
  <c r="M13" i="53" s="1"/>
  <c r="X13" i="53" s="1"/>
  <c r="AI13" i="53" s="1"/>
  <c r="C16" i="67" s="1"/>
  <c r="E16" i="67" s="1"/>
  <c r="C43" i="1"/>
  <c r="B9" i="53" s="1"/>
  <c r="M9" i="53" s="1"/>
  <c r="X9" i="53" s="1"/>
  <c r="AI9" i="53" s="1"/>
  <c r="C12" i="67" s="1"/>
  <c r="E12" i="67" s="1"/>
  <c r="C31" i="1"/>
  <c r="C62" i="1" s="1"/>
  <c r="B28" i="53" s="1"/>
  <c r="M28" i="53" s="1"/>
  <c r="X28" i="53" s="1"/>
  <c r="AI28" i="53" s="1"/>
  <c r="C31" i="67" s="1"/>
  <c r="C30" i="1"/>
  <c r="C61" i="1" s="1"/>
  <c r="B27" i="53" s="1"/>
  <c r="M27" i="53" s="1"/>
  <c r="X27" i="53" s="1"/>
  <c r="AI27" i="53" s="1"/>
  <c r="C30" i="67" s="1"/>
  <c r="C29" i="1"/>
  <c r="C60" i="1" s="1"/>
  <c r="B26" i="53" s="1"/>
  <c r="M26" i="53" s="1"/>
  <c r="X26" i="53" s="1"/>
  <c r="AI26" i="53" s="1"/>
  <c r="C29" i="67" s="1"/>
  <c r="C28" i="1"/>
  <c r="C59" i="1" s="1"/>
  <c r="B25" i="53" s="1"/>
  <c r="M25" i="53" s="1"/>
  <c r="X25" i="53" s="1"/>
  <c r="AI25" i="53" s="1"/>
  <c r="C28" i="67" s="1"/>
  <c r="C25" i="1"/>
  <c r="C57" i="1" s="1"/>
  <c r="B23" i="53" s="1"/>
  <c r="M23" i="53" s="1"/>
  <c r="X23" i="53" s="1"/>
  <c r="AI23" i="53" s="1"/>
  <c r="C26" i="67" s="1"/>
  <c r="E26" i="67" s="1"/>
  <c r="C20" i="1"/>
  <c r="C52" i="1" s="1"/>
  <c r="B18" i="53" s="1"/>
  <c r="C18" i="1"/>
  <c r="C50" i="1" s="1"/>
  <c r="B16" i="53" s="1"/>
  <c r="M16" i="53" s="1"/>
  <c r="X16" i="53" s="1"/>
  <c r="AI16" i="53" s="1"/>
  <c r="C19" i="67" s="1"/>
  <c r="C14" i="1"/>
  <c r="C46" i="1" s="1"/>
  <c r="B12" i="53" s="1"/>
  <c r="M12" i="53" s="1"/>
  <c r="X12" i="53" s="1"/>
  <c r="AI12" i="53" s="1"/>
  <c r="C15" i="67" s="1"/>
  <c r="E15" i="67" s="1"/>
  <c r="D11" i="39"/>
  <c r="I56" i="1"/>
  <c r="H56" i="1"/>
  <c r="I43" i="1"/>
  <c r="H43" i="1"/>
  <c r="I24" i="1"/>
  <c r="H24" i="1"/>
  <c r="I11" i="1"/>
  <c r="H11" i="1"/>
  <c r="C6" i="39"/>
  <c r="B5" i="68" s="1"/>
  <c r="H30" i="35"/>
  <c r="G30" i="35"/>
  <c r="G30" i="30"/>
  <c r="B12" i="68" l="1"/>
  <c r="B11" i="68"/>
  <c r="B10" i="68"/>
  <c r="C5" i="68"/>
  <c r="E4" i="53"/>
  <c r="P4" i="53" s="1"/>
  <c r="AA4" i="53" s="1"/>
  <c r="AL4" i="53" s="1"/>
  <c r="D4" i="53"/>
  <c r="O4" i="53" s="1"/>
  <c r="Z4" i="53" s="1"/>
  <c r="AK4" i="53" s="1"/>
  <c r="C4" i="53"/>
  <c r="G4" i="53" s="1"/>
  <c r="AI22" i="53"/>
  <c r="C25" i="67" s="1"/>
  <c r="E25" i="67" s="1"/>
  <c r="Y5" i="68" l="1"/>
  <c r="C12" i="68"/>
  <c r="Y12" i="68" s="1"/>
  <c r="G16" i="71" s="1"/>
  <c r="C11" i="68"/>
  <c r="Y11" i="68" s="1"/>
  <c r="G16" i="70" s="1"/>
  <c r="C10" i="68"/>
  <c r="C13" i="68" s="1"/>
  <c r="B13" i="68"/>
  <c r="Y13" i="68" s="1"/>
  <c r="G16" i="69"/>
  <c r="N4" i="53"/>
  <c r="C6" i="20"/>
  <c r="I16" i="70" l="1"/>
  <c r="D7" i="72"/>
  <c r="D8" i="72"/>
  <c r="I16" i="71"/>
  <c r="D6" i="72"/>
  <c r="D10" i="72" s="1"/>
  <c r="I16" i="69"/>
  <c r="R4" i="53"/>
  <c r="Y4" i="53"/>
  <c r="AJ4" i="53" s="1"/>
  <c r="J15" i="24"/>
  <c r="I15" i="24"/>
  <c r="D15" i="24"/>
  <c r="C15" i="24"/>
  <c r="J13" i="24"/>
  <c r="I13" i="24"/>
  <c r="H13" i="24"/>
  <c r="H15" i="24" s="1"/>
  <c r="G13" i="24"/>
  <c r="G15" i="24" s="1"/>
  <c r="C26" i="53" s="1"/>
  <c r="F13" i="24"/>
  <c r="F15" i="24" s="1"/>
  <c r="E13" i="24"/>
  <c r="E15" i="24" s="1"/>
  <c r="D13" i="24"/>
  <c r="C13" i="24"/>
  <c r="J14" i="25"/>
  <c r="P27" i="53" s="1"/>
  <c r="AA27" i="53" s="1"/>
  <c r="J12" i="25"/>
  <c r="I12" i="25"/>
  <c r="I14" i="25" s="1"/>
  <c r="E27" i="53" s="1"/>
  <c r="H12" i="25"/>
  <c r="H14" i="25" s="1"/>
  <c r="N27" i="53" s="1"/>
  <c r="G12" i="25"/>
  <c r="G14" i="25" s="1"/>
  <c r="C27" i="53" s="1"/>
  <c r="F12" i="25"/>
  <c r="F14" i="25" s="1"/>
  <c r="O27" i="53" s="1"/>
  <c r="Z27" i="53" s="1"/>
  <c r="AK27" i="53" s="1"/>
  <c r="E12" i="25"/>
  <c r="E14" i="25" s="1"/>
  <c r="D27" i="53" s="1"/>
  <c r="D12" i="25"/>
  <c r="D14" i="25" s="1"/>
  <c r="Q27" i="53" s="1"/>
  <c r="C12" i="25"/>
  <c r="C14" i="25" s="1"/>
  <c r="F27" i="53" s="1"/>
  <c r="J14" i="27"/>
  <c r="I14" i="27"/>
  <c r="D14" i="27"/>
  <c r="C14" i="27"/>
  <c r="J12" i="27"/>
  <c r="I12" i="27"/>
  <c r="H12" i="27"/>
  <c r="H14" i="27" s="1"/>
  <c r="G12" i="27"/>
  <c r="G14" i="27" s="1"/>
  <c r="C28" i="53" s="1"/>
  <c r="AJ28" i="53" s="1"/>
  <c r="F12" i="27"/>
  <c r="F14" i="27" s="1"/>
  <c r="E12" i="27"/>
  <c r="E14" i="27" s="1"/>
  <c r="D12" i="27"/>
  <c r="C12" i="27"/>
  <c r="J14" i="26"/>
  <c r="I14" i="26"/>
  <c r="E14" i="26"/>
  <c r="D14" i="26"/>
  <c r="J12" i="26"/>
  <c r="I12" i="26"/>
  <c r="H12" i="26"/>
  <c r="H14" i="26" s="1"/>
  <c r="G12" i="26"/>
  <c r="G14" i="26" s="1"/>
  <c r="C25" i="53" s="1"/>
  <c r="G25" i="53" s="1"/>
  <c r="AN25" i="53" s="1"/>
  <c r="D28" i="67" s="1"/>
  <c r="E28" i="67" s="1"/>
  <c r="F12" i="26"/>
  <c r="F14" i="26" s="1"/>
  <c r="E12" i="26"/>
  <c r="D12" i="26"/>
  <c r="C12" i="26"/>
  <c r="C14" i="26" s="1"/>
  <c r="J14" i="23"/>
  <c r="D14" i="23"/>
  <c r="J12" i="23"/>
  <c r="I12" i="23"/>
  <c r="I14" i="23" s="1"/>
  <c r="H12" i="23"/>
  <c r="H14" i="23" s="1"/>
  <c r="N5" i="53" s="1"/>
  <c r="G12" i="23"/>
  <c r="G14" i="23" s="1"/>
  <c r="F12" i="23"/>
  <c r="F14" i="23" s="1"/>
  <c r="O5" i="53" s="1"/>
  <c r="E12" i="23"/>
  <c r="E14" i="23" s="1"/>
  <c r="D5" i="53" s="1"/>
  <c r="D12" i="23"/>
  <c r="C12" i="23"/>
  <c r="C14" i="23" s="1"/>
  <c r="F5" i="53" s="1"/>
  <c r="J16" i="71" l="1"/>
  <c r="D12" i="73"/>
  <c r="E8" i="72"/>
  <c r="I19" i="71"/>
  <c r="H8" i="72" s="1"/>
  <c r="J16" i="69"/>
  <c r="B12" i="73"/>
  <c r="H6" i="72"/>
  <c r="E6" i="72"/>
  <c r="I19" i="69"/>
  <c r="D9" i="72"/>
  <c r="H7" i="72"/>
  <c r="C12" i="73"/>
  <c r="J16" i="70"/>
  <c r="I19" i="70"/>
  <c r="E7" i="72"/>
  <c r="AC4" i="53"/>
  <c r="AN4" i="53" s="1"/>
  <c r="D7" i="67" s="1"/>
  <c r="AB27" i="53"/>
  <c r="AL27" i="53"/>
  <c r="R27" i="53"/>
  <c r="Y27" i="53"/>
  <c r="AC27" i="53" s="1"/>
  <c r="G28" i="53"/>
  <c r="AN28" i="53" s="1"/>
  <c r="D31" i="67" s="1"/>
  <c r="E31" i="67" s="1"/>
  <c r="AJ25" i="53"/>
  <c r="AJ26" i="53"/>
  <c r="G26" i="53"/>
  <c r="AN26" i="53" s="1"/>
  <c r="D29" i="67" s="1"/>
  <c r="E29" i="67" s="1"/>
  <c r="G27" i="53"/>
  <c r="Z5" i="53"/>
  <c r="AK5" i="53"/>
  <c r="Y5" i="53"/>
  <c r="AJ5" i="53" s="1"/>
  <c r="R5" i="53"/>
  <c r="AM5" i="53"/>
  <c r="G5" i="53"/>
  <c r="AJ27" i="53" l="1"/>
  <c r="AN27" i="53"/>
  <c r="D30" i="67" s="1"/>
  <c r="E30" i="67" s="1"/>
  <c r="B13" i="73"/>
  <c r="J19" i="69"/>
  <c r="I6" i="72" s="1"/>
  <c r="H10" i="72"/>
  <c r="H9" i="72"/>
  <c r="C13" i="73"/>
  <c r="J19" i="70"/>
  <c r="I7" i="72" s="1"/>
  <c r="D13" i="73"/>
  <c r="J19" i="71"/>
  <c r="I8" i="72" s="1"/>
  <c r="F12" i="73"/>
  <c r="E12" i="73"/>
  <c r="E10" i="72"/>
  <c r="E9" i="72"/>
  <c r="AM27" i="53"/>
  <c r="AC5" i="53"/>
  <c r="AN5" i="53" s="1"/>
  <c r="D8" i="67" s="1"/>
  <c r="I9" i="72" l="1"/>
  <c r="I10" i="72"/>
  <c r="F13" i="73"/>
  <c r="E13" i="73"/>
  <c r="F11" i="43"/>
  <c r="F13" i="43" s="1"/>
  <c r="E10" i="43"/>
  <c r="E11" i="43"/>
  <c r="C14" i="44"/>
  <c r="D14" i="44"/>
  <c r="E14" i="44"/>
  <c r="F14" i="44"/>
  <c r="G14" i="44"/>
  <c r="H14" i="44"/>
  <c r="I14" i="44"/>
  <c r="J14" i="44"/>
  <c r="E13" i="43" l="1"/>
  <c r="F15" i="43"/>
  <c r="E15" i="43"/>
  <c r="E14" i="43"/>
  <c r="F14" i="43"/>
  <c r="E15" i="3"/>
  <c r="C14" i="2"/>
  <c r="D11" i="43"/>
  <c r="D10" i="43"/>
  <c r="C10" i="43" s="1"/>
  <c r="D11" i="42"/>
  <c r="D10" i="42"/>
  <c r="D13" i="42" s="1"/>
  <c r="C10" i="42"/>
  <c r="C9" i="42"/>
  <c r="C8" i="42"/>
  <c r="C7" i="42"/>
  <c r="C6" i="42"/>
  <c r="C7" i="2" s="1"/>
  <c r="C8" i="1" s="1"/>
  <c r="C40" i="1" s="1"/>
  <c r="B6" i="53" s="1"/>
  <c r="M6" i="53" s="1"/>
  <c r="X6" i="53" s="1"/>
  <c r="AI6" i="53" s="1"/>
  <c r="C9" i="67" s="1"/>
  <c r="E9" i="67" s="1"/>
  <c r="D10" i="11"/>
  <c r="C19" i="1" l="1"/>
  <c r="C51" i="1" s="1"/>
  <c r="B17" i="53" s="1"/>
  <c r="M17" i="53" s="1"/>
  <c r="X17" i="53" s="1"/>
  <c r="AI17" i="53" s="1"/>
  <c r="C20" i="67" s="1"/>
  <c r="D13" i="43"/>
  <c r="C13" i="43" s="1"/>
  <c r="F16" i="43"/>
  <c r="E16" i="43"/>
  <c r="D15" i="43"/>
  <c r="C15" i="43" s="1"/>
  <c r="D14" i="43"/>
  <c r="C14" i="43" s="1"/>
  <c r="C13" i="42"/>
  <c r="D15" i="42"/>
  <c r="D14" i="42"/>
  <c r="C16" i="20"/>
  <c r="C15" i="20"/>
  <c r="C14" i="20"/>
  <c r="C13" i="20"/>
  <c r="C10" i="20"/>
  <c r="C9" i="20"/>
  <c r="C8" i="20"/>
  <c r="C7" i="20"/>
  <c r="E11" i="20"/>
  <c r="E10" i="20"/>
  <c r="E13" i="20" s="1"/>
  <c r="D16" i="43" l="1"/>
  <c r="C16" i="43" s="1"/>
  <c r="C14" i="42"/>
  <c r="D16" i="42"/>
  <c r="C16" i="42" s="1"/>
  <c r="C15" i="42"/>
  <c r="E15" i="20"/>
  <c r="E14" i="20"/>
  <c r="G17" i="53" l="1"/>
  <c r="Z17" i="53"/>
  <c r="Y17" i="53"/>
  <c r="R17" i="53"/>
  <c r="AA17" i="53"/>
  <c r="E16" i="20"/>
  <c r="AL17" i="53" l="1"/>
  <c r="AJ17" i="53"/>
  <c r="AC17" i="53"/>
  <c r="AN17" i="53" s="1"/>
  <c r="D20" i="67" s="1"/>
  <c r="E20" i="67" s="1"/>
  <c r="AK17" i="53"/>
  <c r="I7" i="7" l="1"/>
  <c r="I4" i="7"/>
  <c r="I5" i="7"/>
  <c r="I6" i="7"/>
  <c r="K6" i="7" s="1"/>
  <c r="G5" i="25" l="1"/>
  <c r="G6" i="24"/>
  <c r="G5" i="23"/>
  <c r="G5" i="27"/>
  <c r="G5" i="26"/>
  <c r="G7" i="44"/>
  <c r="F18" i="43"/>
  <c r="E18" i="43"/>
  <c r="D18" i="43"/>
  <c r="D18" i="42"/>
  <c r="C18" i="42" s="1"/>
  <c r="E18" i="20"/>
  <c r="C18" i="43" l="1"/>
  <c r="D27" i="7"/>
  <c r="D10" i="39" l="1"/>
  <c r="D13" i="39" s="1"/>
  <c r="C9" i="39"/>
  <c r="C8" i="39"/>
  <c r="C7" i="39"/>
  <c r="C6" i="2"/>
  <c r="C16" i="21"/>
  <c r="C15" i="21"/>
  <c r="C14" i="21"/>
  <c r="C13" i="21"/>
  <c r="C10" i="21"/>
  <c r="C9" i="21"/>
  <c r="C8" i="21"/>
  <c r="C7" i="21"/>
  <c r="E11" i="21"/>
  <c r="E10" i="21"/>
  <c r="E13" i="21" s="1"/>
  <c r="C7" i="1" l="1"/>
  <c r="C6" i="1"/>
  <c r="C38" i="1" s="1"/>
  <c r="B4" i="53" s="1"/>
  <c r="C10" i="39"/>
  <c r="C13" i="39"/>
  <c r="D15" i="39"/>
  <c r="D14" i="39"/>
  <c r="E15" i="21"/>
  <c r="E14" i="21"/>
  <c r="C9" i="16"/>
  <c r="C8" i="16"/>
  <c r="C7" i="16"/>
  <c r="C6" i="16"/>
  <c r="C9" i="13"/>
  <c r="C8" i="13"/>
  <c r="C7" i="13"/>
  <c r="C6" i="13"/>
  <c r="D11" i="16"/>
  <c r="D10" i="16"/>
  <c r="D13" i="16" s="1"/>
  <c r="M4" i="53" l="1"/>
  <c r="X4" i="53" s="1"/>
  <c r="AI4" i="53" s="1"/>
  <c r="C7" i="67" s="1"/>
  <c r="E7" i="67" s="1"/>
  <c r="C39" i="1"/>
  <c r="B5" i="53" s="1"/>
  <c r="M5" i="53" s="1"/>
  <c r="X5" i="53" s="1"/>
  <c r="AI5" i="53" s="1"/>
  <c r="C8" i="67" s="1"/>
  <c r="C14" i="39"/>
  <c r="C15" i="39"/>
  <c r="D16" i="39"/>
  <c r="C16" i="39" s="1"/>
  <c r="E16" i="21"/>
  <c r="D15" i="16"/>
  <c r="D14" i="16"/>
  <c r="E8" i="67" l="1"/>
  <c r="D16" i="16"/>
  <c r="E11" i="13" l="1"/>
  <c r="E10" i="13"/>
  <c r="E13" i="13" s="1"/>
  <c r="C27" i="7"/>
  <c r="F25" i="33" l="1"/>
  <c r="F22" i="24"/>
  <c r="G21" i="27"/>
  <c r="F24" i="27"/>
  <c r="F21" i="26"/>
  <c r="H24" i="25"/>
  <c r="H26" i="25" s="1"/>
  <c r="G33" i="25" s="1"/>
  <c r="F21" i="27"/>
  <c r="H24" i="23"/>
  <c r="H26" i="23" s="1"/>
  <c r="G24" i="25"/>
  <c r="G26" i="25" s="1"/>
  <c r="H23" i="26"/>
  <c r="G24" i="23"/>
  <c r="G26" i="23" s="1"/>
  <c r="F21" i="25"/>
  <c r="H21" i="27"/>
  <c r="F24" i="25"/>
  <c r="G23" i="26"/>
  <c r="F24" i="23"/>
  <c r="H21" i="25"/>
  <c r="H24" i="27"/>
  <c r="H26" i="27" s="1"/>
  <c r="G33" i="27" s="1"/>
  <c r="F23" i="26"/>
  <c r="H21" i="23"/>
  <c r="G21" i="25"/>
  <c r="G24" i="27"/>
  <c r="G26" i="27" s="1"/>
  <c r="H21" i="26"/>
  <c r="H24" i="26" s="1"/>
  <c r="H26" i="26" s="1"/>
  <c r="G33" i="26" s="1"/>
  <c r="G21" i="23"/>
  <c r="G21" i="26"/>
  <c r="F21" i="23"/>
  <c r="F24" i="32"/>
  <c r="G24" i="32" s="1"/>
  <c r="F21" i="3"/>
  <c r="H21" i="3" s="1"/>
  <c r="H24" i="36"/>
  <c r="G24" i="35"/>
  <c r="F24" i="36"/>
  <c r="H24" i="35"/>
  <c r="F22" i="36"/>
  <c r="G24" i="36"/>
  <c r="F24" i="35"/>
  <c r="G22" i="36"/>
  <c r="H22" i="36"/>
  <c r="F22" i="33"/>
  <c r="G22" i="34"/>
  <c r="F22" i="34" s="1"/>
  <c r="E15" i="13"/>
  <c r="E14" i="13"/>
  <c r="H22" i="34"/>
  <c r="H22" i="33"/>
  <c r="G25" i="34"/>
  <c r="G22" i="30"/>
  <c r="F22" i="31"/>
  <c r="H25" i="33"/>
  <c r="H27" i="33" s="1"/>
  <c r="G35" i="33" s="1"/>
  <c r="U19" i="53" s="1"/>
  <c r="AF19" i="53" s="1"/>
  <c r="H25" i="34"/>
  <c r="H22" i="35"/>
  <c r="F22" i="30"/>
  <c r="G22" i="33"/>
  <c r="F22" i="3"/>
  <c r="H22" i="3" s="1"/>
  <c r="H22" i="30"/>
  <c r="G25" i="33"/>
  <c r="G27" i="33" s="1"/>
  <c r="F22" i="35"/>
  <c r="G22" i="35"/>
  <c r="F22" i="32"/>
  <c r="F25" i="34"/>
  <c r="F24" i="30"/>
  <c r="H25" i="36" l="1"/>
  <c r="H25" i="35"/>
  <c r="G25" i="35"/>
  <c r="F24" i="26"/>
  <c r="F25" i="36"/>
  <c r="F25" i="35"/>
  <c r="F62" i="1"/>
  <c r="F33" i="27"/>
  <c r="J28" i="53" s="1"/>
  <c r="U27" i="53"/>
  <c r="AF27" i="53" s="1"/>
  <c r="F30" i="1"/>
  <c r="G25" i="36"/>
  <c r="U25" i="53"/>
  <c r="AF25" i="53" s="1"/>
  <c r="F28" i="1"/>
  <c r="U5" i="53"/>
  <c r="AF5" i="53" s="1"/>
  <c r="G33" i="23"/>
  <c r="J5" i="53"/>
  <c r="F33" i="23"/>
  <c r="F39" i="1"/>
  <c r="U28" i="53"/>
  <c r="AF28" i="53" s="1"/>
  <c r="F31" i="1"/>
  <c r="H22" i="24"/>
  <c r="H25" i="24" s="1"/>
  <c r="H27" i="24" s="1"/>
  <c r="G34" i="24" s="1"/>
  <c r="G22" i="24"/>
  <c r="F25" i="24"/>
  <c r="G25" i="24" s="1"/>
  <c r="G27" i="24" s="1"/>
  <c r="G24" i="26"/>
  <c r="G26" i="26" s="1"/>
  <c r="F61" i="1"/>
  <c r="F33" i="25"/>
  <c r="J27" i="53" s="1"/>
  <c r="F35" i="33"/>
  <c r="J19" i="53" s="1"/>
  <c r="AQ19" i="53" s="1"/>
  <c r="G22" i="67" s="1"/>
  <c r="F53" i="1"/>
  <c r="H25" i="3"/>
  <c r="E16" i="13"/>
  <c r="F25" i="30"/>
  <c r="H22" i="32"/>
  <c r="F25" i="32"/>
  <c r="G22" i="32"/>
  <c r="H24" i="32"/>
  <c r="G24" i="30"/>
  <c r="G25" i="30" s="1"/>
  <c r="H24" i="30"/>
  <c r="H25" i="30" s="1"/>
  <c r="H27" i="30" s="1"/>
  <c r="G22" i="31"/>
  <c r="G25" i="31" s="1"/>
  <c r="F25" i="31"/>
  <c r="H22" i="31"/>
  <c r="H25" i="31" s="1"/>
  <c r="F7" i="1" l="1"/>
  <c r="G5" i="47"/>
  <c r="AQ5" i="53"/>
  <c r="G8" i="67" s="1"/>
  <c r="AQ27" i="53"/>
  <c r="G30" i="67" s="1"/>
  <c r="F60" i="1"/>
  <c r="F34" i="24"/>
  <c r="J26" i="53" s="1"/>
  <c r="U26" i="53"/>
  <c r="AF26" i="53" s="1"/>
  <c r="F29" i="1"/>
  <c r="F59" i="1"/>
  <c r="F33" i="26"/>
  <c r="J25" i="53" s="1"/>
  <c r="AQ25" i="53" s="1"/>
  <c r="G28" i="67" s="1"/>
  <c r="AQ28" i="53"/>
  <c r="G31" i="67" s="1"/>
  <c r="G25" i="32"/>
  <c r="G27" i="32" s="1"/>
  <c r="H25" i="32"/>
  <c r="F5" i="47" l="1"/>
  <c r="AQ26" i="53"/>
  <c r="G29" i="67" s="1"/>
  <c r="F52" i="1"/>
  <c r="F21" i="1"/>
  <c r="H27" i="36" l="1"/>
  <c r="G34" i="36" s="1"/>
  <c r="U14" i="53" s="1"/>
  <c r="AF14" i="53" s="1"/>
  <c r="G27" i="36"/>
  <c r="E25" i="36"/>
  <c r="D25" i="36"/>
  <c r="C25" i="36"/>
  <c r="J13" i="36"/>
  <c r="J15" i="36" s="1"/>
  <c r="I13" i="36"/>
  <c r="I15" i="36" s="1"/>
  <c r="H13" i="36"/>
  <c r="H15" i="36" s="1"/>
  <c r="G13" i="36"/>
  <c r="G15" i="36" s="1"/>
  <c r="F13" i="36"/>
  <c r="F15" i="36" s="1"/>
  <c r="E13" i="36"/>
  <c r="E15" i="36" s="1"/>
  <c r="D13" i="36"/>
  <c r="D15" i="36" s="1"/>
  <c r="C13" i="36"/>
  <c r="C15" i="36" s="1"/>
  <c r="H27" i="35"/>
  <c r="G35" i="35" s="1"/>
  <c r="G27" i="35"/>
  <c r="E25" i="35"/>
  <c r="D25" i="35"/>
  <c r="C25" i="35"/>
  <c r="J13" i="35"/>
  <c r="J15" i="35" s="1"/>
  <c r="I13" i="35"/>
  <c r="I15" i="35" s="1"/>
  <c r="H13" i="35"/>
  <c r="H15" i="35" s="1"/>
  <c r="G13" i="35"/>
  <c r="G15" i="35" s="1"/>
  <c r="F13" i="35"/>
  <c r="F15" i="35" s="1"/>
  <c r="E13" i="35"/>
  <c r="E15" i="35" s="1"/>
  <c r="D13" i="35"/>
  <c r="D15" i="35" s="1"/>
  <c r="C13" i="35"/>
  <c r="C15" i="35" s="1"/>
  <c r="C14" i="18"/>
  <c r="J14" i="18"/>
  <c r="I14" i="18"/>
  <c r="H14" i="18"/>
  <c r="G14" i="18"/>
  <c r="F14" i="18"/>
  <c r="E14" i="18"/>
  <c r="D14" i="18"/>
  <c r="J13" i="34"/>
  <c r="I13" i="34"/>
  <c r="I15" i="34" s="1"/>
  <c r="H13" i="34"/>
  <c r="H15" i="34" s="1"/>
  <c r="G13" i="34"/>
  <c r="G15" i="34" s="1"/>
  <c r="F13" i="34"/>
  <c r="E13" i="34"/>
  <c r="D13" i="34"/>
  <c r="C13" i="34"/>
  <c r="C15" i="34" s="1"/>
  <c r="J13" i="33"/>
  <c r="I13" i="33"/>
  <c r="I15" i="33" s="1"/>
  <c r="H13" i="33"/>
  <c r="H15" i="33" s="1"/>
  <c r="G13" i="33"/>
  <c r="G15" i="33" s="1"/>
  <c r="F13" i="33"/>
  <c r="F15" i="33" s="1"/>
  <c r="E13" i="33"/>
  <c r="E15" i="33" s="1"/>
  <c r="D13" i="33"/>
  <c r="D15" i="33" s="1"/>
  <c r="C13" i="33"/>
  <c r="C15" i="33" s="1"/>
  <c r="J13" i="32"/>
  <c r="I13" i="32"/>
  <c r="I15" i="32" s="1"/>
  <c r="H13" i="32"/>
  <c r="G13" i="32"/>
  <c r="F13" i="32"/>
  <c r="E13" i="32"/>
  <c r="E15" i="32" s="1"/>
  <c r="D13" i="32"/>
  <c r="C13" i="32"/>
  <c r="J13" i="31"/>
  <c r="I13" i="31"/>
  <c r="I15" i="31" s="1"/>
  <c r="H13" i="31"/>
  <c r="H15" i="31" s="1"/>
  <c r="G13" i="31"/>
  <c r="G15" i="31" s="1"/>
  <c r="F13" i="31"/>
  <c r="E13" i="31"/>
  <c r="E15" i="31" s="1"/>
  <c r="D13" i="31"/>
  <c r="D15" i="31" s="1"/>
  <c r="C13" i="31"/>
  <c r="C15" i="31" s="1"/>
  <c r="J13" i="30"/>
  <c r="J15" i="30" s="1"/>
  <c r="P16" i="53" s="1"/>
  <c r="AA16" i="53" s="1"/>
  <c r="I13" i="30"/>
  <c r="I15" i="30" s="1"/>
  <c r="E16" i="53" s="1"/>
  <c r="H13" i="30"/>
  <c r="H15" i="30" s="1"/>
  <c r="N16" i="53" s="1"/>
  <c r="G13" i="30"/>
  <c r="G15" i="30" s="1"/>
  <c r="C16" i="53" s="1"/>
  <c r="F13" i="30"/>
  <c r="F15" i="30" s="1"/>
  <c r="O16" i="53" s="1"/>
  <c r="Z16" i="53" s="1"/>
  <c r="E13" i="30"/>
  <c r="E15" i="30" s="1"/>
  <c r="D16" i="53" s="1"/>
  <c r="D13" i="30"/>
  <c r="D15" i="30" s="1"/>
  <c r="Q16" i="53" s="1"/>
  <c r="C13" i="30"/>
  <c r="C15" i="30" s="1"/>
  <c r="F16" i="53" s="1"/>
  <c r="F29" i="53" s="1"/>
  <c r="H27" i="3"/>
  <c r="G25" i="3"/>
  <c r="G27" i="3" s="1"/>
  <c r="F25" i="3"/>
  <c r="E25" i="3"/>
  <c r="D25" i="3"/>
  <c r="C25" i="3"/>
  <c r="H13" i="3"/>
  <c r="H15" i="3" s="1"/>
  <c r="C13" i="3"/>
  <c r="C15" i="3" s="1"/>
  <c r="J13" i="3"/>
  <c r="J15" i="3" s="1"/>
  <c r="I13" i="3"/>
  <c r="G13" i="3"/>
  <c r="F13" i="3"/>
  <c r="E13" i="3"/>
  <c r="D13" i="3"/>
  <c r="D15" i="3"/>
  <c r="H27" i="34"/>
  <c r="G34" i="34" s="1"/>
  <c r="U23" i="53" s="1"/>
  <c r="AF23" i="53" s="1"/>
  <c r="G27" i="34"/>
  <c r="J15" i="34"/>
  <c r="F15" i="34"/>
  <c r="E15" i="34"/>
  <c r="D15" i="34"/>
  <c r="J15" i="33"/>
  <c r="H27" i="32"/>
  <c r="G34" i="32" s="1"/>
  <c r="U18" i="53" s="1"/>
  <c r="AF18" i="53" s="1"/>
  <c r="F34" i="32"/>
  <c r="J18" i="53" s="1"/>
  <c r="J15" i="32"/>
  <c r="H15" i="32"/>
  <c r="G15" i="32"/>
  <c r="F15" i="32"/>
  <c r="D15" i="32"/>
  <c r="C15" i="32"/>
  <c r="H27" i="31"/>
  <c r="G35" i="31" s="1"/>
  <c r="U17" i="53" s="1"/>
  <c r="AF17" i="53" s="1"/>
  <c r="G27" i="31"/>
  <c r="J15" i="31"/>
  <c r="F15" i="31"/>
  <c r="G35" i="30"/>
  <c r="G27" i="30"/>
  <c r="L37" i="7"/>
  <c r="L36" i="7"/>
  <c r="L35" i="7"/>
  <c r="C21" i="7"/>
  <c r="C20" i="7"/>
  <c r="K7" i="7"/>
  <c r="G7" i="18"/>
  <c r="K5" i="7"/>
  <c r="K4" i="7"/>
  <c r="D11" i="21"/>
  <c r="D10" i="21"/>
  <c r="D13" i="21" s="1"/>
  <c r="C17" i="2"/>
  <c r="C23" i="1" s="1"/>
  <c r="C55" i="1" s="1"/>
  <c r="B21" i="53" s="1"/>
  <c r="M21" i="53" s="1"/>
  <c r="X21" i="53" s="1"/>
  <c r="AI21" i="53" s="1"/>
  <c r="C24" i="67" s="1"/>
  <c r="E24" i="67" s="1"/>
  <c r="D11" i="20"/>
  <c r="D10" i="20"/>
  <c r="D13" i="20" s="1"/>
  <c r="C15" i="2"/>
  <c r="D11" i="17"/>
  <c r="D10" i="17"/>
  <c r="C10" i="17" s="1"/>
  <c r="C9" i="17"/>
  <c r="C8" i="17"/>
  <c r="C7" i="17"/>
  <c r="C6" i="17"/>
  <c r="C13" i="2" s="1"/>
  <c r="C17" i="1" s="1"/>
  <c r="C49" i="1" s="1"/>
  <c r="B15" i="53" s="1"/>
  <c r="M15" i="53" s="1"/>
  <c r="X15" i="53" s="1"/>
  <c r="AI15" i="53" s="1"/>
  <c r="C18" i="67" s="1"/>
  <c r="E18" i="67" s="1"/>
  <c r="C12" i="2"/>
  <c r="C16" i="1" s="1"/>
  <c r="C48" i="1" s="1"/>
  <c r="B14" i="53" s="1"/>
  <c r="M14" i="53" s="1"/>
  <c r="X14" i="53" s="1"/>
  <c r="AI14" i="53" s="1"/>
  <c r="C17" i="67" s="1"/>
  <c r="E17" i="67" s="1"/>
  <c r="D11" i="13"/>
  <c r="D10" i="13"/>
  <c r="C11" i="2"/>
  <c r="C13" i="1" s="1"/>
  <c r="D11" i="12"/>
  <c r="D10" i="12"/>
  <c r="D13" i="12" s="1"/>
  <c r="C9" i="12"/>
  <c r="C8" i="12"/>
  <c r="C6" i="12"/>
  <c r="C10" i="2" s="1"/>
  <c r="C12" i="1" s="1"/>
  <c r="C44" i="1" s="1"/>
  <c r="B10" i="53" s="1"/>
  <c r="M10" i="53" s="1"/>
  <c r="X10" i="53" s="1"/>
  <c r="AI10" i="53" s="1"/>
  <c r="C13" i="67" s="1"/>
  <c r="D11" i="11"/>
  <c r="D13" i="11"/>
  <c r="C9" i="11"/>
  <c r="C8" i="11"/>
  <c r="C7" i="11"/>
  <c r="C6" i="11"/>
  <c r="C8" i="2" s="1"/>
  <c r="C9" i="1" s="1"/>
  <c r="I15" i="3"/>
  <c r="G15" i="3"/>
  <c r="F15" i="3"/>
  <c r="C21" i="1" l="1"/>
  <c r="C53" i="1" s="1"/>
  <c r="B19" i="53" s="1"/>
  <c r="B29" i="53" s="1"/>
  <c r="U11" i="53"/>
  <c r="AF11" i="53" s="1"/>
  <c r="G5" i="48"/>
  <c r="Y16" i="53"/>
  <c r="R16" i="53"/>
  <c r="G16" i="53"/>
  <c r="AL16" i="53"/>
  <c r="AK16" i="53"/>
  <c r="U16" i="53"/>
  <c r="AF16" i="53" s="1"/>
  <c r="AB16" i="53"/>
  <c r="Q29" i="53"/>
  <c r="C45" i="1"/>
  <c r="B11" i="53" s="1"/>
  <c r="M11" i="53" s="1"/>
  <c r="X11" i="53" s="1"/>
  <c r="AI11" i="53" s="1"/>
  <c r="C14" i="67" s="1"/>
  <c r="C6" i="24"/>
  <c r="C5" i="27"/>
  <c r="C5" i="26"/>
  <c r="C5" i="25"/>
  <c r="C5" i="23"/>
  <c r="C7" i="44"/>
  <c r="E5" i="27"/>
  <c r="E5" i="25"/>
  <c r="E6" i="24"/>
  <c r="E5" i="23"/>
  <c r="E5" i="26"/>
  <c r="E7" i="44"/>
  <c r="E20" i="43"/>
  <c r="F20" i="43"/>
  <c r="D20" i="43"/>
  <c r="D20" i="42"/>
  <c r="E20" i="20"/>
  <c r="I5" i="25"/>
  <c r="I5" i="23"/>
  <c r="I5" i="26"/>
  <c r="I6" i="24"/>
  <c r="I5" i="27"/>
  <c r="I7" i="44"/>
  <c r="F19" i="43"/>
  <c r="E19" i="43"/>
  <c r="D19" i="43"/>
  <c r="D19" i="42"/>
  <c r="C19" i="42" s="1"/>
  <c r="E19" i="20"/>
  <c r="AQ18" i="53"/>
  <c r="G21" i="67" s="1"/>
  <c r="C41" i="1"/>
  <c r="B7" i="53" s="1"/>
  <c r="M7" i="53" s="1"/>
  <c r="X7" i="53" s="1"/>
  <c r="AI7" i="53" s="1"/>
  <c r="C10" i="67" s="1"/>
  <c r="E10" i="67" s="1"/>
  <c r="F13" i="1"/>
  <c r="F35" i="35"/>
  <c r="F45" i="1"/>
  <c r="F18" i="1"/>
  <c r="F34" i="34"/>
  <c r="J23" i="53" s="1"/>
  <c r="AQ23" i="53" s="1"/>
  <c r="G26" i="67" s="1"/>
  <c r="F57" i="1"/>
  <c r="F46" i="1"/>
  <c r="F35" i="30"/>
  <c r="F50" i="1"/>
  <c r="F35" i="31"/>
  <c r="J17" i="53" s="1"/>
  <c r="AQ17" i="53" s="1"/>
  <c r="G20" i="67" s="1"/>
  <c r="F51" i="1"/>
  <c r="F25" i="1"/>
  <c r="F34" i="36"/>
  <c r="J14" i="53" s="1"/>
  <c r="AQ14" i="53" s="1"/>
  <c r="G17" i="67" s="1"/>
  <c r="F48" i="1"/>
  <c r="F19" i="1"/>
  <c r="F20" i="1"/>
  <c r="F16" i="1"/>
  <c r="G34" i="3"/>
  <c r="F34" i="3" s="1"/>
  <c r="J12" i="53" s="1"/>
  <c r="D18" i="11"/>
  <c r="C18" i="11" s="1"/>
  <c r="E18" i="21"/>
  <c r="D18" i="39"/>
  <c r="C18" i="39" s="1"/>
  <c r="D18" i="16"/>
  <c r="C18" i="16" s="1"/>
  <c r="E18" i="13"/>
  <c r="D20" i="39"/>
  <c r="C20" i="39" s="1"/>
  <c r="E20" i="21"/>
  <c r="D20" i="16"/>
  <c r="E20" i="13"/>
  <c r="E7" i="18"/>
  <c r="C7" i="18"/>
  <c r="I6" i="35"/>
  <c r="I7" i="18"/>
  <c r="I6" i="3"/>
  <c r="I6" i="32"/>
  <c r="E19" i="21"/>
  <c r="D19" i="39"/>
  <c r="D19" i="16"/>
  <c r="E19" i="13"/>
  <c r="C10" i="16"/>
  <c r="D13" i="13"/>
  <c r="C10" i="13"/>
  <c r="D13" i="17"/>
  <c r="D18" i="17" s="1"/>
  <c r="C18" i="17" s="1"/>
  <c r="C10" i="12"/>
  <c r="G6" i="30"/>
  <c r="G6" i="33"/>
  <c r="C6" i="36"/>
  <c r="C6" i="30"/>
  <c r="D18" i="20"/>
  <c r="C18" i="20" s="1"/>
  <c r="I6" i="30"/>
  <c r="C6" i="34"/>
  <c r="E6" i="36"/>
  <c r="C6" i="3"/>
  <c r="D19" i="20"/>
  <c r="C6" i="31"/>
  <c r="E6" i="34"/>
  <c r="E6" i="3"/>
  <c r="D18" i="12"/>
  <c r="C18" i="12" s="1"/>
  <c r="D20" i="20"/>
  <c r="E6" i="31"/>
  <c r="G6" i="34"/>
  <c r="G6" i="3"/>
  <c r="D18" i="21"/>
  <c r="I6" i="34"/>
  <c r="G6" i="32"/>
  <c r="G6" i="35"/>
  <c r="D20" i="21"/>
  <c r="G6" i="31"/>
  <c r="C6" i="33"/>
  <c r="G6" i="36"/>
  <c r="I6" i="31"/>
  <c r="E6" i="33"/>
  <c r="I6" i="36"/>
  <c r="C6" i="35"/>
  <c r="E6" i="30"/>
  <c r="C6" i="32"/>
  <c r="I6" i="33"/>
  <c r="E6" i="35"/>
  <c r="E6" i="32"/>
  <c r="D15" i="21"/>
  <c r="D14" i="21"/>
  <c r="D19" i="21" s="1"/>
  <c r="D15" i="20"/>
  <c r="D14" i="20"/>
  <c r="D15" i="13"/>
  <c r="C13" i="12"/>
  <c r="C10" i="53" s="1"/>
  <c r="C29" i="53" s="1"/>
  <c r="D15" i="12"/>
  <c r="D20" i="12" s="1"/>
  <c r="D14" i="12"/>
  <c r="D19" i="12" s="1"/>
  <c r="D15" i="11"/>
  <c r="D20" i="11" s="1"/>
  <c r="C13" i="11"/>
  <c r="D14" i="11"/>
  <c r="D19" i="11" s="1"/>
  <c r="C10" i="11"/>
  <c r="M19" i="53" l="1"/>
  <c r="X19" i="53" s="1"/>
  <c r="AI19" i="53" s="1"/>
  <c r="C22" i="67" s="1"/>
  <c r="C32" i="67" s="1"/>
  <c r="E32" i="67" s="1"/>
  <c r="J11" i="53"/>
  <c r="F5" i="48"/>
  <c r="H6" i="46"/>
  <c r="J16" i="53"/>
  <c r="AQ16" i="53" s="1"/>
  <c r="G19" i="67" s="1"/>
  <c r="G6" i="46"/>
  <c r="AM16" i="53"/>
  <c r="AM29" i="53" s="1"/>
  <c r="AB29" i="53"/>
  <c r="AJ16" i="53"/>
  <c r="AC16" i="53"/>
  <c r="AN16" i="53" s="1"/>
  <c r="D19" i="67" s="1"/>
  <c r="E19" i="67" s="1"/>
  <c r="B6" i="73"/>
  <c r="B6" i="66"/>
  <c r="M29" i="53"/>
  <c r="E22" i="67"/>
  <c r="C20" i="20"/>
  <c r="C19" i="43"/>
  <c r="C20" i="43"/>
  <c r="F21" i="43"/>
  <c r="O11" i="53"/>
  <c r="Z11" i="53" s="1"/>
  <c r="D11" i="53"/>
  <c r="N11" i="53"/>
  <c r="N10" i="53"/>
  <c r="N29" i="53" s="1"/>
  <c r="E21" i="43"/>
  <c r="E23" i="43" s="1"/>
  <c r="K13" i="44"/>
  <c r="K10" i="44"/>
  <c r="K11" i="44"/>
  <c r="L10" i="44"/>
  <c r="K12" i="44"/>
  <c r="L11" i="44"/>
  <c r="L12" i="44"/>
  <c r="K9" i="44"/>
  <c r="L13" i="44"/>
  <c r="L9" i="44"/>
  <c r="R14" i="35"/>
  <c r="K9" i="23"/>
  <c r="K11" i="23"/>
  <c r="K10" i="23"/>
  <c r="K8" i="23"/>
  <c r="L7" i="23"/>
  <c r="L10" i="23"/>
  <c r="L11" i="23"/>
  <c r="L9" i="23"/>
  <c r="K7" i="23"/>
  <c r="L8" i="23"/>
  <c r="L11" i="25"/>
  <c r="L8" i="25"/>
  <c r="L10" i="25"/>
  <c r="K10" i="25"/>
  <c r="K7" i="25"/>
  <c r="L7" i="25"/>
  <c r="K9" i="25"/>
  <c r="K8" i="25"/>
  <c r="K11" i="25"/>
  <c r="L9" i="25"/>
  <c r="E21" i="20"/>
  <c r="E23" i="20" s="1"/>
  <c r="L8" i="26"/>
  <c r="K9" i="26"/>
  <c r="K11" i="26"/>
  <c r="L9" i="26"/>
  <c r="K8" i="26"/>
  <c r="K10" i="26"/>
  <c r="K7" i="26"/>
  <c r="L7" i="26"/>
  <c r="L10" i="26"/>
  <c r="L11" i="26"/>
  <c r="D21" i="42"/>
  <c r="C20" i="42"/>
  <c r="K10" i="27"/>
  <c r="K7" i="27"/>
  <c r="K11" i="27"/>
  <c r="L7" i="27"/>
  <c r="K9" i="27"/>
  <c r="L8" i="27"/>
  <c r="K8" i="27"/>
  <c r="L9" i="27"/>
  <c r="L11" i="27"/>
  <c r="L10" i="27"/>
  <c r="C19" i="20"/>
  <c r="D21" i="43"/>
  <c r="L10" i="24"/>
  <c r="L12" i="24"/>
  <c r="L9" i="24"/>
  <c r="L11" i="24"/>
  <c r="K11" i="24"/>
  <c r="K10" i="24"/>
  <c r="L8" i="24"/>
  <c r="K9" i="24"/>
  <c r="K8" i="24"/>
  <c r="K12" i="24"/>
  <c r="R16" i="30"/>
  <c r="U12" i="53"/>
  <c r="AQ11" i="53"/>
  <c r="G14" i="67" s="1"/>
  <c r="F63" i="1"/>
  <c r="F14" i="1"/>
  <c r="F32" i="1" s="1"/>
  <c r="Q16" i="33"/>
  <c r="U16" i="31"/>
  <c r="K8" i="31"/>
  <c r="C18" i="21"/>
  <c r="K8" i="3"/>
  <c r="C19" i="21"/>
  <c r="D21" i="16"/>
  <c r="D23" i="16" s="1"/>
  <c r="L12" i="18"/>
  <c r="E21" i="21"/>
  <c r="E23" i="21" s="1"/>
  <c r="C20" i="21"/>
  <c r="K12" i="3"/>
  <c r="L11" i="18"/>
  <c r="K12" i="18"/>
  <c r="L9" i="18"/>
  <c r="E21" i="13"/>
  <c r="E23" i="13" s="1"/>
  <c r="L10" i="30"/>
  <c r="L9" i="30"/>
  <c r="K13" i="18"/>
  <c r="K11" i="31"/>
  <c r="K11" i="18"/>
  <c r="L10" i="18"/>
  <c r="K9" i="18"/>
  <c r="C19" i="39"/>
  <c r="D21" i="39"/>
  <c r="L13" i="18"/>
  <c r="K10" i="18"/>
  <c r="L11" i="30"/>
  <c r="K12" i="30"/>
  <c r="L10" i="32"/>
  <c r="L12" i="3"/>
  <c r="L10" i="36"/>
  <c r="L11" i="35"/>
  <c r="L11" i="34"/>
  <c r="C19" i="16"/>
  <c r="C13" i="16"/>
  <c r="C20" i="16"/>
  <c r="C15" i="16"/>
  <c r="C14" i="16"/>
  <c r="K11" i="3"/>
  <c r="L8" i="33"/>
  <c r="L11" i="3"/>
  <c r="K10" i="3"/>
  <c r="L9" i="3"/>
  <c r="K9" i="3"/>
  <c r="K10" i="36"/>
  <c r="K9" i="34"/>
  <c r="L9" i="35"/>
  <c r="L9" i="36"/>
  <c r="L12" i="35"/>
  <c r="L8" i="36"/>
  <c r="L8" i="35"/>
  <c r="K12" i="36"/>
  <c r="K9" i="36"/>
  <c r="K8" i="36"/>
  <c r="K12" i="31"/>
  <c r="K9" i="35"/>
  <c r="L11" i="36"/>
  <c r="K8" i="32"/>
  <c r="K11" i="36"/>
  <c r="K10" i="35"/>
  <c r="L12" i="36"/>
  <c r="K10" i="31"/>
  <c r="K8" i="30"/>
  <c r="L8" i="30"/>
  <c r="D18" i="13"/>
  <c r="C18" i="13" s="1"/>
  <c r="C13" i="13"/>
  <c r="D14" i="13"/>
  <c r="D20" i="13"/>
  <c r="C20" i="13" s="1"/>
  <c r="C15" i="13"/>
  <c r="D15" i="17"/>
  <c r="D20" i="17" s="1"/>
  <c r="C13" i="17"/>
  <c r="D14" i="17"/>
  <c r="D19" i="17" s="1"/>
  <c r="C19" i="17" s="1"/>
  <c r="K10" i="30"/>
  <c r="L12" i="30"/>
  <c r="L10" i="3"/>
  <c r="L9" i="32"/>
  <c r="L11" i="31"/>
  <c r="K11" i="34"/>
  <c r="L9" i="31"/>
  <c r="L10" i="34"/>
  <c r="K9" i="30"/>
  <c r="K8" i="33"/>
  <c r="K9" i="31"/>
  <c r="L8" i="3"/>
  <c r="L12" i="34"/>
  <c r="K10" i="33"/>
  <c r="K11" i="30"/>
  <c r="L8" i="32"/>
  <c r="K10" i="34"/>
  <c r="K11" i="32"/>
  <c r="L10" i="31"/>
  <c r="L11" i="33"/>
  <c r="L8" i="34"/>
  <c r="K12" i="34"/>
  <c r="L12" i="32"/>
  <c r="L8" i="31"/>
  <c r="L9" i="33"/>
  <c r="K8" i="34"/>
  <c r="L9" i="34"/>
  <c r="K12" i="32"/>
  <c r="K9" i="33"/>
  <c r="K12" i="35"/>
  <c r="L10" i="33"/>
  <c r="K9" i="32"/>
  <c r="K10" i="32"/>
  <c r="K8" i="35"/>
  <c r="K12" i="33"/>
  <c r="L11" i="32"/>
  <c r="K11" i="33"/>
  <c r="L12" i="31"/>
  <c r="L10" i="35"/>
  <c r="K11" i="35"/>
  <c r="L12" i="33"/>
  <c r="D16" i="21"/>
  <c r="D16" i="20"/>
  <c r="D16" i="13"/>
  <c r="C16" i="13" s="1"/>
  <c r="C19" i="12"/>
  <c r="C14" i="12"/>
  <c r="D16" i="12"/>
  <c r="C16" i="12" s="1"/>
  <c r="C15" i="12"/>
  <c r="C14" i="11"/>
  <c r="C19" i="11"/>
  <c r="D16" i="11"/>
  <c r="C16" i="11" s="1"/>
  <c r="C15" i="11"/>
  <c r="J29" i="53" l="1"/>
  <c r="X29" i="53"/>
  <c r="C6" i="73"/>
  <c r="B7" i="66"/>
  <c r="E6" i="66"/>
  <c r="B9" i="73"/>
  <c r="F23" i="43"/>
  <c r="C21" i="43"/>
  <c r="E11" i="53"/>
  <c r="G11" i="53" s="1"/>
  <c r="P11" i="53"/>
  <c r="AA11" i="53" s="1"/>
  <c r="AL11" i="53" s="1"/>
  <c r="Y11" i="53"/>
  <c r="R11" i="53"/>
  <c r="AK11" i="53"/>
  <c r="D10" i="53"/>
  <c r="E10" i="53"/>
  <c r="Y10" i="53"/>
  <c r="K12" i="27"/>
  <c r="K14" i="27" s="1"/>
  <c r="D62" i="1" s="1"/>
  <c r="H62" i="1" s="1"/>
  <c r="K12" i="23"/>
  <c r="K14" i="23" s="1"/>
  <c r="C21" i="42"/>
  <c r="D23" i="42"/>
  <c r="C23" i="42" s="1"/>
  <c r="L12" i="25"/>
  <c r="L14" i="25" s="1"/>
  <c r="K13" i="24"/>
  <c r="K15" i="24" s="1"/>
  <c r="K12" i="25"/>
  <c r="K14" i="25" s="1"/>
  <c r="L14" i="44"/>
  <c r="D19" i="44" s="1"/>
  <c r="D23" i="43"/>
  <c r="L13" i="24"/>
  <c r="L12" i="27"/>
  <c r="L14" i="27" s="1"/>
  <c r="L12" i="26"/>
  <c r="L12" i="23"/>
  <c r="L14" i="23" s="1"/>
  <c r="K14" i="44"/>
  <c r="C19" i="44" s="1"/>
  <c r="K12" i="26"/>
  <c r="AF12" i="53"/>
  <c r="U29" i="53"/>
  <c r="L13" i="30"/>
  <c r="L15" i="30" s="1"/>
  <c r="K13" i="30"/>
  <c r="K15" i="30" s="1"/>
  <c r="K14" i="18"/>
  <c r="L14" i="18"/>
  <c r="D23" i="39"/>
  <c r="C23" i="39" s="1"/>
  <c r="C21" i="39"/>
  <c r="K13" i="3"/>
  <c r="K15" i="3" s="1"/>
  <c r="G29" i="3" s="1"/>
  <c r="L13" i="36"/>
  <c r="L15" i="36" s="1"/>
  <c r="C15" i="17"/>
  <c r="C16" i="16"/>
  <c r="L13" i="3"/>
  <c r="L15" i="3" s="1"/>
  <c r="L13" i="35"/>
  <c r="L15" i="35" s="1"/>
  <c r="K13" i="32"/>
  <c r="K15" i="32" s="1"/>
  <c r="L13" i="34"/>
  <c r="L15" i="34" s="1"/>
  <c r="L13" i="32"/>
  <c r="L15" i="32" s="1"/>
  <c r="E52" i="1" s="1"/>
  <c r="K13" i="36"/>
  <c r="K15" i="36" s="1"/>
  <c r="K13" i="35"/>
  <c r="K15" i="35" s="1"/>
  <c r="D19" i="13"/>
  <c r="C19" i="13" s="1"/>
  <c r="C14" i="13"/>
  <c r="C14" i="17"/>
  <c r="D16" i="17"/>
  <c r="C16" i="17" s="1"/>
  <c r="K13" i="34"/>
  <c r="K15" i="34" s="1"/>
  <c r="L13" i="31"/>
  <c r="L15" i="31" s="1"/>
  <c r="K13" i="31"/>
  <c r="K15" i="31" s="1"/>
  <c r="K13" i="33"/>
  <c r="K15" i="33" s="1"/>
  <c r="L13" i="33"/>
  <c r="L15" i="33" s="1"/>
  <c r="D21" i="21"/>
  <c r="C21" i="21" s="1"/>
  <c r="D21" i="20"/>
  <c r="C21" i="20" s="1"/>
  <c r="D21" i="17"/>
  <c r="C20" i="17"/>
  <c r="C21" i="16"/>
  <c r="D21" i="12"/>
  <c r="C20" i="12"/>
  <c r="D21" i="11"/>
  <c r="C20" i="11"/>
  <c r="E7" i="66" l="1"/>
  <c r="C9" i="73"/>
  <c r="D6" i="73"/>
  <c r="B8" i="66"/>
  <c r="B9" i="66" s="1"/>
  <c r="AI29" i="53"/>
  <c r="G28" i="27"/>
  <c r="C23" i="43"/>
  <c r="C24" i="43" s="1"/>
  <c r="AJ11" i="53"/>
  <c r="AC11" i="53"/>
  <c r="AN11" i="53" s="1"/>
  <c r="D14" i="67" s="1"/>
  <c r="E14" i="67" s="1"/>
  <c r="AJ10" i="53"/>
  <c r="AJ29" i="53" s="1"/>
  <c r="Y29" i="53"/>
  <c r="P10" i="53"/>
  <c r="E29" i="53"/>
  <c r="O10" i="53"/>
  <c r="D29" i="53"/>
  <c r="G10" i="53"/>
  <c r="C33" i="27"/>
  <c r="E61" i="1"/>
  <c r="I61" i="1" s="1"/>
  <c r="H28" i="25"/>
  <c r="D33" i="25"/>
  <c r="S27" i="53" s="1"/>
  <c r="L15" i="24"/>
  <c r="E60" i="1" s="1"/>
  <c r="I60" i="1" s="1"/>
  <c r="H6" i="53"/>
  <c r="C24" i="42"/>
  <c r="D7" i="2"/>
  <c r="E39" i="1"/>
  <c r="I39" i="1" s="1"/>
  <c r="D33" i="23"/>
  <c r="H28" i="23"/>
  <c r="D33" i="26"/>
  <c r="E59" i="1"/>
  <c r="I59" i="1" s="1"/>
  <c r="H28" i="26"/>
  <c r="E62" i="1"/>
  <c r="I62" i="1" s="1"/>
  <c r="D33" i="27"/>
  <c r="S28" i="53" s="1"/>
  <c r="H28" i="27"/>
  <c r="D14" i="2"/>
  <c r="E14" i="2" s="1"/>
  <c r="C33" i="23"/>
  <c r="D39" i="1"/>
  <c r="H39" i="1" s="1"/>
  <c r="G28" i="23"/>
  <c r="D61" i="1"/>
  <c r="H61" i="1" s="1"/>
  <c r="C33" i="25"/>
  <c r="H27" i="53" s="1"/>
  <c r="K27" i="53" s="1"/>
  <c r="G28" i="25"/>
  <c r="D60" i="1"/>
  <c r="H60" i="1" s="1"/>
  <c r="C34" i="24"/>
  <c r="G29" i="24"/>
  <c r="D59" i="1"/>
  <c r="H59" i="1" s="1"/>
  <c r="G28" i="26"/>
  <c r="C33" i="26"/>
  <c r="D6" i="2"/>
  <c r="H4" i="53"/>
  <c r="K4" i="53" s="1"/>
  <c r="AQ12" i="53"/>
  <c r="AF29" i="53"/>
  <c r="D9" i="73" s="1"/>
  <c r="E9" i="73" s="1"/>
  <c r="C35" i="35"/>
  <c r="F4" i="48" s="1"/>
  <c r="F6" i="48" s="1"/>
  <c r="C34" i="36"/>
  <c r="H29" i="36"/>
  <c r="H29" i="32"/>
  <c r="I52" i="1"/>
  <c r="G29" i="34"/>
  <c r="D57" i="1"/>
  <c r="H57" i="1" s="1"/>
  <c r="C34" i="32"/>
  <c r="H18" i="53" s="1"/>
  <c r="K18" i="53" s="1"/>
  <c r="D52" i="1"/>
  <c r="H52" i="1" s="1"/>
  <c r="D35" i="35"/>
  <c r="H29" i="34"/>
  <c r="E57" i="1"/>
  <c r="I57" i="1" s="1"/>
  <c r="H29" i="3"/>
  <c r="D46" i="1"/>
  <c r="H46" i="1" s="1"/>
  <c r="E46" i="1"/>
  <c r="I46" i="1" s="1"/>
  <c r="C35" i="30"/>
  <c r="D50" i="1"/>
  <c r="H50" i="1" s="1"/>
  <c r="D19" i="18"/>
  <c r="G4" i="49" s="1"/>
  <c r="G6" i="49" s="1"/>
  <c r="C19" i="18"/>
  <c r="F4" i="49" s="1"/>
  <c r="F6" i="49" s="1"/>
  <c r="E50" i="1"/>
  <c r="I50" i="1" s="1"/>
  <c r="G29" i="31"/>
  <c r="C35" i="31"/>
  <c r="G29" i="33"/>
  <c r="C35" i="33"/>
  <c r="D35" i="31"/>
  <c r="S17" i="53" s="1"/>
  <c r="H29" i="33"/>
  <c r="D35" i="33"/>
  <c r="H29" i="30"/>
  <c r="D35" i="30"/>
  <c r="G29" i="30"/>
  <c r="D34" i="3"/>
  <c r="S12" i="53" s="1"/>
  <c r="C24" i="39"/>
  <c r="G29" i="32"/>
  <c r="D34" i="34"/>
  <c r="S23" i="53" s="1"/>
  <c r="H29" i="35"/>
  <c r="D34" i="36"/>
  <c r="G29" i="36"/>
  <c r="G29" i="35"/>
  <c r="D34" i="32"/>
  <c r="S18" i="53" s="1"/>
  <c r="D21" i="13"/>
  <c r="C21" i="13" s="1"/>
  <c r="C34" i="34"/>
  <c r="H23" i="53" s="1"/>
  <c r="K23" i="53" s="1"/>
  <c r="H29" i="31"/>
  <c r="D23" i="21"/>
  <c r="C23" i="21" s="1"/>
  <c r="D23" i="20"/>
  <c r="C23" i="20" s="1"/>
  <c r="D23" i="17"/>
  <c r="C23" i="17" s="1"/>
  <c r="C21" i="17"/>
  <c r="C23" i="16"/>
  <c r="D23" i="12"/>
  <c r="C23" i="12" s="1"/>
  <c r="H10" i="53" s="1"/>
  <c r="C21" i="12"/>
  <c r="D23" i="11"/>
  <c r="C23" i="11" s="1"/>
  <c r="H7" i="53" s="1"/>
  <c r="C21" i="11"/>
  <c r="F9" i="73" l="1"/>
  <c r="E51" i="1"/>
  <c r="G4" i="48"/>
  <c r="G6" i="48" s="1"/>
  <c r="D51" i="1"/>
  <c r="H51" i="1" s="1"/>
  <c r="J31" i="23"/>
  <c r="F4" i="47"/>
  <c r="F6" i="47" s="1"/>
  <c r="H16" i="53"/>
  <c r="K16" i="53" s="1"/>
  <c r="S16" i="53"/>
  <c r="AD16" i="53" s="1"/>
  <c r="H5" i="46"/>
  <c r="H7" i="46" s="1"/>
  <c r="E6" i="73"/>
  <c r="F6" i="73"/>
  <c r="B10" i="66"/>
  <c r="B33" i="53"/>
  <c r="E8" i="66"/>
  <c r="AQ29" i="53"/>
  <c r="G15" i="67"/>
  <c r="AA10" i="53"/>
  <c r="P29" i="53"/>
  <c r="G29" i="53"/>
  <c r="Z10" i="53"/>
  <c r="O29" i="53"/>
  <c r="R10" i="53"/>
  <c r="R29" i="53" s="1"/>
  <c r="S5" i="53"/>
  <c r="E7" i="1"/>
  <c r="I7" i="1" s="1"/>
  <c r="H5" i="53"/>
  <c r="K5" i="53" s="1"/>
  <c r="D7" i="1"/>
  <c r="H7" i="1" s="1"/>
  <c r="H28" i="53"/>
  <c r="K28" i="53" s="1"/>
  <c r="D31" i="1"/>
  <c r="H31" i="1" s="1"/>
  <c r="D30" i="1"/>
  <c r="H30" i="1" s="1"/>
  <c r="D18" i="1"/>
  <c r="H18" i="1" s="1"/>
  <c r="E31" i="1"/>
  <c r="I31" i="1" s="1"/>
  <c r="H26" i="53"/>
  <c r="K26" i="53" s="1"/>
  <c r="D29" i="1"/>
  <c r="H29" i="1" s="1"/>
  <c r="AD28" i="53"/>
  <c r="V28" i="53"/>
  <c r="E30" i="1"/>
  <c r="I30" i="1" s="1"/>
  <c r="S6" i="53"/>
  <c r="K6" i="53"/>
  <c r="S15" i="53"/>
  <c r="AD15" i="53" s="1"/>
  <c r="H25" i="53"/>
  <c r="K25" i="53" s="1"/>
  <c r="D28" i="1"/>
  <c r="H28" i="1" s="1"/>
  <c r="I51" i="1"/>
  <c r="E8" i="1"/>
  <c r="I8" i="1" s="1"/>
  <c r="E7" i="2"/>
  <c r="D8" i="1"/>
  <c r="H8" i="1" s="1"/>
  <c r="E40" i="1"/>
  <c r="I40" i="1" s="1"/>
  <c r="D40" i="1"/>
  <c r="H40" i="1" s="1"/>
  <c r="S25" i="53"/>
  <c r="E28" i="1"/>
  <c r="I28" i="1" s="1"/>
  <c r="D34" i="24"/>
  <c r="G4" i="47" s="1"/>
  <c r="G6" i="47" s="1"/>
  <c r="H29" i="24"/>
  <c r="AD27" i="53"/>
  <c r="V27" i="53"/>
  <c r="V23" i="53"/>
  <c r="AD23" i="53"/>
  <c r="AO23" i="53" s="1"/>
  <c r="F26" i="67" s="1"/>
  <c r="AD12" i="53"/>
  <c r="V12" i="53"/>
  <c r="V17" i="53"/>
  <c r="AD17" i="53"/>
  <c r="S10" i="53"/>
  <c r="K10" i="53"/>
  <c r="H19" i="53"/>
  <c r="K19" i="53" s="1"/>
  <c r="H14" i="53"/>
  <c r="K14" i="53" s="1"/>
  <c r="S7" i="53"/>
  <c r="K7" i="53"/>
  <c r="AD18" i="53"/>
  <c r="AO18" i="53" s="1"/>
  <c r="F21" i="67" s="1"/>
  <c r="V18" i="53"/>
  <c r="D19" i="1"/>
  <c r="H17" i="53"/>
  <c r="K17" i="53" s="1"/>
  <c r="S4" i="53"/>
  <c r="H21" i="53"/>
  <c r="K21" i="53" s="1"/>
  <c r="S21" i="53"/>
  <c r="S14" i="53"/>
  <c r="S19" i="53"/>
  <c r="D25" i="1"/>
  <c r="H25" i="1" s="1"/>
  <c r="E20" i="1"/>
  <c r="I20" i="1" s="1"/>
  <c r="E18" i="1"/>
  <c r="I18" i="1" s="1"/>
  <c r="E25" i="1"/>
  <c r="I25" i="1" s="1"/>
  <c r="D20" i="1"/>
  <c r="H20" i="1" s="1"/>
  <c r="E19" i="1"/>
  <c r="E38" i="1"/>
  <c r="D38" i="1"/>
  <c r="E14" i="1"/>
  <c r="I14" i="1" s="1"/>
  <c r="C34" i="3"/>
  <c r="H12" i="53" s="1"/>
  <c r="K12" i="53" s="1"/>
  <c r="D6" i="1"/>
  <c r="H6" i="1" s="1"/>
  <c r="E6" i="1"/>
  <c r="I6" i="1" s="1"/>
  <c r="E6" i="2"/>
  <c r="D23" i="13"/>
  <c r="C24" i="17"/>
  <c r="H15" i="53" s="1"/>
  <c r="K15" i="53" s="1"/>
  <c r="D13" i="2"/>
  <c r="C24" i="16"/>
  <c r="D12" i="2"/>
  <c r="C24" i="20"/>
  <c r="D15" i="2"/>
  <c r="C24" i="12"/>
  <c r="D10" i="2"/>
  <c r="C24" i="11"/>
  <c r="D8" i="2"/>
  <c r="C24" i="21"/>
  <c r="D17" i="2"/>
  <c r="D11" i="8"/>
  <c r="D10" i="8"/>
  <c r="D13" i="8" s="1"/>
  <c r="C10" i="8"/>
  <c r="C9" i="8"/>
  <c r="C8" i="8"/>
  <c r="C7" i="8"/>
  <c r="C6" i="8"/>
  <c r="C9" i="2" s="1"/>
  <c r="C10" i="1" s="1"/>
  <c r="K22" i="7"/>
  <c r="K21" i="7"/>
  <c r="K20" i="7"/>
  <c r="G20" i="7"/>
  <c r="V16" i="53" l="1"/>
  <c r="AO27" i="53"/>
  <c r="F30" i="67" s="1"/>
  <c r="G5" i="46"/>
  <c r="G7" i="46" s="1"/>
  <c r="AD5" i="53"/>
  <c r="AO5" i="53" s="1"/>
  <c r="V5" i="53"/>
  <c r="C7" i="66"/>
  <c r="C7" i="73"/>
  <c r="C14" i="73" s="1"/>
  <c r="B7" i="73"/>
  <c r="AO28" i="53"/>
  <c r="F31" i="67" s="1"/>
  <c r="AG16" i="53"/>
  <c r="AR16" i="53" s="1"/>
  <c r="H19" i="67" s="1"/>
  <c r="AO16" i="53"/>
  <c r="F19" i="67" s="1"/>
  <c r="AO17" i="53"/>
  <c r="F20" i="67" s="1"/>
  <c r="AO12" i="53"/>
  <c r="F15" i="67" s="1"/>
  <c r="AO15" i="53"/>
  <c r="F18" i="67" s="1"/>
  <c r="E9" i="66"/>
  <c r="E10" i="66"/>
  <c r="H19" i="1"/>
  <c r="I19" i="1"/>
  <c r="AK10" i="53"/>
  <c r="AK29" i="53" s="1"/>
  <c r="Z29" i="53"/>
  <c r="AC10" i="53"/>
  <c r="AC29" i="53" s="1"/>
  <c r="D7" i="73" s="1"/>
  <c r="D14" i="73" s="1"/>
  <c r="AL10" i="53"/>
  <c r="AL29" i="53" s="1"/>
  <c r="AA29" i="53"/>
  <c r="AG27" i="53"/>
  <c r="AR27" i="53" s="1"/>
  <c r="H30" i="67" s="1"/>
  <c r="V15" i="53"/>
  <c r="S26" i="53"/>
  <c r="E29" i="1"/>
  <c r="I29" i="1" s="1"/>
  <c r="AG28" i="53"/>
  <c r="AR28" i="53" s="1"/>
  <c r="H31" i="67" s="1"/>
  <c r="V6" i="53"/>
  <c r="AD6" i="53"/>
  <c r="AO6" i="53" s="1"/>
  <c r="F9" i="67" s="1"/>
  <c r="V25" i="53"/>
  <c r="AD25" i="53"/>
  <c r="AO25" i="53" s="1"/>
  <c r="F28" i="67" s="1"/>
  <c r="V4" i="53"/>
  <c r="AD4" i="53"/>
  <c r="AO4" i="53" s="1"/>
  <c r="F7" i="67" s="1"/>
  <c r="AG18" i="53"/>
  <c r="AR18" i="53" s="1"/>
  <c r="H21" i="67" s="1"/>
  <c r="AG17" i="53"/>
  <c r="AD19" i="53"/>
  <c r="AO19" i="53" s="1"/>
  <c r="F22" i="67" s="1"/>
  <c r="V19" i="53"/>
  <c r="AD7" i="53"/>
  <c r="AO7" i="53" s="1"/>
  <c r="F10" i="67" s="1"/>
  <c r="V7" i="53"/>
  <c r="AG12" i="53"/>
  <c r="AR12" i="53" s="1"/>
  <c r="H15" i="67" s="1"/>
  <c r="C23" i="13"/>
  <c r="C24" i="13" s="1"/>
  <c r="D45" i="1" s="1"/>
  <c r="H45" i="1" s="1"/>
  <c r="S11" i="53"/>
  <c r="H11" i="53"/>
  <c r="K11" i="53" s="1"/>
  <c r="AD14" i="53"/>
  <c r="AO14" i="53" s="1"/>
  <c r="F17" i="67" s="1"/>
  <c r="V14" i="53"/>
  <c r="AG23" i="53"/>
  <c r="AR23" i="53" s="1"/>
  <c r="H26" i="67" s="1"/>
  <c r="V21" i="53"/>
  <c r="AD21" i="53"/>
  <c r="AO21" i="53" s="1"/>
  <c r="F24" i="67" s="1"/>
  <c r="V10" i="53"/>
  <c r="AD10" i="53"/>
  <c r="AO10" i="53" s="1"/>
  <c r="F13" i="67" s="1"/>
  <c r="AG15" i="53"/>
  <c r="C42" i="1"/>
  <c r="B8" i="53" s="1"/>
  <c r="M8" i="53" s="1"/>
  <c r="X8" i="53" s="1"/>
  <c r="AI8" i="53" s="1"/>
  <c r="C11" i="67" s="1"/>
  <c r="E11" i="67" s="1"/>
  <c r="C63" i="1"/>
  <c r="E55" i="1"/>
  <c r="I55" i="1" s="1"/>
  <c r="D55" i="1"/>
  <c r="H55" i="1" s="1"/>
  <c r="D14" i="1"/>
  <c r="H14" i="1" s="1"/>
  <c r="D12" i="1"/>
  <c r="H12" i="1" s="1"/>
  <c r="D53" i="1"/>
  <c r="H53" i="1" s="1"/>
  <c r="E53" i="1"/>
  <c r="I53" i="1" s="1"/>
  <c r="E41" i="1"/>
  <c r="I41" i="1" s="1"/>
  <c r="D41" i="1"/>
  <c r="H41" i="1" s="1"/>
  <c r="E48" i="1"/>
  <c r="I48" i="1" s="1"/>
  <c r="D48" i="1"/>
  <c r="H48" i="1" s="1"/>
  <c r="E49" i="1"/>
  <c r="I49" i="1" s="1"/>
  <c r="D49" i="1"/>
  <c r="H49" i="1" s="1"/>
  <c r="E44" i="1"/>
  <c r="I44" i="1" s="1"/>
  <c r="D44" i="1"/>
  <c r="H44" i="1" s="1"/>
  <c r="H38" i="1"/>
  <c r="I38" i="1"/>
  <c r="D15" i="8"/>
  <c r="D20" i="8" s="1"/>
  <c r="D18" i="8"/>
  <c r="C18" i="8" s="1"/>
  <c r="C13" i="8"/>
  <c r="E15" i="2"/>
  <c r="E21" i="1"/>
  <c r="I21" i="1" s="1"/>
  <c r="D21" i="1"/>
  <c r="H21" i="1" s="1"/>
  <c r="E12" i="2"/>
  <c r="D16" i="1"/>
  <c r="H16" i="1" s="1"/>
  <c r="E16" i="1"/>
  <c r="I16" i="1" s="1"/>
  <c r="E10" i="2"/>
  <c r="E12" i="1"/>
  <c r="I12" i="1" s="1"/>
  <c r="E13" i="2"/>
  <c r="E17" i="1"/>
  <c r="I17" i="1" s="1"/>
  <c r="D17" i="1"/>
  <c r="H17" i="1" s="1"/>
  <c r="D9" i="1"/>
  <c r="H9" i="1" s="1"/>
  <c r="E9" i="1"/>
  <c r="I9" i="1" s="1"/>
  <c r="E17" i="2"/>
  <c r="D23" i="1"/>
  <c r="H23" i="1" s="1"/>
  <c r="E23" i="1"/>
  <c r="I23" i="1" s="1"/>
  <c r="C15" i="8"/>
  <c r="D14" i="8"/>
  <c r="D19" i="8" s="1"/>
  <c r="E8" i="2"/>
  <c r="AG5" i="53" l="1"/>
  <c r="AR5" i="53" s="1"/>
  <c r="H8" i="67" s="1"/>
  <c r="AN10" i="53"/>
  <c r="D13" i="67" s="1"/>
  <c r="B14" i="73"/>
  <c r="E7" i="73"/>
  <c r="F7" i="73"/>
  <c r="F8" i="67"/>
  <c r="B36" i="53"/>
  <c r="C8" i="66"/>
  <c r="AN29" i="53"/>
  <c r="AG25" i="53"/>
  <c r="AR25" i="53" s="1"/>
  <c r="H28" i="67" s="1"/>
  <c r="AG6" i="53"/>
  <c r="AR6" i="53" s="1"/>
  <c r="H9" i="67" s="1"/>
  <c r="AR15" i="53"/>
  <c r="H18" i="67" s="1"/>
  <c r="AD26" i="53"/>
  <c r="AO26" i="53" s="1"/>
  <c r="F29" i="67" s="1"/>
  <c r="V26" i="53"/>
  <c r="D11" i="2"/>
  <c r="E11" i="2" s="1"/>
  <c r="E45" i="1"/>
  <c r="I45" i="1" s="1"/>
  <c r="AG14" i="53"/>
  <c r="AR14" i="53" s="1"/>
  <c r="H17" i="67" s="1"/>
  <c r="AG7" i="53"/>
  <c r="AR7" i="53" s="1"/>
  <c r="H10" i="67" s="1"/>
  <c r="AG21" i="53"/>
  <c r="AR21" i="53" s="1"/>
  <c r="H24" i="67" s="1"/>
  <c r="AD11" i="53"/>
  <c r="AO11" i="53" s="1"/>
  <c r="F14" i="67" s="1"/>
  <c r="V11" i="53"/>
  <c r="AG19" i="53"/>
  <c r="AR19" i="53" s="1"/>
  <c r="H22" i="67" s="1"/>
  <c r="AG4" i="53"/>
  <c r="AG10" i="53"/>
  <c r="AR10" i="53" s="1"/>
  <c r="H13" i="67" s="1"/>
  <c r="AR17" i="53"/>
  <c r="H20" i="67" s="1"/>
  <c r="C14" i="8"/>
  <c r="C19" i="8"/>
  <c r="C20" i="8"/>
  <c r="D16" i="8"/>
  <c r="C16" i="8" s="1"/>
  <c r="E13" i="67" l="1"/>
  <c r="AR4" i="53"/>
  <c r="H7" i="67" s="1"/>
  <c r="F14" i="73"/>
  <c r="E14" i="73"/>
  <c r="C10" i="66"/>
  <c r="C9" i="66"/>
  <c r="E13" i="1"/>
  <c r="I13" i="1" s="1"/>
  <c r="D13" i="1"/>
  <c r="H13" i="1" s="1"/>
  <c r="AG26" i="53"/>
  <c r="AR26" i="53" s="1"/>
  <c r="H29" i="67" s="1"/>
  <c r="AG11" i="53"/>
  <c r="AR11" i="53" s="1"/>
  <c r="H14" i="67" s="1"/>
  <c r="D21" i="8"/>
  <c r="C21" i="8" l="1"/>
  <c r="D23" i="8"/>
  <c r="C23" i="8" s="1"/>
  <c r="H8" i="53" s="1"/>
  <c r="S8" i="53" l="1"/>
  <c r="K8" i="53"/>
  <c r="H29" i="53"/>
  <c r="C24" i="8"/>
  <c r="D9" i="2"/>
  <c r="D6" i="66" l="1"/>
  <c r="B8" i="73"/>
  <c r="K29" i="53"/>
  <c r="F6" i="66" s="1"/>
  <c r="AD8" i="53"/>
  <c r="AO8" i="53" s="1"/>
  <c r="V8" i="53"/>
  <c r="S29" i="53"/>
  <c r="D42" i="1"/>
  <c r="E42" i="1"/>
  <c r="D10" i="1"/>
  <c r="E10" i="1"/>
  <c r="E32" i="1" s="1"/>
  <c r="E9" i="2"/>
  <c r="V29" i="53" l="1"/>
  <c r="F7" i="66" s="1"/>
  <c r="B10" i="73"/>
  <c r="B15" i="73"/>
  <c r="D7" i="66"/>
  <c r="C8" i="73"/>
  <c r="F11" i="67"/>
  <c r="AO29" i="53"/>
  <c r="AG8" i="53"/>
  <c r="AG29" i="53" s="1"/>
  <c r="AD29" i="53"/>
  <c r="B35" i="53" s="1"/>
  <c r="I42" i="1"/>
  <c r="I63" i="1" s="1"/>
  <c r="E63" i="1"/>
  <c r="H42" i="1"/>
  <c r="H63" i="1" s="1"/>
  <c r="D63" i="1"/>
  <c r="I10" i="1"/>
  <c r="H10" i="1"/>
  <c r="H32" i="1" s="1"/>
  <c r="C10" i="73" l="1"/>
  <c r="C15" i="73"/>
  <c r="D8" i="66"/>
  <c r="D10" i="66" s="1"/>
  <c r="D8" i="73"/>
  <c r="B34" i="53"/>
  <c r="F8" i="66"/>
  <c r="AR8" i="53"/>
  <c r="D10" i="73" l="1"/>
  <c r="D15" i="73"/>
  <c r="F8" i="73"/>
  <c r="E8" i="73"/>
  <c r="D9" i="66"/>
  <c r="AR29" i="53"/>
  <c r="H11" i="67"/>
  <c r="F9" i="66"/>
  <c r="F10" i="66"/>
  <c r="F15" i="73" l="1"/>
  <c r="E15" i="73"/>
  <c r="E10" i="73"/>
  <c r="F10" i="7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Tracy Curtis</author>
  </authors>
  <commentList>
    <comment ref="D47" authorId="0" shapeId="0" xr:uid="{5101ADEC-6742-413D-A8FA-EDE9AC8DD14E}">
      <text>
        <r>
          <rPr>
            <b/>
            <sz val="9"/>
            <color indexed="81"/>
            <rFont val="Tahoma"/>
            <family val="2"/>
          </rPr>
          <t>Tracy Curtis:</t>
        </r>
        <r>
          <rPr>
            <sz val="9"/>
            <color indexed="81"/>
            <rFont val="Tahoma"/>
            <family val="2"/>
          </rPr>
          <t xml:space="preserve">
Weighted average for all segments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Tracy Curtis</author>
  </authors>
  <commentList>
    <comment ref="B28" authorId="0" shapeId="0" xr:uid="{FD9ECAB0-8FC6-4EC7-BCD9-48985EDA93CC}">
      <text>
        <r>
          <rPr>
            <b/>
            <sz val="9"/>
            <color indexed="81"/>
            <rFont val="Tahoma"/>
            <family val="2"/>
          </rPr>
          <t>Tracy Curtis:</t>
        </r>
        <r>
          <rPr>
            <sz val="9"/>
            <color indexed="81"/>
            <rFont val="Tahoma"/>
            <family val="2"/>
          </rPr>
          <t xml:space="preserve">
98.346(j)(5),(j)(6)(i), (j)(6)(iii), (j)(6)(iv), (j)(6)(v)(A), 98.346(j)(6)(v)(C),</t>
        </r>
      </text>
    </comment>
    <comment ref="B29" authorId="0" shapeId="0" xr:uid="{0060DCD6-2813-457C-BDDF-B2014ABF8EFA}">
      <text>
        <r>
          <rPr>
            <b/>
            <sz val="9"/>
            <color indexed="81"/>
            <rFont val="Tahoma"/>
            <family val="2"/>
          </rPr>
          <t>Tracy Curtis:</t>
        </r>
        <r>
          <rPr>
            <sz val="9"/>
            <color indexed="81"/>
            <rFont val="Tahoma"/>
            <family val="2"/>
          </rPr>
          <t xml:space="preserve">
,(j)(6)(v)(D)(1), (j)(6)(v)(D)(2), (j)(6)(v)(D)(4), (j)(6)(v)(D)(5),(j)(6)(v)(D)(6)</t>
        </r>
      </text>
    </comment>
    <comment ref="B30" authorId="0" shapeId="0" xr:uid="{CAAB870D-32DC-47F9-8150-4A3C59009F0D}">
      <text>
        <r>
          <rPr>
            <b/>
            <sz val="9"/>
            <color indexed="81"/>
            <rFont val="Tahoma"/>
            <family val="2"/>
          </rPr>
          <t>Tracy Curtis:</t>
        </r>
        <r>
          <rPr>
            <sz val="9"/>
            <color indexed="81"/>
            <rFont val="Tahoma"/>
            <family val="2"/>
          </rPr>
          <t xml:space="preserve">
98.346(h), 98.346(j)(7)(iv) and (v)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tc={C1F18549-4CB7-41F1-A4FB-DE151825A5C4}</author>
    <author>Tracy Curtis</author>
  </authors>
  <commentList>
    <comment ref="J12" authorId="0" shapeId="0" xr:uid="{C1F18549-4CB7-41F1-A4FB-DE151825A5C4}">
      <text>
        <t>[Threaded comment]
Your version of Excel allows you to read this threaded comment; however, any edits to it will get removed if the file is opened in a newer version of Excel. Learn more: https://go.microsoft.com/fwlink/?linkid=870924
Comment:
    Changed cell reference from G34 to F 34 for initial year O&amp;M costs.</t>
      </text>
    </comment>
    <comment ref="B29" authorId="1" shapeId="0" xr:uid="{D6284F97-591E-4360-A7E6-BAA332B64F36}">
      <text>
        <r>
          <rPr>
            <b/>
            <sz val="9"/>
            <color indexed="81"/>
            <rFont val="Tahoma"/>
            <family val="2"/>
          </rPr>
          <t>Tracy Curtis:</t>
        </r>
        <r>
          <rPr>
            <sz val="9"/>
            <color indexed="81"/>
            <rFont val="Tahoma"/>
            <family val="2"/>
          </rPr>
          <t xml:space="preserve">
Used total number of direct emitters/faciliities subject to subpart B + supplier subparts and VV</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Tracy Curtis</author>
  </authors>
  <commentList>
    <comment ref="H4" authorId="0" shapeId="0" xr:uid="{407D5244-7607-426D-9076-7BC0E16C549B}">
      <text>
        <r>
          <rPr>
            <b/>
            <sz val="9"/>
            <color indexed="81"/>
            <rFont val="Tahoma"/>
            <family val="2"/>
          </rPr>
          <t>Tracy Curtis:</t>
        </r>
        <r>
          <rPr>
            <sz val="9"/>
            <color indexed="81"/>
            <rFont val="Tahoma"/>
            <family val="2"/>
          </rPr>
          <t xml:space="preserve">
From Workbook sheets "Data Elements" by subpart.</t>
        </r>
      </text>
    </comment>
    <comment ref="C11" authorId="0" shapeId="0" xr:uid="{1D18AD11-5235-4372-8DEC-8BBD2C053CE2}">
      <text>
        <r>
          <rPr>
            <b/>
            <sz val="9"/>
            <color indexed="81"/>
            <rFont val="Tahoma"/>
            <family val="2"/>
          </rPr>
          <t>Tracy Curtis:</t>
        </r>
        <r>
          <rPr>
            <sz val="9"/>
            <color indexed="81"/>
            <rFont val="Tahoma"/>
            <family val="2"/>
          </rPr>
          <t xml:space="preserve">
Full copy of billing statement is only submitted in year 1 or if facility changes suppliers.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Tracy Curtis</author>
  </authors>
  <commentList>
    <comment ref="H42" authorId="0" shapeId="0" xr:uid="{EB17127D-DD34-4258-B859-6ACE86AF3BF9}">
      <text>
        <r>
          <rPr>
            <b/>
            <sz val="9"/>
            <color indexed="81"/>
            <rFont val="Tahoma"/>
            <family val="2"/>
          </rPr>
          <t>Tracy Curtis:</t>
        </r>
        <r>
          <rPr>
            <sz val="9"/>
            <color indexed="81"/>
            <rFont val="Tahoma"/>
            <family val="2"/>
          </rPr>
          <t xml:space="preserve">
Note hours were rounded to nearest whole value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Tracy Curtis</author>
    <author>tc={2DC3B903-E866-4DFA-9CE1-C5CF261CB509}</author>
  </authors>
  <commentList>
    <comment ref="Q264" authorId="0" shapeId="0" xr:uid="{8651D6B7-532E-494A-8A2D-F4259BF750B2}">
      <text>
        <r>
          <rPr>
            <b/>
            <sz val="9"/>
            <color indexed="81"/>
            <rFont val="Tahoma"/>
            <family val="2"/>
          </rPr>
          <t>Tracy Curtis:</t>
        </r>
        <r>
          <rPr>
            <sz val="9"/>
            <color indexed="81"/>
            <rFont val="Tahoma"/>
            <family val="2"/>
          </rPr>
          <t xml:space="preserve">
No labor hours - adjust these costs with CEPCI value?
</t>
        </r>
      </text>
    </comment>
    <comment ref="E330" authorId="1" shapeId="0" xr:uid="{2DC3B903-E866-4DFA-9CE1-C5CF261CB509}">
      <text>
        <t>[Threaded comment]
Your version of Excel allows you to read this threaded comment; however, any edits to it will get removed if the file is opened in a newer version of Excel. Learn more: https://go.microsoft.com/fwlink/?linkid=870924
Comment:
    Why is this row here twice?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<sst xmlns="http://schemas.openxmlformats.org/spreadsheetml/2006/main" count="3648" uniqueCount="1194">
  <si>
    <t>Subpart</t>
  </si>
  <si>
    <t>Labor Costs</t>
  </si>
  <si>
    <t>Capital and O&amp;M</t>
  </si>
  <si>
    <t>Initial Year</t>
  </si>
  <si>
    <t>Subsequent Years</t>
  </si>
  <si>
    <t>F – Aluminum Production </t>
  </si>
  <si>
    <t>G – Ammonia Manufacturing </t>
  </si>
  <si>
    <t>N – Glass Production </t>
  </si>
  <si>
    <t>P – Hydrogen Production  </t>
  </si>
  <si>
    <t>W – Petroleum and Natural Gas Systems  </t>
  </si>
  <si>
    <t>Y – Petroleum Refineries  </t>
  </si>
  <si>
    <t>AA – Pulp and Paper Manufacturing </t>
  </si>
  <si>
    <t>DD – Electrical Transmission </t>
  </si>
  <si>
    <t>HH – Municipal Solid Waste Landfills </t>
  </si>
  <si>
    <t>QQ - Importers and Exporters of Fluorinated Greenhouse Gases Contained in Pre-Charged Equipment or Closed-Cell Foams </t>
  </si>
  <si>
    <t>B – Energy Consumption </t>
  </si>
  <si>
    <t>XX - Calcium Carbide Production </t>
  </si>
  <si>
    <t>ZZ -Ceramics Production </t>
  </si>
  <si>
    <t># Reporters Affected</t>
  </si>
  <si>
    <t>F</t>
  </si>
  <si>
    <t>G</t>
  </si>
  <si>
    <t>N</t>
  </si>
  <si>
    <t>P</t>
  </si>
  <si>
    <t>Y</t>
  </si>
  <si>
    <t>AA</t>
  </si>
  <si>
    <t>OO</t>
  </si>
  <si>
    <t>QQ</t>
  </si>
  <si>
    <t>TotaI Industry Costs and Avg. Cost/Reporter</t>
  </si>
  <si>
    <t>Activity</t>
  </si>
  <si>
    <t>Labor Rates (per hour)</t>
  </si>
  <si>
    <t>Total Labor Cost per Year per Facility</t>
  </si>
  <si>
    <t>Lawyer</t>
  </si>
  <si>
    <t>Industrial Manager</t>
  </si>
  <si>
    <t>Industrial Engineer/ Technician</t>
  </si>
  <si>
    <t>Administrative Support</t>
  </si>
  <si>
    <t>Initial Year Hours</t>
  </si>
  <si>
    <t>Subseq. Year Hours</t>
  </si>
  <si>
    <t>Subseq. Year</t>
  </si>
  <si>
    <t>Planning</t>
  </si>
  <si>
    <t>QA/QC</t>
  </si>
  <si>
    <t>Recordkeeping</t>
  </si>
  <si>
    <t>Sampling and Analysis (Calculations)</t>
  </si>
  <si>
    <t>Reporting</t>
  </si>
  <si>
    <t>Total</t>
  </si>
  <si>
    <t>Total labor, 1 new facility:</t>
  </si>
  <si>
    <t>Cost Categories</t>
  </si>
  <si>
    <t>Equipment Lifetime</t>
  </si>
  <si>
    <t>Subseq. Years</t>
  </si>
  <si>
    <t>Equipment (selection, purchase, installation)</t>
  </si>
  <si>
    <t>–</t>
  </si>
  <si>
    <t>Performance testing</t>
  </si>
  <si>
    <t>Travel</t>
  </si>
  <si>
    <t>Sampling and Analysis Costs</t>
  </si>
  <si>
    <t>Total Capital and O&amp;M, 1 new facility:</t>
  </si>
  <si>
    <t>Total Costs of Proposed Revisions, 1 new facility:</t>
  </si>
  <si>
    <r>
      <rPr>
        <u/>
        <sz val="9"/>
        <color rgb="FF000000"/>
        <rFont val="Times New Roman"/>
        <family val="1"/>
      </rPr>
      <t>Calculation Methodology</t>
    </r>
    <r>
      <rPr>
        <sz val="9"/>
        <color rgb="FF000000"/>
        <rFont val="Times New Roman"/>
        <family val="1"/>
      </rPr>
      <t>: Total costs for 1 new facility = Labor Cost per facility (Table I-I)  + Capital and O&amp;M Costs (Table I-2a).</t>
    </r>
  </si>
  <si>
    <t xml:space="preserve">Additional sampling and analysis labor costs specific to each tier approach are detailed in Appendix F-1 through F-9 of the 2019 ICR. These costs are incurred only by the facilities that report using the specified tier. </t>
  </si>
  <si>
    <t># of Facilities</t>
  </si>
  <si>
    <t xml:space="preserve">Calculation Methodology: </t>
  </si>
  <si>
    <t>Item</t>
  </si>
  <si>
    <t>Subpart G Data Element Revisions</t>
  </si>
  <si>
    <t>Number of Reporters Affected (1)</t>
  </si>
  <si>
    <t># of New Data Elements</t>
  </si>
  <si>
    <t># of Revised Data Elements</t>
  </si>
  <si>
    <t># of Removed Data Elements</t>
  </si>
  <si>
    <t>Sum of Data Element Changes</t>
  </si>
  <si>
    <t>Technical Respondent Hours Per Occurrence</t>
  </si>
  <si>
    <t xml:space="preserve">Respondent Hours </t>
  </si>
  <si>
    <t>Technical</t>
  </si>
  <si>
    <t>Clerical</t>
  </si>
  <si>
    <t>Managerial</t>
  </si>
  <si>
    <t xml:space="preserve">Reporter Costs </t>
  </si>
  <si>
    <t>Total Industry Costs and Avg. Cost/Reporter</t>
  </si>
  <si>
    <t>$/reporter</t>
  </si>
  <si>
    <t>Notes:</t>
  </si>
  <si>
    <r>
      <rPr>
        <u/>
        <sz val="9"/>
        <rFont val="Arial"/>
        <family val="2"/>
      </rPr>
      <t xml:space="preserve">Calculation Methodology: </t>
    </r>
    <r>
      <rPr>
        <sz val="9"/>
        <rFont val="Arial"/>
        <family val="2"/>
      </rPr>
      <t xml:space="preserve"> 
Total Technical Respondent Hours = Sum of Data Element Changes (Number of New + Revised  - No. of Removed Data Elements) x Technical Respondent Hours per Occurance. Clerical and managerial hours are estimated as 10% and 5% of technical hours, respectively.
Total Reporter Costs = (Technical Respondent Hours x $71.45/hr) + (Managerial Respondent Hours x $87.45/hr) + (Clerical Respondent Hours x $36.28/hr)
Total Industry Costs = Number of Reporters Affected x Total Reporter Costs
Average Cost Per Reporter = Total Industry Costs / Total Number of Reporters Affected</t>
    </r>
  </si>
  <si>
    <t>Labor Category</t>
  </si>
  <si>
    <t>Loaded Hourly Rate ($/hour)</t>
  </si>
  <si>
    <t>Description</t>
  </si>
  <si>
    <t>Legal</t>
  </si>
  <si>
    <t xml:space="preserve">Oversees legal aspects of company reports and data-reporting forms. </t>
  </si>
  <si>
    <t>Oversees work at a high level and is the final authority on all reporting requirements.</t>
  </si>
  <si>
    <t>Conducts monitoring of emissions sources, checks for accuracy, performs measurements.</t>
  </si>
  <si>
    <t>Assists with documentation and recording information</t>
  </si>
  <si>
    <t>1) Refer to Appendix D "Summary of Labor Rate Derivation" of "Supporting Statement: Information Collection Request for the Greenhouse Gas Reporting Program" EPA ICR No. 2300.17.</t>
  </si>
  <si>
    <t>BLS Employment Cost Index</t>
  </si>
  <si>
    <t>EPA Labor Rates ($2015)</t>
  </si>
  <si>
    <t>EPA Labor Rates ($2011)</t>
  </si>
  <si>
    <t>December 2014</t>
  </si>
  <si>
    <t>Hourly Mean Wage</t>
  </si>
  <si>
    <t xml:space="preserve">With  Fringe &amp; Overhead </t>
  </si>
  <si>
    <t>December 2011</t>
  </si>
  <si>
    <t>(GS- 12, step 5) - Tech.</t>
  </si>
  <si>
    <t>(GS- 12, step 1) - Tech.</t>
  </si>
  <si>
    <t>December 2006</t>
  </si>
  <si>
    <t>(GS- 13, step 5) - Mgmt.</t>
  </si>
  <si>
    <t>December 2008</t>
  </si>
  <si>
    <t>(GS-6, step 3) - Cler.</t>
  </si>
  <si>
    <t>http://www.bls.gov/schedule/archives/eci_nr.htm</t>
  </si>
  <si>
    <t>Table 1. All Workers</t>
  </si>
  <si>
    <t>Source: http://archive.opm.gov/oca/11tables/pdf/gs_h.pdf</t>
  </si>
  <si>
    <t>from http://archive.opm.gov/oca/11tables/index.asp</t>
  </si>
  <si>
    <t>CEPCI</t>
  </si>
  <si>
    <t>NA</t>
  </si>
  <si>
    <t>Middle Manager Rate from Appendix H of 2019 ICR</t>
  </si>
  <si>
    <t>Engineer Rate from Appendix H of 2019 ICR</t>
  </si>
  <si>
    <t>Technician rate from Appendix H of 2019 ICR</t>
  </si>
  <si>
    <t>1) From email from D. Bevington to R. Schmeltz, 7/23</t>
  </si>
  <si>
    <t>Updated Labor Costs - Year 2021</t>
  </si>
  <si>
    <t>Wages and Salaries (2021$) (1)</t>
  </si>
  <si>
    <t>Benefits loading factor (2)</t>
  </si>
  <si>
    <t>Overhead Loading Factor (3)</t>
  </si>
  <si>
    <t>(1) Managerial: Occupational Employment and Wages, May 2021; SOC 11-3051 Industrial Production Managers (https://www.bls.gov/oes/current/oes113051.htm) Modified March 31, 2022, Accessed July 1, 2022</t>
  </si>
  <si>
    <t>(1) Technical: Occupational Employment and Wages, May 2021; SOC 17-2112 Industrial Engineers (https://www.bls.gov/oes/current/oes172112.htm) Modified March 31, 2022, Accessed July 1, 2022</t>
  </si>
  <si>
    <t>(1) Legal: Occupational Employment and Wages, May 2021; SOC 23-1011 Lawyers (https://www.bls.gov/oes/current/oes231011.htm) Modified March 31, 2022, Accessed July 1, 2022</t>
  </si>
  <si>
    <t>(1) Clerical: Economic News Release: Employer Cost for Employee compensation March 2022 (https://www.bls.gov/news.release/ecec.nr0.htm). Table 4. Employer Costs for Employee Compensation for private industry workers by occupational and industry group [Mar. 2022] "Goods-producing industries,” “Sales and office,” "Office and administrative support occupations"  (https://www.bls.gov/news.release/ecec.t04.htm) Modified June 16, 2022; accessed July 1, 2022</t>
  </si>
  <si>
    <t>(2) From BLS's ECEC (https://www.bls.gov/web/ecec/ececqrtn.pdf) for September of 2021, using the ratio of wages and benefits to calculate the loading factor. For Technical, Engineers, Technicians and Managerial roles, used “Management, professional, and related occupations” (Table 19). For Administrative Support, used “Office and administrative support occupations” (Table 19).</t>
  </si>
  <si>
    <t>(3) The overhead loading factor is from Rice, Cody 2002. "Wage Rates for Economic Analyses of the Toxics Release Inventory Program,” Analytical Support Branch, Environmental Analysis Division, Office of Environmental Information, U.S. EPA, June 10, 2002.</t>
  </si>
  <si>
    <t>Loaded Hourly Rates (2021$)</t>
  </si>
  <si>
    <t>OPM Designation</t>
  </si>
  <si>
    <t>Benefits Loading Factor (2)</t>
  </si>
  <si>
    <t xml:space="preserve"> Technical </t>
  </si>
  <si>
    <t>GS-12, Step 5</t>
  </si>
  <si>
    <t xml:space="preserve"> Managerial</t>
  </si>
  <si>
    <t>GS-13, Step 1</t>
  </si>
  <si>
    <t xml:space="preserve"> Clerical</t>
  </si>
  <si>
    <t>GS-6, Step 3</t>
  </si>
  <si>
    <r>
      <t>(2)</t>
    </r>
    <r>
      <rPr>
        <sz val="7"/>
        <color theme="1"/>
        <rFont val="Times New Roman"/>
        <family val="1"/>
      </rPr>
      <t xml:space="preserve">     </t>
    </r>
    <r>
      <rPr>
        <sz val="9"/>
        <color theme="1"/>
        <rFont val="Times New Roman"/>
        <family val="1"/>
      </rPr>
      <t>The rates have been increased by 60% to account for the benefit packages available to government employees.</t>
    </r>
  </si>
  <si>
    <t>Labor Rates for 2021</t>
  </si>
  <si>
    <t>Wages &amp; Salaries (2021$) (1)</t>
  </si>
  <si>
    <t>(1)     These rates are from the Office of Personnel Management (OPM), 2021 General Schedule, which excludes locality rates of pay. See https://www.opm.gov/policy-data-oversight/pay-leave/salaries-wages/salary-tables/pdf/2021/GS_h.pdf.</t>
  </si>
  <si>
    <t>EPA Labor Rates - 2021</t>
  </si>
  <si>
    <t>(2021$)</t>
  </si>
  <si>
    <t>Total Capital and O&amp;M Cost per Year per Facility (2021$)</t>
  </si>
  <si>
    <t>Capital Cost (2021$)</t>
  </si>
  <si>
    <t>Annualized Capital Cost (2021$/year)</t>
  </si>
  <si>
    <t>O&amp;M Costs (2021$/year)</t>
  </si>
  <si>
    <t>Total Labor Cost per Year per Facility (2021$)</t>
  </si>
  <si>
    <t>Incremental Annual Average Costs (2021$)</t>
  </si>
  <si>
    <t xml:space="preserve">Labor Costs – Subpart AA </t>
  </si>
  <si>
    <t>Table TT-1. Labor Costs – Subpart TT (from Appendix H to the 2019 ICR)</t>
  </si>
  <si>
    <t>Table II-1. Labor Costs – Subpart II (from Appendix H to the 2019 ICR)</t>
  </si>
  <si>
    <t>Table DD-1. Labor Costs – Subpart DD (from Appendix H to the 2019 ICR)</t>
  </si>
  <si>
    <t>Table DD-2a. Capital and O&amp;M Costs – Subpart DD – All facilities (from Appendix H to the 2019 ICR)</t>
  </si>
  <si>
    <t>Subpart F Data Element Revisions</t>
  </si>
  <si>
    <t>Subpart N Data Element Revisions</t>
  </si>
  <si>
    <t>Subpart P Data Element Revisions</t>
  </si>
  <si>
    <t>Subpart Y Data Element Revisions</t>
  </si>
  <si>
    <t>Subpart AA Data Element Revisions</t>
  </si>
  <si>
    <t>Subpart OO Data Element Revisions</t>
  </si>
  <si>
    <t>Subpart QQ Data Element Revisions</t>
  </si>
  <si>
    <t xml:space="preserve">Table 4-1. Incremental Implementation Costs by Subpart (2021$)  </t>
  </si>
  <si>
    <t>Labor Costs of Proposed Revisions</t>
  </si>
  <si>
    <t>Labor Costs of Proposed Revisions = Number of Facilities x Total Labor Cost per Year per Facility</t>
  </si>
  <si>
    <t>O&amp;M Cost Per Year</t>
  </si>
  <si>
    <t>V - Nitric Acid Production</t>
  </si>
  <si>
    <t>II - Industrial Wastewater Treatment</t>
  </si>
  <si>
    <t>TT - Industrial Waste Landfills</t>
  </si>
  <si>
    <t>Note: Package 1 includes costs for new data elements for subpart OO that do not overlap with new data elements added in this package that may need to be considered for new reporters.</t>
  </si>
  <si>
    <t>Number of Reporters Affected (1, 2)</t>
  </si>
  <si>
    <t>Factor from 2017$</t>
  </si>
  <si>
    <t>Total labor, 1 facility:</t>
  </si>
  <si>
    <t>Total Costs of Proposed Revisions, 1 facility:</t>
  </si>
  <si>
    <r>
      <rPr>
        <u/>
        <sz val="9"/>
        <color rgb="FF000000"/>
        <rFont val="Times New Roman"/>
        <family val="1"/>
      </rPr>
      <t>Calculation Methodology</t>
    </r>
    <r>
      <rPr>
        <sz val="9"/>
        <color rgb="FF000000"/>
        <rFont val="Times New Roman"/>
        <family val="1"/>
      </rPr>
      <t>: Total costs for 1 facility = Labor Cost per facility  + Capital and O&amp;M Costs .</t>
    </r>
  </si>
  <si>
    <t>Total Capital and O&amp;M, 1 facility:</t>
  </si>
  <si>
    <r>
      <rPr>
        <u/>
        <sz val="9"/>
        <color rgb="FF000000"/>
        <rFont val="Times New Roman"/>
        <family val="1"/>
      </rPr>
      <t>Calculation Methodology</t>
    </r>
    <r>
      <rPr>
        <sz val="9"/>
        <color rgb="FF000000"/>
        <rFont val="Times New Roman"/>
        <family val="1"/>
      </rPr>
      <t>: Total costs for 1 facility = Labor Cost per facility + Capital and O&amp;M Costs.</t>
    </r>
  </si>
  <si>
    <t>Total labor, 1  facility:</t>
  </si>
  <si>
    <t>Table II-2. Capital and O&amp;M Costs – Subpart II – All facilities (from Appendix H to the 2019 ICR)</t>
  </si>
  <si>
    <t>Assumed to be one  new reporter who would be expected to start reporting to the GHGRP</t>
  </si>
  <si>
    <t xml:space="preserve">Assumed to be one new reporter who would be expected to start reporting to the GHGRP. </t>
  </si>
  <si>
    <t>Hours for first year are from Table 4-26 of the 2009 Final Impacts Analsysis</t>
  </si>
  <si>
    <t>Initial year hours are also from Appendix H to the 2019 ICR</t>
  </si>
  <si>
    <t>Table TT-2. Capital and O&amp;M Costs – Subpart TT – All facilities (from Appendix H to the 2019 ICR)</t>
  </si>
  <si>
    <t>107 facilities are expected to report under subpart AA, based on the 2019 ICR.</t>
  </si>
  <si>
    <t>Number of Reporters Affected</t>
  </si>
  <si>
    <t>P (1, 2)</t>
  </si>
  <si>
    <t>P (3)</t>
  </si>
  <si>
    <t>AA (2)</t>
  </si>
  <si>
    <t>N (2)</t>
  </si>
  <si>
    <t>G (2)</t>
  </si>
  <si>
    <t>F (2)</t>
  </si>
  <si>
    <t>OO (2)</t>
  </si>
  <si>
    <t>QQ (2)</t>
  </si>
  <si>
    <t>QQ (3)</t>
  </si>
  <si>
    <t>NAICS 211 (Oil and Gas Extraction); SOC 11-3051 (Industrial Production Managers)</t>
  </si>
  <si>
    <t>NAICS 211000 (Oil and Gas Extraction); SOC 17-2112 (Ind. Engineers)</t>
  </si>
  <si>
    <t>NAICS 211000 (Oil and Gas Extraction); SOC 17-3024 (Electro-Mechanical Technicians)</t>
  </si>
  <si>
    <t>SOC 23-1011 Lawyers</t>
  </si>
  <si>
    <t>Prior Labor Costs - Year 2017</t>
  </si>
  <si>
    <t>Table XX-2a. Capital and O&amp;M Costs – Subpart XX</t>
  </si>
  <si>
    <t>Table ZZ-2a. Capital and O&amp;M Costs – Subpart ZZ</t>
  </si>
  <si>
    <r>
      <rPr>
        <u/>
        <sz val="9"/>
        <color rgb="FF000000"/>
        <rFont val="Times New Roman"/>
        <family val="1"/>
      </rPr>
      <t>Calculation Methodology</t>
    </r>
    <r>
      <rPr>
        <sz val="9"/>
        <color rgb="FF000000"/>
        <rFont val="Times New Roman"/>
        <family val="1"/>
      </rPr>
      <t>: Total costs for 1 new facility = Labor Cost per facility + Capital and O&amp;M Costs.</t>
    </r>
  </si>
  <si>
    <t>A (2)</t>
  </si>
  <si>
    <t>Subparts W and RR</t>
  </si>
  <si>
    <t>A</t>
  </si>
  <si>
    <t>A - General Provisions</t>
  </si>
  <si>
    <t>OO – Suppliers of Industrial Greenhouse Gases</t>
  </si>
  <si>
    <t>12 data items (b) though (m) must be reported</t>
  </si>
  <si>
    <r>
      <rPr>
        <u/>
        <sz val="9"/>
        <color rgb="FF000000"/>
        <rFont val="Times New Roman"/>
        <family val="1"/>
      </rPr>
      <t>Calculation Methodology</t>
    </r>
    <r>
      <rPr>
        <sz val="9"/>
        <color rgb="FF000000"/>
        <rFont val="Times New Roman"/>
        <family val="1"/>
      </rPr>
      <t>: Total costs for 1 new facility = Labor Cost per facility + Capital and O&amp;M Costs.</t>
    </r>
  </si>
  <si>
    <t>Table ZZ-1. Labor Costs – Subpart ZZ - Ceramics Production</t>
  </si>
  <si>
    <t>Factor from 2006$</t>
  </si>
  <si>
    <t>Table YY-1. Labor Costs – Subpart YY - Caprolactam, Glyoxal, and Glyoxylic Acid Production</t>
  </si>
  <si>
    <t>Table YY-2. Capital and O&amp;M Costs – Subpart YY - Caprolactam, Glyoxal, and Glyoxylic Acid Production</t>
  </si>
  <si>
    <t>*planning is related to the required annual performance test: preparing for equipment shutdown prior to testing, contacting the test company, setting up the testing, attending the performance test</t>
  </si>
  <si>
    <t>*Recordkeeping burden accounts for the time needed to create paper copies, backup to the cloud, or utilize another recordkeeping method</t>
  </si>
  <si>
    <t>*Represents time required to enter the data into EPA’s electronic Greenhouse Gas Reporting Tool (e-GGRT) (for new facilities, set-up of account and first-time use of e-GGRT system.</t>
  </si>
  <si>
    <t xml:space="preserve">*QA/QC activities include review of calculations, testing, and reports; QA/QC hours are not expected because the annual performance test (and related QA/QC) is performed by a contractor; as such both costs are represented as O&amp;M costs </t>
  </si>
  <si>
    <t>Assumptions:</t>
  </si>
  <si>
    <t>*Sampling and analysis to determine the molecular weight and carbon content of the natural gas is performed annually</t>
  </si>
  <si>
    <t>*QA/QC activities include review of calculations, testing, and reports;</t>
  </si>
  <si>
    <t>*reading the rule to become familiar with any changes to the rule requirements, asking questions about applicability, reviewing any overlap in existing reporting programs</t>
  </si>
  <si>
    <t>*Specific labor costs related to sampling and analysis activities for Subpart DD include overseeing a contractor who weighs the gas cylinders and performing emission calculations</t>
  </si>
  <si>
    <t xml:space="preserve">*QA/QC activities include review of calculations, testing, and reports; </t>
  </si>
  <si>
    <t>*Represents time required to enter the data into EPA’s electronic Greenhouse Gas Reporting Tool (e-GGRT) (for new facilities, set-up of account and first-time use of e-GGRT system).</t>
  </si>
  <si>
    <t xml:space="preserve">*Sampling O&amp;M costs for Subpart DD are for an independent contractor to weigh gas cylinders for facilities that have a high quantity of cylinders. </t>
  </si>
  <si>
    <t>*For sampling and analysis of carbon content of natural gas</t>
  </si>
  <si>
    <t>*covers cost to store records, such as a flash drive, paper file or cloud storage</t>
  </si>
  <si>
    <t xml:space="preserve">*Costs of performance testing, assumes 1.63 nitric acid trains per facility. </t>
  </si>
  <si>
    <t>*Sampling and analysis (calculations) hours include completion of the measurements and calculations in (§98.346), including calculation of methane generation and emissions, estimating historical waste quantities, and determining annual waste compositions, and the composition, flow, and destruction of landfill gas through the gas collection system</t>
  </si>
  <si>
    <t>*Sampling and analysis (calculations) hours include completion of the measurements and calculations in §98.356, including calculation of any methane generation, emissions, and biogas collection and recovery amounts and gas characterization if applicable</t>
  </si>
  <si>
    <t>*Represents time required to enter the data into EPA’s electronic Greenhouse Gas Reporting Tool (e-GGRT).</t>
  </si>
  <si>
    <t xml:space="preserve">*New facilities in their initial year of reporting will incur additional planning hours to familiarize themselves with the rule and hours for setup of compliance activities, including QA/QC </t>
  </si>
  <si>
    <t>*Costs for the calibration of the flow meter at a Subpart II facility. The O&amp;M cost of $3,550 only occurs once every three years under Subpart II. Therefore, each facility (both new facilities and existing facilities) will be expected to incur a cost of $1,183 each year over a three-year period</t>
  </si>
  <si>
    <t>Table V-1. Labor Costs – Subpart V (hours from Appendix H to the 2019 ICR)</t>
  </si>
  <si>
    <t>Table V-2. Capital and O&amp;M Costs – Subpart V – All facilities (from Appendix H to the 2019 ICR)</t>
  </si>
  <si>
    <t>Assumed the initial year savings are the same as the subsequent year savings because the facility is going to off-ramp and does not have any initial year costs.</t>
  </si>
  <si>
    <t>Table Y-2. Capital and O&amp;M Costs – Subpart Y – All facilities (from Appendix H to the 2019 ICR)</t>
  </si>
  <si>
    <t>Table HH-2. Capital and O&amp;M Costs – Subpart HH – Landfills - Facilities without gas collection systems (from Table HH-3b in Appendix H to the 2019 ICR)</t>
  </si>
  <si>
    <t>"Initial year" cost is based on one facility being new and 5 being earlier reporters that have only subsequent year costs.</t>
  </si>
  <si>
    <t xml:space="preserve">*Importers develop an annual report that summarizes imports at the corporate level </t>
  </si>
  <si>
    <t xml:space="preserve">*Sampling and analysis (calculations) hours include completion of the measurements and calculations in (§98.276), including calculation of emissions, and volatile solids testing for the initial year of reporting, where applicable. </t>
  </si>
  <si>
    <t>*New facilities in their initial year of reporting will incur additional planning time to familiarize themselves with the rule. Initial year labor costs also include time for setup of compliance activities.</t>
  </si>
  <si>
    <t>Table OO-2. Capital and O&amp;M Costs – Subpart OO – F-GHG Producers (from Appendix H to the 2019 ICR)</t>
  </si>
  <si>
    <t>Assumed the new reporter would be an importer (all producers are already required to report).</t>
  </si>
  <si>
    <t>Table OO-1. Labor Costs – Subpart OO - F-GHG Importers (from Table OO-1b in Appendix H to the 2019 ICR)</t>
  </si>
  <si>
    <t>Table P-2. Capital and O&amp;M Costs – Subpart P - Hydrogen Production – Mass Balance Option; Natural Gas and Liquid/Solid Fuels (from Table P-2e in Appendix H to the 2019 ICR)</t>
  </si>
  <si>
    <t>Table P-1. Labor Costs – Subpart P - Hydrogen Production - Mass Balance Option; Natural Gas and Liquid/Solid Fuels (from Table P-1e of Appendix H to the 2019 ICR)</t>
  </si>
  <si>
    <t xml:space="preserve">*New facilities in their initial year of reporting will incur similar planning hours. </t>
  </si>
  <si>
    <t>Initial and subsequent year hours are based on required activities unique to the Tier 1 methodology from Appendix F to the 2019 ICR, specifically, the time to perform engineering calculations to total CO2, CH4, and N2O emissions .</t>
  </si>
  <si>
    <t xml:space="preserve">Based on annual average hours per respondent for Tier 1, time to perform engineering calculation to determine CO2 emissions (0.4 hours) using Eq C-1, C-1a, or C-1b of subpart C, and CH4 and N2O emissions (0.9 hours) using Eq C-8, Eq C-8a, or Eq C-8b of subpart C using default high heat values and/or default emission factors. From Appendix F, Table F-1, of the 2019 ICR. </t>
  </si>
  <si>
    <t>Assume that all reporters have to report data items for both electricity and thermal energy (e.g., natural gas).</t>
  </si>
  <si>
    <t>Data items (f) and (l) apply only to electricity and not thermal energy, so the total for a facility using both electricity and thermal energy is 20 data elements.</t>
  </si>
  <si>
    <t>20 data elements x 0.05 hours per element = 1 hour of reporting.</t>
  </si>
  <si>
    <t>Subpart K requires that analysis of the C-content of 6 input and output materials in the mass balance equation; Subpart XX requires the analysis of 4 materials and does not require calculating CH4 emissions.</t>
  </si>
  <si>
    <t>Applicability is affected by rule changes that shift certain operations to a new subpart for coke calciners.</t>
  </si>
  <si>
    <t>Applicability is affected by rule changes that increase the number of hydrogen plants reporting.</t>
  </si>
  <si>
    <t>Applicability is affected by changes to the globabl warming potential values.</t>
  </si>
  <si>
    <t>Updated Labor Costs, Subparts W and RR - Year 2021</t>
  </si>
  <si>
    <t>*Cost to collect and analyze samples to determine carbon content.</t>
  </si>
  <si>
    <t>*Sampling and analysis to determine the carbon content of input materials is performed monthly.</t>
  </si>
  <si>
    <t>Assumed manager hours are 5% of technical (rounded up to a minimum of 0.1 hour) and administrative support are 10% of technical</t>
  </si>
  <si>
    <t>Table B-2. Capital and O&amp;M Costs – Subpart B</t>
  </si>
  <si>
    <t xml:space="preserve">Table Y-1. Labor Costs – Subpart Y - Petroleum Refineries </t>
  </si>
  <si>
    <t>Subpart Y uses model plants to estimate costs that assume a variety of refinery emission units and a set amount of units for each model. For these reasons, these estimates instead assume a reduced number of labor hours that apply only for coke calcining units. Estimates are based on similar labor hours and O&amp;M costs as used for subpart Q - Iron and Steel Production (carbon mass balance option with sampling, see Table Q-1a(1) in Appendix H) - because both rules rely on a carbon mass balance approach with carbon content sampling.</t>
  </si>
  <si>
    <t>(1) Clerical: Employer Costs for Employee Compensation (ECEC) (https://www.bls.gov/web/ecec/ececqrtn.pdf) for September 2021 (Private Industry Workers, Office and administrative support occupations). Last modified September 2021; accessed July 25, 2022.</t>
  </si>
  <si>
    <t>Applicability is affected by changes to the global warming potential values.</t>
  </si>
  <si>
    <t>OO (3)</t>
  </si>
  <si>
    <t>(2) Per RY2021 data, 58 respondents reporting to subpart OO are bulk importers who would be required to report new data element 40 CFR 98.416(b)(11).</t>
  </si>
  <si>
    <t xml:space="preserve">QA/QC: Meters must comply with specified standards for electric metering. Assumed time to confirm that meters comply initially and periodically thereafter. </t>
  </si>
  <si>
    <t xml:space="preserve">(2) Per RY2021 data, 29 respondents reporting to subpart G who do not use CEMs to measure emissions would be required to report new data element 40 CFR 98.76(b)(16), annual quantity of excess hydrogen produced that is not consumed through the production of ammonia (metric tons). </t>
  </si>
  <si>
    <t>(3) Per RY2021 data, 3 respondents reporting to subpart P who use CEMS to measure emissions would be required to report two new data elements at 40 CFR 98.166(b)(2)(i-ii).</t>
  </si>
  <si>
    <t>(2) Per RY2021 data, 33 respondents reporting to subpart QQ are bulk importers who would be required to report two new data elements at 40 CFR 98.436(a)(7-8).</t>
  </si>
  <si>
    <t>(3) Per RY2021 data, 28 respondents reporting to subpart QQ are bulk exporters who would be required to report one new data elements at 40 CFR 98.436(b)(7).</t>
  </si>
  <si>
    <t>HH</t>
  </si>
  <si>
    <t>C</t>
  </si>
  <si>
    <t>C (2)</t>
  </si>
  <si>
    <t>HH (2)</t>
  </si>
  <si>
    <t>Subpart HH Data Element Revisions</t>
  </si>
  <si>
    <t>Subpart C Data Element Revisions</t>
  </si>
  <si>
    <t>C - General Stationary Fuel Combustion Sources</t>
  </si>
  <si>
    <t xml:space="preserve">(2) EPA identified 1 respondent reporting to subpart AA that combusts biomass (other than spent liquor solids) with other fuels would be required to report annual biogenic CO2 emissions under subpart C.  </t>
  </si>
  <si>
    <t xml:space="preserve">Labor Costs – Subpart HH - Facilities with Gas Collection Systems </t>
  </si>
  <si>
    <t>I – Electronics Manufacturing </t>
  </si>
  <si>
    <t>HH (3)</t>
  </si>
  <si>
    <t>HH (4)</t>
  </si>
  <si>
    <t>(2) Per RY2021 data, 6 respondents reporting to subpart Y with asphalt blowing units would  be required to report one new data element at 40 CFR 98.256(j)(2).</t>
  </si>
  <si>
    <t>The existing carbide facility does not currently report under subpart C or K using CEMS. Based on this information, assume the same hour and O&amp;M burden as for subpart K, Tables K-1 and K-2 of Appendix H to the 2019 ICR, except assume that hours for sampling and analysis (calculations) for subpart XX are 2/3 of what they are for subpart K (e.g., 8 hours of engineer/technician instead of 12 hours).</t>
  </si>
  <si>
    <t>For Subpart Y, EPA previously used model plants to estimate costs that assume a variety of refinery emission units and a set amount of units for each model. For these reasons, these estimates instead assume the same labor hours and O&amp;M costs as used for subpart Q - Iron and Steel Production (carbon mass balance option with sampling, see Table Q-1a(1) in Appendix H) - because both rules rely on a carbon mass balance approach with carbon content sampling.</t>
  </si>
  <si>
    <t>Only 1 of the 15 facilities currently reporting under subparts Y or C are Calciner Units with/ CEMs. For this facility, we assume the same burden for reporting and recordkeeping, no burden for planning or QA/QC, and a burden of 2.0 hours for industrial technician, 0.2 hours for industrial manager, and 0.1 hours for administrative support for sampling and analysis/calculations. This would result in a total labor cost of $1,030/facility ($2021) in initial and subsequent years.</t>
  </si>
  <si>
    <r>
      <rPr>
        <u/>
        <sz val="9"/>
        <rFont val="Times New Roman"/>
        <family val="1"/>
      </rPr>
      <t>Planning:</t>
    </r>
    <r>
      <rPr>
        <sz val="9"/>
        <rFont val="Times New Roman"/>
        <family val="1"/>
      </rPr>
      <t xml:space="preserve"> sources are required to develop an Metered Energy Monitoring Plan (MEMP). Assumed time to develop the initial plan and update it annually. Note that an energy audit would be required once every 5 years.</t>
    </r>
  </si>
  <si>
    <r>
      <rPr>
        <u/>
        <sz val="9"/>
        <rFont val="Times New Roman"/>
        <family val="1"/>
      </rPr>
      <t>Estimated Reporting Costs</t>
    </r>
    <r>
      <rPr>
        <sz val="9"/>
        <rFont val="Times New Roman"/>
        <family val="1"/>
      </rPr>
      <t xml:space="preserve"> (represents time required to enter the data into EPA’s electronic Greenhouse Gas Reporting Tool (e-GGRT)):</t>
    </r>
  </si>
  <si>
    <r>
      <rPr>
        <u/>
        <sz val="9"/>
        <rFont val="Times New Roman"/>
        <family val="1"/>
      </rPr>
      <t>Assumptions</t>
    </r>
    <r>
      <rPr>
        <sz val="9"/>
        <rFont val="Times New Roman"/>
        <family val="1"/>
      </rPr>
      <t>:</t>
    </r>
  </si>
  <si>
    <t xml:space="preserve">From the draft preamble: There is currently one producer of calcium carbide in the U.S., Carbide Industries, LLC, located in Louisville, KY. Carbide Industries LLC, currently reports their process greenhouse gas (GHG) emissions under the GHG Reporting Program (GHGRP; 40 CFR part 98), subpart K – Ferroalloy Production (GHGRP Facility ID 528303). Their reporting under subpart K is voluntary as the subpart does not cover the production of calcium carbide. </t>
  </si>
  <si>
    <r>
      <t>*</t>
    </r>
    <r>
      <rPr>
        <u/>
        <sz val="9"/>
        <rFont val="Times New Roman"/>
        <family val="1"/>
      </rPr>
      <t>Planning</t>
    </r>
    <r>
      <rPr>
        <sz val="9"/>
        <rFont val="Times New Roman"/>
        <family val="1"/>
      </rPr>
      <t xml:space="preserve"> activities include familiarizing with the rule and hours for setup of compliance activities including sampling and QA/QC</t>
    </r>
  </si>
  <si>
    <r>
      <t>*</t>
    </r>
    <r>
      <rPr>
        <u/>
        <sz val="9"/>
        <rFont val="Times New Roman"/>
        <family val="1"/>
      </rPr>
      <t>QA/QC</t>
    </r>
    <r>
      <rPr>
        <sz val="9"/>
        <rFont val="Times New Roman"/>
        <family val="1"/>
      </rPr>
      <t xml:space="preserve"> activities include review of calculations, testing, and reports; </t>
    </r>
  </si>
  <si>
    <r>
      <t>*</t>
    </r>
    <r>
      <rPr>
        <u/>
        <sz val="9"/>
        <rFont val="Times New Roman"/>
        <family val="1"/>
      </rPr>
      <t>Recordkeeping</t>
    </r>
    <r>
      <rPr>
        <sz val="9"/>
        <rFont val="Times New Roman"/>
        <family val="1"/>
      </rPr>
      <t xml:space="preserve"> burden accounts for the time needed to create paper copies, backup to the cloud, or utilize another recordkeeping method</t>
    </r>
  </si>
  <si>
    <r>
      <t>*</t>
    </r>
    <r>
      <rPr>
        <u/>
        <sz val="9"/>
        <rFont val="Times New Roman"/>
        <family val="1"/>
      </rPr>
      <t>Sampling and analysis (calculations)</t>
    </r>
    <r>
      <rPr>
        <sz val="9"/>
        <rFont val="Times New Roman"/>
        <family val="1"/>
      </rPr>
      <t xml:space="preserve"> hours include completion of the measurements and calculations, including collecting carbon content and calculating CO2 emissions from each calcium carbide process unit</t>
    </r>
  </si>
  <si>
    <r>
      <t>*</t>
    </r>
    <r>
      <rPr>
        <u/>
        <sz val="9"/>
        <rFont val="Times New Roman"/>
        <family val="1"/>
      </rPr>
      <t>Reporting:</t>
    </r>
    <r>
      <rPr>
        <sz val="9"/>
        <rFont val="Times New Roman"/>
        <family val="1"/>
      </rPr>
      <t xml:space="preserve"> Represents time required to enter the data into EPA’s electronic Greenhouse Gas Reporting Tool (e-GGRT), including set-up of account and first-time use of e-GGRT system).</t>
    </r>
  </si>
  <si>
    <t>Assumed similar labor hours and O&amp;M as for subpart V - Nitirc Acid Production for the Alternative Monitoring Method Option. These are both subparts dealing with sources of N2O that include the use of emission factors and accounting for abatement DRE.</t>
  </si>
  <si>
    <r>
      <t>*</t>
    </r>
    <r>
      <rPr>
        <u/>
        <sz val="9"/>
        <rFont val="Times New Roman"/>
        <family val="1"/>
      </rPr>
      <t xml:space="preserve">Planning </t>
    </r>
    <r>
      <rPr>
        <sz val="9"/>
        <rFont val="Times New Roman"/>
        <family val="1"/>
      </rPr>
      <t>activities include familiarizing with the rule and hours for setup of compliance activities including sampling and QA/QC</t>
    </r>
  </si>
  <si>
    <r>
      <t>*</t>
    </r>
    <r>
      <rPr>
        <u/>
        <sz val="9"/>
        <rFont val="Times New Roman"/>
        <family val="1"/>
      </rPr>
      <t>QA/QC</t>
    </r>
    <r>
      <rPr>
        <sz val="9"/>
        <rFont val="Times New Roman"/>
        <family val="1"/>
      </rPr>
      <t xml:space="preserve"> hours related to maintaining the equipment used to comply with the alternative monitoring method option, along with review of all measurements and calculations used to determine emissions</t>
    </r>
  </si>
  <si>
    <r>
      <t>*</t>
    </r>
    <r>
      <rPr>
        <u/>
        <sz val="9"/>
        <rFont val="Times New Roman"/>
        <family val="1"/>
      </rPr>
      <t>Sampling and analysis (calculations)</t>
    </r>
    <r>
      <rPr>
        <sz val="9"/>
        <rFont val="Times New Roman"/>
        <family val="1"/>
      </rPr>
      <t xml:space="preserve"> hours include completion of the measurements and calculations, including estimating N2O base on the use of emission factors and accounting for abatement DRE.</t>
    </r>
  </si>
  <si>
    <r>
      <t>*</t>
    </r>
    <r>
      <rPr>
        <u/>
        <sz val="9"/>
        <rFont val="Times New Roman"/>
        <family val="1"/>
      </rPr>
      <t xml:space="preserve">Reporting: </t>
    </r>
    <r>
      <rPr>
        <sz val="9"/>
        <rFont val="Times New Roman"/>
        <family val="1"/>
      </rPr>
      <t>Represents time required to enter the data into EPA’s electronic Greenhouse Gas Reporting Tool (e-GGRT), including set-up of account and first-time use of e-GGRT system).</t>
    </r>
  </si>
  <si>
    <r>
      <t>*</t>
    </r>
    <r>
      <rPr>
        <u/>
        <sz val="9"/>
        <rFont val="Times New Roman"/>
        <family val="1"/>
      </rPr>
      <t xml:space="preserve">Sampling and analysis (calculations) </t>
    </r>
    <r>
      <rPr>
        <sz val="9"/>
        <rFont val="Times New Roman"/>
        <family val="1"/>
      </rPr>
      <t xml:space="preserve">hours include completion of the measurements and calculations. Calculations include inputting the amounts of carbonate-based mineral into the equations to calculate CO2 emissions. </t>
    </r>
  </si>
  <si>
    <r>
      <t>*</t>
    </r>
    <r>
      <rPr>
        <u/>
        <sz val="9"/>
        <rFont val="Times New Roman"/>
        <family val="1"/>
      </rPr>
      <t xml:space="preserve">Sampling and analysis (calculations) </t>
    </r>
    <r>
      <rPr>
        <sz val="9"/>
        <rFont val="Times New Roman"/>
        <family val="1"/>
      </rPr>
      <t xml:space="preserve">hours include completion of the measurements and calculations, including entering mass of materials used in the process into equations Eq. AAA-1 to estimate CO2 emissions and use of emission factors in Eq. AAA-2 and AAA-3 to estimate N2O and CH4 emissions. </t>
    </r>
  </si>
  <si>
    <r>
      <t>Revise 40 CFR 98.273 to include methodologies to calculate CH</t>
    </r>
    <r>
      <rPr>
        <vertAlign val="subscript"/>
        <sz val="9"/>
        <color theme="1"/>
        <rFont val="Times New Roman"/>
        <family val="1"/>
      </rPr>
      <t>4</t>
    </r>
    <r>
      <rPr>
        <sz val="9"/>
        <color theme="1"/>
        <rFont val="Times New Roman"/>
        <family val="1"/>
      </rPr>
      <t>, N</t>
    </r>
    <r>
      <rPr>
        <vertAlign val="subscript"/>
        <sz val="9"/>
        <color theme="1"/>
        <rFont val="Times New Roman"/>
        <family val="1"/>
      </rPr>
      <t>2</t>
    </r>
    <r>
      <rPr>
        <sz val="9"/>
        <color theme="1"/>
        <rFont val="Times New Roman"/>
        <family val="1"/>
      </rPr>
      <t>O and biogenic CO</t>
    </r>
    <r>
      <rPr>
        <vertAlign val="subscript"/>
        <sz val="9"/>
        <color theme="1"/>
        <rFont val="Times New Roman"/>
        <family val="1"/>
      </rPr>
      <t>2</t>
    </r>
    <r>
      <rPr>
        <sz val="9"/>
        <color theme="1"/>
        <rFont val="Times New Roman"/>
        <family val="1"/>
      </rPr>
      <t xml:space="preserve"> emissions from the combustion of biomass fuels other than spent liquor solids, as well as the combustion of biomass other than spent liquor solids with other fuels, according to the applicable methodology from the provisions for stationary combustion sources found at 40 CFR 98.33(a), 40 CFR 98.33(c), and 40 CFR 98.33(e).</t>
    </r>
  </si>
  <si>
    <r>
      <t xml:space="preserve">*Sampling and analysis costs for the annual performance test option (without abatement) include time to calculate the N2O emission factor (according to Equation V-1) using the information gathered during the performance test and to calculate total N2O emissions from the nitric acid trains. </t>
    </r>
    <r>
      <rPr>
        <b/>
        <sz val="9"/>
        <rFont val="Times New Roman"/>
        <family val="1"/>
      </rPr>
      <t>Confirmed affected facility has no abatement.</t>
    </r>
  </si>
  <si>
    <t>(2) Per RY2021 data, 7 respondents report to subpart F who would be required to report new data elements at 40 CFR 98.66(a) for production capacity (tons) and at 40 CFR 98.66(g) for annual operating days per potline.</t>
  </si>
  <si>
    <t>Y(2)</t>
  </si>
  <si>
    <t>Table XX-1. Labor Costs – Subpart XX – Calcium Carbide Production</t>
  </si>
  <si>
    <t>Table B-1. Labor Costs – Subpart B – Energy Consumption</t>
  </si>
  <si>
    <t>Annual Avg Cost/ Reporter</t>
  </si>
  <si>
    <t>YY- Caprolactam,  Glyoxyl, and Glyoxylic Acid Production </t>
  </si>
  <si>
    <t>RR - Geologic Sequestration of Carbon Dioxide</t>
  </si>
  <si>
    <t>Burden for Subparts in Section 2.1 of Impacts Assessment</t>
  </si>
  <si>
    <t>Subpart V (Applicability)</t>
  </si>
  <si>
    <t>Subpart DD (Applicability)</t>
  </si>
  <si>
    <t>Subpart HH (Applicability)</t>
  </si>
  <si>
    <t>Subpart II (Applicability)</t>
  </si>
  <si>
    <t>Subpart OO (Applicability)</t>
  </si>
  <si>
    <t>Subpart TT (Applicability)</t>
  </si>
  <si>
    <t>B (New Subpart)</t>
  </si>
  <si>
    <t>WW (New subpart)</t>
  </si>
  <si>
    <t>XX (New subpart)</t>
  </si>
  <si>
    <t>YY (New subpart)</t>
  </si>
  <si>
    <t>ZZ (New Subpart)</t>
  </si>
  <si>
    <t>Burden for Subparts in Section 2.3 of Impacts Assessment</t>
  </si>
  <si>
    <t>Burden for Subparts in Section 2.2 of Impacts Assessment</t>
  </si>
  <si>
    <t>Subpart P (Applicability)</t>
  </si>
  <si>
    <t>Subpart Y (Applicability)</t>
  </si>
  <si>
    <t>Burden for Subparts in Section 2.4 of Impacts Assessment</t>
  </si>
  <si>
    <t>Subpart AA (Calculations)</t>
  </si>
  <si>
    <t>Subpart HH (Calculations)</t>
  </si>
  <si>
    <t>Burden for Subparts in Section 2.5 of Impacts Assessment</t>
  </si>
  <si>
    <t>A (Data Elements)</t>
  </si>
  <si>
    <t>C (Data Elements)</t>
  </si>
  <si>
    <t>F (Data Elements)</t>
  </si>
  <si>
    <t>G (Data Elements)</t>
  </si>
  <si>
    <t>N (Data Elements)</t>
  </si>
  <si>
    <t>P (Data Elements)</t>
  </si>
  <si>
    <t>Y (Data Elements)</t>
  </si>
  <si>
    <t>AA (Data Elements)</t>
  </si>
  <si>
    <t>HH (Data Elements)</t>
  </si>
  <si>
    <t>OO (Data Elements)</t>
  </si>
  <si>
    <t>QQ (Data Elements)</t>
  </si>
  <si>
    <t>Reporting Cost Summary</t>
  </si>
  <si>
    <t>Cost Summary</t>
  </si>
  <si>
    <t>Summary of Initial, Subsequent Year, and Capital/O&amp;M Costs for All Changes, by Subpart</t>
  </si>
  <si>
    <t>2.1 Updates to GWPs</t>
  </si>
  <si>
    <t>2.2 New Subparts</t>
  </si>
  <si>
    <t>Links to spreadsheets containing burden for updates to GWPs, by Subpart, as discussed in Section 2.1 of the impacts assessment</t>
  </si>
  <si>
    <t>Links to spreadsheets containing burden for new subparts, by Subpart, as discussed in Section 2.2 of the impacts assessment</t>
  </si>
  <si>
    <t>2.3 Other Applicability</t>
  </si>
  <si>
    <t>Links to spreadsheets containing burden for subparts with other applicability changes, by Subpart, as discussed in Section 2.3 of the impacts assessment</t>
  </si>
  <si>
    <t>2.4 Monitoring and Calculations</t>
  </si>
  <si>
    <t>Links to spreadsheets containing burden for subparts with changes to monitoring and calculations, by Subpart, as discussed in Section 2.4 of the impacts assessment</t>
  </si>
  <si>
    <t>2.5 Recordkeeping and Reporting</t>
  </si>
  <si>
    <t>Table of Contents for this Workbook</t>
  </si>
  <si>
    <t>Links to spreadsheets containing burden for subparts with changes to recordkeeping or reporting requirements, including total and by Subpart, as discussed in Section 2.5 of the impacts assessment</t>
  </si>
  <si>
    <t>Back to Table of Contents</t>
  </si>
  <si>
    <t>Content Notes</t>
  </si>
  <si>
    <r>
      <t>(2) It is estimated that 346</t>
    </r>
    <r>
      <rPr>
        <sz val="9"/>
        <color rgb="FFFF0000"/>
        <rFont val="Arial"/>
        <family val="2"/>
      </rPr>
      <t xml:space="preserve"> </t>
    </r>
    <r>
      <rPr>
        <sz val="9"/>
        <rFont val="Arial"/>
        <family val="2"/>
      </rPr>
      <t>respondents reporting under subpart C may have at least 1 potential EGU. The proposed requirements would require a facility to report for either the individual unit, aggregation of units, common stack, or common pipe configuration an indicator of whether the unit is an EGU. If the reporter is using the reporting alternatives of aggregation of units, common stack, or common pipe configuration, the facility must also report an estimate of the group’s total reported emissions attributable to electricity generation for each reporting alternative. The number of facilities estimated is based on a crosswalk between GHGRP facility IDs and ORIS codes for facilities not in the GHGRP Power Sector that submitted reports in RY2020. See:  https://www.epa.gov/system/files/documents/2022-04/ghgrp_oris_power_plant_crosswalk_12_13_21.xlsx (accessed September 29, 2022).  Additional facilities with small EGUs that are less than 1 MW electric output or that are not subject to reporting would also be required to report, however, we lack information to definitively quantify the number of facilities with these units that would be required to report these additional data elements. However, the provided estimate is a conversative estimate as reporters would only enter two data elements to identify the affected EGU Unit and the fraction of reported emissions attributable to electricity generation for the reported configuration.</t>
    </r>
  </si>
  <si>
    <t>Cost of Proposed Revisions from Package 1 (per facility):</t>
  </si>
  <si>
    <t>Adjusted hours from package 1:</t>
  </si>
  <si>
    <t>Adjusted hours from Package 1:</t>
  </si>
  <si>
    <t>Labor Costs of Proposed Revisions = Number of Facilities x Total Labor Cost per Year per Facility + Cost of Proposed Revision from Package 1 (Adjusted to $2021)</t>
  </si>
  <si>
    <t>Cost of Proposed Revisions from Package 1 (per facility, labor):</t>
  </si>
  <si>
    <t>Table WW-1. Labor Costs – Subpart WW –  Coke Calciners</t>
  </si>
  <si>
    <t>Table WW-2. Capital and O&amp;M Costs – Subpart WW – Coke Calciners</t>
  </si>
  <si>
    <t>WW- Coke Calciners </t>
  </si>
  <si>
    <t>Labor Costs per Facility</t>
  </si>
  <si>
    <t>Capital and O&amp;M per Facility</t>
  </si>
  <si>
    <t xml:space="preserve">Table 4-2. Incremental Implementation Costs per Facility by Subpart (2021$)  </t>
  </si>
  <si>
    <t>Total Initial Year Costs (Labor + Non Labor)</t>
  </si>
  <si>
    <t>Total Subsequent Year Costs (Labor + Non-Labor)</t>
  </si>
  <si>
    <t>Total Initial Year Per Facility Costs (Labor + Non Labor)</t>
  </si>
  <si>
    <t>Total Subsequent Year Per Facility Costs (Labor + Non-Labor)</t>
  </si>
  <si>
    <t>Number of Affected Facilities</t>
  </si>
  <si>
    <t>Table 1. Summary of Burden and Cost by Source Category and Year</t>
  </si>
  <si>
    <t>Table 2. Summary of Burden and Cost by Source Category and Year</t>
  </si>
  <si>
    <t>Table 3. Summary of Burden and Cost by Source Category and Year</t>
  </si>
  <si>
    <t>Table 4. Summary of Burden and Cost by Source Category</t>
  </si>
  <si>
    <t>Annual 3-Year Average</t>
  </si>
  <si>
    <t>Source Category</t>
  </si>
  <si>
    <t>No. Respondents (1)</t>
  </si>
  <si>
    <t>Burden - Technical
(hrs)</t>
  </si>
  <si>
    <t>Burden - Managerial
(hrs)</t>
  </si>
  <si>
    <t>Burden - Clerical (hrs)</t>
  </si>
  <si>
    <t>Burden - Legal (hrs)</t>
  </si>
  <si>
    <t>Total Burden (hrs)</t>
  </si>
  <si>
    <t>Total Labor Cost
($)</t>
  </si>
  <si>
    <t>Capital Cost
($)</t>
  </si>
  <si>
    <t>O&amp;M Cost
 ($)</t>
  </si>
  <si>
    <t>Total Cost
($)</t>
  </si>
  <si>
    <t>A. General Provisions</t>
  </si>
  <si>
    <t>C. Stationary Combustion (general unspecified)</t>
  </si>
  <si>
    <t>G. Ammonia Manufacturing</t>
  </si>
  <si>
    <t>I. Electronics Manufacturing</t>
  </si>
  <si>
    <t>N. Glass Production</t>
  </si>
  <si>
    <t>P. Hydrogen Production</t>
  </si>
  <si>
    <t>W. Petroleum and Natural Gas Systems</t>
  </si>
  <si>
    <t>Y. Petroleum Refineries</t>
  </si>
  <si>
    <t>AA. Pulp &amp; Paper Mnfctrng</t>
  </si>
  <si>
    <t>DD. Sulfur Hexafluoride (SF6) from Electric Power Systems</t>
  </si>
  <si>
    <t>HH. Landfills</t>
  </si>
  <si>
    <t>OO. Suppliers of Industrial GHG</t>
  </si>
  <si>
    <t>RR. Geologic Sequestration of Carbon Dioxide</t>
  </si>
  <si>
    <t>VV. Geologic Sequestration of CO2 with EOR</t>
  </si>
  <si>
    <t>TOTAL</t>
  </si>
  <si>
    <t>(1) Some respondents belong to multiple source categories, so the number of respondents is not additive.</t>
  </si>
  <si>
    <t>B. Energy Consumption</t>
  </si>
  <si>
    <t>F. Aluminum Production</t>
  </si>
  <si>
    <t>V. Nitric Acid Production</t>
  </si>
  <si>
    <t>WW. Coke Calcining</t>
  </si>
  <si>
    <t>YY. Caprolactum, Glyoxal, and Glyoxalic Acid Production</t>
  </si>
  <si>
    <t>XX. Calcium Carbide</t>
  </si>
  <si>
    <t>ZZ. Ceramics Production</t>
  </si>
  <si>
    <t>TT. Industrial Waste Landfills</t>
  </si>
  <si>
    <t>QQ. Importers/Exporters of FGHGs in Pre-Charged Equp. Or Foams</t>
  </si>
  <si>
    <t>II. Industrial Wastewater Treatment</t>
  </si>
  <si>
    <t>VV - Geologic Sequestration of CO2 with EOR Using ISO 29716</t>
  </si>
  <si>
    <r>
      <rPr>
        <u/>
        <sz val="9"/>
        <rFont val="Times New Roman"/>
        <family val="1"/>
      </rPr>
      <t xml:space="preserve">Sampling and calculations: </t>
    </r>
    <r>
      <rPr>
        <sz val="9"/>
        <rFont val="Times New Roman"/>
        <family val="1"/>
      </rPr>
      <t xml:space="preserve">The rule does not have any calculations, but if a facility is subject to multiple DE subparts, they need to estimate the fraction attributable to each subpart. Assume 1.4 hours per year for reporters to split energy consumption among subparts. </t>
    </r>
  </si>
  <si>
    <r>
      <rPr>
        <u/>
        <sz val="9"/>
        <rFont val="Times New Roman"/>
        <family val="1"/>
      </rPr>
      <t>Recordkeeping:</t>
    </r>
    <r>
      <rPr>
        <sz val="9"/>
        <rFont val="Times New Roman"/>
        <family val="1"/>
      </rPr>
      <t xml:space="preserve"> the rule has provisions for accounting for missing billing statements. Assumed 0.26 hours per month (3.2 hours per year) for recordkeeping in the initial year and 0.21 hours/month in subsequent years.</t>
    </r>
  </si>
  <si>
    <t>Assumed additional planning hours for the initial year.</t>
  </si>
  <si>
    <r>
      <t xml:space="preserve">Because these facilities are already reporting under subpart Y or C, we asumed that the initial and subsequent year costs are similar, though </t>
    </r>
    <r>
      <rPr>
        <sz val="9"/>
        <color rgb="FFFF0000"/>
        <rFont val="Times New Roman"/>
        <family val="1"/>
      </rPr>
      <t>additional planning hours were added for the initial year.</t>
    </r>
  </si>
  <si>
    <t>This is the list of new reporters per segment from the increase in methane GWP provided by Jennifer Bohman on November 10, 2022.*</t>
  </si>
  <si>
    <t>Baseline W Monitoring Burden and Costs Per Reporter
Calculated from From ICR Appendix E-4: Burden and Cost for Petroleum and Natural Gas Systems (Subpart W) June 2019
Calculated averages per reporter, scaled to 2021$</t>
  </si>
  <si>
    <t>Total Costs (2021$) for All New W Reporters</t>
  </si>
  <si>
    <t>Segment Number</t>
  </si>
  <si>
    <t>Segment</t>
  </si>
  <si>
    <t>2020 Facility Count</t>
  </si>
  <si>
    <t>Change in Facility Count</t>
  </si>
  <si>
    <t>Burden/ Reporter (hrs)</t>
  </si>
  <si>
    <t>Labor Cost/Reporter (2021$)</t>
  </si>
  <si>
    <t>O&amp;M Cost/Reporter (2021$)</t>
  </si>
  <si>
    <t>Total Cost/Reporter (2021$)</t>
  </si>
  <si>
    <t>Labor $/ Reporter</t>
  </si>
  <si>
    <t>O&amp;M $/ Reporter</t>
  </si>
  <si>
    <t>Total $/ Reporter</t>
  </si>
  <si>
    <t>Burden (hrs)</t>
  </si>
  <si>
    <t>Labor</t>
  </si>
  <si>
    <t>O&amp;M</t>
  </si>
  <si>
    <t>Gathering and Boosting</t>
  </si>
  <si>
    <t>LNG Import/Export</t>
  </si>
  <si>
    <t>LNG Storage</t>
  </si>
  <si>
    <t>Natural Gas Distribution</t>
  </si>
  <si>
    <t>Natural Gas Processing</t>
  </si>
  <si>
    <t>Natural Gas Transmission Compression</t>
  </si>
  <si>
    <t>Natural Gas Transmission Pipelines</t>
  </si>
  <si>
    <t>Offshore Production</t>
  </si>
  <si>
    <t>Onshore Production</t>
  </si>
  <si>
    <t>Underground Natural Gas Storage</t>
  </si>
  <si>
    <t>Avg $/reporter</t>
  </si>
  <si>
    <t>Totals</t>
  </si>
  <si>
    <t>Quantitative Burden and Costs for New, Revised, and Deleted Data Elements (implemented during RY2023) (Section 3.1)</t>
  </si>
  <si>
    <t>Subpart W - Total</t>
  </si>
  <si>
    <t>Subpart W - By Industry Segment</t>
  </si>
  <si>
    <r>
      <t xml:space="preserve">W Summary - 2022-2024 </t>
    </r>
    <r>
      <rPr>
        <b/>
        <vertAlign val="superscript"/>
        <sz val="8"/>
        <rFont val="Arial"/>
        <family val="2"/>
      </rPr>
      <t>1,2</t>
    </r>
  </si>
  <si>
    <t>W - Natural Gas Trans Pipeline (2022-2024)</t>
  </si>
  <si>
    <t>W - Onshore Pet. Gathering and boosting (2022-2024)</t>
  </si>
  <si>
    <t>W - Onshore Natural Gas Processing (2022-2024)</t>
  </si>
  <si>
    <t>W - Onshore Natural Gas Transmission Compression (2022-2024)</t>
  </si>
  <si>
    <t>W - Underground Natural Gas Storage (2022-2024)</t>
  </si>
  <si>
    <t>W - LNG Import and Export Equipment (2022-2024)</t>
  </si>
  <si>
    <t>W - Onshore Petroleum and Natural Gas Production (2022-2024)</t>
  </si>
  <si>
    <t>W -Natural Gas Distribution (2022-2024)</t>
  </si>
  <si>
    <t>W - LNG Storage (2022-2024)</t>
  </si>
  <si>
    <t>W - Offshore Petroleum and Natural Gas Production (2022-2024)</t>
  </si>
  <si>
    <t>Respondent Hours</t>
  </si>
  <si>
    <t>New Reporter Costs (Per Reporter) (2017$)</t>
  </si>
  <si>
    <t xml:space="preserve">O&amp;M Cost per Reporter </t>
  </si>
  <si>
    <t>Annual Sampling Costs</t>
  </si>
  <si>
    <t>Average cost per reporter</t>
  </si>
  <si>
    <r>
      <rPr>
        <u/>
        <sz val="11"/>
        <rFont val="Calibri"/>
        <family val="2"/>
        <scheme val="minor"/>
      </rPr>
      <t xml:space="preserve">Calculation Methodology: </t>
    </r>
    <r>
      <rPr>
        <sz val="11"/>
        <rFont val="Calibri"/>
        <family val="2"/>
        <scheme val="minor"/>
      </rPr>
      <t xml:space="preserve"> 
Total Technical Respondent Hours = Sum of Data Element Changes (Number of New + Revised  - No. of Removed Data Elements) x Technical Respondent Hours per Occurance. Clerical and managerial hours are estimated as 10% and 5% of technical hours, respectively.
Total Reporter Costs = (Technical Respondent Hours x $91.06/hr) + (Managerial Respondent Hours x $105.68/hr) + (Clerical Respondent Hours x $60.72/hr)
Total Industry Costs = Number of Reporters Affected x Total Reporter Costs
Average Cost Per Reporter = Total Industry Costs / Total Number of Reporters Affected</t>
    </r>
  </si>
  <si>
    <t>(1) Subpart W - Number of reporters affected is sum of existing reporters affected in each sector by new, revised, or removed data elements.</t>
  </si>
  <si>
    <t>(2) Several data elements are reported by more than one industry segment, so the total number of data elements being added, revised, and removed is much less than totals in this column.</t>
  </si>
  <si>
    <t>Subpart W</t>
  </si>
  <si>
    <t>Updated Labor Costs - Year 2021 - See "Rates" Tab</t>
  </si>
  <si>
    <t>Previously 91.31</t>
  </si>
  <si>
    <t>Previously 73.81</t>
  </si>
  <si>
    <t>Previously 50.20</t>
  </si>
  <si>
    <t>Legal/Lawyer</t>
  </si>
  <si>
    <t>NAICS 210001 (Oil and Gas Extraction); SOC 11-1021 (Gen &amp; Op Mngr)</t>
  </si>
  <si>
    <t>Middle manager</t>
  </si>
  <si>
    <t>Engineer</t>
  </si>
  <si>
    <t>Technician</t>
  </si>
  <si>
    <t xml:space="preserve">Appendix E-1. Detailed Unit Burden and Costs for Petroleum and Natural Gas Systems (Subpart W)—Years 1 - 3 </t>
  </si>
  <si>
    <t xml:space="preserve"> Hours per Occurrence</t>
  </si>
  <si>
    <t>Occurrences/ Respondent/Year</t>
  </si>
  <si>
    <t>Hours/ Respondent/</t>
  </si>
  <si>
    <t>Respondents/ Year</t>
  </si>
  <si>
    <t xml:space="preserve">Engineer Hours/Year </t>
  </si>
  <si>
    <t>Technician Hours/Year</t>
  </si>
  <si>
    <t>Middle Manager Hours/Year</t>
  </si>
  <si>
    <t>Senior Manager Hours/Year</t>
  </si>
  <si>
    <t>Lawyer Hours/Year</t>
  </si>
  <si>
    <t>Cost/ Year</t>
  </si>
  <si>
    <t>Updated Cost/ Year</t>
  </si>
  <si>
    <t>Year</t>
  </si>
  <si>
    <t>Year 1-3</t>
  </si>
  <si>
    <t>The pivot table below is used to calculate the total labor cost in 2021$ for each industry segment. Segments are identified by the segment number, which was added to column C in the table from Apendix E-1 of the 2019 ICR. The updated labor costs are used in the "Sub W Baseline" tab to calculate the average hours and costs per reporter. (The O&amp;M costs in the tables below are not used.)</t>
  </si>
  <si>
    <t>1. APPLICATIONS (Not Applicable)</t>
  </si>
  <si>
    <t>2. SURVEY AND STUDIES (Not Applicable)</t>
  </si>
  <si>
    <t>3.  ACQUISITION, INSTALLATION, AND UTILIZATION OF TECHNOLOGY AND SYSTEMS</t>
  </si>
  <si>
    <t>4. REPORT REQUIREMENTS</t>
  </si>
  <si>
    <t>A1. Read Rule, Instructions, Guidance Documents for Subpart W</t>
  </si>
  <si>
    <t>Type</t>
  </si>
  <si>
    <t>Sum of Updated Cost/ Year</t>
  </si>
  <si>
    <t>Onshore Natural Gas Processing reporters 1,2,3,4</t>
  </si>
  <si>
    <t>Onshore Natural Gas Transmission Compression reporters 1,2,3,4</t>
  </si>
  <si>
    <t>0 Total</t>
  </si>
  <si>
    <t>Underground Natural Gas Storage reporters 1,2,3,4</t>
  </si>
  <si>
    <t>LNG Import and Export Equipment reporters 1,2,3,4</t>
  </si>
  <si>
    <t>Onshore Petroleum and Natural Gas Production reporters 1,2,3,4</t>
  </si>
  <si>
    <t>1 Total</t>
  </si>
  <si>
    <t>Natural Gas Distribution reporters 1,2,3,4</t>
  </si>
  <si>
    <t>LNG Storage reporters 1,2,3,4</t>
  </si>
  <si>
    <t>Onshore Petroleum and Natural Gas Gathering and Boosting reporters 1,2,3,4</t>
  </si>
  <si>
    <t>2 Total</t>
  </si>
  <si>
    <t>Natural Gas Transmission Pipeline reporters 1,2,3,4</t>
  </si>
  <si>
    <t>Offshore Petroleum and Natural Gas Production reporters 2,3,4,5</t>
  </si>
  <si>
    <t>A2. Read Rule, Instructions, Guidance Documents for Subpart A</t>
  </si>
  <si>
    <t>3 Total</t>
  </si>
  <si>
    <t>Onshore Natural Gas Processing reporters 4,6</t>
  </si>
  <si>
    <t>Onshore Natural Gas Transmission Compression reporters 4,6</t>
  </si>
  <si>
    <t>Underground Natural Gas Storage reporters 4,6</t>
  </si>
  <si>
    <t>4 Total</t>
  </si>
  <si>
    <t>LNG Import and Export Equipment reporters 4,6</t>
  </si>
  <si>
    <t>Onshore Petroleum and Natural Gas Production reporters 4,6</t>
  </si>
  <si>
    <t>Natural Gas Distribution reporters 4,6</t>
  </si>
  <si>
    <t>5 Total</t>
  </si>
  <si>
    <t>LNG Storage reporters 4,6</t>
  </si>
  <si>
    <t>Onshore Petroleum and Natural Gas Gathering and Boosting reporters 4,6</t>
  </si>
  <si>
    <t>Natural Gas Transmission Pipeline reporters 4,6</t>
  </si>
  <si>
    <t>6 Total</t>
  </si>
  <si>
    <t>Offshore Petroleum and Natural Gas Production reporters 4,6</t>
  </si>
  <si>
    <t>B. Required Activities</t>
  </si>
  <si>
    <t>Acid Gas Removal Units</t>
  </si>
  <si>
    <t>7 Total</t>
  </si>
  <si>
    <t>Gather CEMS data for e-GGRT reporting (M1)</t>
  </si>
  <si>
    <t>Onshore Natural Gas Processing reporters 3,7,8,13</t>
  </si>
  <si>
    <t>Onshore Petroleum and Natural Gas Production reporters 3,7,81</t>
  </si>
  <si>
    <t>8 Total</t>
  </si>
  <si>
    <t>Onshore Petroleum and Natural Gas Gathering and Boosting reporters 3,7, 81</t>
  </si>
  <si>
    <t>Conduct quarterly gas sampling (M2)</t>
  </si>
  <si>
    <t>Onshore Natural Gas Processing reporters 3,12,13,14</t>
  </si>
  <si>
    <t>9 Total</t>
  </si>
  <si>
    <t>Onshore Petroleum and Natural Gas Production reporters 3,12,81</t>
  </si>
  <si>
    <t>Onshore Petroleum and Natural Gas Gathering and Boosting reporters 3,12,13</t>
  </si>
  <si>
    <t>Perform engineering calculation (M3)</t>
  </si>
  <si>
    <t>10 Total</t>
  </si>
  <si>
    <t>Onshore Natural Gas Processing reporters 13,90</t>
  </si>
  <si>
    <t>A. Read Instructions (Included in 4A)</t>
  </si>
  <si>
    <t>Onshore Petroleum and Natural Gas Production reporters 13,90</t>
  </si>
  <si>
    <t>A. Read Instructions (Included in 4A) Total</t>
  </si>
  <si>
    <t>Onshore Petroleum and Natural Gas Gathering and Boosting reporters 13,90</t>
  </si>
  <si>
    <t>Perform simulation run using AspenTech HYSYS®, or API 4679 AMINECalc (M4)</t>
  </si>
  <si>
    <t>A2. Read Rule, Instructions, Guidance Documents for Subpart A Total</t>
  </si>
  <si>
    <t>Onshore Natural Gas Processing reporters 13,91</t>
  </si>
  <si>
    <t>Acid gas removal units</t>
  </si>
  <si>
    <t>Onshore Petroleum and Natural Gas Production reporters 13,91</t>
  </si>
  <si>
    <t>Acid gas removal units Total</t>
  </si>
  <si>
    <t>Onshore Petroleum and Natural Gas Gathering and Boosting reporters 13,91</t>
  </si>
  <si>
    <t>B. Plan Activities (Included in 4B)</t>
  </si>
  <si>
    <t>Equipment Leaks</t>
  </si>
  <si>
    <t>B. Plan Activities (Included in 4B) Total</t>
  </si>
  <si>
    <t>Conduct Leak Detection Surveys and Perform Emission Calculations</t>
  </si>
  <si>
    <t>Onshore Natural Gas Processing reporters 3,18</t>
  </si>
  <si>
    <t>B. Required Activities Total</t>
  </si>
  <si>
    <t>Onshore Natural Gas Transmission Compression reporters 3,18</t>
  </si>
  <si>
    <t>C. Create Information (Included in 4B)</t>
  </si>
  <si>
    <t>Underground Natural Gas Storage reporters 3,18</t>
  </si>
  <si>
    <t>C. Create Information (Included in 4B) Total</t>
  </si>
  <si>
    <t>LNG Import and Export Equipment reporters 3,18</t>
  </si>
  <si>
    <t>C. Implement Activities (Included in 4B)</t>
  </si>
  <si>
    <t>Onshore Petroleum and Natural Gas Production reporters 3,18</t>
  </si>
  <si>
    <t>C. Implement Activities (Included in 4B) Total</t>
  </si>
  <si>
    <t>Natural Gas Distribution reporters 3,18</t>
  </si>
  <si>
    <t>Centrifugal and Reciprocating Compressors--contractor to perform compressor leak measurements</t>
  </si>
  <si>
    <t>LNG Storage reporters 3,18</t>
  </si>
  <si>
    <t>Centrifugal and Reciprocating Compressors--contractor to perform compressor leak measurements Total</t>
  </si>
  <si>
    <t>Onshore Petroleum and Natural Gas Gathering and Boosting reporters 3,18</t>
  </si>
  <si>
    <t>D. Gather Existing Information (Included in 4E)</t>
  </si>
  <si>
    <t>Determine emissions using population counts</t>
  </si>
  <si>
    <t>D. Gather Existing Information (Included in 4E) Total</t>
  </si>
  <si>
    <t>Onshore Natural Gas Processing reporters 19,20</t>
  </si>
  <si>
    <t>D. Recordkeeping</t>
  </si>
  <si>
    <t>Onshore Natural Gas Transmission Compression reporters 19,20</t>
  </si>
  <si>
    <t>D. Recordkeeping Total</t>
  </si>
  <si>
    <t>Underground Natural Gas Storage reporters 19,20</t>
  </si>
  <si>
    <t>E. Time to Transmit or Disclose Information (included in 4E)</t>
  </si>
  <si>
    <t>LNG Import and Export Equipment reporters 19,20</t>
  </si>
  <si>
    <t>E. Time to Transmit or Disclose Information (included in 4E) Total</t>
  </si>
  <si>
    <t>Onshore Petroleum and Natural Gas Production reporters 26</t>
  </si>
  <si>
    <t>E. Write Report</t>
  </si>
  <si>
    <t>Natural Gas Distribution reporters 19,20</t>
  </si>
  <si>
    <t>E. Write Report Total</t>
  </si>
  <si>
    <t>LNG Storage reporters 19,20</t>
  </si>
  <si>
    <t>Equipment Leak Surveys--Method 21 Testing</t>
  </si>
  <si>
    <t>Onshore Petroleum and Natural Gas Gathering and Boosting reporters 19,20</t>
  </si>
  <si>
    <t>Equipment Leak Surveys--Method 21 Testing Total</t>
  </si>
  <si>
    <t>Blowdown Vent Stacks</t>
  </si>
  <si>
    <t>F. Time to Train Personnel (included in 4A)</t>
  </si>
  <si>
    <t>Calculate emissions</t>
  </si>
  <si>
    <t>F. Time to Train Personnel (included in 4A) Total</t>
  </si>
  <si>
    <t>Onshore Natural Gas Processing reporters 2,79,88</t>
  </si>
  <si>
    <t>Flare stacks</t>
  </si>
  <si>
    <t>Onshore Natural Gas Transmission Compression reporters 2,79,88</t>
  </si>
  <si>
    <t>Flare stacks Total</t>
  </si>
  <si>
    <t>LNG Import and Export Equipment reporters 2, 79, 80</t>
  </si>
  <si>
    <t>G. Time for Audits (Not Applicable)</t>
  </si>
  <si>
    <t>Natural Gas Transmission Pipeline reporters 2,79,88</t>
  </si>
  <si>
    <t>G. Time for Audits (Not Applicable) Total</t>
  </si>
  <si>
    <t>Onshore Petroleum and Natural Gas Gathering and Boosting reporters 2,79,89</t>
  </si>
  <si>
    <t>Glycol Dehydrators &gt;= 0.4 million standard cubic feet per day</t>
  </si>
  <si>
    <t>Centrifugal Compressors</t>
  </si>
  <si>
    <t>Glycol Dehydrators &gt;= 0.4 million standard cubic feet per day Total</t>
  </si>
  <si>
    <t>Measure volumetric emissions from centrifugal compressors</t>
  </si>
  <si>
    <t>Recordkeeping costs</t>
  </si>
  <si>
    <t>Onshore Natural Gas Processing reporters 94</t>
  </si>
  <si>
    <t>Recordkeeping costs Total</t>
  </si>
  <si>
    <t>Onshore Natural Gas Transmission Compression reporters 94</t>
  </si>
  <si>
    <t>Storage tanks</t>
  </si>
  <si>
    <t>Underground Natural Gas Storage reporters 94</t>
  </si>
  <si>
    <t>Storage tanks Total</t>
  </si>
  <si>
    <t>LNG Import and Export Equipment reporters 94</t>
  </si>
  <si>
    <t>Transmission storage tanks--acoustic leak detection device</t>
  </si>
  <si>
    <t>LNG Storage reporters 94</t>
  </si>
  <si>
    <t>Transmission storage tanks--acoustic leak detection device Total</t>
  </si>
  <si>
    <t>Calculate facility-wide emission factor and calculate mass emissions</t>
  </si>
  <si>
    <t>Transmission storage tanks--calibrated bag</t>
  </si>
  <si>
    <t>Onshore Natural Gas Processing reporters 13,21,22</t>
  </si>
  <si>
    <t>Transmission storage tanks--calibrated bag Total</t>
  </si>
  <si>
    <t>Onshore Natural Gas Transmission Compression reporters 13,21,23</t>
  </si>
  <si>
    <t>Transmission storage tanks--flow meter</t>
  </si>
  <si>
    <t>Underground Natural Gas Storage reporters 13,21,24</t>
  </si>
  <si>
    <t>Transmission storage tanks--flow meter Total</t>
  </si>
  <si>
    <t>LNG Import and Export Equipment reporters 13,21,25</t>
  </si>
  <si>
    <t>Transmission storage tanks--high volume sampler</t>
  </si>
  <si>
    <t>LNG Storage reporters 13,21,27</t>
  </si>
  <si>
    <t>Transmission storage tanks--high volume sampler Total</t>
  </si>
  <si>
    <t>Determine count and calculate emissions using emission factor</t>
  </si>
  <si>
    <t>Transmission storage tanks--optical gas imaging instrument</t>
  </si>
  <si>
    <t>Onshore Petroleum and Natural Gas Production reporters 28</t>
  </si>
  <si>
    <t>Transmission storage tanks--optical gas imaging instrument Total</t>
  </si>
  <si>
    <t>Onshore Petroleum and Natural Gas Gathering and Boosting reporters 28</t>
  </si>
  <si>
    <t>(blank)</t>
  </si>
  <si>
    <t>Reciprocating Compressors</t>
  </si>
  <si>
    <t>(blank) Total</t>
  </si>
  <si>
    <t>Measure volumetric emissions from reciprocating compressors</t>
  </si>
  <si>
    <t>Grand Total</t>
  </si>
  <si>
    <t>Onshore Natural Gas Processing reporters 13,21,29</t>
  </si>
  <si>
    <t>Onshore Natural Gas Transmission Compression reporters 13,21,30</t>
  </si>
  <si>
    <t>Underground Natural Gas Storage reporters 13,21,31</t>
  </si>
  <si>
    <t>LNG Import and Export Equipment reporters 13,21,32</t>
  </si>
  <si>
    <t>LNG Storage reporters 13,21,33</t>
  </si>
  <si>
    <t>Combustion Emissions</t>
  </si>
  <si>
    <t>Determine fuel consumption through company records and calculate emissions</t>
  </si>
  <si>
    <t>Onshore Petroleum and Natural Gas Production reporters 2,3,34</t>
  </si>
  <si>
    <t>Onshore Petroleum and Natural Gas Gathering and Boosting reporters 2,3,34</t>
  </si>
  <si>
    <t>Natural Gas Distribution reporters 2,3,35</t>
  </si>
  <si>
    <t>Associated Gas Venting and Flaring</t>
  </si>
  <si>
    <t>Calculate emissions using GOR and equations in rule</t>
  </si>
  <si>
    <t>Onshore Petroleum and Natural Gas Production reporters 3,13,35</t>
  </si>
  <si>
    <t>Determine GOR using available information</t>
  </si>
  <si>
    <t>Onshore Petroleum and Natural Gas Production reporters 3,36</t>
  </si>
  <si>
    <t>Dehydrators</t>
  </si>
  <si>
    <r>
      <t>Run simulation software, such as AspenTech HYSYS® or GRI-GLYCalc</t>
    </r>
    <r>
      <rPr>
        <i/>
        <vertAlign val="superscript"/>
        <sz val="7"/>
        <color theme="1"/>
        <rFont val="Times New Roman"/>
        <family val="1"/>
      </rPr>
      <t>TM</t>
    </r>
    <r>
      <rPr>
        <i/>
        <sz val="7"/>
        <color theme="1"/>
        <rFont val="Times New Roman"/>
        <family val="1"/>
      </rPr>
      <t xml:space="preserve">  (M1)</t>
    </r>
  </si>
  <si>
    <t>Onshore Natural Gas Processing reporters 13,15,37</t>
  </si>
  <si>
    <t>Onshore Petroleum and Natural Gas Production reporters 13,15,37</t>
  </si>
  <si>
    <t>Onshore Petroleum and Natural Gas Gathering and Boosting reporters 13,15,37</t>
  </si>
  <si>
    <t>Gather data for simulation run (M1)</t>
  </si>
  <si>
    <t>Equipment counts and population emission factors (M2)</t>
  </si>
  <si>
    <t>Onshore Natural Gas Processing reporters 13,38</t>
  </si>
  <si>
    <t>Onshore Petroleum and Natural Gas Production reporters 13,38</t>
  </si>
  <si>
    <t>Onshore Petroleum and Natural Gas Gathering and Boosting reporters 13,38</t>
  </si>
  <si>
    <t>Gathering data (M3)</t>
  </si>
  <si>
    <t>Onshore Natural Gas Processing reporters 13,39</t>
  </si>
  <si>
    <t>Onshore Petroleum and Natural Gas Production reporters 13,39</t>
  </si>
  <si>
    <t>Onshore Petroleum and Natural Gas Gathering and Boosting reporters 13,39</t>
  </si>
  <si>
    <t>Calculations using Eq. W-6 (M3)</t>
  </si>
  <si>
    <t>Onshore Natural Gas Processing reporters 3,13,39</t>
  </si>
  <si>
    <t>Onshore Petroleum and Natural Gas Production reporters 3,13,39</t>
  </si>
  <si>
    <t>Onshore Petroleum and Natural Gas Gathering and Boosting reporters 3,13,39</t>
  </si>
  <si>
    <r>
      <t>EOR Hydrocarbon Liquid Dissolved CO</t>
    </r>
    <r>
      <rPr>
        <b/>
        <i/>
        <vertAlign val="subscript"/>
        <sz val="7"/>
        <color theme="1"/>
        <rFont val="Times New Roman"/>
        <family val="1"/>
      </rPr>
      <t>2</t>
    </r>
  </si>
  <si>
    <t>Measure volume of hydrocarbon liquids produced through EOR operations</t>
  </si>
  <si>
    <t>Onshore Petroleum and Natural Gas Production reporters 42,43</t>
  </si>
  <si>
    <t>Determine average CO2 retained in HC liquids downstream of the storage tank</t>
  </si>
  <si>
    <t>Calculation using Eq. W-38</t>
  </si>
  <si>
    <t>Onshore Petroleum and Natural Gas Production reporters 3,42,43</t>
  </si>
  <si>
    <t>EOR Injection Pump Blowdown</t>
  </si>
  <si>
    <t>Calculate total injection pump system volume</t>
  </si>
  <si>
    <t>Onshore Petroleum and Natural Gas Production reporters 3,13,44</t>
  </si>
  <si>
    <t>Retain logs of number of blowdowns per year</t>
  </si>
  <si>
    <t>Calculate emissions using Eq W-37</t>
  </si>
  <si>
    <t>Transmission Tanks at Onshore Natural Gas Transmission Compression reporters</t>
  </si>
  <si>
    <t>Screen for leaks using optical gas imaging instrument 3,13,42,46</t>
  </si>
  <si>
    <t>Screen for leaks using acoustic leak detection device 3,13,42,46</t>
  </si>
  <si>
    <t>Screen and quantify leaks using calibrated bag 3,13,41,46</t>
  </si>
  <si>
    <t>Screen and quantify leaks using flow meter 3,13,42,46</t>
  </si>
  <si>
    <t>Screen and quantify leaks using high volume sampler 3,13,41,46</t>
  </si>
  <si>
    <t>Quantify leaks using high volume sampler after screening with optical gas imaging instrument or acoustic leak detection device 3,13,42,55</t>
  </si>
  <si>
    <t>Quantify leaks using flowmeter after screening with optical gas imaging instrument or acoustic leak detection device 3,13,41,56</t>
  </si>
  <si>
    <t>Pneumatic Devices</t>
  </si>
  <si>
    <t>Estimate count of high bleed, low bleed, and intermittent bleed devices and apply population factor (available only in the first two reporting years for new reporters)</t>
  </si>
  <si>
    <t>Onshore Petroleum and Natural Gas Production new reporters 3,49,50,82</t>
  </si>
  <si>
    <t>Onshore Petroleum and Natural Gas Gathering and Boosting reporters 3,49,50,82</t>
  </si>
  <si>
    <t>Perform inventory of high bleed, low bleed, and intermittent bleed devices and apply population factor</t>
  </si>
  <si>
    <t>Onshore Natural Gas Transmission Compression reporters  3,20,51,52</t>
  </si>
  <si>
    <t>Underground Natural Gas Storage reporters 3,20,51,52</t>
  </si>
  <si>
    <t>Onshore Petroleum and Natural Gas Production reporters 3,20,51,52</t>
  </si>
  <si>
    <t>Onshore Petroleum and Natural Gas Gathering and Boosting reporters 3,51,83</t>
  </si>
  <si>
    <t>Storage Tanks</t>
  </si>
  <si>
    <t>Determine emissions by calculating flashing emissions with software program, such as AspenTech HYSYS® or API 4697 E&amp;P Tank  (M1)</t>
  </si>
  <si>
    <t>Onshore Petroleum and Natural Gas Production reporters 3,15,53</t>
  </si>
  <si>
    <t>Onshore Petroleum and Natural Gas Gathering and Boosting reporters 3,13,53</t>
  </si>
  <si>
    <t>Determine emissions by sampling and analyzing separator oil composition (M2)</t>
  </si>
  <si>
    <t>Onshore Petroleum and Natural Gas Production reporters 13,15</t>
  </si>
  <si>
    <t>Onshore Petroleum and Natural Gas Gathering and Boosting reporters 13,15</t>
  </si>
  <si>
    <t>Determine emissions using equipment counts and population emission factors (M3)</t>
  </si>
  <si>
    <t>Pneumatic Pumps</t>
  </si>
  <si>
    <t>Perform inventory of pneumatic pumps and apply population factor</t>
  </si>
  <si>
    <t>Onshore Petroleum and Natural Gas Production reporters 3,20,51</t>
  </si>
  <si>
    <t>Onshore Petroleum and Natural Gas Gathering and Boosting reporters 3,20,51</t>
  </si>
  <si>
    <t>Well Testing</t>
  </si>
  <si>
    <t>Determine GOR</t>
  </si>
  <si>
    <t>Onshore Petroleum and Natural Gas Production reporters 3,13,58,59</t>
  </si>
  <si>
    <t xml:space="preserve">                   -   </t>
  </si>
  <si>
    <t xml:space="preserve">                  -   </t>
  </si>
  <si>
    <t>Determine production rate</t>
  </si>
  <si>
    <t>Onshore Petroleum and Natural Gas Production reporters 3,13,58,60</t>
  </si>
  <si>
    <t>Calculate emissions using Eq W-17A or W-17B</t>
  </si>
  <si>
    <t>Onshore Petroleum and Natural Gas Production reporters 3,13,58</t>
  </si>
  <si>
    <t>Well Venting for Liquids Unloading</t>
  </si>
  <si>
    <t>Measure flow rate (M1)</t>
  </si>
  <si>
    <t>Onshore Petroleum and Natural Gas Production reporters 3,13,15,47</t>
  </si>
  <si>
    <t>Calculate emissions (M1)</t>
  </si>
  <si>
    <t>Determine well counts, number of events, well depth, calculate pressure, calculate flow (M2 and M3)</t>
  </si>
  <si>
    <t>Onshore Petroleum and Natural Gas Production reporters 3,58</t>
  </si>
  <si>
    <t>Gas Well Completions and Workovers</t>
  </si>
  <si>
    <t>Measure flowback from Completions and Workovers with Hydraulic Fracturing (M1)</t>
  </si>
  <si>
    <t>Calculate emissions from Completions and Workovers with Hydraulic Fracturing (M2)</t>
  </si>
  <si>
    <t>Onshore Petroleum and Natural Gas Production reporters 3,13,42</t>
  </si>
  <si>
    <t>Determine number of workovers and completions to estimate emissions from Completions and Workovers without Hydraulic Fracturing</t>
  </si>
  <si>
    <t>Onshore Petroleum and Natural Gas Production reporters 3,13,15</t>
  </si>
  <si>
    <t>Oil Well Completions and Workovers</t>
  </si>
  <si>
    <t>Measure flowback from Completions and Workovers with Hydraulic Fracturing and determine emissions</t>
  </si>
  <si>
    <t>Onshore Petroleum and Natural Gas Production reporters 3,62,64</t>
  </si>
  <si>
    <t>Flare Stacks</t>
  </si>
  <si>
    <t>Determine volume of gas sent to the flare; determine fraction of the feed gas sent to an un-lit flare; determine flare combustion efficiency; and determine feed gas composition</t>
  </si>
  <si>
    <t>Onshore Natural Gas Processing reporters 3,13,65</t>
  </si>
  <si>
    <t>Onshore Natural Gas Transmission Compression reporters 3,13,65</t>
  </si>
  <si>
    <t>Underground Natural Gas Storage reporters 3,13,65</t>
  </si>
  <si>
    <t>LNG Import and Export Equipment reporters 3,13,65</t>
  </si>
  <si>
    <t>Onshore Petroleum and Natural Gas Production reporters 3,13,65</t>
  </si>
  <si>
    <t>LNG Storage reporters 3,13,65</t>
  </si>
  <si>
    <t>Onshore Petroleum and Natural Gas Gathering and Boosting reporters 3,13, 65</t>
  </si>
  <si>
    <t>Onshore Natural Gas Processing reporters 3,13,15</t>
  </si>
  <si>
    <t>Onshore Natural Gas Transmission Compression reporters 3,13,15</t>
  </si>
  <si>
    <t>Underground Natural Gas Storage reporters 3,13,15</t>
  </si>
  <si>
    <t>LNG Import and Export Equipment reporters 3,13,15</t>
  </si>
  <si>
    <t>LNG Storage reporters 3,13,15</t>
  </si>
  <si>
    <t>Onshore Petroleum and Natural Gas Gathering and Boosting reporters 3,13,15</t>
  </si>
  <si>
    <t>Onshore Natural Gas Processing reporters 67</t>
  </si>
  <si>
    <t>Onshore Natural Gas Transmission Compression reporters 67</t>
  </si>
  <si>
    <t>Underground Natural Gas Storage reporters 67</t>
  </si>
  <si>
    <t>LNG Import and Export Equipment reporters 67</t>
  </si>
  <si>
    <t>Onshore Petroleum and Natural Gas Production reporters 67</t>
  </si>
  <si>
    <t>Natural Gas Distribution reporters 67</t>
  </si>
  <si>
    <t>LNG Storage reporters 67</t>
  </si>
  <si>
    <t>Onshore Petroleum and Natural Gas Gathering and Boosting reporters 67</t>
  </si>
  <si>
    <t>Natural Gas Transmission Pipeline reporters 67</t>
  </si>
  <si>
    <t>Offshore Petroleum and Natural Gas Production reporters 103</t>
  </si>
  <si>
    <t>5. RECORDKEEPING REQUIREMENTS</t>
  </si>
  <si>
    <t> Onshore Natural Gas Processing reporters 68</t>
  </si>
  <si>
    <t>Onshore Natural Gas Transmission Compression reporters 68</t>
  </si>
  <si>
    <t>Underground Natural Gas Storage reporters 68</t>
  </si>
  <si>
    <t>LNG Import and Export Equipment reporters 68</t>
  </si>
  <si>
    <t>Onshore Petroleum and Natural Gas Production reporters 68</t>
  </si>
  <si>
    <t>Natural Gas Distribution reporters 68</t>
  </si>
  <si>
    <t>LNG Storage reporters 68</t>
  </si>
  <si>
    <t>Onshore Petroleum and Natural Gas Gathering and Boosting reporters 68</t>
  </si>
  <si>
    <t>Natural Gas Transmission Pipeline reporters 68</t>
  </si>
  <si>
    <t>TOTAL ANNUAL LABOR BURDEN AND COST</t>
  </si>
  <si>
    <t>ANNUAL COSTS (O&amp;M) 84</t>
  </si>
  <si>
    <t>Onshore Natural Gas Processing reporters 85</t>
  </si>
  <si>
    <t>Onshore Natural Gas Transmission Compression reporters 85</t>
  </si>
  <si>
    <t>Underground Natural Gas Storage reporters 85</t>
  </si>
  <si>
    <t>LNG Import and Export Equipment reporters 85</t>
  </si>
  <si>
    <t>Onshore Petroleum and Natural Gas Production reporters 85</t>
  </si>
  <si>
    <t>Natural Gas Distribution reporters 85</t>
  </si>
  <si>
    <t>LNG Storage reporters 85</t>
  </si>
  <si>
    <t>Onshore Petroleum and Natural Gas Gathering and Boosting reporters 85</t>
  </si>
  <si>
    <t>Natural Gas Transmission Pipeline reporters 85</t>
  </si>
  <si>
    <t>Offshore Petroleum and Natural Gas Production reporters 85</t>
  </si>
  <si>
    <t>Quarterly gas samples and analyses</t>
  </si>
  <si>
    <t>Onshore Natural Gas Processing reporters 13,69</t>
  </si>
  <si>
    <t>Onshore Petroleum and Natural Gas Production reporters 69,81</t>
  </si>
  <si>
    <t>Onshore Petroleum and Natural Gas Gathering and Boosting reporters 69,81</t>
  </si>
  <si>
    <t>Simulation software yearly cost</t>
  </si>
  <si>
    <t>Onshore Natural Gas Processing reporters 70,71</t>
  </si>
  <si>
    <t>Onshore Petroleum and Natural Gas Production reporters 70,71</t>
  </si>
  <si>
    <t>Onshore Petroleum and Natural Gas Gathering and Boosting reporters 70,71</t>
  </si>
  <si>
    <t>Onshore Natural Gas Processing reporters 92,93</t>
  </si>
  <si>
    <t>Onshore Natural Gas Transmission Compression reporters 92,93</t>
  </si>
  <si>
    <t>Underground Natural Gas Storage reporters 92,93</t>
  </si>
  <si>
    <t>LNG Import and Export Equipment reporters 92,93</t>
  </si>
  <si>
    <t>LNG Storage reporters 92,93</t>
  </si>
  <si>
    <t>Onshore Natural Gas Transmission Compression reporters 13,77,93</t>
  </si>
  <si>
    <t>Onshore Natural Gas Transmission Compression reporters 63</t>
  </si>
  <si>
    <t>Onshore Petroleum and Natural Gas Production reporters 70,87</t>
  </si>
  <si>
    <t>Onshore Petroleum and Natural Gas Gathering and Boosting reporters 70,87</t>
  </si>
  <si>
    <t>Feed gas sampling analysis</t>
  </si>
  <si>
    <t>Onshore Natural Gas Processing reporters 37,66</t>
  </si>
  <si>
    <t>Onshore Petroleum and Natural Gas Production reporters 37,66</t>
  </si>
  <si>
    <t>Onshore Petroleum and Natural Gas Gathering and Boosting reporters 37,66</t>
  </si>
  <si>
    <t>Feed gas water content</t>
  </si>
  <si>
    <t>Onshore Natural Gas Processing reporters 37,86</t>
  </si>
  <si>
    <t>Onshore Petroleum and Natural Gas Production reporters 37</t>
  </si>
  <si>
    <t>Onshore Petroleum and Natural Gas Gathering and Boosting reporters 37</t>
  </si>
  <si>
    <t>Dry gas water content</t>
  </si>
  <si>
    <t>Onshore Natural Gas Processing reporters 40,86</t>
  </si>
  <si>
    <t>Onshore Petroleum and Natural Gas Production reporters 40,86</t>
  </si>
  <si>
    <t>Onshore Petroleum and Natural Gas Gathering and Boosting reporters 40,86</t>
  </si>
  <si>
    <t>Onshore Natural Gas Processing reporters 73, 95</t>
  </si>
  <si>
    <t>Onshore Natural Gas Transmission Compression reporters 73, 96</t>
  </si>
  <si>
    <t>Underground Natural Gas Storage reporters 73, 97</t>
  </si>
  <si>
    <t>LNG Import and Export Equipment reporters 73, 98</t>
  </si>
  <si>
    <t>Onshore Petroleum and Natural Gas Production reporters 72,73</t>
  </si>
  <si>
    <t>Natural Gas Distribution reporters 73, 99</t>
  </si>
  <si>
    <t>LNG Storage reporters 73, 100</t>
  </si>
  <si>
    <t>Onshore Petroleum and Natural Gas Gathering and Boosting reporters 72,73</t>
  </si>
  <si>
    <t>ANNUALIZED CAPITAL COSTS</t>
  </si>
  <si>
    <t>Blowdown vent stacks--flow meter</t>
  </si>
  <si>
    <t>Onshore Natural Gas Processing reporters 74</t>
  </si>
  <si>
    <t>Onshore Natural Gas Transmission Compression reporters 74</t>
  </si>
  <si>
    <t>LNG Import and Export Equipment reporters 74</t>
  </si>
  <si>
    <t>Natural Gas Transmission Pipeline reporters 74</t>
  </si>
  <si>
    <t>Onshore Petroleum and Natural Gas Gathering and Boosting reporters 74</t>
  </si>
  <si>
    <t>Centrifugal and Reciprocating Compressors--flow meter</t>
  </si>
  <si>
    <t>Equipment Leak surveys--acoustic leak detection device</t>
  </si>
  <si>
    <t>Onshore Natural Gas Processing reporters 46</t>
  </si>
  <si>
    <t>Onshore Natural Gas Transmission Compression reporters 46</t>
  </si>
  <si>
    <t>Underground Natural Gas Storage reporters 46</t>
  </si>
  <si>
    <t>LNG Import and Export Equipment reporters 46</t>
  </si>
  <si>
    <t>Natural Gas Distribution reporters 46</t>
  </si>
  <si>
    <t>LNG Storage reporters 46</t>
  </si>
  <si>
    <t>Equipment Leak surveys--infrared laser beam illuminated instrument</t>
  </si>
  <si>
    <t>Equipment Leak surveys--optical gas imaging instrument</t>
  </si>
  <si>
    <t>Onshore Natural Gas Processing reporters 57</t>
  </si>
  <si>
    <t>Onshore Natural Gas Transmission Compression reporters 75</t>
  </si>
  <si>
    <t>Gas well completions and workovers with hydraulic fracturing--flow meter</t>
  </si>
  <si>
    <t>Onshore Petroleum and Natural Gas Production reporters 46</t>
  </si>
  <si>
    <t>Oil well completions and workovers with hydraulic fracturing--flow meter</t>
  </si>
  <si>
    <t>Onshore Petroleum and Natural Gas Production reporters 76, 102,104</t>
  </si>
  <si>
    <t>Well venting for liquids unloading--flow meter</t>
  </si>
  <si>
    <t>Quantitative Burden and Costs for Revisions to Subpart W (Section 3.3)</t>
  </si>
  <si>
    <t>Rows in green are those segments with an increase in the number of reporters because of the GWP change.</t>
  </si>
  <si>
    <t>Rows in white with strikout text are those with no change in the number of reporters.</t>
  </si>
  <si>
    <t>Approach October 28, 2022.</t>
  </si>
  <si>
    <t>Hours</t>
  </si>
  <si>
    <t>Costs</t>
  </si>
  <si>
    <t>Table 3. Number of affected facilities by emission source type and by industry segment for subpart W</t>
  </si>
  <si>
    <t>Table 4. Costs by emission source type and by industry segment for subpart W prior to the proposed amendments discussed in Section 3.3</t>
  </si>
  <si>
    <t>Table 5. Costs by emission source type and by industry segment for subpart W after the proposed amendments discussed in Section 3.3</t>
  </si>
  <si>
    <r>
      <t>Table 6. Incremental cost changes by emission source type and by industry segment for subpart W after the proposed amendments discussed in section 4.1.5</t>
    </r>
    <r>
      <rPr>
        <vertAlign val="superscript"/>
        <sz val="11"/>
        <rFont val="Times New Roman"/>
        <family val="1"/>
      </rPr>
      <t>a</t>
    </r>
  </si>
  <si>
    <r>
      <t xml:space="preserve">Table </t>
    </r>
    <r>
      <rPr>
        <b/>
        <sz val="11"/>
        <color rgb="FFFF0000"/>
        <rFont val="Times New Roman"/>
        <family val="1"/>
      </rPr>
      <t>6a</t>
    </r>
    <r>
      <rPr>
        <sz val="11"/>
        <rFont val="Times New Roman"/>
        <family val="1"/>
      </rPr>
      <t xml:space="preserve">. Incremental cost changes </t>
    </r>
    <r>
      <rPr>
        <b/>
        <sz val="11"/>
        <color rgb="FFFF0000"/>
        <rFont val="Times New Roman"/>
        <family val="1"/>
      </rPr>
      <t xml:space="preserve">per Reporter (2017$) </t>
    </r>
    <r>
      <rPr>
        <sz val="11"/>
        <rFont val="Times New Roman"/>
        <family val="1"/>
      </rPr>
      <t>by emission source type and by industry segment for subpart W after the proposed amendments discussed in section 4.1.5</t>
    </r>
    <r>
      <rPr>
        <vertAlign val="superscript"/>
        <sz val="11"/>
        <rFont val="Times New Roman"/>
        <family val="1"/>
      </rPr>
      <t>a</t>
    </r>
  </si>
  <si>
    <t>Total (labor and O&amp;M) Cost Changes Per Reporter After the Proposed Amendments (2017$)</t>
  </si>
  <si>
    <t>See assumptions listed below. Blue cells are those with affected source type and segment combinations.
No new reporters are estimated for the followng segments: LNG Import and Export Equipment, Natural gas Distribution, and Onshore Petroleum Natural Gas Gathering and Boosting.</t>
  </si>
  <si>
    <t>Grand totals:</t>
  </si>
  <si>
    <t>Industry segment</t>
  </si>
  <si>
    <t>Emission Source Type</t>
  </si>
  <si>
    <t>Hours Per Reporter Emission Source Type and Percent of Reporters Affected</t>
  </si>
  <si>
    <t>Costs with 2021 Labor Rates (See "Rates" Tab)</t>
  </si>
  <si>
    <t>Costs are 2017$</t>
  </si>
  <si>
    <t>Other large release events</t>
  </si>
  <si>
    <t>Desiccant dehydrators</t>
  </si>
  <si>
    <t>Acid Gas Removal Units (N/A)</t>
  </si>
  <si>
    <t>Blowdown Vent Stacks (Hours)</t>
  </si>
  <si>
    <t>Other large release events (Hours)</t>
  </si>
  <si>
    <t>Percent of Reporters</t>
  </si>
  <si>
    <t>Pneumatic Devices (Hours)</t>
  </si>
  <si>
    <t>Desiccant Dehydrators (Hours)</t>
  </si>
  <si>
    <t>Engineer Hours per Reporter</t>
  </si>
  <si>
    <t>Technician Hours Per Reporter</t>
  </si>
  <si>
    <t>Senior Manager Hours Per Reporter</t>
  </si>
  <si>
    <t xml:space="preserve">Middle Manager Hours Per Reporter </t>
  </si>
  <si>
    <t>Total Hours Per Reporter</t>
  </si>
  <si>
    <t>Cost of Engineer Hours per Reporter</t>
  </si>
  <si>
    <t>Cost of Technician Hours Per Reporter</t>
  </si>
  <si>
    <t>Cost of Senior Manager Hours Per Reporter</t>
  </si>
  <si>
    <t>Cost of Middle Manager Hours Per Reporter</t>
  </si>
  <si>
    <t>Total Labor Cost Per Reporter</t>
  </si>
  <si>
    <t>Number of new reporters</t>
  </si>
  <si>
    <t xml:space="preserve">Technical Hours </t>
  </si>
  <si>
    <t xml:space="preserve">Clerical Hours </t>
  </si>
  <si>
    <t xml:space="preserve">Managerial Hours </t>
  </si>
  <si>
    <t xml:space="preserve">Cost of Technical Hours </t>
  </si>
  <si>
    <t xml:space="preserve">Cost of Clerical Hours </t>
  </si>
  <si>
    <t xml:space="preserve">Cost of Managerial Hours </t>
  </si>
  <si>
    <t>Total Labor Hours</t>
  </si>
  <si>
    <t>Total Cost</t>
  </si>
  <si>
    <t>Onshore Natural Gas Processing</t>
  </si>
  <si>
    <t>labor</t>
  </si>
  <si>
    <t>Onshore Natural Gas Transmission Compression</t>
  </si>
  <si>
    <t>LNG Import and Export Equipment</t>
  </si>
  <si>
    <t>Onshore Petroleum and Natural Gas Production</t>
  </si>
  <si>
    <t>Onshore Petroleum and Natural Gas Gathering and Boosting</t>
  </si>
  <si>
    <t>Natural Gas Transmission Pipeline</t>
  </si>
  <si>
    <t>Offshore Petroleum and Natural Gas Production</t>
  </si>
  <si>
    <t>Total by emission source type</t>
  </si>
  <si>
    <t>Totals by emission source</t>
  </si>
  <si>
    <t>Assumptions used to estimate the hours for new reporters, consolidated from the assumptions listed under Tables 3, 4, and 5 in this tab.</t>
  </si>
  <si>
    <t>Nationwide total</t>
  </si>
  <si>
    <t>Total cost per reporter</t>
  </si>
  <si>
    <t>Total cost per reporter per emission source</t>
  </si>
  <si>
    <t>AGRs:</t>
  </si>
  <si>
    <t>Only LNG export reporters are expected to use AGR units.</t>
  </si>
  <si>
    <t>Total nationwide cost</t>
  </si>
  <si>
    <r>
      <t xml:space="preserve">Only LNG export reporters are expected to use AGR units. </t>
    </r>
    <r>
      <rPr>
        <b/>
        <i/>
        <sz val="11"/>
        <color theme="1"/>
        <rFont val="Calibri"/>
        <family val="2"/>
        <scheme val="minor"/>
      </rPr>
      <t>[No new reporters expected in the LNG Import/Export segment.]</t>
    </r>
  </si>
  <si>
    <t>Assumed that 40% of RY2019 reporters with desiccant dehydrators will be required to report blowdown vent stacks after these amendments are finalized and desiccant dehydrators are no longer exempt from 98.233(i).</t>
  </si>
  <si>
    <t>Total nationwide cost per reporter</t>
  </si>
  <si>
    <t>Assumed 3 acid gas removal units per reporter [and estimated 6 reporters]. Assumed 1 reporter would use Method 1, 1 reporter would use Method 2, 3 reporters would use Method 3, and 1 reporter would use Method 4.</t>
  </si>
  <si>
    <t>Assumed 1% of RY2019 reporters (Processing, Transmission Compression, Underground Storage, LNG Import/Export, LNG Storage, and Offshore Production) have a large release event to report each year .</t>
  </si>
  <si>
    <t xml:space="preserve">All emission sources are additions to subpart W, except desiccant dehydrators, which are being removed from subpart W applicability. </t>
  </si>
  <si>
    <t>Assumed 3 acid gas removal units per reporter. Assumed 1 reporter would use Method 1, 1 reporter would use Method 2, 3 reporters would use Method 3, and 1 reporter would use Method 4.</t>
  </si>
  <si>
    <t>"For acid gas removal units:</t>
  </si>
  <si>
    <t>Assumed 3% of RY2019 reporters (Onshore Production, Natural Gas Distribution, Gathering and Boosting, and Transmission Pipeline) have large release events to report each year.</t>
  </si>
  <si>
    <t>Number of desiccant dehydrators per reporter is based on average number reported by segment for RY2017.</t>
  </si>
  <si>
    <t>For acid gas removal units:
Assumed 1 hour per year to gather CEMS data for Method 1, 
10 minutes per quarter per acid gas removal unit to gather quarterly test data for Method 2, 
10 minutes acid gas removal unit to perform engineering calculations according to Method 3, and 
25 minutes per acid gas removal unit to compile data and run simulation according to Method 4.</t>
  </si>
  <si>
    <t>Assumed 1 hour per year to gather CEMS data for Method 1,</t>
  </si>
  <si>
    <t>Desiccant dehydrators are being removed from subpart W applicability. Number is based on RY2017 reporter counts.</t>
  </si>
  <si>
    <t>Assumed 10 minutes per reporter per desiccant dehydrator per year for a technician to gather the data needed to calculate emissions from desiccant dehydrators and 10 minutes per reporter per desiccant dehydrator per year for an engineer to calculate emissions according to Method 3.</t>
  </si>
  <si>
    <t>Assumed that 40% of RY2019 reporters with desiccant dehydrators will be required to report blowdown vent stacks once emissions from desiccant dehydrators are no longer being reported to subpart W and are no longer exempt from 98.233(i).</t>
  </si>
  <si>
    <t>10 minutes per quarter per acid gas removal unit to gather quarterly test data for Method 2,</t>
  </si>
  <si>
    <t>Assumed that all existing reporters in Gas Processing industry segment are required to perform an inventory of high bleed, low bleed, and intermittent bleed pneumatic devices and apply population factor.</t>
  </si>
  <si>
    <t>Assumed 4 hours per reporter per year in the Gas Processing industry segment and 6 hours per reporter per year in the Gathering and Boosting industry segment to perform calculations for blowdown vent stacks</t>
  </si>
  <si>
    <t>10 minutes [per] acid gas removal unit to perform engineering calculations according to Method 3, and</t>
  </si>
  <si>
    <t>Assumed 5 hours to gather the necessary data to estimate emissions from other large release events and minimal time to calculate the emissions for all industry segments.</t>
  </si>
  <si>
    <t>25 minutes per acid gas removal unit to compile data and run simulation according to Method 4."</t>
  </si>
  <si>
    <t>Assumed 4.5 hours per reporter to perform an inventory of pneumatic devices</t>
  </si>
  <si>
    <r>
      <t xml:space="preserve">Only </t>
    </r>
    <r>
      <rPr>
        <sz val="11"/>
        <color theme="1"/>
        <rFont val="Calibri"/>
        <family val="2"/>
        <scheme val="minor"/>
      </rPr>
      <t>Operation and Maintenance costs are [only] for acid gas removal units. Assumed $400 per test for Method 2 and assumed one-time costs of Aspen HYSYS of $2,000 or $666.67 per year over the three years of the ICR for Method 4.</t>
    </r>
  </si>
  <si>
    <t>Only Operation and Maintenance costs are for acid gas removal units. Assumed $400 per test for Method 2 and assumed one time costs of Aspen HYSYS of $2,000 or $666.67 per year over the three years of the ICR for Method 4.</t>
  </si>
  <si>
    <t>Blowdown Vent Stacks:</t>
  </si>
  <si>
    <r>
      <t xml:space="preserve">Assumed 4 hours per reporter per year in the Gas Processing industry segment and 6 hours per reporter per year in the Gathering and Boosting industry segment to perform calculations for blowdown vent stacks. </t>
    </r>
    <r>
      <rPr>
        <b/>
        <i/>
        <sz val="11"/>
        <color theme="1"/>
        <rFont val="Calibri"/>
        <family val="2"/>
        <scheme val="minor"/>
      </rPr>
      <t>[No new reporters expected in the NG G&amp;B segment.]</t>
    </r>
  </si>
  <si>
    <t>Other Large Release Events:</t>
  </si>
  <si>
    <t>Assumed 1% of RY2019 reporters (Processing, Transmission Compression, Underground Storage, LNG Import/Export, LNG Storage, and Offshore Production) have a large release event to report each year.</t>
  </si>
  <si>
    <t>Pneumatic Devices:</t>
  </si>
  <si>
    <t>Desiccant Dehydrators:</t>
  </si>
  <si>
    <t xml:space="preserve">From ICR Appendix E: Burden and Cost for Petroleum and Natural Gas Systems (Subpart W) June 2019 </t>
  </si>
  <si>
    <r>
      <t xml:space="preserve">Appendix E-4. Burden and Costs for Petroleum and Natural Gas Systems (Subpart W) –by Industry Segment for </t>
    </r>
    <r>
      <rPr>
        <b/>
        <sz val="11"/>
        <color theme="1"/>
        <rFont val="Times New Roman"/>
        <family val="1"/>
      </rPr>
      <t>Years 1 – 3</t>
    </r>
  </si>
  <si>
    <t>Costs have been updated to 2021$ using current labor rates from tab, 2019 ICR_revised rates.</t>
  </si>
  <si>
    <t>Note: From Appendix E-1 these are cost per year.</t>
  </si>
  <si>
    <t>Industry Segments</t>
  </si>
  <si>
    <t>No. Respondents</t>
  </si>
  <si>
    <t>Total Labor Cost</t>
  </si>
  <si>
    <t>Capital Cost</t>
  </si>
  <si>
    <t>O&amp;M Cost</t>
  </si>
  <si>
    <t>Calculated averages per reporter</t>
  </si>
  <si>
    <t>(2017$)</t>
  </si>
  <si>
    <t>($)</t>
  </si>
  <si>
    <t xml:space="preserve"> (2017$)</t>
  </si>
  <si>
    <t>Burden/Reporter (hrs)</t>
  </si>
  <si>
    <t>Onshore Petroleum and Natural Gas Gathering and Boosting reporters</t>
  </si>
  <si>
    <t>LNG Import and Export Equipment reporters</t>
  </si>
  <si>
    <t>LNG Storage reporters</t>
  </si>
  <si>
    <t>Natural Gas Distribution reporters</t>
  </si>
  <si>
    <t>Onshore Natural Gas Processing reporters</t>
  </si>
  <si>
    <t>Onshore Natural Gas Transmission Compression reporters</t>
  </si>
  <si>
    <t>Natural Gas Transmission Pipeline reporters</t>
  </si>
  <si>
    <t>Offshore Petroleum and Natural Gas Production reporters</t>
  </si>
  <si>
    <t>Onshore Petroleum and Natural Gas Production reporters</t>
  </si>
  <si>
    <t>Underground Natural Gas Storage reporters</t>
  </si>
  <si>
    <t>Factor Relative to 2017$</t>
  </si>
  <si>
    <t>CE Plant Cost Index Report</t>
  </si>
  <si>
    <t>CE INDEX</t>
  </si>
  <si>
    <t>Equipment</t>
  </si>
  <si>
    <t>Heat Exchangers and Tanks</t>
  </si>
  <si>
    <t>Process Machinery</t>
  </si>
  <si>
    <t>Pipe, valves and fittings</t>
  </si>
  <si>
    <t>Process Instruments</t>
  </si>
  <si>
    <t>Pumps and Compressors</t>
  </si>
  <si>
    <t>Electrical equipment</t>
  </si>
  <si>
    <t>Structural supports</t>
  </si>
  <si>
    <t>Construction Labor</t>
  </si>
  <si>
    <t>Buildings</t>
  </si>
  <si>
    <t>Engineering Supervision</t>
  </si>
  <si>
    <t>Quantitative Burden and Costs for Revisions to Applicability (implemented during RY2025) (Section 2.1)</t>
  </si>
  <si>
    <t>Quantitative Burden and Costs for New Subparts (implemented during RY2025) (Section 2.2)</t>
  </si>
  <si>
    <t>Quantitative Burden and Costs for Revisions to Applicability (implemented during RY2025) (Section 2.3)</t>
  </si>
  <si>
    <t>Quantitative Burden and Costs for Revisions to the Calculation Methodology for Subpart AA (section 2.4)</t>
  </si>
  <si>
    <t>Quantitative Burden and Costs for Revisions to the Calculation Methodology for Subpart HH (section 2.4)</t>
  </si>
  <si>
    <t>Per Reporter</t>
  </si>
  <si>
    <t>Revise Equations HH-6, HH-7, and HH-8 to add a term to adjust the estimated methane emissions based on methane surface monitoring measurements or lower default CEs.</t>
  </si>
  <si>
    <t>Initial and subsequent year hours are based on required activities for landfills with gas collection systems that conduct surface monitoring measurements under 40 CFR Part 60 or Part 62 rules or use lower default CEs, specifically, the additional time to conduct engineering calculations incorporating the count and surface measurement methane concentrations that exceed 500 parts per million above background in the reporting year. There is no burden associated with surface measurement monitoring as landfills will use data previously collected for the Part 60 and Part 62 rules, or, if not subject to Part 60 and Part 62 rules, may use default CEs.</t>
  </si>
  <si>
    <t>Weighted Avg for Individual Reporter:</t>
  </si>
  <si>
    <t>Table HH-1. Labor Costs – Subpart HH - Landfills - Facilities with gas collection systems (from Table HH-2a in Appendix H to the 2019 ICR)</t>
  </si>
  <si>
    <t>Assumes the 6 new facilities affected by CH4 GWP change have GCS.</t>
  </si>
  <si>
    <t>Based on crosswalk of GHGRP/NSPS reporters, 833 reporters have GCS. Of these, 70% of GHGRP landfills (792 reporters) are likely subject to NSPS, EG, or FP. It is assumed that the 6 new facilities under subpart HH would review the new calculations, however, these facilities are not likely subject to the NSPS, EG, or FP since the majority of those facilities (91%) already report to the GHGRP.</t>
  </si>
  <si>
    <t>GWP new reporters</t>
  </si>
  <si>
    <t>New subpart reporters</t>
  </si>
  <si>
    <t>Straight Average:</t>
  </si>
  <si>
    <t>Direct Emitters, from file: https://easternresearchgroup.sharepoint.com/:x:/r/sites/GHGRP/Shared%20Documents/General/Rulemaking/Supplemental%20Notice/Impacts/Data%20Pulls/GHGRP_Rulemaking_DataAggregations_220824_FINAL.xlsx?d=w8e531e632f6c455591c93fbeb406e4a7&amp;csf=1&amp;web=1&amp;e=bUnx5E</t>
  </si>
  <si>
    <t>RR facilities</t>
  </si>
  <si>
    <t>QA:</t>
  </si>
  <si>
    <t>Incremental Labor Changes for New Reporters from W Data Elements After June 2022 Proposed W Amendments</t>
  </si>
  <si>
    <t>Incremental Labor and O&amp;M Cost Changes for Monitoring After June 2022 Proposed W Amendments (2021$)</t>
  </si>
  <si>
    <t>(2) Per RY2021 data, 7,587 direct emitters would be required to report new data elements for electricity and thermal energy consumption at 40 CFR 98.3(c)(4)(iv), in addition to 80 new reporters from subparts W, HH, II, OO, TT and 53 new reporters from proposed subparts WW, XX, YY, and ZZ. The proposed data element requires totaling annual purchases from each meter on each electric bill, which are reported under proposed 40 CFR 98.26(k). This document assumes that the data may generally be obtained from existing company records or are readily available, and the labor is based on the time to enter the totalled purchase quantities into e-GGRT.</t>
  </si>
  <si>
    <t>Quantitative Burden and Costs for New, Revised, and Deleted Data Elements (implemented during RY2025) (Section 2.5)</t>
  </si>
  <si>
    <t>(1) Based on the total number of existing reporters affected, based on RY2021 data and estimated during RY2025, unless otherwise noted. Additional details may be found in Appendix A of the Impacts Memo.</t>
  </si>
  <si>
    <t>(1) Based on the total number of existing reporters affected within each segment, based on RY2021 data and estimated during RY2025, unless otherwise noted. Additional details may be found in Appendix A of the Impacts Memo.</t>
  </si>
  <si>
    <t>(2) Per RY2021 data, 100 respondents reporting to subpart N would be required to report two new data elements under 40 CFR 98.146(a)(3) (CEMS facilities) or 98.146(b)(5) (non-CEMS facilities) to report the annual quantity (tons) of recycled scrap glass (cullet) charged to each glass melting furnace and for all furnaces combined, and one revised data element under 40 CFR 98.146(b)(9) to report the number of times in the reporting year that missing data procedures are used to measure monthly quantities of recycled scrap glass (cullet).</t>
  </si>
  <si>
    <t>Subpart W (Applicability)</t>
  </si>
  <si>
    <t>(2) Per RY2021 data, 114 existing respondents reporting to subpart P, plus two new reporters, would be required to report five new data elements at 40 CFR 98.166(b)(1), (b)(2), (b)(3)(ii) and (b)(9), and two revised data elements at 40 CFR 98.166(b)(6)-(7).</t>
  </si>
  <si>
    <t>HH(5)</t>
  </si>
  <si>
    <t>(5) Per RY2021 data, facilities reporting to subpart HH report 1 new data element under 98.346(h).</t>
  </si>
  <si>
    <t>(3) Per RY2021 data, 814 facilities reporting to subpart HH report information for gas collection systems with destruction devices. These facilities would be required to report 4 new data elements and 1 revised data element under proposed 98.346(j)(6)(v)(D).</t>
  </si>
  <si>
    <t>(2) Per RY2021 data, 833 facilities reporting to subpart HH report information for gas collection systems, and 6 new facilities are anticipated to have GCS. These facilities would be required to report 4 new data elements and 2 revised data elements under 98.346(j)(5) and (6).</t>
  </si>
  <si>
    <t xml:space="preserve">(4) Per RY2021 data, 792 facilities reporting to subpart HH also meet the design criteria for landfills subject to 40 CFR part 60 landfill NSPS, EG, or FP rules. These facilities would be required to report 8 new data elements under proposed 98.346(h) and (j)(7) related to surface methane measurements collected under the 40 CFR part 60 landfill NSPS, EG, or FP rules. </t>
  </si>
  <si>
    <t>(3) Per RY2021 data, 103 respondents reporting to subpart OO are suppliers of F-HTFs who would be required to report new data elements at 40 CFR 98.416(k), and one new reporter.</t>
  </si>
  <si>
    <t>Senior Manager</t>
  </si>
  <si>
    <t>From Sept 2022 ICR rates</t>
  </si>
  <si>
    <t>OLD PIVOT - Old Labor Rates</t>
  </si>
  <si>
    <t xml:space="preserve">Middle Manager  </t>
  </si>
  <si>
    <t xml:space="preserve">Senior Manager  </t>
  </si>
  <si>
    <t xml:space="preserve">Lawyer  </t>
  </si>
  <si>
    <t>Row Labels</t>
  </si>
  <si>
    <t>Sum of Technician</t>
  </si>
  <si>
    <t xml:space="preserve">Sum of Lawyer  </t>
  </si>
  <si>
    <t>Sum of Engineer</t>
  </si>
  <si>
    <t xml:space="preserve">Sum of Middle Manager  </t>
  </si>
  <si>
    <t xml:space="preserve">Sum of Senior Manager  </t>
  </si>
  <si>
    <t>Number of Respondents</t>
  </si>
  <si>
    <t>Number of Respondents (Baseline)</t>
  </si>
  <si>
    <t>Number of new respondents</t>
  </si>
  <si>
    <t>Total QA</t>
  </si>
  <si>
    <t>Baseline Labor Hours by Category per Respondent (Labor Hours/Respondent * Number of New Respondents)</t>
  </si>
  <si>
    <t xml:space="preserve">Labor Hours by Category - Data Elements Package 1 </t>
  </si>
  <si>
    <t>QA</t>
  </si>
  <si>
    <t>Labor Hours by Category - Data Elements Package 1 (Labor Hours * Number of New Respondents)</t>
  </si>
  <si>
    <t xml:space="preserve"> </t>
  </si>
  <si>
    <t>QA of Total Hours</t>
  </si>
  <si>
    <t>Labor Hours by Category - Subpart W Revised (Labor Hours * Number of Respondents)</t>
  </si>
  <si>
    <t>Labor Hours by Category - Subpart W Revised (Hours per Reporter)</t>
  </si>
  <si>
    <t>QA Hours by Reporter</t>
  </si>
  <si>
    <t>Number of Respondents (New)</t>
  </si>
  <si>
    <t xml:space="preserve">QA </t>
  </si>
  <si>
    <t>Baseline Hours by Labor Category and Segment (From W_2019 ICR_Revised Rates)</t>
  </si>
  <si>
    <t>Baseline Hours by Labor Category and Segment (Copied from Pivot Above)</t>
  </si>
  <si>
    <t>Labor Hours by Category per Respondent (Labor Hours/Total ICR Respondents per Segment )</t>
  </si>
  <si>
    <t>Total O&amp;M</t>
  </si>
  <si>
    <t>Total Costs (Labor + Non Labor)</t>
  </si>
  <si>
    <t>Total Labor</t>
  </si>
  <si>
    <t>Total Hours</t>
  </si>
  <si>
    <t>3-Year Totals</t>
  </si>
  <si>
    <t xml:space="preserve">Exhibit 6.1. Summary of Annual Respondent Burden and Cost of Revisions for Greenhouse Gas Reporting Rule </t>
  </si>
  <si>
    <t>Non-Labor Costs (Annualized Capital/Startup and O&amp;M)</t>
  </si>
  <si>
    <t>Total Costs</t>
  </si>
  <si>
    <t>Average</t>
  </si>
  <si>
    <t>Exhibit 6.2. Annual Average Burden Over the First Three Years of the Information Collection, by Source Category</t>
  </si>
  <si>
    <r>
      <t>Annual Average Burden (Hours)</t>
    </r>
    <r>
      <rPr>
        <b/>
        <vertAlign val="superscript"/>
        <sz val="8"/>
        <rFont val="Arial"/>
        <family val="2"/>
      </rPr>
      <t>1</t>
    </r>
  </si>
  <si>
    <t>Annual Average Burden Per
Respondent (hrs)</t>
  </si>
  <si>
    <r>
      <t>Average Annual Labor Costs
($)</t>
    </r>
    <r>
      <rPr>
        <b/>
        <vertAlign val="superscript"/>
        <sz val="8"/>
        <rFont val="Arial"/>
        <family val="2"/>
      </rPr>
      <t>1</t>
    </r>
  </si>
  <si>
    <r>
      <t>Average Annual Non-Labor Costs
($)</t>
    </r>
    <r>
      <rPr>
        <b/>
        <vertAlign val="superscript"/>
        <sz val="8"/>
        <rFont val="Arial"/>
        <family val="2"/>
      </rPr>
      <t>1</t>
    </r>
  </si>
  <si>
    <r>
      <t>Annual Average Labor and Non-Labor Costs
($)</t>
    </r>
    <r>
      <rPr>
        <b/>
        <vertAlign val="superscript"/>
        <sz val="8"/>
        <rFont val="Arial"/>
        <family val="2"/>
      </rPr>
      <t>1</t>
    </r>
  </si>
  <si>
    <t>Subpart/Source Category</t>
  </si>
  <si>
    <t>P(3)</t>
  </si>
  <si>
    <t>Number of Reporters Affected (15)</t>
  </si>
  <si>
    <t>Number of New Occurances Reviewed 2023</t>
  </si>
  <si>
    <t>Number of New Occurances Reviewed 2024</t>
  </si>
  <si>
    <t>Number of New Occurances Reviewed 2025</t>
  </si>
  <si>
    <t>Total Number of Occurances per Subpart (16)</t>
  </si>
  <si>
    <t>(A)</t>
  </si>
  <si>
    <t>(B)</t>
  </si>
  <si>
    <t>(C)</t>
  </si>
  <si>
    <t>(D)</t>
  </si>
  <si>
    <t>Burden Item</t>
  </si>
  <si>
    <r>
      <t>Number of Occurrences Per Year</t>
    </r>
    <r>
      <rPr>
        <b/>
        <vertAlign val="superscript"/>
        <sz val="8"/>
        <rFont val="Arial"/>
        <family val="2"/>
      </rPr>
      <t>a</t>
    </r>
  </si>
  <si>
    <t>EPA Hours Per Occurrence</t>
  </si>
  <si>
    <t>Labor Hours Per Year (C=AxB)</t>
  </si>
  <si>
    <r>
      <t>EPA Cost Per Year</t>
    </r>
    <r>
      <rPr>
        <b/>
        <vertAlign val="superscript"/>
        <sz val="8"/>
        <rFont val="Arial"/>
        <family val="2"/>
      </rPr>
      <t>b</t>
    </r>
  </si>
  <si>
    <t>1.</t>
  </si>
  <si>
    <t>Applications</t>
  </si>
  <si>
    <t>not applicable</t>
  </si>
  <si>
    <t>2.</t>
  </si>
  <si>
    <t>Read and Understand Rule Requirements</t>
  </si>
  <si>
    <t>3.</t>
  </si>
  <si>
    <t>Required Activities</t>
  </si>
  <si>
    <t>A.</t>
  </si>
  <si>
    <t>Observe stack tests</t>
  </si>
  <si>
    <t>B.</t>
  </si>
  <si>
    <t>Excess emissions -- Enforcement Activities</t>
  </si>
  <si>
    <t>C.</t>
  </si>
  <si>
    <t>Create Information</t>
  </si>
  <si>
    <t>D.</t>
  </si>
  <si>
    <t>Gather Information</t>
  </si>
  <si>
    <t>E.</t>
  </si>
  <si>
    <t>Report Reviews</t>
  </si>
  <si>
    <r>
      <t>Review new/revised data elements</t>
    </r>
    <r>
      <rPr>
        <vertAlign val="superscript"/>
        <sz val="8"/>
        <rFont val="Arial"/>
        <family val="2"/>
      </rPr>
      <t>c</t>
    </r>
  </si>
  <si>
    <t>F.</t>
  </si>
  <si>
    <t>Prepare annual summary report</t>
  </si>
  <si>
    <t>4.</t>
  </si>
  <si>
    <t xml:space="preserve">Travel expenses:  (1 person *  30 hours per year / 8 hours per day * $75 per diem) + ($600 per round trip) = </t>
  </si>
  <si>
    <t>FOOTNOTES</t>
  </si>
  <si>
    <t>a</t>
  </si>
  <si>
    <t xml:space="preserve">Number of occurrences is the number of new or revised data elements to be reported times the number of facilities for each applicable subpart </t>
  </si>
  <si>
    <t xml:space="preserve"> that would be required to submit data elements.</t>
  </si>
  <si>
    <t>b</t>
  </si>
  <si>
    <t>c</t>
  </si>
  <si>
    <t>Includes review of new and revised data elements effective for RY2023.</t>
  </si>
  <si>
    <t xml:space="preserve">Number of occurrences is the number of new or revised data elements to be reported times the number of facilities for each applicable </t>
  </si>
  <si>
    <t>subpart that would be required to submit data elements.</t>
  </si>
  <si>
    <r>
      <t>Review new/revised data elements</t>
    </r>
    <r>
      <rPr>
        <vertAlign val="superscript"/>
        <sz val="8"/>
        <rFont val="Arial"/>
        <family val="2"/>
      </rPr>
      <t>b</t>
    </r>
  </si>
  <si>
    <t xml:space="preserve">Includes review of new and revised data elements effective for RY2023 and new data elements for the technology assessment report </t>
  </si>
  <si>
    <t xml:space="preserve">for subpart I. There are 25 subpart I facilities that would be required to submit a technology assessment report once every 5 years. The costs </t>
  </si>
  <si>
    <t>associated with 2 new data elements would apply in year 2025.</t>
  </si>
  <si>
    <t xml:space="preserve">Exhibit 6.3. Summary of Agency Burden and Cost of  Revisions to the Greenhouse Gas Reporting Program </t>
  </si>
  <si>
    <t>Number of Occurrences Per Year (1)</t>
  </si>
  <si>
    <t>Technical Hrs Per Year</t>
  </si>
  <si>
    <t>Managerial Hours Per Year</t>
  </si>
  <si>
    <t>Clerical Hours Per Year</t>
  </si>
  <si>
    <t xml:space="preserve">Total Annual Burden Hours </t>
  </si>
  <si>
    <t>Subpart A Data Element Revisions</t>
  </si>
  <si>
    <t>B</t>
  </si>
  <si>
    <t xml:space="preserve">C </t>
  </si>
  <si>
    <t>HH(2)</t>
  </si>
  <si>
    <t>HH(3)</t>
  </si>
  <si>
    <t>OO(2)</t>
  </si>
  <si>
    <t>OO(3)</t>
  </si>
  <si>
    <t>QQ(2)</t>
  </si>
  <si>
    <t>QQ(3)</t>
  </si>
  <si>
    <t>WW</t>
  </si>
  <si>
    <t>XX</t>
  </si>
  <si>
    <t>YY</t>
  </si>
  <si>
    <t>ZZ</t>
  </si>
  <si>
    <t>P(1,2)</t>
  </si>
  <si>
    <t xml:space="preserve">Table C. Quantitative Burden and Costs for New, Revised, and Deleted Data Elements (implemented during RY2025) </t>
  </si>
  <si>
    <r>
      <t xml:space="preserve">1 </t>
    </r>
    <r>
      <rPr>
        <sz val="8"/>
        <color theme="1"/>
        <rFont val="Arial"/>
        <family val="2"/>
      </rPr>
      <t>Parentheticals indicate a negative value or reduction in burden.</t>
    </r>
  </si>
  <si>
    <t>Exhibit 6.4. Bottom Line Annual Burden and Cost</t>
  </si>
  <si>
    <t>Annual Average</t>
  </si>
  <si>
    <t>Respondent Costs</t>
  </si>
  <si>
    <t>Total Respondent Labor Hours</t>
  </si>
  <si>
    <t>Total Respondent Labor Costs</t>
  </si>
  <si>
    <t>Non-labor (Capital and O&amp;M) Costs</t>
  </si>
  <si>
    <t>Total Respondent Costs</t>
  </si>
  <si>
    <t>Agency Costs</t>
  </si>
  <si>
    <t xml:space="preserve">Total Agency Burden Hours </t>
  </si>
  <si>
    <t>Total Agency Labor Costs</t>
  </si>
  <si>
    <t>Total Burden Hours (Respondents + Agency)</t>
  </si>
  <si>
    <t>Bottom Line Costs (Respondents + Agency)</t>
  </si>
  <si>
    <t>Estimated based on an average hourly labor rate for salary and overhead and benefits for Agency staff of $60.93.</t>
  </si>
  <si>
    <t>Estimated based on an average hourly labor rate for salary and overhead and benefits for Agency staff of $60.93</t>
  </si>
  <si>
    <t>Total Labor costs:</t>
  </si>
  <si>
    <t>Total Non-Labor costs:</t>
  </si>
  <si>
    <t>Total Section 2.1:</t>
  </si>
  <si>
    <t>Total Section 2.2:</t>
  </si>
  <si>
    <t>Total Section 2.3:</t>
  </si>
  <si>
    <t>Total Section 2.4:</t>
  </si>
  <si>
    <t>(1) Number of occurrences is the number of new or revised data elements to be reported times the facility count for each applicable subpart with new data elements.</t>
  </si>
  <si>
    <t>Because affected facilities are existing facilities that will continue reporting (instead of new reporters), the initial year and subsequent year impacts should be the same.</t>
  </si>
  <si>
    <t xml:space="preserve">Assumed two existing reporters would no longer qualify for the off-ramp and would be required to continue reporting. </t>
  </si>
  <si>
    <t>Assumes one facility may potentially meet the offramp provisions of 40 CFR 98.2(b) and stop reporting</t>
  </si>
  <si>
    <t>Note to EPA: For columns G, H, I, O, P, and Q, see the  calculations in hidden input sheets at back of this workbook.</t>
  </si>
  <si>
    <t>Assumed 5 open landfills that have previously off-ramped from the GHGRP may have to resume reporting due to the changes to the GWP and Table HH-1, and one open landfill that is anticipated to become a new reporter due to the changes to the GWP and Table HH-1, that would otherwise not have to report.</t>
  </si>
  <si>
    <t>Assumed two new reporters would be expected to start reporting to the GHGRP</t>
  </si>
  <si>
    <t xml:space="preserve"> Threshold analysis assumes 34 facilities would exceed the 25,000 mtCO2e threshold. Of the 16 facilities identified currently reporting under subpart C of Part 98, none appear to use CEMS. Additionally, other air quality regulations for ceramics manufacturers (NESHAP 5K and 6R) do not appear to require CEMS. Therefore, we assume most ceramics manufacturers would not have CEMs unless required by state or other regulation. However, we estimate that the recordkeeping and reporting burden from facilities using CEMS would be similar to costs for non-CEMS facilities; these sources would not have burden associated with planning, QA/QC, or sampling and analysis.</t>
  </si>
  <si>
    <t>Because the emissions from ceramics occur from the calcination of the materials, the labor and O&amp;M burden was assumed to be the same as for the non-CEMS option for lime manufacturing, which is also a calcination process. Subsequent year hours and O&amp;M are from Tables S-1b and S-2 in Appendix H of the 2019 ICR. Assumed additional planning hours for the initial year.</t>
  </si>
  <si>
    <t>EPA estimates that just one (1) facility combusts biomass (other than spent liquor solids) with other fuels.</t>
  </si>
  <si>
    <t>QQ –  Importers and Exporters of Fluorinated Greenhouse Gases Contained in Pre-Charged Equipment or Closed-Cell Foams </t>
  </si>
  <si>
    <t>RR –  Geologic Sequestration of Carbon Dioxide</t>
  </si>
  <si>
    <t>TT –  Industrial Waste Landfills</t>
  </si>
  <si>
    <t>UU –  Injection of Carbon Dioxide</t>
  </si>
  <si>
    <t>VV –  Geologic Sequestration of Carbon Dioxide with Enhanced Oil Recovery Using ISO 27916</t>
  </si>
  <si>
    <t>WW –  Coke Calciners </t>
  </si>
  <si>
    <t>XX –  Calcium Carbide Production </t>
  </si>
  <si>
    <t>YY –  Caprolactam,  Glyoxyl, and Glyoxylic Acid Production </t>
  </si>
  <si>
    <t>ZZ – Ceramics Production </t>
  </si>
  <si>
    <t>II –  Industrial Wastewater Treatment</t>
  </si>
  <si>
    <t>V –  Nitric Acid Production</t>
  </si>
  <si>
    <t>C –  General Stationary Fuel Combustion Sources</t>
  </si>
  <si>
    <t>A – General Provisions</t>
  </si>
  <si>
    <t>Total Costs Section 2.1</t>
  </si>
  <si>
    <t>Total Costs Section 2.2</t>
  </si>
  <si>
    <t>Total Costs Section 2.3</t>
  </si>
  <si>
    <t>Total Costs Section 2.4</t>
  </si>
  <si>
    <t>Total Costs Section 2.5</t>
  </si>
  <si>
    <t>Quantitative Burden and Costs for New, Revised, and Deleted Data Elements - Existing Subparts (Section 2.5)</t>
  </si>
  <si>
    <t>Assumes the cost impacts would be for a facility using the annual performance test option (without abatement); if they need abatement, they would be less likely to be able to cease reporting.</t>
  </si>
  <si>
    <t>Table Y-1 in Appendix H to the 2019 ICR indicates 4 facilities in the model plant for "Large Upgrading Refinery with Coke Calcining." Based on RY2021 data, this now appears to be 3 facilities. Assumed these would all move to subpart AAA.</t>
  </si>
  <si>
    <t>*New facilities in their initial year of reporting will incur additional planning hours to familiarize themselves with the rule and hours for setup of compliance activities including sampling and QA/QC. Initial year hours are based on Appendix H of the 2019 ICR.</t>
  </si>
  <si>
    <t>There are approximately four to six facilities, which is the known universe of facilities that produce caprolactam, glyoxal, and glyoxylic acid in the United States.</t>
  </si>
  <si>
    <t>*revised 1/10/2023</t>
  </si>
  <si>
    <t>PP  – Suppliers of Carbon Dioxide</t>
  </si>
  <si>
    <t>Subpart PP Data Element Revisions</t>
  </si>
  <si>
    <t xml:space="preserve">(2) It is estimated that 11 reporters subject to subpart PP would be required to implement reporting of the revised data elements under 98.426(h). Per RY2021 data, 9 respondents report to subpart RR (Geologic Sequestration of CO2). From the 2022 Data Quality Improvements Proposal (Jule 21, 2022), EPA assumes that 2 reporters will cease reporting under subpart UU and begin reporting under proposed subpart VV each year.  </t>
  </si>
  <si>
    <t>PP</t>
  </si>
  <si>
    <t>PP. Suppliers of Carbon Dioxide</t>
  </si>
  <si>
    <t>Assume 7,582 existing reporters per year, based on 2021 RY reporters in S3 data subject to direct emitter subparts , + 5 RR reporters, + 200 new reporters from GWP changes + 53 reporters from new subparts WW, XX, YY, and ZZ.</t>
  </si>
  <si>
    <t>Year 1 (2025)</t>
  </si>
  <si>
    <t>Year 2 (2026)</t>
  </si>
  <si>
    <t>Year 3 (2027)</t>
  </si>
  <si>
    <t>Table 5 - Annual Designated Administrator Burden and Cost of Recordkeeping and Reporting Requirements for Revisions to Reporting, Recordkeeping, and Verification Requirements under the Greenhouse Gas Reporting Program - Year 1 (2025)</t>
  </si>
  <si>
    <t>Table 6 - Annual Designated Administrator Burden and Cost of Recordkeeping and Reporting Requirements for Revisions to Reporting, Recordkeeping, and Verification Requirements under the Greenhouse Gas Reporting Program - Year 2 (2026)</t>
  </si>
  <si>
    <t>Table 7 - Annual Designated Administrator Burden and Cost of Recordkeeping and Reporting Requirements for Revisions to Reporting, Recordkeeping, and Verification Requirements under the Greenhouse Gas Reporting Program - Year 3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</si>
</sst>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
    <numFmt numFmtId="165" formatCode="&quot;$&quot;#,##0.00"/>
    <numFmt numFmtId="166" formatCode="_(* #,##0.000_);_(* \(#,##0.000\);_(* &quot;-&quot;??_);_(@_)"/>
    <numFmt numFmtId="167" formatCode="_(&quot;$&quot;* #,##0_);_(&quot;$&quot;* \(#,##0\);_(&quot;$&quot;* &quot;-&quot;??_);_(@_)"/>
    <numFmt numFmtId="168" formatCode="0.0"/>
    <numFmt numFmtId="169" formatCode="_(* #,##0_);_(* \(#,##0\);_(* &quot;-&quot;??_);_(@_)"/>
    <numFmt numFmtId="170" formatCode="_(* #,##0.0_);_(* \(#,##0.0\);_(* &quot;-&quot;??_);_(@_)"/>
    <numFmt numFmtId="171" formatCode="0.0%"/>
    <numFmt numFmtId="172" formatCode="_(* #,##0.0000_);_(* \(#,##0.0000\);_(* &quot;-&quot;??_);_(@_)"/>
    <numFmt numFmtId="173" formatCode="_(&quot;$&quot;* #,##0.0_);_(&quot;$&quot;* \(#,##0.0\);_(&quot;$&quot;* &quot;-&quot;??_);_(@_)"/>
    <numFmt numFmtId="174" formatCode="General_)"/>
    <numFmt numFmtId="175" formatCode="0.0_);\(0.0\)"/>
    <numFmt numFmtId="176" formatCode="0_);\(0\)"/>
    <numFmt numFmtId="177" formatCode=";;;"/>
    <numFmt numFmtId="178" formatCode="0_)"/>
  </numFmts>
  <fonts count="119" x14ac:knownFonts="1">
    <font>
      <sz val="11"/>
      <color theme="1"/>
      <name val="Calibri"/>
      <family val="2"/>
      <scheme val="minor"/>
    </font>
    <font>
      <sz val="11"/>
      <color rgb="FFFF0000"/>
      <name val="Calibri"/>
      <family val="2"/>
      <scheme val="minor"/>
    </font>
    <font>
      <sz val="11"/>
      <color theme="0"/>
      <name val="Calibri"/>
      <family val="2"/>
      <scheme val="minor"/>
    </font>
    <font>
      <b/>
      <sz val="11"/>
      <color theme="1"/>
      <name val="Times New Roman"/>
      <family val="1"/>
    </font>
    <font>
      <b/>
      <sz val="10"/>
      <color rgb="FF000000"/>
      <name val="Times New Roman"/>
      <family val="1"/>
    </font>
    <font>
      <sz val="10"/>
      <color rgb="FF000000"/>
      <name val="Times New Roman"/>
      <family val="1"/>
    </font>
    <font>
      <sz val="10"/>
      <name val="Times New Roman"/>
      <family val="1"/>
    </font>
    <font>
      <sz val="10"/>
      <color theme="1"/>
      <name val="Times New Roman"/>
      <family val="1"/>
    </font>
    <font>
      <sz val="11"/>
      <color rgb="FF0070C0"/>
      <name val="Calibri"/>
      <family val="2"/>
      <scheme val="minor"/>
    </font>
    <font>
      <b/>
      <sz val="8"/>
      <name val="Arial"/>
      <family val="2"/>
    </font>
    <font>
      <b/>
      <sz val="8"/>
      <color theme="1"/>
      <name val="Arial"/>
      <family val="2"/>
    </font>
    <font>
      <sz val="8"/>
      <color theme="1"/>
      <name val="Arial"/>
      <family val="2"/>
    </font>
    <font>
      <sz val="8"/>
      <name val="Arial"/>
      <family val="2"/>
    </font>
    <font>
      <b/>
      <sz val="9"/>
      <color theme="1"/>
      <name val="Times New Roman"/>
      <family val="1"/>
    </font>
    <font>
      <b/>
      <sz val="9"/>
      <color rgb="FF000000"/>
      <name val="Times New Roman"/>
      <family val="1"/>
    </font>
    <font>
      <sz val="9"/>
      <color theme="1"/>
      <name val="Times New Roman"/>
      <family val="1"/>
    </font>
    <font>
      <sz val="9"/>
      <color rgb="FF000000"/>
      <name val="Times New Roman"/>
      <family val="1"/>
    </font>
    <font>
      <sz val="11"/>
      <color theme="1"/>
      <name val="Times New Roman"/>
      <family val="1"/>
    </font>
    <font>
      <u/>
      <sz val="9"/>
      <color rgb="FF000000"/>
      <name val="Times New Roman"/>
      <family val="1"/>
    </font>
    <font>
      <sz val="9"/>
      <name val="Arial"/>
      <family val="2"/>
    </font>
    <font>
      <u/>
      <sz val="9"/>
      <name val="Arial"/>
      <family val="2"/>
    </font>
    <font>
      <sz val="10"/>
      <color theme="1"/>
      <name val="Calibri"/>
      <family val="2"/>
      <scheme val="minor"/>
    </font>
    <font>
      <sz val="11"/>
      <color theme="1"/>
      <name val="Times New Roman"/>
      <family val="2"/>
    </font>
    <font>
      <b/>
      <sz val="10"/>
      <color rgb="FF0070C0"/>
      <name val="Calibri"/>
      <family val="2"/>
      <scheme val="minor"/>
    </font>
    <font>
      <b/>
      <sz val="10"/>
      <color theme="0" tint="-0.34998626667073579"/>
      <name val="Calibri"/>
      <family val="2"/>
      <scheme val="minor"/>
    </font>
    <font>
      <sz val="10"/>
      <color theme="0" tint="-0.34998626667073579"/>
      <name val="Calibri"/>
      <family val="2"/>
      <scheme val="minor"/>
    </font>
    <font>
      <b/>
      <sz val="10"/>
      <color theme="1"/>
      <name val="Calibri"/>
      <family val="2"/>
      <scheme val="minor"/>
    </font>
    <font>
      <sz val="8"/>
      <name val="Courier"/>
      <family val="3"/>
    </font>
    <font>
      <b/>
      <sz val="10"/>
      <name val="Calibri"/>
      <family val="2"/>
      <scheme val="minor"/>
    </font>
    <font>
      <sz val="10"/>
      <name val="Arial"/>
      <family val="2"/>
    </font>
    <font>
      <sz val="10"/>
      <color theme="0" tint="-4.9989318521683403E-2"/>
      <name val="Calibri"/>
      <family val="2"/>
      <scheme val="minor"/>
    </font>
    <font>
      <sz val="8"/>
      <color theme="0" tint="-4.9989318521683403E-2"/>
      <name val="Arial"/>
      <family val="2"/>
    </font>
    <font>
      <b/>
      <sz val="8"/>
      <color theme="0" tint="-4.9989318521683403E-2"/>
      <name val="Arial"/>
      <family val="2"/>
    </font>
    <font>
      <sz val="11"/>
      <name val="Times New Roman"/>
      <family val="1"/>
    </font>
    <font>
      <sz val="11"/>
      <color rgb="FFFF0000"/>
      <name val="Times New Roman"/>
      <family val="1"/>
    </font>
    <font>
      <sz val="11"/>
      <color theme="1"/>
      <name val="Calibri"/>
      <family val="2"/>
      <scheme val="minor"/>
    </font>
    <font>
      <b/>
      <sz val="11"/>
      <color theme="1"/>
      <name val="Calibri"/>
      <family val="2"/>
      <scheme val="minor"/>
    </font>
    <font>
      <sz val="10"/>
      <name val="Calibri"/>
      <family val="2"/>
      <scheme val="minor"/>
    </font>
    <font>
      <sz val="11"/>
      <name val="Calibri"/>
      <family val="2"/>
      <scheme val="minor"/>
    </font>
    <font>
      <b/>
      <sz val="14"/>
      <color theme="1"/>
      <name val="Times New Roman"/>
      <family val="1"/>
    </font>
    <font>
      <b/>
      <sz val="10"/>
      <color rgb="FF000000"/>
      <name val="Calibri"/>
      <family val="2"/>
    </font>
    <font>
      <sz val="10"/>
      <color theme="1"/>
      <name val="Calibri"/>
      <family val="2"/>
    </font>
    <font>
      <sz val="7"/>
      <color theme="1"/>
      <name val="Times New Roman"/>
      <family val="1"/>
    </font>
    <font>
      <b/>
      <sz val="8"/>
      <color rgb="FFFF0000"/>
      <name val="Arial"/>
      <family val="2"/>
    </font>
    <font>
      <i/>
      <sz val="10"/>
      <color rgb="FF000000"/>
      <name val="Times New Roman"/>
      <family val="1"/>
    </font>
    <font>
      <u/>
      <sz val="10"/>
      <color rgb="FF000000"/>
      <name val="Times New Roman"/>
      <family val="1"/>
    </font>
    <font>
      <sz val="11"/>
      <color rgb="FF000000"/>
      <name val="Calibri"/>
      <family val="2"/>
      <scheme val="minor"/>
    </font>
    <font>
      <sz val="9"/>
      <color rgb="FFFF0000"/>
      <name val="Arial"/>
      <family val="2"/>
    </font>
    <font>
      <sz val="10"/>
      <color rgb="FFFF0000"/>
      <name val="Calibri"/>
      <family val="2"/>
      <scheme val="minor"/>
    </font>
    <font>
      <sz val="8"/>
      <color theme="1"/>
      <name val="Arial"/>
      <family val="2"/>
    </font>
    <font>
      <b/>
      <sz val="8"/>
      <name val="Arial"/>
      <family val="2"/>
    </font>
    <font>
      <sz val="8"/>
      <name val="Arial"/>
      <family val="2"/>
    </font>
    <font>
      <sz val="9"/>
      <color rgb="FFFF0000"/>
      <name val="Times New Roman"/>
      <family val="1"/>
    </font>
    <font>
      <b/>
      <sz val="9"/>
      <color rgb="FFFF0000"/>
      <name val="Times New Roman"/>
      <family val="1"/>
    </font>
    <font>
      <sz val="9"/>
      <name val="Arial"/>
      <family val="2"/>
    </font>
    <font>
      <b/>
      <sz val="8"/>
      <color theme="1"/>
      <name val="Arial"/>
      <family val="2"/>
    </font>
    <font>
      <sz val="8"/>
      <color theme="1"/>
      <name val="Arial"/>
      <family val="2"/>
    </font>
    <font>
      <sz val="8"/>
      <name val="Arial"/>
      <family val="2"/>
    </font>
    <font>
      <u/>
      <sz val="9"/>
      <name val="Times New Roman"/>
      <family val="1"/>
    </font>
    <font>
      <sz val="9"/>
      <name val="Times New Roman"/>
      <family val="1"/>
    </font>
    <font>
      <vertAlign val="subscript"/>
      <sz val="9"/>
      <color theme="1"/>
      <name val="Times New Roman"/>
      <family val="1"/>
    </font>
    <font>
      <u/>
      <sz val="9"/>
      <color theme="1"/>
      <name val="Times New Roman"/>
      <family val="1"/>
    </font>
    <font>
      <b/>
      <sz val="9"/>
      <name val="Times New Roman"/>
      <family val="1"/>
    </font>
    <font>
      <b/>
      <sz val="9"/>
      <color rgb="FFFF0000"/>
      <name val="Calibri"/>
      <family val="2"/>
      <scheme val="minor"/>
    </font>
    <font>
      <b/>
      <sz val="11"/>
      <color rgb="FFFF0000"/>
      <name val="Times New Roman"/>
      <family val="1"/>
    </font>
    <font>
      <b/>
      <sz val="11"/>
      <name val="Times New Roman"/>
      <family val="1"/>
    </font>
    <font>
      <u/>
      <sz val="11"/>
      <color theme="10"/>
      <name val="Calibri"/>
      <family val="2"/>
      <scheme val="minor"/>
    </font>
    <font>
      <sz val="9"/>
      <color indexed="81"/>
      <name val="Tahoma"/>
      <family val="2"/>
    </font>
    <font>
      <b/>
      <sz val="9"/>
      <color indexed="81"/>
      <name val="Tahoma"/>
      <family val="2"/>
    </font>
    <font>
      <b/>
      <sz val="9"/>
      <name val="Calibri"/>
      <family val="2"/>
    </font>
    <font>
      <b/>
      <sz val="8"/>
      <name val="Calibri"/>
      <family val="2"/>
    </font>
    <font>
      <sz val="8"/>
      <color indexed="8"/>
      <name val="Calibri"/>
      <family val="2"/>
    </font>
    <font>
      <sz val="8"/>
      <name val="Calibri"/>
      <family val="2"/>
    </font>
    <font>
      <sz val="8"/>
      <color theme="1"/>
      <name val="Calibri"/>
      <family val="2"/>
      <scheme val="minor"/>
    </font>
    <font>
      <sz val="12"/>
      <name val="Calibri"/>
      <family val="2"/>
      <scheme val="minor"/>
    </font>
    <font>
      <b/>
      <sz val="12"/>
      <name val="Calibri"/>
      <family val="2"/>
      <scheme val="minor"/>
    </font>
    <font>
      <sz val="12"/>
      <color rgb="FF000000"/>
      <name val="Calibri"/>
      <family val="2"/>
      <scheme val="minor"/>
    </font>
    <font>
      <b/>
      <sz val="12"/>
      <color rgb="FF000000"/>
      <name val="Calibri"/>
      <family val="2"/>
      <scheme val="minor"/>
    </font>
    <font>
      <b/>
      <vertAlign val="superscript"/>
      <sz val="8"/>
      <name val="Arial"/>
      <family val="2"/>
    </font>
    <font>
      <sz val="8"/>
      <color rgb="FFFF0000"/>
      <name val="Arial"/>
      <family val="2"/>
    </font>
    <font>
      <u/>
      <sz val="11"/>
      <name val="Calibri"/>
      <family val="2"/>
      <scheme val="minor"/>
    </font>
    <font>
      <sz val="8"/>
      <color rgb="FF000000"/>
      <name val="Calibri"/>
      <family val="2"/>
      <scheme val="minor"/>
    </font>
    <font>
      <b/>
      <sz val="12"/>
      <color theme="1"/>
      <name val="Times New Roman"/>
      <family val="1"/>
    </font>
    <font>
      <b/>
      <sz val="7"/>
      <color rgb="FF000000"/>
      <name val="Times New Roman"/>
      <family val="1"/>
    </font>
    <font>
      <b/>
      <sz val="7"/>
      <color theme="1"/>
      <name val="Times New Roman"/>
      <family val="1"/>
    </font>
    <font>
      <b/>
      <sz val="7"/>
      <color rgb="FFFF0000"/>
      <name val="Times New Roman"/>
      <family val="1"/>
    </font>
    <font>
      <sz val="7"/>
      <color rgb="FF000000"/>
      <name val="Times New Roman"/>
      <family val="1"/>
    </font>
    <font>
      <sz val="8"/>
      <color rgb="FFFF0000"/>
      <name val="Calibri"/>
      <family val="2"/>
      <scheme val="minor"/>
    </font>
    <font>
      <b/>
      <i/>
      <sz val="7"/>
      <color theme="1"/>
      <name val="Times New Roman"/>
      <family val="1"/>
    </font>
    <font>
      <i/>
      <sz val="7"/>
      <color theme="1"/>
      <name val="Times New Roman"/>
      <family val="1"/>
    </font>
    <font>
      <i/>
      <vertAlign val="superscript"/>
      <sz val="7"/>
      <color theme="1"/>
      <name val="Times New Roman"/>
      <family val="1"/>
    </font>
    <font>
      <b/>
      <i/>
      <vertAlign val="subscript"/>
      <sz val="7"/>
      <color theme="1"/>
      <name val="Times New Roman"/>
      <family val="1"/>
    </font>
    <font>
      <strike/>
      <sz val="7"/>
      <color theme="1"/>
      <name val="Times New Roman"/>
      <family val="1"/>
    </font>
    <font>
      <b/>
      <sz val="11"/>
      <color rgb="FF000000"/>
      <name val="Times New Roman"/>
      <family val="1"/>
    </font>
    <font>
      <vertAlign val="superscript"/>
      <sz val="11"/>
      <name val="Times New Roman"/>
      <family val="1"/>
    </font>
    <font>
      <b/>
      <sz val="10"/>
      <color rgb="FFFF0000"/>
      <name val="Times New Roman"/>
      <family val="1"/>
    </font>
    <font>
      <sz val="2"/>
      <color rgb="FF000000"/>
      <name val="Times New Roman"/>
      <family val="1"/>
    </font>
    <font>
      <sz val="1"/>
      <color rgb="FF000000"/>
      <name val="Times New Roman"/>
      <family val="1"/>
    </font>
    <font>
      <sz val="3"/>
      <color rgb="FF000000"/>
      <name val="Times New Roman"/>
      <family val="1"/>
    </font>
    <font>
      <b/>
      <i/>
      <sz val="11"/>
      <color theme="1"/>
      <name val="Calibri"/>
      <family val="2"/>
      <scheme val="minor"/>
    </font>
    <font>
      <sz val="11"/>
      <name val="Calibri"/>
      <family val="2"/>
    </font>
    <font>
      <strike/>
      <sz val="11"/>
      <color theme="1"/>
      <name val="Calibri"/>
      <family val="2"/>
      <scheme val="minor"/>
    </font>
    <font>
      <sz val="11"/>
      <color rgb="FF000000"/>
      <name val="Times New Roman"/>
      <family val="1"/>
    </font>
    <font>
      <sz val="11"/>
      <color rgb="FF7030A0"/>
      <name val="Calibri"/>
      <family val="2"/>
      <scheme val="minor"/>
    </font>
    <font>
      <b/>
      <sz val="11"/>
      <color rgb="FFFF0000"/>
      <name val="Calibri"/>
      <family val="2"/>
      <scheme val="minor"/>
    </font>
    <font>
      <b/>
      <sz val="11"/>
      <name val="Arial"/>
      <family val="2"/>
    </font>
    <font>
      <sz val="8"/>
      <color indexed="8"/>
      <name val="Arial"/>
      <family val="2"/>
    </font>
    <font>
      <b/>
      <sz val="10"/>
      <name val="Arial"/>
      <family val="2"/>
    </font>
    <font>
      <sz val="11"/>
      <color theme="1"/>
      <name val="Arial"/>
      <family val="2"/>
    </font>
    <font>
      <sz val="11"/>
      <color rgb="FFFF0000"/>
      <name val="Arial"/>
      <family val="2"/>
    </font>
    <font>
      <sz val="8"/>
      <color indexed="12"/>
      <name val="Arial"/>
      <family val="2"/>
    </font>
    <font>
      <vertAlign val="superscript"/>
      <sz val="8"/>
      <name val="Arial"/>
      <family val="2"/>
    </font>
    <font>
      <sz val="8"/>
      <color indexed="10"/>
      <name val="Arial"/>
      <family val="2"/>
    </font>
    <font>
      <b/>
      <sz val="10"/>
      <color theme="1"/>
      <name val="Arial"/>
      <family val="2"/>
    </font>
    <font>
      <sz val="10"/>
      <color theme="1"/>
      <name val="Arial"/>
      <family val="2"/>
    </font>
    <font>
      <vertAlign val="superscript"/>
      <sz val="8"/>
      <color theme="1"/>
      <name val="Arial"/>
      <family val="2"/>
    </font>
    <font>
      <sz val="11"/>
      <color theme="0" tint="-4.9989318521683403E-2"/>
      <name val="Calibri"/>
      <family val="2"/>
      <scheme val="minor"/>
    </font>
    <font>
      <sz val="11"/>
      <color rgb="FF000000"/>
      <name val="Calibri"/>
      <family val="2"/>
    </font>
    <font>
      <b/>
      <sz val="11"/>
      <color rgb="FF000000"/>
      <name val="Calibri"/>
      <family val="2"/>
    </font>
  </fonts>
  <fills count="26">
    <fill>
      <patternFill patternType="none"/>
    </fill>
    <fill>
      <patternFill patternType="gray125"/>
    </fill>
    <fill>
      <patternFill patternType="solid">
        <fgColor rgb="FFC2D69B"/>
        <bgColor indexed="64"/>
      </patternFill>
    </fill>
    <fill>
      <patternFill patternType="solid">
        <fgColor theme="0" tint="-0.14999847407452621"/>
        <bgColor theme="4" tint="0.79998168889431442"/>
      </patternFill>
    </fill>
    <fill>
      <patternFill patternType="solid">
        <fgColor theme="0" tint="-4.9989318521683403E-2"/>
        <bgColor theme="4" tint="0.79998168889431442"/>
      </patternFill>
    </fill>
    <fill>
      <patternFill patternType="solid">
        <fgColor rgb="FFF2F2F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CCFFFF"/>
        <bgColor indexed="64"/>
      </patternFill>
    </fill>
    <fill>
      <patternFill patternType="solid">
        <fgColor rgb="FFD9D9D9"/>
        <bgColor rgb="FF000000"/>
      </patternFill>
    </fill>
    <fill>
      <patternFill patternType="solid">
        <fgColor rgb="FF00B050"/>
        <bgColor indexed="64"/>
      </patternFill>
    </fill>
    <fill>
      <patternFill patternType="solid">
        <fgColor theme="0" tint="-4.9989318521683403E-2"/>
        <bgColor indexed="64"/>
      </patternFill>
    </fill>
    <fill>
      <patternFill patternType="solid">
        <fgColor theme="1"/>
        <bgColor indexed="64"/>
      </patternFill>
    </fill>
    <fill>
      <patternFill patternType="solid">
        <fgColor rgb="FF92D050"/>
        <bgColor indexed="64"/>
      </patternFill>
    </fill>
    <fill>
      <patternFill patternType="solid">
        <fgColor rgb="FF808080"/>
        <bgColor indexed="64"/>
      </patternFill>
    </fill>
    <fill>
      <patternFill patternType="solid">
        <fgColor rgb="FFC9C9C9"/>
        <bgColor rgb="FF000000"/>
      </patternFill>
    </fill>
    <fill>
      <patternFill patternType="solid">
        <fgColor rgb="FF00B050"/>
        <bgColor rgb="FF000000"/>
      </patternFill>
    </fill>
    <fill>
      <patternFill patternType="solid">
        <fgColor theme="9" tint="0.79998168889431442"/>
        <bgColor indexed="64"/>
      </patternFill>
    </fill>
    <fill>
      <patternFill patternType="solid">
        <fgColor theme="9" tint="0.79998168889431442"/>
        <bgColor rgb="FF000000"/>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theme="9" tint="0.59999389629810485"/>
        <bgColor indexed="64"/>
      </patternFill>
    </fill>
  </fills>
  <borders count="193">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dotted">
        <color indexed="64"/>
      </right>
      <top style="double">
        <color indexed="64"/>
      </top>
      <bottom/>
      <diagonal/>
    </border>
    <border>
      <left style="dotted">
        <color indexed="64"/>
      </left>
      <right/>
      <top style="double">
        <color indexed="64"/>
      </top>
      <bottom style="dotted">
        <color indexed="64"/>
      </bottom>
      <diagonal/>
    </border>
    <border>
      <left/>
      <right/>
      <top style="double">
        <color indexed="64"/>
      </top>
      <bottom style="dotted">
        <color indexed="64"/>
      </bottom>
      <diagonal/>
    </border>
    <border>
      <left/>
      <right style="dotted">
        <color indexed="64"/>
      </right>
      <top style="double">
        <color indexed="64"/>
      </top>
      <bottom style="dotted">
        <color indexed="64"/>
      </bottom>
      <diagonal/>
    </border>
    <border>
      <left/>
      <right style="double">
        <color indexed="64"/>
      </right>
      <top style="double">
        <color indexed="64"/>
      </top>
      <bottom style="dotted">
        <color indexed="64"/>
      </bottom>
      <diagonal/>
    </border>
    <border>
      <left style="double">
        <color indexed="64"/>
      </left>
      <right style="dotted">
        <color indexed="64"/>
      </right>
      <top/>
      <bottom style="dotted">
        <color indexed="64"/>
      </bottom>
      <diagonal/>
    </border>
    <border>
      <left/>
      <right style="dotted">
        <color indexed="64"/>
      </right>
      <top/>
      <bottom style="dotted">
        <color indexed="64"/>
      </bottom>
      <diagonal/>
    </border>
    <border>
      <left/>
      <right style="double">
        <color indexed="64"/>
      </right>
      <top/>
      <bottom style="dotted">
        <color indexed="64"/>
      </bottom>
      <diagonal/>
    </border>
    <border>
      <left style="double">
        <color indexed="64"/>
      </left>
      <right style="dotted">
        <color indexed="64"/>
      </right>
      <top/>
      <bottom style="double">
        <color indexed="64"/>
      </bottom>
      <diagonal/>
    </border>
    <border>
      <left/>
      <right style="dotted">
        <color indexed="64"/>
      </right>
      <top/>
      <bottom style="double">
        <color indexed="64"/>
      </bottom>
      <diagonal/>
    </border>
    <border>
      <left/>
      <right style="double">
        <color indexed="64"/>
      </right>
      <top/>
      <bottom style="double">
        <color indexed="64"/>
      </bottom>
      <diagonal/>
    </border>
    <border>
      <left style="double">
        <color indexed="64"/>
      </left>
      <right style="dotted">
        <color indexed="64"/>
      </right>
      <top style="double">
        <color indexed="64"/>
      </top>
      <bottom style="double">
        <color indexed="64"/>
      </bottom>
      <diagonal/>
    </border>
    <border>
      <left/>
      <right style="dotted">
        <color indexed="64"/>
      </right>
      <top style="double">
        <color indexed="64"/>
      </top>
      <bottom style="double">
        <color indexed="64"/>
      </bottom>
      <diagonal/>
    </border>
    <border>
      <left/>
      <right/>
      <top style="double">
        <color indexed="64"/>
      </top>
      <bottom style="double">
        <color indexed="64"/>
      </bottom>
      <diagonal/>
    </border>
    <border>
      <left style="dotted">
        <color indexed="64"/>
      </left>
      <right style="double">
        <color indexed="64"/>
      </right>
      <top style="double">
        <color indexed="64"/>
      </top>
      <bottom style="double">
        <color indexed="64"/>
      </bottom>
      <diagonal/>
    </border>
    <border>
      <left style="dotted">
        <color indexed="64"/>
      </left>
      <right/>
      <top style="double">
        <color indexed="64"/>
      </top>
      <bottom/>
      <diagonal/>
    </border>
    <border>
      <left/>
      <right style="double">
        <color indexed="64"/>
      </right>
      <top style="double">
        <color indexed="64"/>
      </top>
      <bottom/>
      <diagonal/>
    </border>
    <border>
      <left style="double">
        <color indexed="64"/>
      </left>
      <right style="dotted">
        <color indexed="64"/>
      </right>
      <top/>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bottom/>
      <diagonal/>
    </border>
    <border>
      <left/>
      <right style="double">
        <color indexed="64"/>
      </right>
      <top/>
      <bottom/>
      <diagonal/>
    </border>
    <border>
      <left style="dotted">
        <color indexed="64"/>
      </left>
      <right/>
      <top/>
      <bottom style="dotted">
        <color indexed="64"/>
      </bottom>
      <diagonal/>
    </border>
    <border>
      <left/>
      <right/>
      <top style="double">
        <color indexed="64"/>
      </top>
      <bottom/>
      <diagonal/>
    </border>
    <border>
      <left style="double">
        <color auto="1"/>
      </left>
      <right style="thin">
        <color auto="1"/>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style="double">
        <color auto="1"/>
      </left>
      <right/>
      <top style="double">
        <color auto="1"/>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right style="double">
        <color indexed="64"/>
      </right>
      <top style="double">
        <color indexed="64"/>
      </top>
      <bottom style="double">
        <color indexed="64"/>
      </bottom>
      <diagonal/>
    </border>
    <border>
      <left style="medium">
        <color indexed="64"/>
      </left>
      <right style="medium">
        <color indexed="64"/>
      </right>
      <top/>
      <bottom style="medium">
        <color rgb="FF000000"/>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right/>
      <top/>
      <bottom style="dotted">
        <color indexed="64"/>
      </bottom>
      <diagonal/>
    </border>
    <border>
      <left style="dotted">
        <color indexed="64"/>
      </left>
      <right style="double">
        <color indexed="64"/>
      </right>
      <top style="dotted">
        <color indexed="64"/>
      </top>
      <bottom style="dotted">
        <color indexed="64"/>
      </bottom>
      <diagonal/>
    </border>
    <border>
      <left style="dotted">
        <color indexed="64"/>
      </left>
      <right style="double">
        <color indexed="64"/>
      </right>
      <top/>
      <bottom style="double">
        <color indexed="64"/>
      </bottom>
      <diagonal/>
    </border>
    <border>
      <left style="dotted">
        <color indexed="64"/>
      </left>
      <right style="double">
        <color indexed="64"/>
      </right>
      <top/>
      <bottom style="dotted">
        <color indexed="64"/>
      </bottom>
      <diagonal/>
    </border>
    <border>
      <left/>
      <right/>
      <top/>
      <bottom style="thin">
        <color indexed="64"/>
      </bottom>
      <diagonal/>
    </border>
    <border>
      <left style="dotted">
        <color indexed="64"/>
      </left>
      <right style="double">
        <color indexed="64"/>
      </right>
      <top style="double">
        <color indexed="64"/>
      </top>
      <bottom/>
      <diagonal/>
    </border>
    <border>
      <left style="dotted">
        <color indexed="64"/>
      </left>
      <right style="double">
        <color indexed="64"/>
      </right>
      <top/>
      <bottom/>
      <diagonal/>
    </border>
    <border>
      <left style="double">
        <color indexed="64"/>
      </left>
      <right/>
      <top/>
      <bottom/>
      <diagonal/>
    </border>
    <border>
      <left style="thin">
        <color indexed="64"/>
      </left>
      <right/>
      <top/>
      <bottom/>
      <diagonal/>
    </border>
    <border>
      <left style="double">
        <color auto="1"/>
      </left>
      <right style="thin">
        <color auto="1"/>
      </right>
      <top style="thin">
        <color indexed="64"/>
      </top>
      <bottom style="double">
        <color indexed="64"/>
      </bottom>
      <diagonal/>
    </border>
    <border>
      <left style="thin">
        <color auto="1"/>
      </left>
      <right style="thin">
        <color auto="1"/>
      </right>
      <top style="thin">
        <color indexed="64"/>
      </top>
      <bottom style="double">
        <color indexed="64"/>
      </bottom>
      <diagonal/>
    </border>
    <border>
      <left style="thin">
        <color auto="1"/>
      </left>
      <right/>
      <top style="thin">
        <color indexed="64"/>
      </top>
      <bottom style="double">
        <color indexed="64"/>
      </bottom>
      <diagonal/>
    </border>
    <border>
      <left style="double">
        <color indexed="64"/>
      </left>
      <right style="double">
        <color auto="1"/>
      </right>
      <top/>
      <bottom/>
      <diagonal/>
    </border>
    <border>
      <left style="thin">
        <color auto="1"/>
      </left>
      <right style="double">
        <color indexed="64"/>
      </right>
      <top style="thin">
        <color indexed="64"/>
      </top>
      <bottom style="double">
        <color indexed="64"/>
      </bottom>
      <diagonal/>
    </border>
    <border>
      <left style="double">
        <color auto="1"/>
      </left>
      <right style="thin">
        <color auto="1"/>
      </right>
      <top style="thin">
        <color indexed="64"/>
      </top>
      <bottom/>
      <diagonal/>
    </border>
    <border>
      <left style="thin">
        <color indexed="64"/>
      </left>
      <right style="double">
        <color indexed="64"/>
      </right>
      <top style="thin">
        <color indexed="64"/>
      </top>
      <bottom/>
      <diagonal/>
    </border>
    <border>
      <left style="double">
        <color indexed="64"/>
      </left>
      <right style="thin">
        <color auto="1"/>
      </right>
      <top style="double">
        <color indexed="64"/>
      </top>
      <bottom style="double">
        <color indexed="64"/>
      </bottom>
      <diagonal/>
    </border>
    <border>
      <left style="thin">
        <color auto="1"/>
      </left>
      <right style="double">
        <color indexed="64"/>
      </right>
      <top style="double">
        <color indexed="64"/>
      </top>
      <bottom style="double">
        <color indexed="64"/>
      </bottom>
      <diagonal/>
    </border>
    <border>
      <left/>
      <right style="dotted">
        <color indexed="64"/>
      </right>
      <top/>
      <bottom/>
      <diagonal/>
    </border>
    <border>
      <left style="dotted">
        <color indexed="64"/>
      </left>
      <right style="dotted">
        <color indexed="64"/>
      </right>
      <top style="dotted">
        <color indexed="64"/>
      </top>
      <bottom style="dotted">
        <color indexed="64"/>
      </bottom>
      <diagonal/>
    </border>
    <border>
      <left style="double">
        <color indexed="64"/>
      </left>
      <right/>
      <top/>
      <bottom style="dotted">
        <color indexed="64"/>
      </bottom>
      <diagonal/>
    </border>
    <border>
      <left style="dotted">
        <color indexed="64"/>
      </left>
      <right style="dotted">
        <color indexed="64"/>
      </right>
      <top/>
      <bottom style="dotted">
        <color indexed="64"/>
      </bottom>
      <diagonal/>
    </border>
    <border>
      <left style="double">
        <color indexed="64"/>
      </left>
      <right style="dotted">
        <color indexed="64"/>
      </right>
      <top style="dotted">
        <color indexed="64"/>
      </top>
      <bottom style="dotted">
        <color indexed="64"/>
      </bottom>
      <diagonal/>
    </border>
    <border>
      <left style="double">
        <color indexed="64"/>
      </left>
      <right style="thin">
        <color auto="1"/>
      </right>
      <top/>
      <bottom style="double">
        <color indexed="64"/>
      </bottom>
      <diagonal/>
    </border>
    <border>
      <left style="thin">
        <color auto="1"/>
      </left>
      <right style="thin">
        <color auto="1"/>
      </right>
      <top/>
      <bottom style="double">
        <color indexed="64"/>
      </bottom>
      <diagonal/>
    </border>
    <border>
      <left style="thin">
        <color auto="1"/>
      </left>
      <right style="double">
        <color indexed="64"/>
      </right>
      <top/>
      <bottom style="double">
        <color indexed="64"/>
      </bottom>
      <diagonal/>
    </border>
    <border>
      <left style="dotted">
        <color indexed="64"/>
      </left>
      <right style="double">
        <color indexed="64"/>
      </right>
      <top style="double">
        <color indexed="64"/>
      </top>
      <bottom style="dotted">
        <color indexed="64"/>
      </bottom>
      <diagonal/>
    </border>
    <border>
      <left style="dotted">
        <color indexed="64"/>
      </left>
      <right style="dotted">
        <color indexed="64"/>
      </right>
      <top style="double">
        <color indexed="64"/>
      </top>
      <bottom style="dotted">
        <color indexed="64"/>
      </bottom>
      <diagonal/>
    </border>
    <border>
      <left style="double">
        <color indexed="64"/>
      </left>
      <right style="dotted">
        <color indexed="64"/>
      </right>
      <top style="double">
        <color indexed="64"/>
      </top>
      <bottom style="dotted">
        <color indexed="64"/>
      </bottom>
      <diagonal/>
    </border>
    <border>
      <left style="dotted">
        <color indexed="64"/>
      </left>
      <right style="dotted">
        <color indexed="64"/>
      </right>
      <top style="dotted">
        <color indexed="64"/>
      </top>
      <bottom style="double">
        <color indexed="64"/>
      </bottom>
      <diagonal/>
    </border>
    <border>
      <left style="dotted">
        <color indexed="64"/>
      </left>
      <right style="dotted">
        <color indexed="64"/>
      </right>
      <top/>
      <bottom style="double">
        <color indexed="64"/>
      </bottom>
      <diagonal/>
    </border>
    <border>
      <left style="medium">
        <color indexed="64"/>
      </left>
      <right style="medium">
        <color indexed="64"/>
      </right>
      <top style="medium">
        <color indexed="64"/>
      </top>
      <bottom style="medium">
        <color indexed="64"/>
      </bottom>
      <diagonal/>
    </border>
    <border>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thin">
        <color auto="1"/>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bottom style="medium">
        <color auto="1"/>
      </bottom>
      <diagonal/>
    </border>
    <border>
      <left style="hair">
        <color auto="1"/>
      </left>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indexed="64"/>
      </left>
      <right style="medium">
        <color indexed="64"/>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indexed="64"/>
      </left>
      <right style="medium">
        <color indexed="64"/>
      </right>
      <top/>
      <bottom style="hair">
        <color auto="1"/>
      </bottom>
      <diagonal/>
    </border>
    <border>
      <left style="medium">
        <color auto="1"/>
      </left>
      <right style="hair">
        <color auto="1"/>
      </right>
      <top style="hair">
        <color auto="1"/>
      </top>
      <bottom style="hair">
        <color auto="1"/>
      </bottom>
      <diagonal/>
    </border>
    <border>
      <left/>
      <right style="hair">
        <color auto="1"/>
      </right>
      <top style="hair">
        <color auto="1"/>
      </top>
      <bottom style="hair">
        <color auto="1"/>
      </bottom>
      <diagonal/>
    </border>
    <border>
      <left/>
      <right style="medium">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medium">
        <color indexed="64"/>
      </left>
      <right style="medium">
        <color indexed="64"/>
      </right>
      <top style="hair">
        <color auto="1"/>
      </top>
      <bottom/>
      <diagonal/>
    </border>
    <border>
      <left/>
      <right style="hair">
        <color auto="1"/>
      </right>
      <top/>
      <bottom style="hair">
        <color auto="1"/>
      </bottom>
      <diagonal/>
    </border>
    <border>
      <left style="thin">
        <color rgb="FF000000"/>
      </left>
      <right style="thin">
        <color rgb="FF000000"/>
      </right>
      <top style="medium">
        <color rgb="FF000000"/>
      </top>
      <bottom/>
      <diagonal/>
    </border>
    <border>
      <left style="hair">
        <color auto="1"/>
      </left>
      <right style="hair">
        <color auto="1"/>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ck">
        <color auto="1"/>
      </left>
      <right/>
      <top/>
      <bottom style="thin">
        <color auto="1"/>
      </bottom>
      <diagonal/>
    </border>
    <border>
      <left style="thick">
        <color auto="1"/>
      </left>
      <right style="thin">
        <color auto="1"/>
      </right>
      <top style="thin">
        <color auto="1"/>
      </top>
      <bottom style="thin">
        <color indexed="64"/>
      </bottom>
      <diagonal/>
    </border>
    <border>
      <left style="thick">
        <color auto="1"/>
      </left>
      <right/>
      <top style="thin">
        <color indexed="64"/>
      </top>
      <bottom style="thin">
        <color indexed="64"/>
      </bottom>
      <diagonal/>
    </border>
    <border>
      <left/>
      <right style="medium">
        <color rgb="FF000000"/>
      </right>
      <top style="medium">
        <color indexed="64"/>
      </top>
      <bottom/>
      <diagonal/>
    </border>
    <border>
      <left style="medium">
        <color indexed="64"/>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indexed="64"/>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top/>
      <bottom style="thin">
        <color theme="4" tint="0.39997558519241921"/>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top style="medium">
        <color indexed="64"/>
      </top>
      <bottom style="thin">
        <color indexed="64"/>
      </bottom>
      <diagonal/>
    </border>
    <border>
      <left style="thin">
        <color indexed="8"/>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double">
        <color indexed="64"/>
      </bottom>
      <diagonal/>
    </border>
    <border>
      <left/>
      <right style="thin">
        <color indexed="8"/>
      </right>
      <top/>
      <bottom style="double">
        <color indexed="64"/>
      </bottom>
      <diagonal/>
    </border>
    <border>
      <left style="thin">
        <color indexed="8"/>
      </left>
      <right/>
      <top/>
      <bottom style="double">
        <color indexed="64"/>
      </bottom>
      <diagonal/>
    </border>
    <border>
      <left style="thin">
        <color indexed="8"/>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auto="1"/>
      </top>
      <bottom style="thin">
        <color indexed="64"/>
      </bottom>
      <diagonal/>
    </border>
    <border>
      <left/>
      <right/>
      <top style="thin">
        <color indexed="8"/>
      </top>
      <bottom/>
      <diagonal/>
    </border>
    <border>
      <left style="thin">
        <color indexed="8"/>
      </left>
      <right style="thin">
        <color indexed="8"/>
      </right>
      <top style="thin">
        <color indexed="64"/>
      </top>
      <bottom style="thin">
        <color indexed="64"/>
      </bottom>
      <diagonal/>
    </border>
    <border>
      <left style="thin">
        <color indexed="64"/>
      </left>
      <right style="medium">
        <color indexed="64"/>
      </right>
      <top style="thin">
        <color indexed="64"/>
      </top>
      <bottom/>
      <diagonal/>
    </border>
    <border>
      <left style="thin">
        <color auto="1"/>
      </left>
      <right/>
      <top style="thin">
        <color auto="1"/>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8"/>
      </top>
      <bottom style="double">
        <color indexed="64"/>
      </bottom>
      <diagonal/>
    </border>
    <border>
      <left/>
      <right/>
      <top style="thin">
        <color indexed="8"/>
      </top>
      <bottom style="double">
        <color indexed="64"/>
      </bottom>
      <diagonal/>
    </border>
    <border>
      <left style="thin">
        <color indexed="64"/>
      </left>
      <right style="medium">
        <color indexed="64"/>
      </right>
      <top/>
      <bottom style="double">
        <color indexed="64"/>
      </bottom>
      <diagonal/>
    </border>
    <border>
      <left/>
      <right style="thin">
        <color indexed="8"/>
      </right>
      <top/>
      <bottom style="medium">
        <color indexed="64"/>
      </bottom>
      <diagonal/>
    </border>
    <border>
      <left style="thin">
        <color indexed="8"/>
      </left>
      <right/>
      <top/>
      <bottom style="medium">
        <color indexed="64"/>
      </bottom>
      <diagonal/>
    </border>
    <border>
      <left style="thin">
        <color indexed="64"/>
      </left>
      <right style="medium">
        <color indexed="64"/>
      </right>
      <top/>
      <bottom style="medium">
        <color indexed="64"/>
      </bottom>
      <diagonal/>
    </border>
    <border>
      <left style="thin">
        <color indexed="8"/>
      </left>
      <right/>
      <top style="medium">
        <color indexed="64"/>
      </top>
      <bottom/>
      <diagonal/>
    </border>
    <border>
      <left style="thin">
        <color indexed="8"/>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8"/>
      </right>
      <top style="medium">
        <color indexed="64"/>
      </top>
      <bottom style="double">
        <color indexed="64"/>
      </bottom>
      <diagonal/>
    </border>
    <border>
      <left style="thin">
        <color indexed="8"/>
      </left>
      <right/>
      <top style="medium">
        <color indexed="64"/>
      </top>
      <bottom style="double">
        <color indexed="64"/>
      </bottom>
      <diagonal/>
    </border>
    <border>
      <left style="thin">
        <color indexed="8"/>
      </left>
      <right style="thin">
        <color indexed="64"/>
      </right>
      <top style="medium">
        <color indexed="64"/>
      </top>
      <bottom style="double">
        <color indexed="64"/>
      </bottom>
      <diagonal/>
    </border>
    <border>
      <left style="thin">
        <color indexed="8"/>
      </left>
      <right/>
      <top/>
      <bottom style="double">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s>
  <cellStyleXfs count="12">
    <xf numFmtId="0" fontId="0" fillId="0" borderId="0"/>
    <xf numFmtId="0" fontId="22" fillId="0" borderId="0"/>
    <xf numFmtId="0" fontId="27" fillId="0" borderId="0"/>
    <xf numFmtId="43" fontId="35" fillId="0" borderId="0" applyFont="0" applyFill="0" applyBorder="0" applyAlignment="0" applyProtection="0"/>
    <xf numFmtId="44" fontId="35" fillId="0" borderId="0" applyFont="0" applyFill="0" applyBorder="0" applyAlignment="0" applyProtection="0"/>
    <xf numFmtId="0" fontId="66" fillId="0" borderId="0" applyNumberFormat="0" applyFill="0" applyBorder="0" applyAlignment="0" applyProtection="0"/>
    <xf numFmtId="0" fontId="29" fillId="0" borderId="0"/>
    <xf numFmtId="44" fontId="35" fillId="0" borderId="0" applyFont="0" applyFill="0" applyBorder="0" applyAlignment="0" applyProtection="0"/>
    <xf numFmtId="9" fontId="35" fillId="0" borderId="0" applyFont="0" applyFill="0" applyBorder="0" applyAlignment="0" applyProtection="0"/>
    <xf numFmtId="0" fontId="29" fillId="0" borderId="0"/>
    <xf numFmtId="44" fontId="29" fillId="0" borderId="0" applyFont="0" applyFill="0" applyBorder="0" applyAlignment="0" applyProtection="0"/>
    <xf numFmtId="0" fontId="29" fillId="0" borderId="0"/>
  </cellStyleXfs>
  <cellXfs count="1158">
    <xf numFmtId="0" fontId="0" fillId="0" borderId="0" xfId="0"/>
    <xf numFmtId="0" fontId="3" fillId="0" borderId="0" xfId="0" applyFont="1"/>
    <xf numFmtId="6" fontId="5" fillId="0" borderId="6" xfId="0" applyNumberFormat="1" applyFont="1" applyBorder="1" applyAlignment="1">
      <alignment vertical="center"/>
    </xf>
    <xf numFmtId="0" fontId="8" fillId="0" borderId="0" xfId="0" applyFont="1"/>
    <xf numFmtId="0" fontId="4" fillId="0" borderId="5" xfId="0" applyFont="1" applyBorder="1" applyAlignment="1">
      <alignment vertical="center"/>
    </xf>
    <xf numFmtId="0" fontId="1" fillId="0" borderId="0" xfId="0" applyFont="1"/>
    <xf numFmtId="0" fontId="9" fillId="0" borderId="0" xfId="0" applyFont="1"/>
    <xf numFmtId="0" fontId="10" fillId="3" borderId="8" xfId="0" applyFont="1" applyFill="1" applyBorder="1" applyAlignment="1">
      <alignment horizontal="center" vertical="center"/>
    </xf>
    <xf numFmtId="0" fontId="10" fillId="3" borderId="8" xfId="0" applyFont="1" applyFill="1" applyBorder="1" applyAlignment="1">
      <alignment horizontal="center" vertical="center" wrapText="1"/>
    </xf>
    <xf numFmtId="3" fontId="11" fillId="0" borderId="8" xfId="0" applyNumberFormat="1" applyFont="1" applyBorder="1" applyAlignment="1">
      <alignment horizontal="center" vertical="center"/>
    </xf>
    <xf numFmtId="0" fontId="9" fillId="4" borderId="8" xfId="0" applyFont="1" applyFill="1" applyBorder="1" applyAlignment="1">
      <alignment horizontal="left"/>
    </xf>
    <xf numFmtId="164" fontId="12" fillId="0" borderId="8" xfId="0" applyNumberFormat="1" applyFont="1" applyBorder="1" applyAlignment="1">
      <alignment horizontal="center" vertical="center"/>
    </xf>
    <xf numFmtId="165" fontId="0" fillId="0" borderId="0" xfId="0" applyNumberFormat="1"/>
    <xf numFmtId="0" fontId="3" fillId="0" borderId="0" xfId="0" applyFont="1" applyAlignment="1">
      <alignment vertical="center"/>
    </xf>
    <xf numFmtId="0" fontId="14" fillId="5" borderId="17"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15" fillId="0" borderId="16" xfId="0" applyFont="1" applyBorder="1" applyAlignment="1">
      <alignment vertical="center" wrapText="1"/>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6" fillId="5" borderId="16" xfId="0" applyFont="1" applyFill="1" applyBorder="1" applyAlignment="1">
      <alignment vertical="center" wrapText="1"/>
    </xf>
    <xf numFmtId="0" fontId="16" fillId="5" borderId="17" xfId="0" applyFont="1" applyFill="1" applyBorder="1" applyAlignment="1">
      <alignment horizontal="center" vertical="center"/>
    </xf>
    <xf numFmtId="0" fontId="15" fillId="5" borderId="17" xfId="0" applyFont="1" applyFill="1" applyBorder="1" applyAlignment="1">
      <alignment horizontal="center" vertical="center"/>
    </xf>
    <xf numFmtId="0" fontId="16" fillId="5" borderId="18" xfId="0" applyFont="1" applyFill="1" applyBorder="1" applyAlignment="1">
      <alignment horizontal="center" vertical="center"/>
    </xf>
    <xf numFmtId="6" fontId="15" fillId="0" borderId="17" xfId="0" applyNumberFormat="1" applyFont="1" applyBorder="1" applyAlignment="1">
      <alignment horizontal="center" vertical="center"/>
    </xf>
    <xf numFmtId="6" fontId="15" fillId="0" borderId="18" xfId="0" applyNumberFormat="1" applyFont="1" applyBorder="1" applyAlignment="1">
      <alignment horizontal="center" vertical="center"/>
    </xf>
    <xf numFmtId="0" fontId="14" fillId="5" borderId="19" xfId="0" applyFont="1" applyFill="1" applyBorder="1" applyAlignment="1">
      <alignment vertical="center" wrapText="1"/>
    </xf>
    <xf numFmtId="6" fontId="16" fillId="5" borderId="20" xfId="0" applyNumberFormat="1" applyFont="1" applyFill="1" applyBorder="1" applyAlignment="1">
      <alignment horizontal="center" vertical="center"/>
    </xf>
    <xf numFmtId="0" fontId="15" fillId="5" borderId="20" xfId="0" applyFont="1" applyFill="1" applyBorder="1" applyAlignment="1">
      <alignment horizontal="center" vertical="center"/>
    </xf>
    <xf numFmtId="6" fontId="16" fillId="5" borderId="21" xfId="0" applyNumberFormat="1" applyFont="1" applyFill="1" applyBorder="1" applyAlignment="1">
      <alignment horizontal="center" vertical="center"/>
    </xf>
    <xf numFmtId="0" fontId="17" fillId="0" borderId="0" xfId="0" applyFont="1" applyAlignment="1">
      <alignment vertical="center"/>
    </xf>
    <xf numFmtId="0" fontId="14" fillId="5" borderId="22" xfId="0" applyFont="1" applyFill="1" applyBorder="1" applyAlignment="1">
      <alignment vertical="center"/>
    </xf>
    <xf numFmtId="0" fontId="14" fillId="5" borderId="23" xfId="0" applyFont="1" applyFill="1" applyBorder="1" applyAlignment="1">
      <alignment vertical="center"/>
    </xf>
    <xf numFmtId="6" fontId="14" fillId="5" borderId="24" xfId="0" applyNumberFormat="1" applyFont="1" applyFill="1" applyBorder="1" applyAlignment="1">
      <alignment vertical="center"/>
    </xf>
    <xf numFmtId="6" fontId="14" fillId="5" borderId="25" xfId="0" applyNumberFormat="1" applyFont="1" applyFill="1" applyBorder="1" applyAlignment="1">
      <alignment vertical="center"/>
    </xf>
    <xf numFmtId="0" fontId="14" fillId="6" borderId="22" xfId="0" applyFont="1" applyFill="1" applyBorder="1" applyAlignment="1">
      <alignment vertical="center" wrapText="1"/>
    </xf>
    <xf numFmtId="0" fontId="16" fillId="0" borderId="0" xfId="0" applyFont="1"/>
    <xf numFmtId="0" fontId="7" fillId="0" borderId="0" xfId="0" applyFont="1" applyAlignment="1">
      <alignment wrapText="1"/>
    </xf>
    <xf numFmtId="0" fontId="7" fillId="0" borderId="0" xfId="0" applyFont="1"/>
    <xf numFmtId="0" fontId="15" fillId="0" borderId="17" xfId="0" applyFont="1" applyBorder="1" applyAlignment="1">
      <alignment vertical="center"/>
    </xf>
    <xf numFmtId="0" fontId="16" fillId="5" borderId="17" xfId="0" applyFont="1" applyFill="1" applyBorder="1" applyAlignment="1">
      <alignment vertical="center"/>
    </xf>
    <xf numFmtId="6" fontId="16" fillId="5" borderId="17" xfId="0" applyNumberFormat="1" applyFont="1" applyFill="1" applyBorder="1" applyAlignment="1">
      <alignment vertical="center"/>
    </xf>
    <xf numFmtId="6" fontId="16" fillId="5" borderId="18" xfId="0" applyNumberFormat="1" applyFont="1" applyFill="1" applyBorder="1" applyAlignment="1">
      <alignment vertical="center"/>
    </xf>
    <xf numFmtId="8" fontId="17" fillId="0" borderId="0" xfId="0" applyNumberFormat="1" applyFont="1"/>
    <xf numFmtId="0" fontId="17" fillId="0" borderId="0" xfId="0" applyFont="1"/>
    <xf numFmtId="0" fontId="14" fillId="5" borderId="19" xfId="0" applyFont="1" applyFill="1" applyBorder="1" applyAlignment="1">
      <alignment vertical="center"/>
    </xf>
    <xf numFmtId="0" fontId="14" fillId="5" borderId="20" xfId="0" applyFont="1" applyFill="1" applyBorder="1" applyAlignment="1">
      <alignment horizontal="center" vertical="center"/>
    </xf>
    <xf numFmtId="0" fontId="14" fillId="5" borderId="20" xfId="0" applyFont="1" applyFill="1" applyBorder="1" applyAlignment="1">
      <alignment vertical="center"/>
    </xf>
    <xf numFmtId="6" fontId="14" fillId="5" borderId="20" xfId="0" applyNumberFormat="1" applyFont="1" applyFill="1" applyBorder="1" applyAlignment="1">
      <alignment vertical="center"/>
    </xf>
    <xf numFmtId="6" fontId="14" fillId="5" borderId="21" xfId="0" applyNumberFormat="1" applyFont="1" applyFill="1" applyBorder="1" applyAlignment="1">
      <alignment vertical="center"/>
    </xf>
    <xf numFmtId="8" fontId="0" fillId="0" borderId="0" xfId="0" applyNumberFormat="1"/>
    <xf numFmtId="6" fontId="15" fillId="0" borderId="18" xfId="0" applyNumberFormat="1" applyFont="1" applyBorder="1" applyAlignment="1">
      <alignment vertical="center"/>
    </xf>
    <xf numFmtId="6" fontId="16" fillId="0" borderId="18" xfId="0" applyNumberFormat="1" applyFont="1" applyBorder="1" applyAlignment="1">
      <alignment vertical="center"/>
    </xf>
    <xf numFmtId="6" fontId="15" fillId="0" borderId="17" xfId="0" applyNumberFormat="1" applyFont="1" applyBorder="1" applyAlignment="1">
      <alignment vertical="center"/>
    </xf>
    <xf numFmtId="6" fontId="0" fillId="0" borderId="0" xfId="0" applyNumberFormat="1"/>
    <xf numFmtId="0" fontId="10" fillId="0" borderId="0" xfId="0" applyFont="1" applyAlignment="1">
      <alignment vertical="center"/>
    </xf>
    <xf numFmtId="0" fontId="10" fillId="3" borderId="9" xfId="0" applyFont="1" applyFill="1" applyBorder="1" applyAlignment="1">
      <alignment horizontal="center" vertical="center"/>
    </xf>
    <xf numFmtId="0" fontId="10" fillId="6" borderId="8" xfId="0" applyFont="1" applyFill="1" applyBorder="1" applyAlignment="1">
      <alignment horizontal="center" vertical="center"/>
    </xf>
    <xf numFmtId="3" fontId="12" fillId="6" borderId="8" xfId="0" quotePrefix="1" applyNumberFormat="1" applyFont="1" applyFill="1" applyBorder="1" applyAlignment="1">
      <alignment horizontal="center" vertical="center"/>
    </xf>
    <xf numFmtId="0" fontId="10" fillId="4" borderId="8" xfId="0" applyFont="1" applyFill="1" applyBorder="1" applyAlignment="1">
      <alignment horizontal="left" wrapText="1"/>
    </xf>
    <xf numFmtId="0" fontId="10" fillId="3" borderId="8" xfId="0" applyFont="1" applyFill="1" applyBorder="1" applyAlignment="1">
      <alignment horizontal="left" wrapText="1"/>
    </xf>
    <xf numFmtId="3" fontId="11" fillId="6" borderId="8" xfId="0" applyNumberFormat="1" applyFont="1" applyFill="1" applyBorder="1" applyAlignment="1">
      <alignment horizontal="center" vertical="center"/>
    </xf>
    <xf numFmtId="0" fontId="10" fillId="4" borderId="9" xfId="0" applyFont="1" applyFill="1" applyBorder="1" applyAlignment="1">
      <alignment horizontal="left" wrapText="1"/>
    </xf>
    <xf numFmtId="0" fontId="10" fillId="4" borderId="41" xfId="0" applyFont="1" applyFill="1" applyBorder="1" applyAlignment="1">
      <alignment horizontal="left" wrapText="1"/>
    </xf>
    <xf numFmtId="4" fontId="11" fillId="0" borderId="42" xfId="0" applyNumberFormat="1" applyFont="1" applyBorder="1" applyAlignment="1">
      <alignment horizontal="center" vertical="center"/>
    </xf>
    <xf numFmtId="0" fontId="10" fillId="3" borderId="43" xfId="0" applyFont="1" applyFill="1" applyBorder="1" applyAlignment="1">
      <alignment horizontal="left" wrapText="1"/>
    </xf>
    <xf numFmtId="0" fontId="11" fillId="6" borderId="8" xfId="0" applyFont="1" applyFill="1" applyBorder="1" applyAlignment="1">
      <alignment horizontal="center"/>
    </xf>
    <xf numFmtId="0" fontId="10" fillId="4" borderId="8" xfId="0" applyFont="1" applyFill="1" applyBorder="1" applyAlignment="1">
      <alignment horizontal="left" wrapText="1" indent="2"/>
    </xf>
    <xf numFmtId="4" fontId="12" fillId="6" borderId="8" xfId="0" applyNumberFormat="1" applyFont="1" applyFill="1" applyBorder="1" applyAlignment="1">
      <alignment horizontal="center" vertical="center"/>
    </xf>
    <xf numFmtId="4" fontId="12" fillId="0" borderId="8" xfId="0" applyNumberFormat="1" applyFont="1" applyBorder="1" applyAlignment="1">
      <alignment horizontal="center" vertical="center"/>
    </xf>
    <xf numFmtId="0" fontId="10" fillId="3" borderId="9" xfId="0" applyFont="1" applyFill="1" applyBorder="1" applyAlignment="1">
      <alignment horizontal="left" wrapText="1"/>
    </xf>
    <xf numFmtId="164" fontId="12" fillId="6" borderId="8" xfId="0" applyNumberFormat="1" applyFont="1" applyFill="1" applyBorder="1" applyAlignment="1">
      <alignment horizontal="center" vertical="center"/>
    </xf>
    <xf numFmtId="0" fontId="9" fillId="3" borderId="8" xfId="0" applyFont="1" applyFill="1" applyBorder="1" applyAlignment="1">
      <alignment horizontal="left" wrapText="1"/>
    </xf>
    <xf numFmtId="0" fontId="9" fillId="3" borderId="9" xfId="0" applyFont="1" applyFill="1" applyBorder="1" applyAlignment="1">
      <alignment horizontal="left" wrapText="1"/>
    </xf>
    <xf numFmtId="164" fontId="10" fillId="4" borderId="8" xfId="0" applyNumberFormat="1" applyFont="1" applyFill="1" applyBorder="1" applyAlignment="1">
      <alignment horizontal="center" wrapText="1"/>
    </xf>
    <xf numFmtId="165" fontId="2" fillId="0" borderId="0" xfId="0" applyNumberFormat="1" applyFont="1"/>
    <xf numFmtId="0" fontId="10" fillId="0" borderId="0" xfId="0" applyFont="1"/>
    <xf numFmtId="164" fontId="11" fillId="0" borderId="0" xfId="0" applyNumberFormat="1" applyFont="1"/>
    <xf numFmtId="0" fontId="11" fillId="0" borderId="0" xfId="0" applyFont="1"/>
    <xf numFmtId="0" fontId="19" fillId="0" borderId="0" xfId="0" applyFont="1" applyAlignment="1">
      <alignment horizontal="left" wrapText="1"/>
    </xf>
    <xf numFmtId="0" fontId="21" fillId="0" borderId="0" xfId="0" applyFont="1"/>
    <xf numFmtId="0" fontId="23" fillId="0" borderId="44" xfId="1" applyFont="1" applyBorder="1"/>
    <xf numFmtId="0" fontId="21" fillId="0" borderId="45" xfId="1" applyFont="1" applyBorder="1"/>
    <xf numFmtId="0" fontId="21" fillId="0" borderId="45" xfId="0" applyFont="1" applyBorder="1"/>
    <xf numFmtId="0" fontId="21" fillId="0" borderId="46" xfId="0" applyFont="1" applyBorder="1"/>
    <xf numFmtId="0" fontId="26" fillId="6" borderId="8" xfId="1" applyFont="1" applyFill="1" applyBorder="1" applyAlignment="1">
      <alignment horizontal="center"/>
    </xf>
    <xf numFmtId="0" fontId="21" fillId="0" borderId="7" xfId="0" applyFont="1" applyBorder="1"/>
    <xf numFmtId="0" fontId="21" fillId="0" borderId="8" xfId="1" applyFont="1" applyBorder="1"/>
    <xf numFmtId="165" fontId="28" fillId="0" borderId="8" xfId="2" applyNumberFormat="1" applyFont="1" applyBorder="1" applyAlignment="1">
      <alignment horizontal="center"/>
    </xf>
    <xf numFmtId="0" fontId="21" fillId="0" borderId="6" xfId="0" applyFont="1" applyBorder="1"/>
    <xf numFmtId="0" fontId="23" fillId="0" borderId="44" xfId="0" applyFont="1" applyBorder="1"/>
    <xf numFmtId="0" fontId="29" fillId="0" borderId="45" xfId="2" applyFont="1" applyBorder="1"/>
    <xf numFmtId="0" fontId="29" fillId="0" borderId="46" xfId="2" applyFont="1" applyBorder="1"/>
    <xf numFmtId="49" fontId="21" fillId="0" borderId="49" xfId="0" applyNumberFormat="1" applyFont="1" applyBorder="1"/>
    <xf numFmtId="0" fontId="21" fillId="0" borderId="0" xfId="0" applyFont="1" applyAlignment="1">
      <alignment horizontal="center"/>
    </xf>
    <xf numFmtId="0" fontId="21" fillId="0" borderId="7" xfId="0" applyFont="1" applyBorder="1" applyAlignment="1">
      <alignment horizontal="center"/>
    </xf>
    <xf numFmtId="2" fontId="26" fillId="0" borderId="7" xfId="0" applyNumberFormat="1" applyFont="1" applyBorder="1" applyAlignment="1">
      <alignment horizontal="center"/>
    </xf>
    <xf numFmtId="2" fontId="21" fillId="0" borderId="7" xfId="0" applyNumberFormat="1" applyFont="1" applyBorder="1"/>
    <xf numFmtId="49" fontId="21" fillId="0" borderId="50" xfId="0" applyNumberFormat="1" applyFont="1" applyBorder="1"/>
    <xf numFmtId="49" fontId="21" fillId="0" borderId="51" xfId="0" applyNumberFormat="1" applyFont="1" applyBorder="1"/>
    <xf numFmtId="49" fontId="21" fillId="0" borderId="6" xfId="0" applyNumberFormat="1" applyFont="1" applyBorder="1"/>
    <xf numFmtId="0" fontId="21" fillId="0" borderId="49" xfId="0" applyFont="1" applyBorder="1"/>
    <xf numFmtId="0" fontId="21" fillId="0" borderId="50" xfId="0" applyFont="1" applyBorder="1" applyAlignment="1">
      <alignment vertical="top"/>
    </xf>
    <xf numFmtId="0" fontId="21" fillId="0" borderId="51" xfId="0" applyFont="1" applyBorder="1"/>
    <xf numFmtId="49" fontId="21" fillId="0" borderId="0" xfId="0" applyNumberFormat="1" applyFont="1"/>
    <xf numFmtId="0" fontId="26" fillId="0" borderId="44" xfId="0" applyFont="1" applyBorder="1" applyAlignment="1">
      <alignment horizontal="right"/>
    </xf>
    <xf numFmtId="165" fontId="21" fillId="0" borderId="0" xfId="0" applyNumberFormat="1" applyFont="1"/>
    <xf numFmtId="0" fontId="21" fillId="0" borderId="49" xfId="0" applyFont="1" applyBorder="1" applyAlignment="1">
      <alignment horizontal="right"/>
    </xf>
    <xf numFmtId="0" fontId="21" fillId="0" borderId="50" xfId="0" applyFont="1" applyBorder="1"/>
    <xf numFmtId="0" fontId="21" fillId="0" borderId="51" xfId="0" applyFont="1" applyBorder="1" applyAlignment="1">
      <alignment horizontal="center"/>
    </xf>
    <xf numFmtId="2" fontId="26" fillId="0" borderId="6" xfId="0" applyNumberFormat="1" applyFont="1" applyBorder="1" applyAlignment="1">
      <alignment horizontal="center"/>
    </xf>
    <xf numFmtId="0" fontId="28" fillId="0" borderId="0" xfId="0" applyFont="1"/>
    <xf numFmtId="0" fontId="30" fillId="0" borderId="0" xfId="0" applyFont="1"/>
    <xf numFmtId="0" fontId="31" fillId="0" borderId="0" xfId="0" applyFont="1" applyAlignment="1">
      <alignment horizontal="center" vertical="center" wrapText="1"/>
    </xf>
    <xf numFmtId="0" fontId="32" fillId="0" borderId="0" xfId="0" applyFont="1" applyAlignment="1">
      <alignment horizontal="center" vertical="center"/>
    </xf>
    <xf numFmtId="3" fontId="31" fillId="0" borderId="0" xfId="0" applyNumberFormat="1" applyFont="1" applyAlignment="1">
      <alignment horizontal="center" vertical="center"/>
    </xf>
    <xf numFmtId="0" fontId="0" fillId="7" borderId="0" xfId="0" applyFill="1"/>
    <xf numFmtId="0" fontId="33" fillId="0" borderId="52" xfId="0" applyFont="1" applyBorder="1" applyAlignment="1">
      <alignment horizontal="left" vertical="center" wrapText="1"/>
    </xf>
    <xf numFmtId="0" fontId="33" fillId="0" borderId="53" xfId="0" applyFont="1" applyBorder="1" applyAlignment="1">
      <alignment horizontal="left" vertical="center" wrapText="1"/>
    </xf>
    <xf numFmtId="0" fontId="33" fillId="0" borderId="54" xfId="0" applyFont="1" applyBorder="1" applyAlignment="1">
      <alignment horizontal="left" vertical="center" wrapText="1"/>
    </xf>
    <xf numFmtId="6" fontId="14" fillId="5" borderId="23" xfId="0" applyNumberFormat="1" applyFont="1" applyFill="1" applyBorder="1" applyAlignment="1">
      <alignment vertical="center"/>
    </xf>
    <xf numFmtId="6" fontId="14" fillId="5" borderId="55" xfId="0" applyNumberFormat="1" applyFont="1" applyFill="1" applyBorder="1" applyAlignment="1">
      <alignment vertical="center"/>
    </xf>
    <xf numFmtId="0" fontId="14" fillId="5" borderId="0" xfId="0" applyFont="1" applyFill="1" applyAlignment="1">
      <alignment vertical="center"/>
    </xf>
    <xf numFmtId="0" fontId="34" fillId="0" borderId="0" xfId="0" applyFont="1"/>
    <xf numFmtId="3" fontId="11" fillId="0" borderId="8" xfId="0" applyNumberFormat="1" applyFont="1" applyBorder="1" applyAlignment="1">
      <alignment horizontal="left" vertical="center"/>
    </xf>
    <xf numFmtId="164" fontId="12" fillId="0" borderId="8" xfId="0" applyNumberFormat="1" applyFont="1" applyBorder="1" applyAlignment="1">
      <alignment horizontal="left" vertical="center"/>
    </xf>
    <xf numFmtId="0" fontId="9" fillId="4" borderId="8" xfId="0" applyFont="1" applyFill="1" applyBorder="1" applyAlignment="1">
      <alignment horizontal="center" vertical="center"/>
    </xf>
    <xf numFmtId="164" fontId="12" fillId="0" borderId="8" xfId="0" quotePrefix="1" applyNumberFormat="1" applyFont="1" applyBorder="1" applyAlignment="1">
      <alignment horizontal="center" vertical="center"/>
    </xf>
    <xf numFmtId="3" fontId="11" fillId="0" borderId="8" xfId="0" quotePrefix="1" applyNumberFormat="1" applyFont="1" applyBorder="1" applyAlignment="1">
      <alignment horizontal="center" vertical="center"/>
    </xf>
    <xf numFmtId="2" fontId="0" fillId="0" borderId="0" xfId="0" applyNumberFormat="1"/>
    <xf numFmtId="0" fontId="25" fillId="0" borderId="0" xfId="1" applyFont="1" applyAlignment="1">
      <alignment horizontal="left"/>
    </xf>
    <xf numFmtId="0" fontId="25" fillId="0" borderId="0" xfId="1" applyFont="1" applyAlignment="1">
      <alignment horizontal="left" vertical="top" wrapText="1"/>
    </xf>
    <xf numFmtId="0" fontId="24" fillId="0" borderId="0" xfId="1" applyFont="1" applyAlignment="1">
      <alignment horizontal="center"/>
    </xf>
    <xf numFmtId="44" fontId="0" fillId="0" borderId="0" xfId="4" applyFont="1"/>
    <xf numFmtId="0" fontId="37" fillId="0" borderId="0" xfId="0" applyFont="1" applyAlignment="1">
      <alignment vertical="center"/>
    </xf>
    <xf numFmtId="0" fontId="38" fillId="0" borderId="0" xfId="0" applyFont="1"/>
    <xf numFmtId="0" fontId="21" fillId="0" borderId="0" xfId="1" applyFont="1" applyAlignment="1">
      <alignment horizontal="left" vertical="top" wrapText="1"/>
    </xf>
    <xf numFmtId="0" fontId="37" fillId="0" borderId="0" xfId="1" applyFont="1" applyAlignment="1">
      <alignment horizontal="left" vertical="top"/>
    </xf>
    <xf numFmtId="0" fontId="28" fillId="0" borderId="44" xfId="0" applyFont="1" applyBorder="1"/>
    <xf numFmtId="0" fontId="28" fillId="6" borderId="8" xfId="1" applyFont="1" applyFill="1" applyBorder="1" applyAlignment="1">
      <alignment horizontal="left"/>
    </xf>
    <xf numFmtId="0" fontId="28" fillId="6" borderId="8" xfId="1" applyFont="1" applyFill="1" applyBorder="1" applyAlignment="1">
      <alignment horizontal="center"/>
    </xf>
    <xf numFmtId="49" fontId="37" fillId="0" borderId="49" xfId="0" applyNumberFormat="1" applyFont="1" applyBorder="1"/>
    <xf numFmtId="49" fontId="37" fillId="0" borderId="0" xfId="0" applyNumberFormat="1" applyFont="1"/>
    <xf numFmtId="2" fontId="37" fillId="0" borderId="7" xfId="0" applyNumberFormat="1" applyFont="1" applyBorder="1"/>
    <xf numFmtId="49" fontId="37" fillId="0" borderId="7" xfId="0" applyNumberFormat="1" applyFont="1" applyBorder="1"/>
    <xf numFmtId="49" fontId="37" fillId="0" borderId="50" xfId="0" applyNumberFormat="1" applyFont="1" applyBorder="1"/>
    <xf numFmtId="49" fontId="37" fillId="0" borderId="51" xfId="0" applyNumberFormat="1" applyFont="1" applyBorder="1"/>
    <xf numFmtId="49" fontId="37" fillId="0" borderId="6" xfId="0" applyNumberFormat="1" applyFont="1" applyBorder="1"/>
    <xf numFmtId="0" fontId="26" fillId="6" borderId="8" xfId="1" applyFont="1" applyFill="1" applyBorder="1" applyAlignment="1">
      <alignment horizontal="left" wrapText="1"/>
    </xf>
    <xf numFmtId="0" fontId="26" fillId="6" borderId="8" xfId="1" applyFont="1" applyFill="1" applyBorder="1" applyAlignment="1">
      <alignment horizontal="center" wrapText="1"/>
    </xf>
    <xf numFmtId="49" fontId="21" fillId="0" borderId="49" xfId="0" applyNumberFormat="1" applyFont="1" applyBorder="1" applyAlignment="1">
      <alignment wrapText="1"/>
    </xf>
    <xf numFmtId="0" fontId="15" fillId="0" borderId="0" xfId="0" applyFont="1" applyAlignment="1">
      <alignment vertical="center"/>
    </xf>
    <xf numFmtId="0" fontId="40" fillId="8" borderId="6" xfId="0" applyFont="1" applyFill="1" applyBorder="1" applyAlignment="1">
      <alignment horizontal="center" vertical="center" wrapText="1"/>
    </xf>
    <xf numFmtId="0" fontId="40" fillId="8" borderId="5" xfId="0" applyFont="1" applyFill="1" applyBorder="1" applyAlignment="1">
      <alignment vertical="center" wrapText="1"/>
    </xf>
    <xf numFmtId="0" fontId="41" fillId="0" borderId="6" xfId="0" applyFont="1" applyBorder="1" applyAlignment="1">
      <alignment vertical="center" wrapText="1"/>
    </xf>
    <xf numFmtId="8" fontId="41" fillId="0" borderId="6" xfId="0" applyNumberFormat="1" applyFont="1" applyBorder="1" applyAlignment="1">
      <alignment horizontal="right" vertical="center"/>
    </xf>
    <xf numFmtId="0" fontId="41" fillId="0" borderId="51" xfId="0" applyFont="1" applyBorder="1" applyAlignment="1">
      <alignment horizontal="right" vertical="center"/>
    </xf>
    <xf numFmtId="8" fontId="41" fillId="0" borderId="5" xfId="0" applyNumberFormat="1" applyFont="1" applyBorder="1" applyAlignment="1">
      <alignment horizontal="right" vertical="center"/>
    </xf>
    <xf numFmtId="0" fontId="15" fillId="0" borderId="0" xfId="0" applyFont="1" applyAlignment="1">
      <alignment horizontal="left" vertical="center" indent="2"/>
    </xf>
    <xf numFmtId="0" fontId="36" fillId="0" borderId="0" xfId="0" applyFont="1"/>
    <xf numFmtId="0" fontId="14" fillId="5" borderId="22" xfId="0" applyFont="1" applyFill="1" applyBorder="1" applyAlignment="1">
      <alignment vertical="center" wrapText="1"/>
    </xf>
    <xf numFmtId="44" fontId="15" fillId="0" borderId="17" xfId="0" applyNumberFormat="1" applyFont="1" applyBorder="1" applyAlignment="1">
      <alignment vertical="center"/>
    </xf>
    <xf numFmtId="44" fontId="15" fillId="0" borderId="18" xfId="0" applyNumberFormat="1" applyFont="1" applyBorder="1" applyAlignment="1">
      <alignment vertical="center"/>
    </xf>
    <xf numFmtId="44" fontId="16" fillId="5" borderId="17" xfId="0" applyNumberFormat="1" applyFont="1" applyFill="1" applyBorder="1" applyAlignment="1">
      <alignment vertical="center"/>
    </xf>
    <xf numFmtId="44" fontId="16" fillId="5" borderId="18" xfId="0" applyNumberFormat="1" applyFont="1" applyFill="1" applyBorder="1" applyAlignment="1">
      <alignment vertical="center"/>
    </xf>
    <xf numFmtId="0" fontId="44" fillId="0" borderId="35" xfId="0" applyFont="1" applyBorder="1"/>
    <xf numFmtId="0" fontId="45" fillId="0" borderId="0" xfId="0" applyFont="1"/>
    <xf numFmtId="0" fontId="46" fillId="0" borderId="0" xfId="0" applyFont="1"/>
    <xf numFmtId="0" fontId="4" fillId="0" borderId="0" xfId="0" applyFont="1" applyAlignment="1">
      <alignment horizontal="center"/>
    </xf>
    <xf numFmtId="0" fontId="14" fillId="5" borderId="35" xfId="0" applyFont="1" applyFill="1" applyBorder="1" applyAlignment="1">
      <alignment horizontal="center" vertical="center" wrapText="1"/>
    </xf>
    <xf numFmtId="0" fontId="14" fillId="5" borderId="36" xfId="0" applyFont="1" applyFill="1" applyBorder="1" applyAlignment="1">
      <alignment horizontal="center" vertical="center" wrapText="1"/>
    </xf>
    <xf numFmtId="167" fontId="5" fillId="0" borderId="6" xfId="0" applyNumberFormat="1" applyFont="1" applyBorder="1" applyAlignment="1">
      <alignment vertical="center"/>
    </xf>
    <xf numFmtId="167" fontId="5" fillId="0" borderId="3" xfId="0" applyNumberFormat="1" applyFont="1" applyBorder="1" applyAlignment="1">
      <alignment vertical="center"/>
    </xf>
    <xf numFmtId="167" fontId="6" fillId="0" borderId="6" xfId="0" applyNumberFormat="1" applyFont="1" applyBorder="1" applyAlignment="1">
      <alignment vertical="center"/>
    </xf>
    <xf numFmtId="167" fontId="5" fillId="0" borderId="6" xfId="4" applyNumberFormat="1" applyFont="1" applyBorder="1" applyAlignment="1">
      <alignment vertical="center"/>
    </xf>
    <xf numFmtId="0" fontId="26" fillId="0" borderId="49" xfId="0" applyFont="1" applyBorder="1" applyAlignment="1">
      <alignment horizontal="right"/>
    </xf>
    <xf numFmtId="168" fontId="21" fillId="0" borderId="0" xfId="0" applyNumberFormat="1" applyFont="1" applyAlignment="1">
      <alignment horizontal="center"/>
    </xf>
    <xf numFmtId="0" fontId="43" fillId="0" borderId="0" xfId="0" applyFont="1" applyAlignment="1">
      <alignment vertical="center"/>
    </xf>
    <xf numFmtId="44" fontId="15" fillId="0" borderId="17" xfId="0" applyNumberFormat="1" applyFont="1" applyBorder="1" applyAlignment="1">
      <alignment horizontal="center" vertical="center"/>
    </xf>
    <xf numFmtId="44" fontId="15" fillId="0" borderId="18" xfId="0" applyNumberFormat="1" applyFont="1" applyBorder="1" applyAlignment="1">
      <alignment horizontal="center" vertical="center"/>
    </xf>
    <xf numFmtId="44" fontId="15" fillId="5" borderId="17" xfId="0" applyNumberFormat="1" applyFont="1" applyFill="1" applyBorder="1" applyAlignment="1">
      <alignment horizontal="center" vertical="center"/>
    </xf>
    <xf numFmtId="44" fontId="16" fillId="5" borderId="17" xfId="0" applyNumberFormat="1" applyFont="1" applyFill="1" applyBorder="1" applyAlignment="1">
      <alignment horizontal="center" vertical="center"/>
    </xf>
    <xf numFmtId="44" fontId="16" fillId="5" borderId="18" xfId="0" applyNumberFormat="1" applyFont="1" applyFill="1" applyBorder="1" applyAlignment="1">
      <alignment horizontal="center" vertical="center"/>
    </xf>
    <xf numFmtId="44" fontId="16" fillId="5" borderId="20" xfId="0" applyNumberFormat="1" applyFont="1" applyFill="1" applyBorder="1" applyAlignment="1">
      <alignment horizontal="center" vertical="center"/>
    </xf>
    <xf numFmtId="167" fontId="15" fillId="0" borderId="18" xfId="0" applyNumberFormat="1" applyFont="1" applyBorder="1" applyAlignment="1">
      <alignment horizontal="center" vertical="center"/>
    </xf>
    <xf numFmtId="167" fontId="16" fillId="5" borderId="18" xfId="0" applyNumberFormat="1" applyFont="1" applyFill="1" applyBorder="1" applyAlignment="1">
      <alignment horizontal="center" vertical="center"/>
    </xf>
    <xf numFmtId="167" fontId="16" fillId="5" borderId="18" xfId="0" applyNumberFormat="1" applyFont="1" applyFill="1" applyBorder="1" applyAlignment="1">
      <alignment vertical="center"/>
    </xf>
    <xf numFmtId="167" fontId="16" fillId="5" borderId="20" xfId="0" applyNumberFormat="1" applyFont="1" applyFill="1" applyBorder="1" applyAlignment="1">
      <alignment horizontal="center" vertical="center"/>
    </xf>
    <xf numFmtId="0" fontId="16" fillId="5" borderId="17" xfId="0" applyFont="1" applyFill="1" applyBorder="1" applyAlignment="1">
      <alignment horizontal="center"/>
    </xf>
    <xf numFmtId="0" fontId="15" fillId="0" borderId="17" xfId="0" applyFont="1" applyBorder="1" applyAlignment="1">
      <alignment horizontal="center"/>
    </xf>
    <xf numFmtId="0" fontId="0" fillId="0" borderId="0" xfId="0" applyAlignment="1">
      <alignment horizontal="center"/>
    </xf>
    <xf numFmtId="2" fontId="0" fillId="0" borderId="0" xfId="0" applyNumberFormat="1" applyAlignment="1">
      <alignment horizontal="center"/>
    </xf>
    <xf numFmtId="0" fontId="14" fillId="5" borderId="23" xfId="0" applyFont="1" applyFill="1" applyBorder="1" applyAlignment="1">
      <alignment horizontal="center" vertical="center"/>
    </xf>
    <xf numFmtId="44" fontId="15" fillId="5" borderId="20" xfId="0" applyNumberFormat="1" applyFont="1" applyFill="1" applyBorder="1" applyAlignment="1">
      <alignment horizontal="center" vertical="center"/>
    </xf>
    <xf numFmtId="168" fontId="16" fillId="5" borderId="17" xfId="0" applyNumberFormat="1" applyFont="1" applyFill="1" applyBorder="1" applyAlignment="1">
      <alignment horizontal="center" vertical="center"/>
    </xf>
    <xf numFmtId="168" fontId="15" fillId="0" borderId="17" xfId="0" applyNumberFormat="1" applyFont="1" applyBorder="1" applyAlignment="1">
      <alignment horizontal="center" vertical="center"/>
    </xf>
    <xf numFmtId="164" fontId="16" fillId="5" borderId="18" xfId="4" applyNumberFormat="1" applyFont="1" applyFill="1" applyBorder="1" applyAlignment="1">
      <alignment horizontal="center" vertical="center"/>
    </xf>
    <xf numFmtId="168" fontId="15" fillId="0" borderId="17" xfId="0" applyNumberFormat="1" applyFont="1" applyBorder="1" applyAlignment="1">
      <alignment vertical="center"/>
    </xf>
    <xf numFmtId="1" fontId="15" fillId="0" borderId="17" xfId="0" applyNumberFormat="1" applyFont="1" applyBorder="1" applyAlignment="1">
      <alignment vertical="center"/>
    </xf>
    <xf numFmtId="168" fontId="14" fillId="5" borderId="20" xfId="0" applyNumberFormat="1" applyFont="1" applyFill="1" applyBorder="1" applyAlignment="1">
      <alignment vertical="center"/>
    </xf>
    <xf numFmtId="168" fontId="14" fillId="5" borderId="23" xfId="0" applyNumberFormat="1" applyFont="1" applyFill="1" applyBorder="1" applyAlignment="1">
      <alignment vertical="center"/>
    </xf>
    <xf numFmtId="1" fontId="16" fillId="5" borderId="17" xfId="0" applyNumberFormat="1" applyFont="1" applyFill="1" applyBorder="1" applyAlignment="1">
      <alignment horizontal="center" vertical="center"/>
    </xf>
    <xf numFmtId="1" fontId="15" fillId="0" borderId="17" xfId="0" applyNumberFormat="1" applyFont="1" applyBorder="1" applyAlignment="1">
      <alignment horizontal="center" vertical="center"/>
    </xf>
    <xf numFmtId="167" fontId="15" fillId="0" borderId="17" xfId="4" applyNumberFormat="1" applyFont="1" applyBorder="1" applyAlignment="1">
      <alignment horizontal="center" vertical="center"/>
    </xf>
    <xf numFmtId="167" fontId="15" fillId="0" borderId="17" xfId="0" applyNumberFormat="1" applyFont="1" applyBorder="1" applyAlignment="1">
      <alignment horizontal="center" vertical="center"/>
    </xf>
    <xf numFmtId="167" fontId="16" fillId="5" borderId="17" xfId="0" applyNumberFormat="1" applyFont="1" applyFill="1" applyBorder="1" applyAlignment="1">
      <alignment horizontal="center" vertical="center"/>
    </xf>
    <xf numFmtId="167" fontId="16" fillId="5" borderId="37" xfId="0" applyNumberFormat="1" applyFont="1" applyFill="1" applyBorder="1" applyAlignment="1">
      <alignment horizontal="center" vertical="center"/>
    </xf>
    <xf numFmtId="167" fontId="16" fillId="5" borderId="61" xfId="0" applyNumberFormat="1" applyFont="1" applyFill="1" applyBorder="1" applyAlignment="1">
      <alignment horizontal="center" vertical="center"/>
    </xf>
    <xf numFmtId="6" fontId="15" fillId="0" borderId="60" xfId="0" applyNumberFormat="1" applyFont="1" applyBorder="1" applyAlignment="1">
      <alignment vertical="center"/>
    </xf>
    <xf numFmtId="6" fontId="15" fillId="0" borderId="62" xfId="0" applyNumberFormat="1" applyFont="1" applyBorder="1" applyAlignment="1">
      <alignment vertical="center"/>
    </xf>
    <xf numFmtId="6" fontId="14" fillId="5" borderId="61" xfId="0" applyNumberFormat="1" applyFont="1" applyFill="1" applyBorder="1" applyAlignment="1">
      <alignment vertical="center"/>
    </xf>
    <xf numFmtId="4" fontId="11" fillId="0" borderId="8" xfId="0" applyNumberFormat="1" applyFont="1" applyBorder="1" applyAlignment="1">
      <alignment horizontal="center" vertical="center"/>
    </xf>
    <xf numFmtId="164" fontId="9" fillId="6" borderId="8" xfId="0" applyNumberFormat="1" applyFont="1" applyFill="1" applyBorder="1" applyAlignment="1">
      <alignment horizontal="center" vertical="center"/>
    </xf>
    <xf numFmtId="0" fontId="48" fillId="0" borderId="0" xfId="0" applyFont="1"/>
    <xf numFmtId="0" fontId="25" fillId="0" borderId="45" xfId="1" applyFont="1" applyBorder="1"/>
    <xf numFmtId="0" fontId="25" fillId="0" borderId="46" xfId="1" applyFont="1" applyBorder="1"/>
    <xf numFmtId="0" fontId="28" fillId="0" borderId="49" xfId="1" applyFont="1" applyBorder="1" applyAlignment="1">
      <alignment horizontal="center" wrapText="1"/>
    </xf>
    <xf numFmtId="0" fontId="28" fillId="0" borderId="0" xfId="1" applyFont="1" applyAlignment="1">
      <alignment horizontal="center" wrapText="1"/>
    </xf>
    <xf numFmtId="0" fontId="28" fillId="0" borderId="7" xfId="1" applyFont="1" applyBorder="1" applyAlignment="1">
      <alignment horizontal="center" wrapText="1"/>
    </xf>
    <xf numFmtId="44" fontId="38" fillId="0" borderId="49" xfId="4" applyFont="1" applyBorder="1"/>
    <xf numFmtId="166" fontId="37" fillId="0" borderId="0" xfId="3" applyNumberFormat="1" applyFont="1" applyBorder="1" applyAlignment="1">
      <alignment horizontal="center"/>
    </xf>
    <xf numFmtId="0" fontId="37" fillId="0" borderId="0" xfId="1" applyFont="1" applyAlignment="1">
      <alignment horizontal="left"/>
    </xf>
    <xf numFmtId="44" fontId="37" fillId="0" borderId="7" xfId="1" applyNumberFormat="1" applyFont="1" applyBorder="1" applyAlignment="1">
      <alignment horizontal="left"/>
    </xf>
    <xf numFmtId="44" fontId="38" fillId="0" borderId="50" xfId="4" applyFont="1" applyBorder="1"/>
    <xf numFmtId="166" fontId="37" fillId="0" borderId="51" xfId="3" applyNumberFormat="1" applyFont="1" applyBorder="1" applyAlignment="1">
      <alignment horizontal="center"/>
    </xf>
    <xf numFmtId="0" fontId="37" fillId="0" borderId="51" xfId="1" applyFont="1" applyBorder="1" applyAlignment="1">
      <alignment horizontal="left"/>
    </xf>
    <xf numFmtId="44" fontId="37" fillId="0" borderId="6" xfId="1" applyNumberFormat="1" applyFont="1" applyBorder="1" applyAlignment="1">
      <alignment horizontal="left"/>
    </xf>
    <xf numFmtId="0" fontId="30" fillId="0" borderId="0" xfId="0" applyFont="1" applyAlignment="1">
      <alignment vertical="top" wrapText="1"/>
    </xf>
    <xf numFmtId="0" fontId="50" fillId="4" borderId="8" xfId="0" applyFont="1" applyFill="1" applyBorder="1" applyAlignment="1">
      <alignment horizontal="center" vertical="center"/>
    </xf>
    <xf numFmtId="3" fontId="49" fillId="0" borderId="8" xfId="0" applyNumberFormat="1" applyFont="1" applyBorder="1" applyAlignment="1">
      <alignment horizontal="center" vertical="center"/>
    </xf>
    <xf numFmtId="164" fontId="51" fillId="0" borderId="8" xfId="0" applyNumberFormat="1" applyFont="1" applyBorder="1" applyAlignment="1">
      <alignment horizontal="center" vertical="center"/>
    </xf>
    <xf numFmtId="0" fontId="5" fillId="0" borderId="0" xfId="0" applyFont="1" applyAlignment="1">
      <alignment wrapText="1"/>
    </xf>
    <xf numFmtId="0" fontId="5" fillId="0" borderId="0" xfId="0" applyFont="1" applyAlignment="1">
      <alignment horizontal="left"/>
    </xf>
    <xf numFmtId="2" fontId="26" fillId="0" borderId="0" xfId="0" applyNumberFormat="1" applyFont="1"/>
    <xf numFmtId="6" fontId="15" fillId="0" borderId="59" xfId="0" applyNumberFormat="1" applyFont="1" applyBorder="1" applyAlignment="1">
      <alignment vertical="center"/>
    </xf>
    <xf numFmtId="6" fontId="14" fillId="5" borderId="37" xfId="0" applyNumberFormat="1" applyFont="1" applyFill="1" applyBorder="1" applyAlignment="1">
      <alignment vertical="center"/>
    </xf>
    <xf numFmtId="0" fontId="14" fillId="5" borderId="32" xfId="0" applyFont="1" applyFill="1" applyBorder="1" applyAlignment="1">
      <alignment horizontal="center" vertical="center" wrapText="1"/>
    </xf>
    <xf numFmtId="0" fontId="14" fillId="0" borderId="17" xfId="0" applyFont="1" applyBorder="1" applyAlignment="1">
      <alignment horizontal="center" vertical="center" wrapText="1"/>
    </xf>
    <xf numFmtId="168" fontId="16" fillId="5" borderId="17" xfId="0" applyNumberFormat="1" applyFont="1" applyFill="1" applyBorder="1" applyAlignment="1">
      <alignment vertical="center"/>
    </xf>
    <xf numFmtId="0" fontId="16" fillId="0" borderId="17" xfId="0" applyFont="1" applyBorder="1" applyAlignment="1">
      <alignment horizontal="center" vertical="center"/>
    </xf>
    <xf numFmtId="6" fontId="16" fillId="0" borderId="17" xfId="0" applyNumberFormat="1" applyFont="1" applyBorder="1" applyAlignment="1">
      <alignment vertical="center"/>
    </xf>
    <xf numFmtId="0" fontId="52" fillId="0" borderId="0" xfId="0" applyFont="1" applyAlignment="1">
      <alignment vertical="center"/>
    </xf>
    <xf numFmtId="0" fontId="16" fillId="11" borderId="17" xfId="0" applyFont="1" applyFill="1" applyBorder="1" applyAlignment="1">
      <alignment vertical="center"/>
    </xf>
    <xf numFmtId="168" fontId="16" fillId="11" borderId="17" xfId="0" applyNumberFormat="1" applyFont="1" applyFill="1" applyBorder="1" applyAlignment="1">
      <alignment vertical="center"/>
    </xf>
    <xf numFmtId="6" fontId="15" fillId="0" borderId="59" xfId="0" applyNumberFormat="1" applyFont="1" applyBorder="1" applyAlignment="1">
      <alignment horizontal="center" vertical="center"/>
    </xf>
    <xf numFmtId="0" fontId="16" fillId="5" borderId="59" xfId="0" applyFont="1" applyFill="1" applyBorder="1" applyAlignment="1">
      <alignment horizontal="center" vertical="center"/>
    </xf>
    <xf numFmtId="0" fontId="15" fillId="0" borderId="59" xfId="0" applyFont="1" applyBorder="1" applyAlignment="1">
      <alignment horizontal="center" vertical="center"/>
    </xf>
    <xf numFmtId="0" fontId="16" fillId="5" borderId="32" xfId="0" applyFont="1" applyFill="1" applyBorder="1" applyAlignment="1">
      <alignment horizontal="center" vertical="center"/>
    </xf>
    <xf numFmtId="6" fontId="15" fillId="0" borderId="60" xfId="0" applyNumberFormat="1" applyFont="1" applyBorder="1" applyAlignment="1">
      <alignment horizontal="center" vertical="center"/>
    </xf>
    <xf numFmtId="0" fontId="16" fillId="5" borderId="62" xfId="0" applyFont="1" applyFill="1" applyBorder="1" applyAlignment="1">
      <alignment horizontal="center" vertical="center"/>
    </xf>
    <xf numFmtId="0" fontId="15" fillId="0" borderId="62" xfId="0" applyFont="1" applyBorder="1" applyAlignment="1">
      <alignment horizontal="center" vertical="center"/>
    </xf>
    <xf numFmtId="0" fontId="52" fillId="0" borderId="0" xfId="0" applyFont="1" applyAlignment="1">
      <alignment horizontal="right" vertical="center"/>
    </xf>
    <xf numFmtId="0" fontId="19" fillId="0" borderId="0" xfId="0" applyFont="1" applyAlignment="1">
      <alignment horizontal="left"/>
    </xf>
    <xf numFmtId="0" fontId="55" fillId="6" borderId="8" xfId="0" applyFont="1" applyFill="1" applyBorder="1" applyAlignment="1">
      <alignment horizontal="center" vertical="center"/>
    </xf>
    <xf numFmtId="3" fontId="56" fillId="0" borderId="8" xfId="0" applyNumberFormat="1" applyFont="1" applyBorder="1" applyAlignment="1">
      <alignment horizontal="center" vertical="center"/>
    </xf>
    <xf numFmtId="3" fontId="56" fillId="6" borderId="8" xfId="0" applyNumberFormat="1" applyFont="1" applyFill="1" applyBorder="1" applyAlignment="1">
      <alignment horizontal="center" vertical="center"/>
    </xf>
    <xf numFmtId="4" fontId="56" fillId="0" borderId="42" xfId="0" applyNumberFormat="1" applyFont="1" applyBorder="1" applyAlignment="1">
      <alignment horizontal="center" vertical="center"/>
    </xf>
    <xf numFmtId="0" fontId="56" fillId="6" borderId="8" xfId="0" applyFont="1" applyFill="1" applyBorder="1" applyAlignment="1">
      <alignment horizontal="center"/>
    </xf>
    <xf numFmtId="4" fontId="57" fillId="0" borderId="8" xfId="0" applyNumberFormat="1" applyFont="1" applyBorder="1" applyAlignment="1">
      <alignment horizontal="center" vertical="center"/>
    </xf>
    <xf numFmtId="164" fontId="57" fillId="0" borderId="8" xfId="0" applyNumberFormat="1" applyFont="1" applyBorder="1" applyAlignment="1">
      <alignment horizontal="center" vertical="center"/>
    </xf>
    <xf numFmtId="164" fontId="56" fillId="4" borderId="8" xfId="0" applyNumberFormat="1" applyFont="1" applyFill="1" applyBorder="1" applyAlignment="1">
      <alignment horizontal="center" wrapText="1"/>
    </xf>
    <xf numFmtId="4" fontId="57" fillId="6" borderId="8" xfId="0" applyNumberFormat="1" applyFont="1" applyFill="1" applyBorder="1" applyAlignment="1">
      <alignment horizontal="center" vertical="center"/>
    </xf>
    <xf numFmtId="3" fontId="12" fillId="6" borderId="8" xfId="0" applyNumberFormat="1" applyFont="1" applyFill="1" applyBorder="1" applyAlignment="1">
      <alignment horizontal="center" vertical="center"/>
    </xf>
    <xf numFmtId="167" fontId="4" fillId="0" borderId="6" xfId="0" applyNumberFormat="1" applyFont="1" applyBorder="1" applyAlignment="1">
      <alignment vertical="center"/>
    </xf>
    <xf numFmtId="0" fontId="13" fillId="0" borderId="0" xfId="0" applyFont="1" applyAlignment="1">
      <alignment horizontal="center" vertical="center" wrapText="1"/>
    </xf>
    <xf numFmtId="0" fontId="58" fillId="0" borderId="0" xfId="0" applyFont="1" applyAlignment="1">
      <alignment horizontal="left" vertical="center"/>
    </xf>
    <xf numFmtId="0" fontId="0" fillId="0" borderId="0" xfId="0" applyAlignment="1">
      <alignment vertical="top" wrapText="1"/>
    </xf>
    <xf numFmtId="0" fontId="14" fillId="0" borderId="0" xfId="0" applyFont="1" applyAlignment="1">
      <alignment horizontal="center" vertical="center" wrapText="1"/>
    </xf>
    <xf numFmtId="6" fontId="15" fillId="0" borderId="0" xfId="0" applyNumberFormat="1" applyFont="1" applyAlignment="1">
      <alignment vertical="center"/>
    </xf>
    <xf numFmtId="6" fontId="16" fillId="0" borderId="0" xfId="0" applyNumberFormat="1" applyFont="1" applyAlignment="1">
      <alignment vertical="center"/>
    </xf>
    <xf numFmtId="0" fontId="59" fillId="0" borderId="0" xfId="0" applyFont="1" applyAlignment="1">
      <alignment vertical="center"/>
    </xf>
    <xf numFmtId="6" fontId="14" fillId="0" borderId="0" xfId="0" applyNumberFormat="1" applyFont="1" applyAlignment="1">
      <alignment vertical="center"/>
    </xf>
    <xf numFmtId="0" fontId="14" fillId="0" borderId="0" xfId="0" applyFont="1" applyAlignment="1">
      <alignment horizontal="left" vertical="center" wrapText="1"/>
    </xf>
    <xf numFmtId="0" fontId="59" fillId="0" borderId="0" xfId="0" applyFont="1" applyAlignment="1">
      <alignment horizontal="right" vertical="top"/>
    </xf>
    <xf numFmtId="0" fontId="14" fillId="0" borderId="0" xfId="0" applyFont="1" applyAlignment="1">
      <alignment vertical="center"/>
    </xf>
    <xf numFmtId="0" fontId="58" fillId="0" borderId="0" xfId="0" applyFont="1" applyAlignment="1">
      <alignment horizontal="right" vertical="center"/>
    </xf>
    <xf numFmtId="0" fontId="15" fillId="0" borderId="0" xfId="0" applyFont="1"/>
    <xf numFmtId="0" fontId="59" fillId="0" borderId="0" xfId="0" applyFont="1" applyAlignment="1">
      <alignment horizontal="right" vertical="center"/>
    </xf>
    <xf numFmtId="6" fontId="16" fillId="0" borderId="59" xfId="0" applyNumberFormat="1" applyFont="1" applyBorder="1" applyAlignment="1">
      <alignment vertical="center"/>
    </xf>
    <xf numFmtId="0" fontId="14" fillId="5" borderId="62" xfId="0" applyFont="1" applyFill="1" applyBorder="1" applyAlignment="1">
      <alignment horizontal="center" vertical="center" wrapText="1"/>
    </xf>
    <xf numFmtId="6" fontId="16" fillId="5" borderId="62" xfId="0" applyNumberFormat="1" applyFont="1" applyFill="1" applyBorder="1" applyAlignment="1">
      <alignment vertical="center"/>
    </xf>
    <xf numFmtId="0" fontId="14" fillId="5" borderId="24" xfId="0" applyFont="1" applyFill="1" applyBorder="1" applyAlignment="1">
      <alignment vertical="center"/>
    </xf>
    <xf numFmtId="0" fontId="0" fillId="0" borderId="66" xfId="0" applyBorder="1"/>
    <xf numFmtId="0" fontId="59" fillId="0" borderId="16" xfId="0" applyFont="1" applyBorder="1" applyAlignment="1">
      <alignment vertical="center"/>
    </xf>
    <xf numFmtId="0" fontId="5" fillId="0" borderId="68" xfId="0" applyFont="1" applyBorder="1"/>
    <xf numFmtId="6" fontId="6" fillId="0" borderId="69" xfId="0" applyNumberFormat="1" applyFont="1" applyBorder="1"/>
    <xf numFmtId="6" fontId="6" fillId="0" borderId="70" xfId="0" applyNumberFormat="1" applyFont="1" applyBorder="1"/>
    <xf numFmtId="0" fontId="0" fillId="0" borderId="71" xfId="0" applyBorder="1"/>
    <xf numFmtId="6" fontId="7" fillId="0" borderId="68" xfId="0" applyNumberFormat="1" applyFont="1" applyBorder="1"/>
    <xf numFmtId="6" fontId="7" fillId="0" borderId="72" xfId="0" applyNumberFormat="1" applyFont="1" applyBorder="1"/>
    <xf numFmtId="0" fontId="61" fillId="0" borderId="0" xfId="0" applyFont="1"/>
    <xf numFmtId="0" fontId="53" fillId="0" borderId="0" xfId="0" applyFont="1" applyAlignment="1">
      <alignment vertical="center"/>
    </xf>
    <xf numFmtId="0" fontId="58" fillId="0" borderId="0" xfId="0" applyFont="1"/>
    <xf numFmtId="0" fontId="59" fillId="0" borderId="0" xfId="0" applyFont="1"/>
    <xf numFmtId="6" fontId="15" fillId="0" borderId="62" xfId="0" applyNumberFormat="1" applyFont="1" applyBorder="1" applyAlignment="1">
      <alignment horizontal="center" vertical="center"/>
    </xf>
    <xf numFmtId="6" fontId="16" fillId="5" borderId="61" xfId="0" applyNumberFormat="1" applyFont="1" applyFill="1" applyBorder="1" applyAlignment="1">
      <alignment horizontal="center" vertical="center"/>
    </xf>
    <xf numFmtId="0" fontId="14" fillId="5" borderId="73" xfId="0" applyFont="1" applyFill="1" applyBorder="1" applyAlignment="1">
      <alignment horizontal="center" vertical="center" wrapText="1"/>
    </xf>
    <xf numFmtId="0" fontId="14" fillId="5" borderId="74" xfId="0" applyFont="1" applyFill="1" applyBorder="1" applyAlignment="1">
      <alignment horizontal="center" vertical="center" wrapText="1"/>
    </xf>
    <xf numFmtId="6" fontId="7" fillId="0" borderId="75" xfId="0" applyNumberFormat="1" applyFont="1" applyBorder="1"/>
    <xf numFmtId="6" fontId="7" fillId="0" borderId="76" xfId="0" applyNumberFormat="1" applyFont="1" applyBorder="1"/>
    <xf numFmtId="0" fontId="5" fillId="7" borderId="68" xfId="0" applyFont="1" applyFill="1" applyBorder="1"/>
    <xf numFmtId="6" fontId="6" fillId="0" borderId="72" xfId="0" applyNumberFormat="1" applyFont="1" applyBorder="1"/>
    <xf numFmtId="0" fontId="58" fillId="0" borderId="0" xfId="0" applyFont="1" applyAlignment="1">
      <alignment vertical="center"/>
    </xf>
    <xf numFmtId="0" fontId="14" fillId="5" borderId="77" xfId="0" applyFont="1" applyFill="1" applyBorder="1" applyAlignment="1">
      <alignment horizontal="center" vertical="center" wrapText="1"/>
    </xf>
    <xf numFmtId="0" fontId="14" fillId="5" borderId="30" xfId="0" applyFont="1" applyFill="1" applyBorder="1" applyAlignment="1">
      <alignment horizontal="center" vertical="center" wrapText="1"/>
    </xf>
    <xf numFmtId="44" fontId="13" fillId="0" borderId="30" xfId="0" applyNumberFormat="1" applyFont="1" applyBorder="1" applyAlignment="1">
      <alignment horizontal="center" vertical="center"/>
    </xf>
    <xf numFmtId="167" fontId="0" fillId="0" borderId="0" xfId="0" applyNumberFormat="1"/>
    <xf numFmtId="0" fontId="14" fillId="5" borderId="78" xfId="0" applyFont="1" applyFill="1" applyBorder="1" applyAlignment="1">
      <alignment horizontal="center" vertical="center" wrapText="1"/>
    </xf>
    <xf numFmtId="0" fontId="15" fillId="0" borderId="79" xfId="0" applyFont="1" applyBorder="1" applyAlignment="1">
      <alignment vertical="center" wrapText="1"/>
    </xf>
    <xf numFmtId="0" fontId="16" fillId="5" borderId="79" xfId="0" applyFont="1" applyFill="1" applyBorder="1" applyAlignment="1">
      <alignment vertical="center" wrapText="1"/>
    </xf>
    <xf numFmtId="44" fontId="13" fillId="0" borderId="78" xfId="0" applyNumberFormat="1" applyFont="1" applyBorder="1" applyAlignment="1">
      <alignment horizontal="center" vertical="center"/>
    </xf>
    <xf numFmtId="44" fontId="16" fillId="5" borderId="80" xfId="0" applyNumberFormat="1" applyFont="1" applyFill="1" applyBorder="1" applyAlignment="1">
      <alignment horizontal="center" vertical="center"/>
    </xf>
    <xf numFmtId="44" fontId="15" fillId="0" borderId="80" xfId="0" applyNumberFormat="1" applyFont="1" applyBorder="1" applyAlignment="1">
      <alignment horizontal="center" vertical="center"/>
    </xf>
    <xf numFmtId="44" fontId="15" fillId="5" borderId="80" xfId="0" applyNumberFormat="1" applyFont="1" applyFill="1" applyBorder="1" applyAlignment="1">
      <alignment horizontal="center" vertical="center"/>
    </xf>
    <xf numFmtId="167" fontId="16" fillId="5" borderId="17" xfId="0" applyNumberFormat="1" applyFont="1" applyFill="1" applyBorder="1" applyAlignment="1">
      <alignment vertical="center"/>
    </xf>
    <xf numFmtId="167" fontId="15" fillId="0" borderId="17" xfId="0" applyNumberFormat="1" applyFont="1" applyBorder="1" applyAlignment="1">
      <alignment vertical="center"/>
    </xf>
    <xf numFmtId="0" fontId="15" fillId="0" borderId="78" xfId="0" applyFont="1" applyBorder="1" applyAlignment="1">
      <alignment horizontal="center" vertical="center"/>
    </xf>
    <xf numFmtId="0" fontId="15" fillId="0" borderId="30" xfId="0" applyFont="1" applyBorder="1" applyAlignment="1">
      <alignment horizontal="center" vertical="center"/>
    </xf>
    <xf numFmtId="0" fontId="16" fillId="5" borderId="80" xfId="0" applyFont="1" applyFill="1" applyBorder="1" applyAlignment="1">
      <alignment horizontal="center" vertical="center"/>
    </xf>
    <xf numFmtId="0" fontId="15" fillId="0" borderId="80" xfId="0" applyFont="1" applyBorder="1" applyAlignment="1">
      <alignment horizontal="center" vertical="center"/>
    </xf>
    <xf numFmtId="0" fontId="16" fillId="5" borderId="80" xfId="0" applyFont="1" applyFill="1" applyBorder="1" applyAlignment="1">
      <alignment horizontal="center"/>
    </xf>
    <xf numFmtId="0" fontId="15" fillId="0" borderId="80" xfId="0" applyFont="1" applyBorder="1" applyAlignment="1">
      <alignment horizontal="center"/>
    </xf>
    <xf numFmtId="0" fontId="15" fillId="0" borderId="78" xfId="0" applyFont="1" applyBorder="1" applyAlignment="1">
      <alignment horizontal="center"/>
    </xf>
    <xf numFmtId="0" fontId="15" fillId="0" borderId="30" xfId="0" applyFont="1" applyBorder="1" applyAlignment="1">
      <alignment horizontal="center"/>
    </xf>
    <xf numFmtId="0" fontId="15" fillId="0" borderId="81" xfId="0" applyFont="1" applyBorder="1" applyAlignment="1">
      <alignment vertical="center" wrapText="1"/>
    </xf>
    <xf numFmtId="0" fontId="14" fillId="5" borderId="5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59" fillId="0" borderId="28" xfId="0" applyFont="1" applyBorder="1" applyAlignment="1">
      <alignment vertical="center"/>
    </xf>
    <xf numFmtId="0" fontId="38" fillId="0" borderId="66" xfId="0" applyFont="1" applyBorder="1"/>
    <xf numFmtId="1" fontId="15" fillId="0" borderId="78" xfId="0" applyNumberFormat="1" applyFont="1" applyBorder="1" applyAlignment="1">
      <alignment horizontal="center" vertical="center"/>
    </xf>
    <xf numFmtId="1" fontId="16" fillId="5" borderId="80" xfId="0" applyNumberFormat="1" applyFont="1" applyFill="1" applyBorder="1" applyAlignment="1">
      <alignment horizontal="center" vertical="center"/>
    </xf>
    <xf numFmtId="1" fontId="15" fillId="0" borderId="80" xfId="0" applyNumberFormat="1" applyFont="1" applyBorder="1" applyAlignment="1">
      <alignment horizontal="center" vertical="center"/>
    </xf>
    <xf numFmtId="1" fontId="15" fillId="0" borderId="30" xfId="0" applyNumberFormat="1" applyFont="1" applyBorder="1" applyAlignment="1">
      <alignment horizontal="center" vertical="center"/>
    </xf>
    <xf numFmtId="168" fontId="15" fillId="0" borderId="30" xfId="0" applyNumberFormat="1" applyFont="1" applyBorder="1" applyAlignment="1">
      <alignment horizontal="center" vertical="center"/>
    </xf>
    <xf numFmtId="0" fontId="16" fillId="5" borderId="81" xfId="0" applyFont="1" applyFill="1" applyBorder="1" applyAlignment="1">
      <alignment vertical="center" wrapText="1"/>
    </xf>
    <xf numFmtId="0" fontId="16" fillId="5" borderId="78" xfId="0" applyFont="1" applyFill="1" applyBorder="1" applyAlignment="1">
      <alignment horizontal="center" vertical="center"/>
    </xf>
    <xf numFmtId="6" fontId="6" fillId="0" borderId="83" xfId="0" applyNumberFormat="1" applyFont="1" applyBorder="1"/>
    <xf numFmtId="0" fontId="14" fillId="5" borderId="10" xfId="0" applyFont="1" applyFill="1" applyBorder="1" applyAlignment="1">
      <alignment horizontal="center" vertical="center" wrapText="1"/>
    </xf>
    <xf numFmtId="6" fontId="6" fillId="0" borderId="84" xfId="0" applyNumberFormat="1" applyFont="1" applyBorder="1"/>
    <xf numFmtId="0" fontId="39" fillId="7" borderId="0" xfId="0" applyFont="1" applyFill="1" applyAlignment="1">
      <alignment vertical="center"/>
    </xf>
    <xf numFmtId="167" fontId="14" fillId="5" borderId="25" xfId="0" applyNumberFormat="1" applyFont="1" applyFill="1" applyBorder="1" applyAlignment="1">
      <alignment vertical="center"/>
    </xf>
    <xf numFmtId="3" fontId="5" fillId="0" borderId="68" xfId="0" applyNumberFormat="1" applyFont="1" applyBorder="1"/>
    <xf numFmtId="0" fontId="16" fillId="5" borderId="30" xfId="0" applyFont="1" applyFill="1" applyBorder="1" applyAlignment="1">
      <alignment horizontal="center" vertical="center"/>
    </xf>
    <xf numFmtId="0" fontId="16" fillId="0" borderId="80" xfId="0" applyFont="1" applyBorder="1" applyAlignment="1">
      <alignment horizontal="center" vertical="center"/>
    </xf>
    <xf numFmtId="167" fontId="14" fillId="5" borderId="20" xfId="0" applyNumberFormat="1" applyFont="1" applyFill="1" applyBorder="1" applyAlignment="1">
      <alignment vertical="center"/>
    </xf>
    <xf numFmtId="167" fontId="14" fillId="5" borderId="21" xfId="0" applyNumberFormat="1" applyFont="1" applyFill="1" applyBorder="1" applyAlignment="1">
      <alignment vertical="center"/>
    </xf>
    <xf numFmtId="3" fontId="11" fillId="0" borderId="0" xfId="0" applyNumberFormat="1" applyFont="1" applyAlignment="1">
      <alignment horizontal="center" vertical="center"/>
    </xf>
    <xf numFmtId="0" fontId="66" fillId="0" borderId="0" xfId="5"/>
    <xf numFmtId="0" fontId="66" fillId="0" borderId="0" xfId="5" quotePrefix="1"/>
    <xf numFmtId="6" fontId="14" fillId="5" borderId="13" xfId="0" applyNumberFormat="1" applyFont="1" applyFill="1" applyBorder="1" applyAlignment="1">
      <alignment vertical="center"/>
    </xf>
    <xf numFmtId="6" fontId="14" fillId="5" borderId="85" xfId="0" applyNumberFormat="1" applyFont="1" applyFill="1" applyBorder="1" applyAlignment="1">
      <alignment vertical="center"/>
    </xf>
    <xf numFmtId="0" fontId="14" fillId="6" borderId="87" xfId="0" applyFont="1" applyFill="1" applyBorder="1" applyAlignment="1">
      <alignment vertical="center" wrapText="1"/>
    </xf>
    <xf numFmtId="0" fontId="62" fillId="6" borderId="87" xfId="0" applyFont="1" applyFill="1" applyBorder="1" applyAlignment="1">
      <alignment vertical="center" wrapText="1"/>
    </xf>
    <xf numFmtId="0" fontId="62" fillId="5" borderId="13" xfId="0" applyFont="1" applyFill="1" applyBorder="1" applyAlignment="1">
      <alignment vertical="center"/>
    </xf>
    <xf numFmtId="0" fontId="62" fillId="5" borderId="86" xfId="0" applyFont="1" applyFill="1" applyBorder="1" applyAlignment="1">
      <alignment vertical="center"/>
    </xf>
    <xf numFmtId="6" fontId="62" fillId="5" borderId="86" xfId="0" applyNumberFormat="1" applyFont="1" applyFill="1" applyBorder="1" applyAlignment="1">
      <alignment vertical="center"/>
    </xf>
    <xf numFmtId="6" fontId="62" fillId="5" borderId="85" xfId="0" applyNumberFormat="1" applyFont="1" applyFill="1" applyBorder="1" applyAlignment="1">
      <alignment vertical="center"/>
    </xf>
    <xf numFmtId="0" fontId="62" fillId="5" borderId="19" xfId="0" applyFont="1" applyFill="1" applyBorder="1" applyAlignment="1">
      <alignment vertical="center" wrapText="1"/>
    </xf>
    <xf numFmtId="44" fontId="59" fillId="5" borderId="20" xfId="0" applyNumberFormat="1" applyFont="1" applyFill="1" applyBorder="1" applyAlignment="1">
      <alignment horizontal="center" vertical="center"/>
    </xf>
    <xf numFmtId="167" fontId="59" fillId="5" borderId="20" xfId="0" applyNumberFormat="1" applyFont="1" applyFill="1" applyBorder="1" applyAlignment="1">
      <alignment horizontal="center" vertical="center"/>
    </xf>
    <xf numFmtId="164" fontId="62" fillId="5" borderId="20" xfId="0" applyNumberFormat="1" applyFont="1" applyFill="1" applyBorder="1" applyAlignment="1">
      <alignment horizontal="right" vertical="center"/>
    </xf>
    <xf numFmtId="164" fontId="62" fillId="5" borderId="21" xfId="0" applyNumberFormat="1" applyFont="1" applyFill="1" applyBorder="1" applyAlignment="1">
      <alignment horizontal="right" vertical="center"/>
    </xf>
    <xf numFmtId="0" fontId="14" fillId="5" borderId="14" xfId="0" applyFont="1" applyFill="1" applyBorder="1" applyAlignment="1">
      <alignment vertical="center"/>
    </xf>
    <xf numFmtId="164" fontId="62" fillId="5" borderId="88" xfId="0" applyNumberFormat="1" applyFont="1" applyFill="1" applyBorder="1" applyAlignment="1">
      <alignment horizontal="right" vertical="center"/>
    </xf>
    <xf numFmtId="164" fontId="62" fillId="5" borderId="89" xfId="0" applyNumberFormat="1" applyFont="1" applyFill="1" applyBorder="1" applyAlignment="1">
      <alignment horizontal="right" vertical="center"/>
    </xf>
    <xf numFmtId="0" fontId="0" fillId="0" borderId="0" xfId="0" applyAlignment="1">
      <alignment horizontal="right"/>
    </xf>
    <xf numFmtId="6" fontId="34" fillId="0" borderId="0" xfId="0" applyNumberFormat="1" applyFont="1"/>
    <xf numFmtId="0" fontId="5" fillId="0" borderId="0" xfId="0" applyFont="1" applyAlignment="1">
      <alignment vertical="center"/>
    </xf>
    <xf numFmtId="167" fontId="4" fillId="0" borderId="90" xfId="0" applyNumberFormat="1" applyFont="1" applyBorder="1" applyAlignment="1">
      <alignment vertical="center"/>
    </xf>
    <xf numFmtId="0" fontId="4" fillId="12" borderId="4" xfId="0" applyFont="1" applyFill="1" applyBorder="1" applyAlignment="1">
      <alignment horizontal="center" vertical="center" wrapText="1"/>
    </xf>
    <xf numFmtId="0" fontId="4" fillId="12" borderId="5" xfId="0" applyFont="1" applyFill="1" applyBorder="1" applyAlignment="1">
      <alignment horizontal="center" vertical="center" wrapText="1"/>
    </xf>
    <xf numFmtId="167" fontId="5" fillId="12" borderId="6" xfId="0" applyNumberFormat="1" applyFont="1" applyFill="1" applyBorder="1" applyAlignment="1">
      <alignment vertical="center"/>
    </xf>
    <xf numFmtId="0" fontId="5" fillId="12" borderId="6" xfId="0" applyFont="1" applyFill="1" applyBorder="1" applyAlignment="1">
      <alignment vertical="center"/>
    </xf>
    <xf numFmtId="167" fontId="6" fillId="12" borderId="6" xfId="0" applyNumberFormat="1" applyFont="1" applyFill="1" applyBorder="1" applyAlignment="1">
      <alignment vertical="center"/>
    </xf>
    <xf numFmtId="167" fontId="5" fillId="12" borderId="6" xfId="4" applyNumberFormat="1" applyFont="1" applyFill="1" applyBorder="1" applyAlignment="1">
      <alignment vertical="center"/>
    </xf>
    <xf numFmtId="167" fontId="4" fillId="12" borderId="6" xfId="0" applyNumberFormat="1" applyFont="1" applyFill="1" applyBorder="1" applyAlignment="1">
      <alignment vertical="center"/>
    </xf>
    <xf numFmtId="0" fontId="4" fillId="12" borderId="1" xfId="0" applyFont="1" applyFill="1" applyBorder="1" applyAlignment="1">
      <alignment horizontal="center" vertical="center" wrapText="1"/>
    </xf>
    <xf numFmtId="3" fontId="6" fillId="0" borderId="52" xfId="0" applyNumberFormat="1" applyFont="1" applyBorder="1" applyAlignment="1">
      <alignment horizontal="center" vertical="center" wrapText="1"/>
    </xf>
    <xf numFmtId="3" fontId="6" fillId="0" borderId="52" xfId="0" quotePrefix="1" applyNumberFormat="1" applyFont="1" applyBorder="1" applyAlignment="1">
      <alignment horizontal="center" vertical="center" wrapText="1"/>
    </xf>
    <xf numFmtId="1" fontId="70" fillId="11" borderId="1" xfId="0" applyNumberFormat="1" applyFont="1" applyFill="1" applyBorder="1" applyAlignment="1">
      <alignment vertical="center" wrapText="1"/>
    </xf>
    <xf numFmtId="1" fontId="70" fillId="0" borderId="91" xfId="0" applyNumberFormat="1" applyFont="1" applyBorder="1" applyAlignment="1">
      <alignment horizontal="center" vertical="center" wrapText="1"/>
    </xf>
    <xf numFmtId="1" fontId="70" fillId="11" borderId="92" xfId="0" applyNumberFormat="1" applyFont="1" applyFill="1" applyBorder="1" applyAlignment="1">
      <alignment horizontal="center" vertical="center" wrapText="1"/>
    </xf>
    <xf numFmtId="1" fontId="70" fillId="11" borderId="93" xfId="0" applyNumberFormat="1" applyFont="1" applyFill="1" applyBorder="1" applyAlignment="1">
      <alignment horizontal="center" vertical="center" wrapText="1"/>
    </xf>
    <xf numFmtId="1" fontId="70" fillId="11" borderId="94" xfId="0" applyNumberFormat="1" applyFont="1" applyFill="1" applyBorder="1" applyAlignment="1">
      <alignment horizontal="center" vertical="center" wrapText="1"/>
    </xf>
    <xf numFmtId="1" fontId="70" fillId="11" borderId="95" xfId="0" applyNumberFormat="1" applyFont="1" applyFill="1" applyBorder="1" applyAlignment="1">
      <alignment horizontal="center" vertical="center" wrapText="1"/>
    </xf>
    <xf numFmtId="1" fontId="70" fillId="11" borderId="90" xfId="0" applyNumberFormat="1" applyFont="1" applyFill="1" applyBorder="1" applyAlignment="1">
      <alignment vertical="center" wrapText="1"/>
    </xf>
    <xf numFmtId="1" fontId="70" fillId="11" borderId="96" xfId="0" applyNumberFormat="1" applyFont="1" applyFill="1" applyBorder="1" applyAlignment="1">
      <alignment horizontal="center" vertical="center" wrapText="1"/>
    </xf>
    <xf numFmtId="1" fontId="70" fillId="11" borderId="97" xfId="0" applyNumberFormat="1" applyFont="1" applyFill="1" applyBorder="1" applyAlignment="1">
      <alignment horizontal="center" vertical="center" wrapText="1"/>
    </xf>
    <xf numFmtId="1" fontId="70" fillId="11" borderId="98" xfId="0" applyNumberFormat="1" applyFont="1" applyFill="1" applyBorder="1" applyAlignment="1">
      <alignment horizontal="center" vertical="center" wrapText="1"/>
    </xf>
    <xf numFmtId="1" fontId="70" fillId="11" borderId="91" xfId="0" applyNumberFormat="1" applyFont="1" applyFill="1" applyBorder="1" applyAlignment="1">
      <alignment horizontal="center" vertical="center" wrapText="1"/>
    </xf>
    <xf numFmtId="1" fontId="70" fillId="0" borderId="90" xfId="0" applyNumberFormat="1" applyFont="1" applyBorder="1" applyAlignment="1">
      <alignment vertical="center" wrapText="1"/>
    </xf>
    <xf numFmtId="1" fontId="70" fillId="0" borderId="98" xfId="0" applyNumberFormat="1" applyFont="1" applyBorder="1" applyAlignment="1">
      <alignment horizontal="center" vertical="center" wrapText="1"/>
    </xf>
    <xf numFmtId="1" fontId="70" fillId="0" borderId="92" xfId="0" applyNumberFormat="1" applyFont="1" applyBorder="1" applyAlignment="1">
      <alignment horizontal="center" vertical="center" wrapText="1"/>
    </xf>
    <xf numFmtId="1" fontId="70" fillId="0" borderId="97" xfId="0" applyNumberFormat="1" applyFont="1" applyBorder="1" applyAlignment="1">
      <alignment horizontal="center" vertical="center" wrapText="1"/>
    </xf>
    <xf numFmtId="1" fontId="70" fillId="0" borderId="95" xfId="0" applyNumberFormat="1" applyFont="1" applyBorder="1" applyAlignment="1">
      <alignment horizontal="center" vertical="center" wrapText="1"/>
    </xf>
    <xf numFmtId="164" fontId="72" fillId="0" borderId="100" xfId="7" applyNumberFormat="1" applyFont="1" applyFill="1" applyBorder="1" applyAlignment="1">
      <alignment horizontal="center"/>
    </xf>
    <xf numFmtId="164" fontId="72" fillId="0" borderId="0" xfId="7" applyNumberFormat="1" applyFont="1" applyFill="1" applyBorder="1" applyAlignment="1">
      <alignment horizontal="center"/>
    </xf>
    <xf numFmtId="1" fontId="70" fillId="0" borderId="2" xfId="0" applyNumberFormat="1" applyFont="1" applyBorder="1" applyAlignment="1">
      <alignment vertical="center" wrapText="1"/>
    </xf>
    <xf numFmtId="164" fontId="72" fillId="0" borderId="90" xfId="7" applyNumberFormat="1" applyFont="1" applyBorder="1" applyAlignment="1">
      <alignment horizontal="center"/>
    </xf>
    <xf numFmtId="3" fontId="72" fillId="0" borderId="90" xfId="7" applyNumberFormat="1" applyFont="1" applyBorder="1" applyAlignment="1">
      <alignment horizontal="center"/>
    </xf>
    <xf numFmtId="0" fontId="73" fillId="0" borderId="0" xfId="0" applyFont="1"/>
    <xf numFmtId="1" fontId="73" fillId="0" borderId="0" xfId="0" applyNumberFormat="1" applyFont="1"/>
    <xf numFmtId="3" fontId="0" fillId="0" borderId="0" xfId="0" applyNumberFormat="1"/>
    <xf numFmtId="164" fontId="0" fillId="0" borderId="0" xfId="0" applyNumberFormat="1"/>
    <xf numFmtId="1" fontId="0" fillId="0" borderId="0" xfId="0" applyNumberFormat="1"/>
    <xf numFmtId="1" fontId="71" fillId="0" borderId="99" xfId="6" applyNumberFormat="1" applyFont="1" applyBorder="1" applyAlignment="1">
      <alignment wrapText="1"/>
    </xf>
    <xf numFmtId="1" fontId="71" fillId="0" borderId="102" xfId="6" applyNumberFormat="1" applyFont="1" applyBorder="1" applyAlignment="1">
      <alignment wrapText="1"/>
    </xf>
    <xf numFmtId="1" fontId="71" fillId="0" borderId="108" xfId="6" applyNumberFormat="1" applyFont="1" applyBorder="1" applyAlignment="1">
      <alignment wrapText="1"/>
    </xf>
    <xf numFmtId="0" fontId="33" fillId="0" borderId="110" xfId="0" applyFont="1" applyBorder="1" applyAlignment="1">
      <alignment horizontal="left" vertical="center" wrapText="1"/>
    </xf>
    <xf numFmtId="0" fontId="0" fillId="0" borderId="0" xfId="0" quotePrefix="1"/>
    <xf numFmtId="0" fontId="21" fillId="0" borderId="8" xfId="1" applyFont="1" applyBorder="1" applyAlignment="1">
      <alignment horizontal="left"/>
    </xf>
    <xf numFmtId="168" fontId="0" fillId="0" borderId="0" xfId="0" applyNumberFormat="1"/>
    <xf numFmtId="0" fontId="0" fillId="0" borderId="0" xfId="0" applyAlignment="1">
      <alignment horizontal="center" wrapText="1"/>
    </xf>
    <xf numFmtId="0" fontId="75" fillId="0" borderId="8" xfId="0" applyFont="1" applyBorder="1" applyAlignment="1">
      <alignment horizontal="left" vertical="center" readingOrder="1"/>
    </xf>
    <xf numFmtId="0" fontId="75" fillId="0" borderId="8" xfId="0" applyFont="1" applyBorder="1" applyAlignment="1">
      <alignment horizontal="center" vertical="center" wrapText="1" readingOrder="1"/>
    </xf>
    <xf numFmtId="0" fontId="21" fillId="0" borderId="90" xfId="0" applyFont="1" applyBorder="1" applyAlignment="1">
      <alignment horizontal="center" vertical="center" wrapText="1"/>
    </xf>
    <xf numFmtId="0" fontId="74" fillId="0" borderId="5" xfId="0" applyFont="1" applyBorder="1" applyAlignment="1">
      <alignment horizontal="center" vertical="center" wrapText="1" readingOrder="1"/>
    </xf>
    <xf numFmtId="0" fontId="74" fillId="0" borderId="90" xfId="0" applyFont="1" applyBorder="1" applyAlignment="1">
      <alignment horizontal="center" vertical="center" wrapText="1" readingOrder="1"/>
    </xf>
    <xf numFmtId="0" fontId="74" fillId="0" borderId="58" xfId="0" applyFont="1" applyBorder="1" applyAlignment="1">
      <alignment horizontal="center" vertical="center" wrapText="1" readingOrder="1"/>
    </xf>
    <xf numFmtId="0" fontId="74" fillId="0" borderId="112" xfId="0" applyFont="1" applyBorder="1" applyAlignment="1">
      <alignment horizontal="center" vertical="center" wrapText="1" readingOrder="1"/>
    </xf>
    <xf numFmtId="0" fontId="74" fillId="0" borderId="113" xfId="0" applyFont="1" applyBorder="1" applyAlignment="1">
      <alignment horizontal="center" vertical="center" wrapText="1" readingOrder="1"/>
    </xf>
    <xf numFmtId="0" fontId="74" fillId="0" borderId="114" xfId="0" applyFont="1" applyBorder="1" applyAlignment="1">
      <alignment horizontal="center" vertical="center" wrapText="1" readingOrder="1"/>
    </xf>
    <xf numFmtId="0" fontId="76" fillId="0" borderId="8" xfId="0" applyFont="1" applyBorder="1" applyAlignment="1">
      <alignment horizontal="left" vertical="center" readingOrder="1"/>
    </xf>
    <xf numFmtId="0" fontId="76" fillId="0" borderId="8" xfId="0" applyFont="1" applyBorder="1" applyAlignment="1">
      <alignment horizontal="center" vertical="center" readingOrder="1"/>
    </xf>
    <xf numFmtId="0" fontId="0" fillId="0" borderId="115" xfId="0" applyBorder="1"/>
    <xf numFmtId="167" fontId="1" fillId="0" borderId="115" xfId="4" applyNumberFormat="1" applyFont="1" applyBorder="1"/>
    <xf numFmtId="167" fontId="0" fillId="0" borderId="115" xfId="4" applyNumberFormat="1" applyFont="1" applyBorder="1"/>
    <xf numFmtId="43" fontId="0" fillId="0" borderId="115" xfId="3" quotePrefix="1" applyFont="1" applyBorder="1"/>
    <xf numFmtId="167" fontId="1" fillId="0" borderId="115" xfId="4" quotePrefix="1" applyNumberFormat="1" applyFont="1" applyBorder="1"/>
    <xf numFmtId="0" fontId="1" fillId="0" borderId="115" xfId="0" applyFont="1" applyBorder="1"/>
    <xf numFmtId="44" fontId="1" fillId="0" borderId="8" xfId="4" applyFont="1" applyFill="1" applyBorder="1"/>
    <xf numFmtId="167" fontId="0" fillId="0" borderId="116" xfId="4" applyNumberFormat="1" applyFont="1" applyFill="1" applyBorder="1"/>
    <xf numFmtId="44" fontId="0" fillId="0" borderId="115" xfId="4" quotePrefix="1" applyFont="1" applyFill="1" applyBorder="1"/>
    <xf numFmtId="43" fontId="1" fillId="0" borderId="115" xfId="0" applyNumberFormat="1" applyFont="1" applyBorder="1"/>
    <xf numFmtId="167" fontId="1" fillId="0" borderId="116" xfId="0" applyNumberFormat="1" applyFont="1" applyBorder="1"/>
    <xf numFmtId="167" fontId="0" fillId="0" borderId="115" xfId="0" applyNumberFormat="1" applyBorder="1"/>
    <xf numFmtId="44" fontId="0" fillId="0" borderId="0" xfId="0" applyNumberFormat="1"/>
    <xf numFmtId="0" fontId="0" fillId="0" borderId="8" xfId="0" applyBorder="1"/>
    <xf numFmtId="167" fontId="1" fillId="0" borderId="8" xfId="4" applyNumberFormat="1" applyFont="1" applyBorder="1"/>
    <xf numFmtId="167" fontId="0" fillId="0" borderId="10" xfId="4" applyNumberFormat="1" applyFont="1" applyFill="1" applyBorder="1"/>
    <xf numFmtId="44" fontId="0" fillId="0" borderId="8" xfId="4" quotePrefix="1" applyFont="1" applyFill="1" applyBorder="1"/>
    <xf numFmtId="43" fontId="1" fillId="0" borderId="8" xfId="0" applyNumberFormat="1" applyFont="1" applyBorder="1"/>
    <xf numFmtId="167" fontId="1" fillId="0" borderId="10" xfId="0" applyNumberFormat="1" applyFont="1" applyBorder="1"/>
    <xf numFmtId="167" fontId="0" fillId="0" borderId="8" xfId="0" applyNumberFormat="1" applyBorder="1"/>
    <xf numFmtId="0" fontId="77" fillId="0" borderId="8" xfId="0" applyFont="1" applyBorder="1" applyAlignment="1">
      <alignment horizontal="left" vertical="center" readingOrder="1"/>
    </xf>
    <xf numFmtId="3" fontId="77" fillId="0" borderId="8" xfId="0" applyNumberFormat="1" applyFont="1" applyBorder="1" applyAlignment="1">
      <alignment horizontal="center" vertical="center" readingOrder="1"/>
    </xf>
    <xf numFmtId="43" fontId="0" fillId="0" borderId="0" xfId="3" applyFont="1"/>
    <xf numFmtId="43" fontId="0" fillId="0" borderId="8" xfId="0" applyNumberFormat="1" applyBorder="1"/>
    <xf numFmtId="167" fontId="0" fillId="0" borderId="10" xfId="0" applyNumberFormat="1" applyBorder="1"/>
    <xf numFmtId="0" fontId="10" fillId="3" borderId="43" xfId="0" applyFont="1" applyFill="1" applyBorder="1" applyAlignment="1">
      <alignment horizontal="center" vertical="center"/>
    </xf>
    <xf numFmtId="0" fontId="9" fillId="6" borderId="8" xfId="0" applyFont="1" applyFill="1" applyBorder="1" applyAlignment="1">
      <alignment horizontal="center" vertical="center" wrapText="1"/>
    </xf>
    <xf numFmtId="0" fontId="9" fillId="6" borderId="118" xfId="0" applyFont="1" applyFill="1" applyBorder="1" applyAlignment="1">
      <alignment horizontal="center" vertical="center" wrapText="1"/>
    </xf>
    <xf numFmtId="0" fontId="10" fillId="4" borderId="8" xfId="0" applyFont="1" applyFill="1" applyBorder="1" applyAlignment="1">
      <alignment horizontal="left"/>
    </xf>
    <xf numFmtId="3" fontId="12" fillId="0" borderId="8" xfId="0" applyNumberFormat="1" applyFont="1" applyBorder="1" applyAlignment="1">
      <alignment horizontal="center" vertical="center"/>
    </xf>
    <xf numFmtId="3" fontId="12" fillId="0" borderId="118" xfId="0" applyNumberFormat="1" applyFont="1" applyBorder="1" applyAlignment="1">
      <alignment horizontal="center" vertical="center"/>
    </xf>
    <xf numFmtId="4" fontId="12" fillId="0" borderId="10" xfId="0" applyNumberFormat="1" applyFont="1" applyBorder="1" applyAlignment="1">
      <alignment horizontal="center" vertical="center"/>
    </xf>
    <xf numFmtId="4" fontId="12" fillId="0" borderId="118" xfId="0" applyNumberFormat="1" applyFont="1" applyBorder="1" applyAlignment="1">
      <alignment horizontal="center" vertical="center"/>
    </xf>
    <xf numFmtId="0" fontId="79" fillId="6" borderId="8" xfId="0" applyFont="1" applyFill="1" applyBorder="1"/>
    <xf numFmtId="0" fontId="79" fillId="6" borderId="118" xfId="0" applyFont="1" applyFill="1" applyBorder="1"/>
    <xf numFmtId="164" fontId="12" fillId="0" borderId="9" xfId="3" applyNumberFormat="1" applyFont="1" applyBorder="1" applyAlignment="1">
      <alignment horizontal="center" vertical="center"/>
    </xf>
    <xf numFmtId="164" fontId="12" fillId="0" borderId="119" xfId="3" applyNumberFormat="1" applyFont="1" applyBorder="1" applyAlignment="1">
      <alignment horizontal="center" vertical="center"/>
    </xf>
    <xf numFmtId="164" fontId="12" fillId="0" borderId="8" xfId="4" applyNumberFormat="1" applyFont="1" applyBorder="1" applyAlignment="1">
      <alignment horizontal="center" vertical="center"/>
    </xf>
    <xf numFmtId="164" fontId="12" fillId="0" borderId="118" xfId="0" applyNumberFormat="1" applyFont="1" applyBorder="1" applyAlignment="1">
      <alignment horizontal="center" vertical="center"/>
    </xf>
    <xf numFmtId="0" fontId="9" fillId="4" borderId="8" xfId="0" applyFont="1" applyFill="1" applyBorder="1" applyAlignment="1">
      <alignment horizontal="left" wrapText="1" indent="2"/>
    </xf>
    <xf numFmtId="164" fontId="12" fillId="0" borderId="8" xfId="3" applyNumberFormat="1" applyFont="1" applyBorder="1" applyAlignment="1">
      <alignment horizontal="center" vertical="center"/>
    </xf>
    <xf numFmtId="0" fontId="21" fillId="0" borderId="0" xfId="1" applyFont="1"/>
    <xf numFmtId="165" fontId="28" fillId="0" borderId="0" xfId="2" applyNumberFormat="1" applyFont="1" applyAlignment="1">
      <alignment horizontal="center"/>
    </xf>
    <xf numFmtId="165" fontId="28" fillId="10" borderId="8" xfId="2" applyNumberFormat="1" applyFont="1" applyFill="1" applyBorder="1" applyAlignment="1">
      <alignment horizontal="center"/>
    </xf>
    <xf numFmtId="0" fontId="81" fillId="0" borderId="0" xfId="0" applyFont="1"/>
    <xf numFmtId="0" fontId="82" fillId="0" borderId="0" xfId="0" applyFont="1" applyAlignment="1">
      <alignment vertical="center"/>
    </xf>
    <xf numFmtId="167" fontId="0" fillId="0" borderId="0" xfId="4" applyNumberFormat="1" applyFont="1"/>
    <xf numFmtId="0" fontId="0" fillId="0" borderId="0" xfId="0" applyAlignment="1">
      <alignment horizontal="left"/>
    </xf>
    <xf numFmtId="0" fontId="83" fillId="0" borderId="44" xfId="0" applyFont="1" applyBorder="1" applyAlignment="1">
      <alignment vertical="center" wrapText="1"/>
    </xf>
    <xf numFmtId="0" fontId="83" fillId="0" borderId="45" xfId="0" applyFont="1" applyBorder="1" applyAlignment="1">
      <alignment horizontal="center" vertical="center" wrapText="1"/>
    </xf>
    <xf numFmtId="0" fontId="83" fillId="0" borderId="46" xfId="0" applyFont="1" applyBorder="1" applyAlignment="1">
      <alignment horizontal="center" vertical="center" wrapText="1"/>
    </xf>
    <xf numFmtId="0" fontId="84" fillId="0" borderId="1" xfId="0" applyFont="1" applyBorder="1" applyAlignment="1">
      <alignment horizontal="center" vertical="center" wrapText="1"/>
    </xf>
    <xf numFmtId="0" fontId="83" fillId="0" borderId="49" xfId="0" applyFont="1" applyBorder="1" applyAlignment="1">
      <alignment vertical="center" wrapText="1"/>
    </xf>
    <xf numFmtId="0" fontId="83" fillId="0" borderId="0" xfId="0" applyFont="1" applyAlignment="1">
      <alignment horizontal="center" vertical="center" wrapText="1"/>
    </xf>
    <xf numFmtId="0" fontId="83" fillId="0" borderId="7" xfId="0" applyFont="1" applyBorder="1" applyAlignment="1">
      <alignment horizontal="center" vertical="center" wrapText="1"/>
    </xf>
    <xf numFmtId="0" fontId="84" fillId="0" borderId="4" xfId="0" applyFont="1" applyBorder="1" applyAlignment="1">
      <alignment horizontal="center" vertical="center" wrapText="1"/>
    </xf>
    <xf numFmtId="0" fontId="0" fillId="0" borderId="7" xfId="0" applyBorder="1" applyAlignment="1">
      <alignment wrapText="1"/>
    </xf>
    <xf numFmtId="0" fontId="83" fillId="0" borderId="50" xfId="0" applyFont="1" applyBorder="1" applyAlignment="1">
      <alignment vertical="center" wrapText="1"/>
    </xf>
    <xf numFmtId="0" fontId="83" fillId="0" borderId="51" xfId="0" applyFont="1" applyBorder="1" applyAlignment="1">
      <alignment horizontal="center" vertical="center" wrapText="1"/>
    </xf>
    <xf numFmtId="0" fontId="83" fillId="0" borderId="6" xfId="0" applyFont="1" applyBorder="1" applyAlignment="1">
      <alignment horizontal="center" vertical="center" wrapText="1"/>
    </xf>
    <xf numFmtId="0" fontId="0" fillId="0" borderId="6" xfId="0" applyBorder="1" applyAlignment="1">
      <alignment wrapText="1"/>
    </xf>
    <xf numFmtId="0" fontId="84" fillId="0" borderId="5" xfId="0" applyFont="1" applyBorder="1" applyAlignment="1">
      <alignment horizontal="center" vertical="center" wrapText="1"/>
    </xf>
    <xf numFmtId="0" fontId="83" fillId="0" borderId="2" xfId="0" applyFont="1" applyBorder="1" applyAlignment="1">
      <alignment vertical="center" wrapText="1"/>
    </xf>
    <xf numFmtId="0" fontId="83" fillId="0" borderId="58" xfId="0" applyFont="1" applyBorder="1" applyAlignment="1">
      <alignment vertical="center" wrapText="1"/>
    </xf>
    <xf numFmtId="0" fontId="83" fillId="0" borderId="57" xfId="0" applyFont="1" applyBorder="1" applyAlignment="1">
      <alignment vertical="center" wrapText="1"/>
    </xf>
    <xf numFmtId="0" fontId="86" fillId="0" borderId="6" xfId="0" applyFont="1" applyBorder="1" applyAlignment="1">
      <alignment vertical="center" wrapText="1"/>
    </xf>
    <xf numFmtId="0" fontId="86" fillId="0" borderId="51" xfId="0" applyFont="1" applyBorder="1" applyAlignment="1">
      <alignment vertical="center" wrapText="1"/>
    </xf>
    <xf numFmtId="0" fontId="86" fillId="0" borderId="50" xfId="0" applyFont="1" applyBorder="1" applyAlignment="1">
      <alignment vertical="center" wrapText="1"/>
    </xf>
    <xf numFmtId="0" fontId="86" fillId="0" borderId="5" xfId="0" applyFont="1" applyBorder="1" applyAlignment="1">
      <alignment vertical="center" wrapText="1"/>
    </xf>
    <xf numFmtId="0" fontId="42" fillId="0" borderId="6" xfId="0" applyFont="1" applyBorder="1" applyAlignment="1">
      <alignment vertical="center" wrapText="1"/>
    </xf>
    <xf numFmtId="0" fontId="42" fillId="0" borderId="0" xfId="0" applyFont="1" applyAlignment="1">
      <alignment vertical="center" wrapText="1"/>
    </xf>
    <xf numFmtId="0" fontId="0" fillId="0" borderId="0" xfId="0" applyAlignment="1">
      <alignment horizontal="left" wrapText="1"/>
    </xf>
    <xf numFmtId="44" fontId="0" fillId="0" borderId="0" xfId="4" applyFont="1" applyAlignment="1">
      <alignment wrapText="1"/>
    </xf>
    <xf numFmtId="0" fontId="83" fillId="0" borderId="51" xfId="0" applyFont="1" applyBorder="1" applyAlignment="1">
      <alignment vertical="center" wrapText="1"/>
    </xf>
    <xf numFmtId="0" fontId="42" fillId="0" borderId="50" xfId="0" applyFont="1" applyBorder="1" applyAlignment="1">
      <alignment horizontal="right" vertical="center" wrapText="1"/>
    </xf>
    <xf numFmtId="0" fontId="42" fillId="0" borderId="51" xfId="0" applyFont="1" applyBorder="1" applyAlignment="1">
      <alignment vertical="center" wrapText="1"/>
    </xf>
    <xf numFmtId="0" fontId="42" fillId="0" borderId="58" xfId="0" applyFont="1" applyBorder="1" applyAlignment="1">
      <alignment vertical="center" wrapText="1"/>
    </xf>
    <xf numFmtId="0" fontId="42" fillId="0" borderId="57" xfId="0" applyFont="1" applyBorder="1" applyAlignment="1">
      <alignment vertical="center" wrapText="1"/>
    </xf>
    <xf numFmtId="0" fontId="42" fillId="0" borderId="6" xfId="0" applyFont="1" applyBorder="1" applyAlignment="1">
      <alignment horizontal="right" vertical="center" wrapText="1"/>
    </xf>
    <xf numFmtId="4" fontId="42" fillId="0" borderId="51" xfId="0" applyNumberFormat="1" applyFont="1" applyBorder="1" applyAlignment="1">
      <alignment vertical="center" wrapText="1"/>
    </xf>
    <xf numFmtId="0" fontId="42" fillId="0" borderId="50" xfId="0" applyFont="1" applyBorder="1" applyAlignment="1">
      <alignment vertical="center" wrapText="1"/>
    </xf>
    <xf numFmtId="0" fontId="42" fillId="0" borderId="5" xfId="0" applyFont="1" applyBorder="1" applyAlignment="1">
      <alignment vertical="center" wrapText="1"/>
    </xf>
    <xf numFmtId="6" fontId="42" fillId="0" borderId="6" xfId="0" applyNumberFormat="1" applyFont="1" applyBorder="1" applyAlignment="1">
      <alignment horizontal="right" vertical="center" wrapText="1"/>
    </xf>
    <xf numFmtId="167" fontId="87" fillId="0" borderId="0" xfId="4" applyNumberFormat="1" applyFont="1"/>
    <xf numFmtId="167" fontId="1" fillId="0" borderId="0" xfId="0" applyNumberFormat="1" applyFont="1"/>
    <xf numFmtId="0" fontId="0" fillId="13" borderId="0" xfId="0" applyFill="1" applyAlignment="1">
      <alignment horizontal="left"/>
    </xf>
    <xf numFmtId="0" fontId="0" fillId="13" borderId="0" xfId="0" applyFill="1"/>
    <xf numFmtId="44" fontId="0" fillId="13" borderId="0" xfId="4" applyFont="1" applyFill="1"/>
    <xf numFmtId="0" fontId="84" fillId="0" borderId="58" xfId="0" applyFont="1" applyBorder="1" applyAlignment="1">
      <alignment vertical="center" wrapText="1"/>
    </xf>
    <xf numFmtId="0" fontId="84" fillId="0" borderId="57" xfId="0" applyFont="1" applyBorder="1" applyAlignment="1">
      <alignment vertical="center" wrapText="1"/>
    </xf>
    <xf numFmtId="0" fontId="84" fillId="0" borderId="51" xfId="0" applyFont="1" applyBorder="1" applyAlignment="1">
      <alignment vertical="center" wrapText="1"/>
    </xf>
    <xf numFmtId="0" fontId="88" fillId="0" borderId="58" xfId="0" applyFont="1" applyBorder="1" applyAlignment="1">
      <alignment vertical="center" wrapText="1"/>
    </xf>
    <xf numFmtId="0" fontId="88" fillId="0" borderId="57" xfId="0" applyFont="1" applyBorder="1" applyAlignment="1">
      <alignment vertical="center" wrapText="1"/>
    </xf>
    <xf numFmtId="0" fontId="89" fillId="0" borderId="51" xfId="0" applyFont="1" applyBorder="1" applyAlignment="1">
      <alignment vertical="center" wrapText="1"/>
    </xf>
    <xf numFmtId="0" fontId="89" fillId="0" borderId="58" xfId="0" applyFont="1" applyBorder="1" applyAlignment="1">
      <alignment vertical="center" wrapText="1"/>
    </xf>
    <xf numFmtId="0" fontId="89" fillId="0" borderId="57" xfId="0" applyFont="1" applyBorder="1" applyAlignment="1">
      <alignment vertical="center" wrapText="1"/>
    </xf>
    <xf numFmtId="0" fontId="42" fillId="0" borderId="5" xfId="0" applyFont="1" applyBorder="1" applyAlignment="1">
      <alignment horizontal="right" vertical="center" wrapText="1"/>
    </xf>
    <xf numFmtId="0" fontId="86" fillId="0" borderId="6" xfId="0" applyFont="1" applyBorder="1" applyAlignment="1">
      <alignment horizontal="right" vertical="center"/>
    </xf>
    <xf numFmtId="0" fontId="89" fillId="0" borderId="3" xfId="0" applyFont="1" applyBorder="1" applyAlignment="1">
      <alignment vertical="center" wrapText="1"/>
    </xf>
    <xf numFmtId="4" fontId="42" fillId="0" borderId="50" xfId="0" applyNumberFormat="1" applyFont="1" applyBorder="1" applyAlignment="1">
      <alignment vertical="center" wrapText="1"/>
    </xf>
    <xf numFmtId="0" fontId="42" fillId="0" borderId="51" xfId="0" applyFont="1" applyBorder="1" applyAlignment="1">
      <alignment horizontal="right" vertical="center" wrapText="1"/>
    </xf>
    <xf numFmtId="0" fontId="88" fillId="0" borderId="58" xfId="0" applyFont="1" applyBorder="1" applyAlignment="1">
      <alignment vertical="center"/>
    </xf>
    <xf numFmtId="4" fontId="42" fillId="0" borderId="5" xfId="0" applyNumberFormat="1" applyFont="1" applyBorder="1" applyAlignment="1">
      <alignment vertical="center" wrapText="1"/>
    </xf>
    <xf numFmtId="0" fontId="92" fillId="0" borderId="50" xfId="0" applyFont="1" applyBorder="1" applyAlignment="1">
      <alignment vertical="center" wrapText="1"/>
    </xf>
    <xf numFmtId="0" fontId="42" fillId="0" borderId="2" xfId="0" applyFont="1" applyBorder="1" applyAlignment="1">
      <alignment vertical="center" wrapText="1"/>
    </xf>
    <xf numFmtId="4" fontId="42" fillId="0" borderId="51" xfId="0" applyNumberFormat="1" applyFont="1" applyBorder="1" applyAlignment="1">
      <alignment horizontal="right" vertical="center" wrapText="1"/>
    </xf>
    <xf numFmtId="4" fontId="42" fillId="0" borderId="50" xfId="0" applyNumberFormat="1" applyFont="1" applyBorder="1" applyAlignment="1">
      <alignment horizontal="right" vertical="center" wrapText="1"/>
    </xf>
    <xf numFmtId="0" fontId="84" fillId="0" borderId="50" xfId="0" applyFont="1" applyBorder="1" applyAlignment="1">
      <alignment vertical="center" wrapText="1"/>
    </xf>
    <xf numFmtId="0" fontId="84" fillId="0" borderId="44" xfId="0" applyFont="1" applyBorder="1" applyAlignment="1">
      <alignment vertical="center" wrapText="1"/>
    </xf>
    <xf numFmtId="0" fontId="84" fillId="0" borderId="45" xfId="0" applyFont="1" applyBorder="1" applyAlignment="1">
      <alignment vertical="center" wrapText="1"/>
    </xf>
    <xf numFmtId="0" fontId="84" fillId="0" borderId="120" xfId="0" applyFont="1" applyBorder="1" applyAlignment="1">
      <alignment vertical="center" wrapText="1"/>
    </xf>
    <xf numFmtId="4" fontId="42" fillId="0" borderId="6" xfId="0" applyNumberFormat="1" applyFont="1" applyBorder="1" applyAlignment="1">
      <alignment vertical="center" wrapText="1"/>
    </xf>
    <xf numFmtId="0" fontId="84" fillId="0" borderId="121" xfId="0" applyFont="1" applyBorder="1" applyAlignment="1">
      <alignment vertical="center" wrapText="1"/>
    </xf>
    <xf numFmtId="0" fontId="84" fillId="0" borderId="122" xfId="0" applyFont="1" applyBorder="1" applyAlignment="1">
      <alignment vertical="center" wrapText="1"/>
    </xf>
    <xf numFmtId="0" fontId="84" fillId="0" borderId="123" xfId="0" applyFont="1" applyBorder="1" applyAlignment="1">
      <alignment vertical="center" wrapText="1"/>
    </xf>
    <xf numFmtId="0" fontId="0" fillId="14" borderId="50" xfId="0" applyFill="1" applyBorder="1" applyAlignment="1">
      <alignment wrapText="1"/>
    </xf>
    <xf numFmtId="0" fontId="86" fillId="14" borderId="50" xfId="0" applyFont="1" applyFill="1" applyBorder="1" applyAlignment="1">
      <alignment vertical="center" wrapText="1"/>
    </xf>
    <xf numFmtId="0" fontId="86" fillId="14" borderId="124" xfId="0" applyFont="1" applyFill="1" applyBorder="1" applyAlignment="1">
      <alignment vertical="center" wrapText="1"/>
    </xf>
    <xf numFmtId="0" fontId="86" fillId="14" borderId="125" xfId="0" applyFont="1" applyFill="1" applyBorder="1" applyAlignment="1">
      <alignment vertical="center" wrapText="1"/>
    </xf>
    <xf numFmtId="0" fontId="86" fillId="14" borderId="5" xfId="0" applyFont="1" applyFill="1" applyBorder="1" applyAlignment="1">
      <alignment vertical="center" wrapText="1"/>
    </xf>
    <xf numFmtId="0" fontId="84" fillId="0" borderId="2" xfId="0" applyFont="1" applyBorder="1" applyAlignment="1">
      <alignment vertical="center" wrapText="1"/>
    </xf>
    <xf numFmtId="0" fontId="88" fillId="0" borderId="45" xfId="0" applyFont="1" applyBorder="1" applyAlignment="1">
      <alignment vertical="center"/>
    </xf>
    <xf numFmtId="0" fontId="88" fillId="0" borderId="46" xfId="0" applyFont="1" applyBorder="1" applyAlignment="1">
      <alignment vertical="center"/>
    </xf>
    <xf numFmtId="0" fontId="88" fillId="0" borderId="51" xfId="0" applyFont="1" applyBorder="1" applyAlignment="1">
      <alignment vertical="center"/>
    </xf>
    <xf numFmtId="0" fontId="88" fillId="0" borderId="6" xfId="0" applyFont="1" applyBorder="1" applyAlignment="1">
      <alignment vertical="center"/>
    </xf>
    <xf numFmtId="6" fontId="42" fillId="10" borderId="6" xfId="0" applyNumberFormat="1" applyFont="1" applyFill="1" applyBorder="1" applyAlignment="1">
      <alignment horizontal="right" vertical="center" wrapText="1"/>
    </xf>
    <xf numFmtId="167" fontId="1" fillId="10" borderId="0" xfId="0" applyNumberFormat="1" applyFont="1" applyFill="1"/>
    <xf numFmtId="0" fontId="42" fillId="10" borderId="6" xfId="0" applyFont="1" applyFill="1" applyBorder="1" applyAlignment="1">
      <alignment vertical="center" wrapText="1"/>
    </xf>
    <xf numFmtId="6" fontId="42" fillId="10" borderId="6" xfId="0" applyNumberFormat="1" applyFont="1" applyFill="1" applyBorder="1" applyAlignment="1">
      <alignment vertical="center" wrapText="1"/>
    </xf>
    <xf numFmtId="0" fontId="42" fillId="0" borderId="3" xfId="0" applyFont="1" applyBorder="1" applyAlignment="1">
      <alignment vertical="center" wrapText="1"/>
    </xf>
    <xf numFmtId="4" fontId="42" fillId="0" borderId="6" xfId="0" applyNumberFormat="1" applyFont="1" applyBorder="1" applyAlignment="1">
      <alignment horizontal="right" vertical="center" wrapText="1"/>
    </xf>
    <xf numFmtId="0" fontId="42" fillId="7" borderId="58" xfId="0" applyFont="1" applyFill="1" applyBorder="1" applyAlignment="1">
      <alignment vertical="center" wrapText="1"/>
    </xf>
    <xf numFmtId="0" fontId="86" fillId="14" borderId="2" xfId="0" applyFont="1" applyFill="1" applyBorder="1" applyAlignment="1">
      <alignment vertical="center" wrapText="1"/>
    </xf>
    <xf numFmtId="0" fontId="86" fillId="14" borderId="3" xfId="0" applyFont="1" applyFill="1" applyBorder="1" applyAlignment="1">
      <alignment vertical="center" wrapText="1"/>
    </xf>
    <xf numFmtId="167" fontId="1" fillId="0" borderId="0" xfId="4" applyNumberFormat="1" applyFont="1"/>
    <xf numFmtId="0" fontId="93" fillId="0" borderId="0" xfId="0" applyFont="1"/>
    <xf numFmtId="0" fontId="29" fillId="0" borderId="0" xfId="9"/>
    <xf numFmtId="0" fontId="29" fillId="0" borderId="0" xfId="9" applyAlignment="1">
      <alignment horizontal="center" vertical="center"/>
    </xf>
    <xf numFmtId="0" fontId="0" fillId="0" borderId="0" xfId="0" applyAlignment="1">
      <alignment wrapText="1"/>
    </xf>
    <xf numFmtId="170" fontId="0" fillId="0" borderId="0" xfId="3" applyNumberFormat="1" applyFont="1"/>
    <xf numFmtId="170" fontId="0" fillId="0" borderId="0" xfId="3" applyNumberFormat="1" applyFont="1" applyAlignment="1">
      <alignment horizontal="center"/>
    </xf>
    <xf numFmtId="170" fontId="0" fillId="7" borderId="0" xfId="3" applyNumberFormat="1" applyFont="1" applyFill="1"/>
    <xf numFmtId="170" fontId="0" fillId="7" borderId="0" xfId="3" applyNumberFormat="1" applyFont="1" applyFill="1" applyAlignment="1">
      <alignment horizontal="center"/>
    </xf>
    <xf numFmtId="0" fontId="33" fillId="0" borderId="0" xfId="9" applyFont="1" applyAlignment="1">
      <alignment vertical="center" wrapText="1"/>
    </xf>
    <xf numFmtId="44" fontId="0" fillId="0" borderId="0" xfId="0" quotePrefix="1" applyNumberFormat="1"/>
    <xf numFmtId="43" fontId="0" fillId="0" borderId="0" xfId="0" applyNumberFormat="1"/>
    <xf numFmtId="170" fontId="0" fillId="0" borderId="0" xfId="0" applyNumberFormat="1"/>
    <xf numFmtId="0" fontId="0" fillId="0" borderId="0" xfId="0" applyAlignment="1">
      <alignment horizontal="center" vertical="center"/>
    </xf>
    <xf numFmtId="0" fontId="4" fillId="15" borderId="6" xfId="9" applyFont="1" applyFill="1" applyBorder="1" applyAlignment="1">
      <alignment horizontal="center" vertical="center" wrapText="1"/>
    </xf>
    <xf numFmtId="0" fontId="4" fillId="15" borderId="7" xfId="9" applyFont="1" applyFill="1" applyBorder="1" applyAlignment="1">
      <alignment horizontal="center" vertical="center" wrapText="1"/>
    </xf>
    <xf numFmtId="0" fontId="4" fillId="15" borderId="126" xfId="9" applyFont="1" applyFill="1" applyBorder="1" applyAlignment="1">
      <alignment horizontal="center" vertical="center" wrapText="1"/>
    </xf>
    <xf numFmtId="0" fontId="29" fillId="0" borderId="8" xfId="9" applyBorder="1" applyAlignment="1">
      <alignment horizontal="center" vertical="center" wrapText="1"/>
    </xf>
    <xf numFmtId="0" fontId="4" fillId="15" borderId="8" xfId="9" applyFont="1" applyFill="1" applyBorder="1" applyAlignment="1">
      <alignment horizontal="center" vertical="center" wrapText="1"/>
    </xf>
    <xf numFmtId="170" fontId="4" fillId="15" borderId="6" xfId="3" applyNumberFormat="1" applyFont="1" applyFill="1" applyBorder="1" applyAlignment="1">
      <alignment horizontal="center" vertical="center" wrapText="1"/>
    </xf>
    <xf numFmtId="0" fontId="95" fillId="15" borderId="8" xfId="9" applyFont="1" applyFill="1" applyBorder="1" applyAlignment="1">
      <alignment horizontal="center" vertical="center" wrapText="1"/>
    </xf>
    <xf numFmtId="170" fontId="95" fillId="15" borderId="8" xfId="3" applyNumberFormat="1" applyFont="1" applyFill="1" applyBorder="1" applyAlignment="1">
      <alignment horizontal="center" vertical="center" wrapText="1"/>
    </xf>
    <xf numFmtId="0" fontId="95" fillId="16" borderId="8" xfId="9" applyFont="1" applyFill="1" applyBorder="1" applyAlignment="1">
      <alignment horizontal="center" vertical="center" wrapText="1"/>
    </xf>
    <xf numFmtId="170" fontId="95" fillId="16" borderId="8" xfId="3" applyNumberFormat="1" applyFont="1" applyFill="1" applyBorder="1" applyAlignment="1">
      <alignment horizontal="center" vertical="center" wrapText="1"/>
    </xf>
    <xf numFmtId="170" fontId="95" fillId="16" borderId="9" xfId="3" applyNumberFormat="1" applyFont="1" applyFill="1" applyBorder="1" applyAlignment="1">
      <alignment horizontal="center" vertical="center" wrapText="1"/>
    </xf>
    <xf numFmtId="170" fontId="4" fillId="0" borderId="67" xfId="3" applyNumberFormat="1" applyFont="1" applyFill="1" applyBorder="1" applyAlignment="1">
      <alignment horizontal="center" vertical="center" wrapText="1"/>
    </xf>
    <xf numFmtId="0" fontId="4" fillId="0" borderId="127" xfId="9" applyFont="1" applyBorder="1" applyAlignment="1">
      <alignment horizontal="center" vertical="center" wrapText="1"/>
    </xf>
    <xf numFmtId="170" fontId="4" fillId="0" borderId="127" xfId="3" applyNumberFormat="1" applyFont="1" applyFill="1" applyBorder="1" applyAlignment="1">
      <alignment horizontal="center" vertical="center" wrapText="1"/>
    </xf>
    <xf numFmtId="170" fontId="4" fillId="0" borderId="128" xfId="3" applyNumberFormat="1" applyFont="1" applyFill="1" applyBorder="1" applyAlignment="1">
      <alignment horizontal="center" vertical="center" wrapText="1"/>
    </xf>
    <xf numFmtId="170" fontId="4" fillId="0" borderId="8" xfId="3" applyNumberFormat="1" applyFont="1" applyFill="1" applyBorder="1" applyAlignment="1">
      <alignment horizontal="center" vertical="center" wrapText="1"/>
    </xf>
    <xf numFmtId="0" fontId="29" fillId="17" borderId="0" xfId="9" applyFill="1"/>
    <xf numFmtId="0" fontId="5" fillId="17" borderId="90" xfId="9" applyFont="1" applyFill="1" applyBorder="1" applyAlignment="1">
      <alignment horizontal="center" vertical="center" wrapText="1"/>
    </xf>
    <xf numFmtId="167" fontId="5" fillId="17" borderId="90" xfId="10" applyNumberFormat="1" applyFont="1" applyFill="1" applyBorder="1" applyAlignment="1">
      <alignment vertical="center" wrapText="1"/>
    </xf>
    <xf numFmtId="0" fontId="4" fillId="18" borderId="90" xfId="9" applyFont="1" applyFill="1" applyBorder="1" applyAlignment="1">
      <alignment vertical="center" wrapText="1"/>
    </xf>
    <xf numFmtId="6" fontId="5" fillId="17" borderId="90" xfId="9" applyNumberFormat="1" applyFont="1" applyFill="1" applyBorder="1" applyAlignment="1">
      <alignment vertical="center" wrapText="1"/>
    </xf>
    <xf numFmtId="6" fontId="5" fillId="17" borderId="90" xfId="9" applyNumberFormat="1" applyFont="1" applyFill="1" applyBorder="1" applyAlignment="1">
      <alignment horizontal="right" vertical="center" wrapText="1"/>
    </xf>
    <xf numFmtId="6" fontId="5" fillId="17" borderId="112" xfId="9" applyNumberFormat="1" applyFont="1" applyFill="1" applyBorder="1" applyAlignment="1">
      <alignment horizontal="right" vertical="center" wrapText="1"/>
    </xf>
    <xf numFmtId="6" fontId="5" fillId="17" borderId="0" xfId="9" applyNumberFormat="1" applyFont="1" applyFill="1" applyAlignment="1">
      <alignment horizontal="right" vertical="center" wrapText="1"/>
    </xf>
    <xf numFmtId="0" fontId="29" fillId="17" borderId="8" xfId="9" applyFill="1" applyBorder="1" applyAlignment="1">
      <alignment horizontal="center" vertical="center"/>
    </xf>
    <xf numFmtId="0" fontId="0" fillId="17" borderId="8" xfId="0" applyFill="1" applyBorder="1" applyAlignment="1">
      <alignment wrapText="1"/>
    </xf>
    <xf numFmtId="8" fontId="0" fillId="17" borderId="8" xfId="0" applyNumberFormat="1" applyFill="1" applyBorder="1"/>
    <xf numFmtId="6" fontId="0" fillId="17" borderId="8" xfId="0" applyNumberFormat="1" applyFill="1" applyBorder="1"/>
    <xf numFmtId="43" fontId="0" fillId="17" borderId="0" xfId="3" applyFont="1" applyFill="1"/>
    <xf numFmtId="171" fontId="16" fillId="19" borderId="1" xfId="8" applyNumberFormat="1" applyFont="1" applyFill="1" applyBorder="1" applyAlignment="1">
      <alignment horizontal="center" vertical="center" wrapText="1"/>
    </xf>
    <xf numFmtId="0" fontId="0" fillId="17" borderId="0" xfId="0" applyFill="1"/>
    <xf numFmtId="170" fontId="0" fillId="17" borderId="8" xfId="0" applyNumberFormat="1" applyFill="1" applyBorder="1"/>
    <xf numFmtId="43" fontId="0" fillId="17" borderId="8" xfId="0" applyNumberFormat="1" applyFill="1" applyBorder="1"/>
    <xf numFmtId="44" fontId="0" fillId="17" borderId="8" xfId="4" applyFont="1" applyFill="1" applyBorder="1"/>
    <xf numFmtId="44" fontId="0" fillId="17" borderId="9" xfId="4" applyFont="1" applyFill="1" applyBorder="1"/>
    <xf numFmtId="167" fontId="0" fillId="0" borderId="8" xfId="4" applyNumberFormat="1" applyFont="1" applyFill="1" applyBorder="1"/>
    <xf numFmtId="0" fontId="0" fillId="0" borderId="115" xfId="0" applyBorder="1" applyAlignment="1">
      <alignment wrapText="1"/>
    </xf>
    <xf numFmtId="43" fontId="0" fillId="0" borderId="115" xfId="0" applyNumberFormat="1" applyBorder="1"/>
    <xf numFmtId="0" fontId="5" fillId="17" borderId="5" xfId="9" applyFont="1" applyFill="1" applyBorder="1" applyAlignment="1">
      <alignment horizontal="center" vertical="center" wrapText="1"/>
    </xf>
    <xf numFmtId="0" fontId="0" fillId="17" borderId="8" xfId="0" applyFill="1" applyBorder="1"/>
    <xf numFmtId="170" fontId="16" fillId="19" borderId="5" xfId="3" applyNumberFormat="1" applyFont="1" applyFill="1" applyBorder="1" applyAlignment="1">
      <alignment horizontal="center" vertical="center" wrapText="1"/>
    </xf>
    <xf numFmtId="0" fontId="0" fillId="17" borderId="9" xfId="0" applyFill="1" applyBorder="1"/>
    <xf numFmtId="0" fontId="0" fillId="0" borderId="8" xfId="0" applyBorder="1" applyAlignment="1">
      <alignment wrapText="1"/>
    </xf>
    <xf numFmtId="167" fontId="5" fillId="17" borderId="90" xfId="10" applyNumberFormat="1" applyFont="1" applyFill="1" applyBorder="1" applyAlignment="1">
      <alignment horizontal="center" vertical="center" wrapText="1"/>
    </xf>
    <xf numFmtId="6" fontId="5" fillId="17" borderId="6" xfId="9" applyNumberFormat="1" applyFont="1" applyFill="1" applyBorder="1" applyAlignment="1">
      <alignment horizontal="center" vertical="center" wrapText="1"/>
    </xf>
    <xf numFmtId="6" fontId="5" fillId="17" borderId="6" xfId="9" applyNumberFormat="1" applyFont="1" applyFill="1" applyBorder="1" applyAlignment="1">
      <alignment horizontal="right" vertical="center" wrapText="1"/>
    </xf>
    <xf numFmtId="166" fontId="0" fillId="17" borderId="8" xfId="0" applyNumberFormat="1" applyFill="1" applyBorder="1"/>
    <xf numFmtId="172" fontId="0" fillId="17" borderId="8" xfId="0" applyNumberFormat="1" applyFill="1" applyBorder="1"/>
    <xf numFmtId="0" fontId="5" fillId="17" borderId="6" xfId="9" applyFont="1" applyFill="1" applyBorder="1" applyAlignment="1">
      <alignment horizontal="center" vertical="center" wrapText="1"/>
    </xf>
    <xf numFmtId="0" fontId="5" fillId="17" borderId="6" xfId="9" applyFont="1" applyFill="1" applyBorder="1" applyAlignment="1">
      <alignment horizontal="right" vertical="center" wrapText="1"/>
    </xf>
    <xf numFmtId="0" fontId="5" fillId="0" borderId="90" xfId="9" applyFont="1" applyBorder="1" applyAlignment="1">
      <alignment horizontal="center" vertical="center" wrapText="1"/>
    </xf>
    <xf numFmtId="167" fontId="5" fillId="0" borderId="90" xfId="10" applyNumberFormat="1" applyFont="1" applyFill="1" applyBorder="1" applyAlignment="1">
      <alignment vertical="center" wrapText="1"/>
    </xf>
    <xf numFmtId="0" fontId="5" fillId="0" borderId="6" xfId="9" applyFont="1" applyBorder="1" applyAlignment="1">
      <alignment horizontal="center" vertical="center" wrapText="1"/>
    </xf>
    <xf numFmtId="6" fontId="5" fillId="0" borderId="90" xfId="9" applyNumberFormat="1" applyFont="1" applyBorder="1" applyAlignment="1">
      <alignment horizontal="right" vertical="center" wrapText="1"/>
    </xf>
    <xf numFmtId="0" fontId="5" fillId="0" borderId="6" xfId="9" applyFont="1" applyBorder="1" applyAlignment="1">
      <alignment horizontal="right" vertical="center" wrapText="1"/>
    </xf>
    <xf numFmtId="6" fontId="5" fillId="0" borderId="112" xfId="9" applyNumberFormat="1" applyFont="1" applyBorder="1" applyAlignment="1">
      <alignment horizontal="right" vertical="center" wrapText="1"/>
    </xf>
    <xf numFmtId="6" fontId="5" fillId="0" borderId="0" xfId="9" applyNumberFormat="1" applyFont="1" applyAlignment="1">
      <alignment horizontal="right" vertical="center" wrapText="1"/>
    </xf>
    <xf numFmtId="0" fontId="29" fillId="0" borderId="8" xfId="9" applyBorder="1" applyAlignment="1">
      <alignment horizontal="center" vertical="center"/>
    </xf>
    <xf numFmtId="0" fontId="35" fillId="0" borderId="8" xfId="0" applyFont="1" applyBorder="1" applyAlignment="1">
      <alignment wrapText="1"/>
    </xf>
    <xf numFmtId="8" fontId="35" fillId="0" borderId="8" xfId="0" applyNumberFormat="1" applyFont="1" applyBorder="1"/>
    <xf numFmtId="6" fontId="35" fillId="0" borderId="8" xfId="0" applyNumberFormat="1" applyFont="1" applyBorder="1"/>
    <xf numFmtId="43" fontId="35" fillId="17" borderId="0" xfId="3" applyFont="1" applyFill="1"/>
    <xf numFmtId="170" fontId="16" fillId="0" borderId="1" xfId="3" applyNumberFormat="1" applyFont="1" applyBorder="1" applyAlignment="1">
      <alignment horizontal="center" vertical="center" wrapText="1"/>
    </xf>
    <xf numFmtId="0" fontId="35" fillId="0" borderId="0" xfId="0" applyFont="1"/>
    <xf numFmtId="0" fontId="35" fillId="0" borderId="8" xfId="0" applyFont="1" applyBorder="1"/>
    <xf numFmtId="170" fontId="35" fillId="17" borderId="8" xfId="0" applyNumberFormat="1" applyFont="1" applyFill="1" applyBorder="1"/>
    <xf numFmtId="0" fontId="35" fillId="0" borderId="9" xfId="0" applyFont="1" applyBorder="1"/>
    <xf numFmtId="43" fontId="35" fillId="0" borderId="8" xfId="0" applyNumberFormat="1" applyFont="1" applyBorder="1"/>
    <xf numFmtId="167" fontId="35" fillId="0" borderId="8" xfId="4" applyNumberFormat="1" applyFont="1" applyFill="1" applyBorder="1"/>
    <xf numFmtId="6" fontId="35" fillId="0" borderId="0" xfId="0" applyNumberFormat="1" applyFont="1"/>
    <xf numFmtId="44" fontId="35" fillId="0" borderId="0" xfId="0" applyNumberFormat="1" applyFont="1"/>
    <xf numFmtId="0" fontId="5" fillId="0" borderId="5" xfId="9" applyFont="1" applyBorder="1" applyAlignment="1">
      <alignment horizontal="center" vertical="center" wrapText="1"/>
    </xf>
    <xf numFmtId="170" fontId="16" fillId="0" borderId="5" xfId="3" applyNumberFormat="1" applyFont="1" applyBorder="1" applyAlignment="1">
      <alignment horizontal="center" vertical="center" wrapText="1"/>
    </xf>
    <xf numFmtId="0" fontId="16" fillId="17" borderId="6" xfId="9" applyFont="1" applyFill="1" applyBorder="1" applyAlignment="1">
      <alignment horizontal="center" vertical="center" wrapText="1"/>
    </xf>
    <xf numFmtId="3" fontId="16" fillId="17" borderId="6" xfId="9" applyNumberFormat="1" applyFont="1" applyFill="1" applyBorder="1" applyAlignment="1">
      <alignment horizontal="center" vertical="center" wrapText="1"/>
    </xf>
    <xf numFmtId="170" fontId="16" fillId="17" borderId="6" xfId="3" applyNumberFormat="1" applyFont="1" applyFill="1" applyBorder="1" applyAlignment="1">
      <alignment horizontal="center" vertical="center" wrapText="1"/>
    </xf>
    <xf numFmtId="170" fontId="16" fillId="19" borderId="6" xfId="3" applyNumberFormat="1" applyFont="1" applyFill="1" applyBorder="1" applyAlignment="1">
      <alignment horizontal="center" vertical="center" wrapText="1"/>
    </xf>
    <xf numFmtId="171" fontId="16" fillId="19" borderId="6" xfId="8" applyNumberFormat="1" applyFont="1" applyFill="1" applyBorder="1" applyAlignment="1">
      <alignment horizontal="center" vertical="center" wrapText="1"/>
    </xf>
    <xf numFmtId="166" fontId="16" fillId="19" borderId="6" xfId="3" applyNumberFormat="1" applyFont="1" applyFill="1" applyBorder="1" applyAlignment="1">
      <alignment horizontal="center" vertical="center" wrapText="1"/>
    </xf>
    <xf numFmtId="9" fontId="16" fillId="19" borderId="6" xfId="8" applyFont="1" applyFill="1" applyBorder="1" applyAlignment="1">
      <alignment horizontal="center" vertical="center" wrapText="1"/>
    </xf>
    <xf numFmtId="0" fontId="5" fillId="0" borderId="90" xfId="9" applyFont="1" applyBorder="1" applyAlignment="1">
      <alignment vertical="center" wrapText="1"/>
    </xf>
    <xf numFmtId="0" fontId="5" fillId="17" borderId="90" xfId="9" applyFont="1" applyFill="1" applyBorder="1" applyAlignment="1">
      <alignment horizontal="left" vertical="center" wrapText="1"/>
    </xf>
    <xf numFmtId="166" fontId="0" fillId="0" borderId="8" xfId="0" applyNumberFormat="1" applyBorder="1"/>
    <xf numFmtId="44" fontId="0" fillId="0" borderId="8" xfId="0" applyNumberFormat="1" applyBorder="1"/>
    <xf numFmtId="0" fontId="16" fillId="0" borderId="6" xfId="9" applyFont="1" applyBorder="1" applyAlignment="1">
      <alignment horizontal="center" vertical="center" wrapText="1"/>
    </xf>
    <xf numFmtId="3" fontId="16" fillId="0" borderId="6" xfId="9" applyNumberFormat="1" applyFont="1" applyBorder="1" applyAlignment="1">
      <alignment horizontal="center" vertical="center" wrapText="1"/>
    </xf>
    <xf numFmtId="6" fontId="5" fillId="0" borderId="6" xfId="9" applyNumberFormat="1" applyFont="1" applyBorder="1" applyAlignment="1">
      <alignment horizontal="right" vertical="center" wrapText="1"/>
    </xf>
    <xf numFmtId="170" fontId="16" fillId="0" borderId="6" xfId="3" applyNumberFormat="1" applyFont="1" applyBorder="1" applyAlignment="1">
      <alignment horizontal="center" vertical="center" wrapText="1"/>
    </xf>
    <xf numFmtId="0" fontId="5" fillId="17" borderId="4" xfId="9" applyFont="1" applyFill="1" applyBorder="1" applyAlignment="1">
      <alignment horizontal="center" vertical="center" wrapText="1"/>
    </xf>
    <xf numFmtId="170" fontId="16" fillId="17" borderId="7" xfId="3" applyNumberFormat="1" applyFont="1" applyFill="1" applyBorder="1" applyAlignment="1">
      <alignment horizontal="center" vertical="center" wrapText="1"/>
    </xf>
    <xf numFmtId="170" fontId="16" fillId="19" borderId="7" xfId="3" applyNumberFormat="1" applyFont="1" applyFill="1" applyBorder="1" applyAlignment="1">
      <alignment horizontal="center" vertical="center" wrapText="1"/>
    </xf>
    <xf numFmtId="0" fontId="96" fillId="9" borderId="5" xfId="9" applyFont="1" applyFill="1" applyBorder="1" applyAlignment="1">
      <alignment vertical="center" wrapText="1"/>
    </xf>
    <xf numFmtId="0" fontId="96" fillId="9" borderId="6" xfId="9" applyFont="1" applyFill="1" applyBorder="1" applyAlignment="1">
      <alignment horizontal="center" vertical="center" wrapText="1"/>
    </xf>
    <xf numFmtId="0" fontId="97" fillId="9" borderId="5" xfId="9" applyFont="1" applyFill="1" applyBorder="1" applyAlignment="1">
      <alignment vertical="center" wrapText="1"/>
    </xf>
    <xf numFmtId="0" fontId="97" fillId="9" borderId="6" xfId="9" applyFont="1" applyFill="1" applyBorder="1" applyAlignment="1">
      <alignment horizontal="center" vertical="center" wrapText="1"/>
    </xf>
    <xf numFmtId="0" fontId="98" fillId="9" borderId="5" xfId="9" applyFont="1" applyFill="1" applyBorder="1" applyAlignment="1">
      <alignment vertical="center" wrapText="1"/>
    </xf>
    <xf numFmtId="0" fontId="97" fillId="9" borderId="6" xfId="9" applyFont="1" applyFill="1" applyBorder="1" applyAlignment="1">
      <alignment horizontal="right" vertical="center" wrapText="1"/>
    </xf>
    <xf numFmtId="0" fontId="96" fillId="9" borderId="0" xfId="9" applyFont="1" applyFill="1" applyAlignment="1">
      <alignment vertical="center" wrapText="1"/>
    </xf>
    <xf numFmtId="0" fontId="96" fillId="9" borderId="0" xfId="9" applyFont="1" applyFill="1" applyAlignment="1">
      <alignment horizontal="center" vertical="center" wrapText="1"/>
    </xf>
    <xf numFmtId="170" fontId="96" fillId="0" borderId="0" xfId="3" applyNumberFormat="1" applyFont="1" applyFill="1" applyBorder="1" applyAlignment="1">
      <alignment horizontal="center" vertical="center" wrapText="1"/>
    </xf>
    <xf numFmtId="0" fontId="4" fillId="0" borderId="5" xfId="9" applyFont="1" applyBorder="1" applyAlignment="1">
      <alignment vertical="center" wrapText="1"/>
    </xf>
    <xf numFmtId="167" fontId="16" fillId="0" borderId="6" xfId="10" applyNumberFormat="1" applyFont="1" applyFill="1" applyBorder="1" applyAlignment="1">
      <alignment horizontal="center" vertical="center" wrapText="1"/>
    </xf>
    <xf numFmtId="0" fontId="4" fillId="0" borderId="0" xfId="9" applyFont="1" applyAlignment="1">
      <alignment vertical="center" wrapText="1"/>
    </xf>
    <xf numFmtId="167" fontId="16" fillId="0" borderId="0" xfId="10" applyNumberFormat="1" applyFont="1" applyFill="1" applyBorder="1" applyAlignment="1">
      <alignment horizontal="center" vertical="center" wrapText="1"/>
    </xf>
    <xf numFmtId="170" fontId="16" fillId="0" borderId="0" xfId="3" applyNumberFormat="1" applyFont="1" applyBorder="1" applyAlignment="1">
      <alignment horizontal="center" vertical="center" wrapText="1"/>
    </xf>
    <xf numFmtId="167" fontId="5" fillId="0" borderId="6" xfId="10" applyNumberFormat="1" applyFont="1" applyFill="1" applyBorder="1" applyAlignment="1">
      <alignment horizontal="center" vertical="center" wrapText="1"/>
    </xf>
    <xf numFmtId="0" fontId="36" fillId="0" borderId="0" xfId="0" applyFont="1" applyAlignment="1">
      <alignment vertical="center"/>
    </xf>
    <xf numFmtId="170" fontId="5" fillId="0" borderId="0" xfId="3" applyNumberFormat="1" applyFont="1" applyBorder="1" applyAlignment="1">
      <alignment horizontal="center" vertical="center" wrapText="1"/>
    </xf>
    <xf numFmtId="3" fontId="29" fillId="0" borderId="0" xfId="9" applyNumberFormat="1"/>
    <xf numFmtId="167" fontId="5" fillId="0" borderId="2" xfId="10" applyNumberFormat="1" applyFont="1" applyFill="1" applyBorder="1" applyAlignment="1">
      <alignment vertical="center" wrapText="1"/>
    </xf>
    <xf numFmtId="0" fontId="5" fillId="0" borderId="58" xfId="9" applyFont="1" applyBorder="1" applyAlignment="1">
      <alignment vertical="center" wrapText="1"/>
    </xf>
    <xf numFmtId="167" fontId="5" fillId="0" borderId="58" xfId="10" applyNumberFormat="1" applyFont="1" applyFill="1" applyBorder="1" applyAlignment="1">
      <alignment vertical="center" wrapText="1"/>
    </xf>
    <xf numFmtId="0" fontId="5" fillId="0" borderId="3" xfId="9" applyFont="1" applyBorder="1" applyAlignment="1">
      <alignment vertical="center" wrapText="1"/>
    </xf>
    <xf numFmtId="167" fontId="5" fillId="0" borderId="0" xfId="10" applyNumberFormat="1" applyFont="1" applyFill="1" applyBorder="1" applyAlignment="1">
      <alignment vertical="center" wrapText="1"/>
    </xf>
    <xf numFmtId="0" fontId="5" fillId="0" borderId="0" xfId="9" applyFont="1" applyAlignment="1">
      <alignment vertical="center" wrapText="1"/>
    </xf>
    <xf numFmtId="0" fontId="0" fillId="0" borderId="0" xfId="0" applyAlignment="1">
      <alignment vertical="center"/>
    </xf>
    <xf numFmtId="44" fontId="29" fillId="0" borderId="0" xfId="9" applyNumberFormat="1"/>
    <xf numFmtId="167" fontId="29" fillId="0" borderId="0" xfId="9" applyNumberFormat="1"/>
    <xf numFmtId="0" fontId="101" fillId="0" borderId="0" xfId="0" applyFont="1" applyAlignment="1">
      <alignment vertical="center"/>
    </xf>
    <xf numFmtId="0" fontId="3" fillId="0" borderId="46" xfId="0" applyFont="1" applyBorder="1" applyAlignment="1">
      <alignment horizontal="center" vertical="center" wrapText="1"/>
    </xf>
    <xf numFmtId="0" fontId="3" fillId="0" borderId="6"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90" xfId="0" applyFont="1" applyBorder="1" applyAlignment="1">
      <alignment horizontal="center" vertical="center" wrapText="1"/>
    </xf>
    <xf numFmtId="0" fontId="17" fillId="0" borderId="5" xfId="0" applyFont="1" applyBorder="1" applyAlignment="1">
      <alignment vertical="center" wrapText="1"/>
    </xf>
    <xf numFmtId="0" fontId="102" fillId="0" borderId="6" xfId="0" applyFont="1" applyBorder="1" applyAlignment="1">
      <alignment horizontal="right" vertical="center"/>
    </xf>
    <xf numFmtId="3" fontId="102" fillId="0" borderId="6" xfId="0" applyNumberFormat="1" applyFont="1" applyBorder="1" applyAlignment="1">
      <alignment horizontal="right" vertical="center"/>
    </xf>
    <xf numFmtId="6" fontId="102" fillId="0" borderId="6" xfId="0" applyNumberFormat="1" applyFont="1" applyBorder="1" applyAlignment="1">
      <alignment horizontal="right" vertical="center"/>
    </xf>
    <xf numFmtId="167" fontId="102" fillId="0" borderId="6" xfId="0" applyNumberFormat="1" applyFont="1" applyBorder="1" applyAlignment="1">
      <alignment horizontal="right" vertical="center"/>
    </xf>
    <xf numFmtId="167" fontId="102" fillId="0" borderId="51" xfId="4" applyNumberFormat="1" applyFont="1" applyBorder="1" applyAlignment="1">
      <alignment horizontal="right" vertical="center"/>
    </xf>
    <xf numFmtId="167" fontId="102" fillId="0" borderId="51" xfId="0" applyNumberFormat="1" applyFont="1" applyBorder="1" applyAlignment="1">
      <alignment horizontal="right" vertical="center"/>
    </xf>
    <xf numFmtId="0" fontId="0" fillId="0" borderId="90" xfId="0" applyBorder="1"/>
    <xf numFmtId="173" fontId="0" fillId="0" borderId="90" xfId="4" applyNumberFormat="1" applyFont="1" applyBorder="1"/>
    <xf numFmtId="6" fontId="0" fillId="0" borderId="90" xfId="0" applyNumberFormat="1" applyBorder="1"/>
    <xf numFmtId="44" fontId="102" fillId="0" borderId="6" xfId="0" applyNumberFormat="1" applyFont="1" applyBorder="1" applyAlignment="1">
      <alignment horizontal="right" vertical="center"/>
    </xf>
    <xf numFmtId="0" fontId="3" fillId="0" borderId="5" xfId="0" applyFont="1" applyBorder="1" applyAlignment="1">
      <alignment vertical="center" wrapText="1"/>
    </xf>
    <xf numFmtId="3" fontId="93" fillId="0" borderId="6" xfId="0" applyNumberFormat="1" applyFont="1" applyBorder="1" applyAlignment="1">
      <alignment horizontal="right" vertical="center"/>
    </xf>
    <xf numFmtId="6" fontId="93" fillId="0" borderId="6" xfId="0" applyNumberFormat="1" applyFont="1" applyBorder="1" applyAlignment="1">
      <alignment horizontal="right" vertical="center"/>
    </xf>
    <xf numFmtId="167" fontId="93" fillId="0" borderId="6" xfId="0" applyNumberFormat="1" applyFont="1" applyBorder="1" applyAlignment="1">
      <alignment horizontal="right" vertical="center"/>
    </xf>
    <xf numFmtId="0" fontId="65" fillId="0" borderId="0" xfId="0" applyFont="1" applyAlignment="1">
      <alignment vertical="center"/>
    </xf>
    <xf numFmtId="0" fontId="65" fillId="0" borderId="0" xfId="0" applyFont="1"/>
    <xf numFmtId="44" fontId="0" fillId="0" borderId="127" xfId="4" quotePrefix="1" applyFont="1" applyFill="1" applyBorder="1"/>
    <xf numFmtId="44" fontId="1" fillId="0" borderId="129" xfId="4" applyFont="1" applyFill="1" applyBorder="1"/>
    <xf numFmtId="0" fontId="74" fillId="0" borderId="0" xfId="0" applyFont="1" applyAlignment="1">
      <alignment horizontal="center" vertical="center" wrapText="1" readingOrder="1"/>
    </xf>
    <xf numFmtId="167" fontId="0" fillId="0" borderId="0" xfId="0" applyNumberFormat="1" applyAlignment="1">
      <alignment horizontal="right"/>
    </xf>
    <xf numFmtId="167" fontId="5" fillId="17" borderId="6" xfId="0" applyNumberFormat="1" applyFont="1" applyFill="1" applyBorder="1" applyAlignment="1">
      <alignment vertical="center"/>
    </xf>
    <xf numFmtId="44" fontId="1" fillId="0" borderId="0" xfId="4" applyFont="1" applyFill="1" applyBorder="1"/>
    <xf numFmtId="167" fontId="0" fillId="0" borderId="0" xfId="4" applyNumberFormat="1" applyFont="1" applyFill="1" applyBorder="1"/>
    <xf numFmtId="44" fontId="38" fillId="0" borderId="0" xfId="0" applyNumberFormat="1" applyFont="1"/>
    <xf numFmtId="44" fontId="38" fillId="0" borderId="0" xfId="4" applyFont="1" applyFill="1" applyBorder="1"/>
    <xf numFmtId="167" fontId="38" fillId="0" borderId="0" xfId="4" applyNumberFormat="1" applyFont="1" applyFill="1" applyBorder="1"/>
    <xf numFmtId="0" fontId="10" fillId="6" borderId="130" xfId="0" applyFont="1" applyFill="1" applyBorder="1" applyAlignment="1">
      <alignment horizontal="center" vertical="center"/>
    </xf>
    <xf numFmtId="0" fontId="37" fillId="0" borderId="0" xfId="1" applyFont="1" applyAlignment="1">
      <alignment horizontal="right"/>
    </xf>
    <xf numFmtId="166" fontId="37" fillId="0" borderId="51" xfId="3" applyNumberFormat="1" applyFont="1" applyBorder="1" applyAlignment="1">
      <alignment horizontal="right"/>
    </xf>
    <xf numFmtId="0" fontId="0" fillId="0" borderId="0" xfId="0" pivotButton="1"/>
    <xf numFmtId="44" fontId="0" fillId="13" borderId="0" xfId="0" applyNumberFormat="1" applyFill="1"/>
    <xf numFmtId="0" fontId="36" fillId="20" borderId="131" xfId="0" applyFont="1" applyFill="1" applyBorder="1"/>
    <xf numFmtId="4" fontId="1" fillId="0" borderId="0" xfId="0" applyNumberFormat="1" applyFont="1"/>
    <xf numFmtId="4" fontId="0" fillId="0" borderId="0" xfId="0" applyNumberFormat="1"/>
    <xf numFmtId="0" fontId="1" fillId="0" borderId="0" xfId="0" applyFont="1" applyAlignment="1">
      <alignment horizontal="right"/>
    </xf>
    <xf numFmtId="43" fontId="1" fillId="0" borderId="0" xfId="0" applyNumberFormat="1" applyFont="1"/>
    <xf numFmtId="0" fontId="103" fillId="0" borderId="0" xfId="0" applyFont="1"/>
    <xf numFmtId="2" fontId="103" fillId="0" borderId="0" xfId="0" applyNumberFormat="1" applyFont="1"/>
    <xf numFmtId="1" fontId="1" fillId="0" borderId="0" xfId="0" applyNumberFormat="1" applyFont="1"/>
    <xf numFmtId="0" fontId="104" fillId="0" borderId="0" xfId="0" applyFont="1"/>
    <xf numFmtId="168" fontId="103" fillId="0" borderId="0" xfId="0" applyNumberFormat="1" applyFont="1"/>
    <xf numFmtId="2" fontId="0" fillId="13" borderId="0" xfId="0" applyNumberFormat="1" applyFill="1"/>
    <xf numFmtId="1" fontId="72" fillId="0" borderId="99" xfId="6" applyNumberFormat="1" applyFont="1" applyBorder="1" applyAlignment="1">
      <alignment wrapText="1"/>
    </xf>
    <xf numFmtId="1" fontId="72" fillId="0" borderId="102" xfId="6" applyNumberFormat="1" applyFont="1" applyBorder="1" applyAlignment="1">
      <alignment wrapText="1"/>
    </xf>
    <xf numFmtId="174" fontId="9" fillId="11" borderId="132" xfId="0" applyNumberFormat="1" applyFont="1" applyFill="1" applyBorder="1" applyAlignment="1">
      <alignment horizontal="center" vertical="center"/>
    </xf>
    <xf numFmtId="174" fontId="9" fillId="11" borderId="133" xfId="0" applyNumberFormat="1" applyFont="1" applyFill="1" applyBorder="1" applyAlignment="1">
      <alignment horizontal="center" vertical="center" wrapText="1"/>
    </xf>
    <xf numFmtId="174" fontId="9" fillId="11" borderId="134" xfId="0" applyNumberFormat="1" applyFont="1" applyFill="1" applyBorder="1" applyAlignment="1">
      <alignment horizontal="center" vertical="center" wrapText="1"/>
    </xf>
    <xf numFmtId="174" fontId="9" fillId="11" borderId="135" xfId="0" applyNumberFormat="1" applyFont="1" applyFill="1" applyBorder="1" applyAlignment="1">
      <alignment horizontal="center" vertical="center" wrapText="1"/>
    </xf>
    <xf numFmtId="174" fontId="12" fillId="21" borderId="136" xfId="0" applyNumberFormat="1" applyFont="1" applyFill="1" applyBorder="1" applyAlignment="1">
      <alignment horizontal="left"/>
    </xf>
    <xf numFmtId="174" fontId="12" fillId="21" borderId="138" xfId="0" applyNumberFormat="1" applyFont="1" applyFill="1" applyBorder="1" applyAlignment="1">
      <alignment horizontal="left"/>
    </xf>
    <xf numFmtId="174" fontId="12" fillId="21" borderId="140" xfId="0" applyNumberFormat="1" applyFont="1" applyFill="1" applyBorder="1" applyAlignment="1">
      <alignment horizontal="left"/>
    </xf>
    <xf numFmtId="37" fontId="12" fillId="0" borderId="115" xfId="3" applyNumberFormat="1" applyFont="1" applyBorder="1" applyAlignment="1">
      <alignment horizontal="center"/>
    </xf>
    <xf numFmtId="174" fontId="12" fillId="21" borderId="145" xfId="0" applyNumberFormat="1" applyFont="1" applyFill="1" applyBorder="1" applyAlignment="1">
      <alignment horizontal="left"/>
    </xf>
    <xf numFmtId="3" fontId="12" fillId="21" borderId="146" xfId="0" applyNumberFormat="1" applyFont="1" applyFill="1" applyBorder="1" applyAlignment="1">
      <alignment horizontal="center"/>
    </xf>
    <xf numFmtId="5" fontId="0" fillId="0" borderId="0" xfId="0" applyNumberFormat="1"/>
    <xf numFmtId="0" fontId="9" fillId="0" borderId="0" xfId="0" applyFont="1" applyAlignment="1">
      <alignment horizontal="center" vertical="top"/>
    </xf>
    <xf numFmtId="174" fontId="9" fillId="11" borderId="132" xfId="0" applyNumberFormat="1" applyFont="1" applyFill="1" applyBorder="1" applyAlignment="1">
      <alignment horizontal="center" vertical="center" wrapText="1"/>
    </xf>
    <xf numFmtId="1" fontId="106" fillId="0" borderId="138" xfId="6" applyNumberFormat="1" applyFont="1" applyBorder="1" applyAlignment="1">
      <alignment wrapText="1"/>
    </xf>
    <xf numFmtId="7" fontId="11" fillId="0" borderId="0" xfId="0" applyNumberFormat="1" applyFont="1"/>
    <xf numFmtId="5" fontId="11" fillId="0" borderId="0" xfId="0" applyNumberFormat="1" applyFont="1"/>
    <xf numFmtId="43" fontId="11" fillId="0" borderId="0" xfId="3" applyFont="1"/>
    <xf numFmtId="1" fontId="9" fillId="0" borderId="2" xfId="0" applyNumberFormat="1" applyFont="1" applyBorder="1" applyAlignment="1">
      <alignment vertical="center" wrapText="1"/>
    </xf>
    <xf numFmtId="0" fontId="11" fillId="0" borderId="0" xfId="0" quotePrefix="1" applyFont="1" applyAlignment="1">
      <alignment horizontal="center"/>
    </xf>
    <xf numFmtId="3" fontId="11" fillId="0" borderId="0" xfId="0" applyNumberFormat="1" applyFont="1"/>
    <xf numFmtId="2" fontId="11" fillId="0" borderId="0" xfId="0" applyNumberFormat="1" applyFont="1"/>
    <xf numFmtId="0" fontId="10" fillId="6" borderId="0" xfId="0" applyFont="1" applyFill="1" applyAlignment="1">
      <alignment horizontal="center"/>
    </xf>
    <xf numFmtId="0" fontId="9" fillId="6" borderId="9" xfId="0" applyFont="1" applyFill="1" applyBorder="1" applyAlignment="1">
      <alignment horizontal="center" vertical="center"/>
    </xf>
    <xf numFmtId="0" fontId="10" fillId="6" borderId="9" xfId="0" applyFont="1" applyFill="1" applyBorder="1" applyAlignment="1">
      <alignment horizontal="center" vertical="center"/>
    </xf>
    <xf numFmtId="0" fontId="9" fillId="6" borderId="8" xfId="0" applyFont="1" applyFill="1" applyBorder="1" applyAlignment="1">
      <alignment horizontal="center" vertical="center"/>
    </xf>
    <xf numFmtId="0" fontId="9" fillId="6" borderId="130" xfId="0" applyFont="1" applyFill="1" applyBorder="1" applyAlignment="1">
      <alignment horizontal="center" vertical="center"/>
    </xf>
    <xf numFmtId="3" fontId="12" fillId="0" borderId="9" xfId="0" applyNumberFormat="1" applyFont="1" applyBorder="1" applyAlignment="1">
      <alignment horizontal="center" vertical="center"/>
    </xf>
    <xf numFmtId="3" fontId="11" fillId="0" borderId="9" xfId="0" applyNumberFormat="1" applyFont="1" applyBorder="1" applyAlignment="1">
      <alignment horizontal="center" vertical="center"/>
    </xf>
    <xf numFmtId="3" fontId="11" fillId="6" borderId="9" xfId="0" applyNumberFormat="1" applyFont="1" applyFill="1" applyBorder="1" applyAlignment="1">
      <alignment horizontal="center" vertical="center"/>
    </xf>
    <xf numFmtId="3" fontId="12" fillId="6" borderId="128" xfId="0" applyNumberFormat="1" applyFont="1" applyFill="1" applyBorder="1" applyAlignment="1">
      <alignment horizontal="center" vertical="center"/>
    </xf>
    <xf numFmtId="0" fontId="10" fillId="6" borderId="8" xfId="0" applyFont="1" applyFill="1" applyBorder="1" applyAlignment="1">
      <alignment horizontal="left" wrapText="1"/>
    </xf>
    <xf numFmtId="4" fontId="79" fillId="0" borderId="0" xfId="0" applyNumberFormat="1" applyFont="1" applyAlignment="1">
      <alignment horizontal="left" vertical="center"/>
    </xf>
    <xf numFmtId="3" fontId="11" fillId="6" borderId="8" xfId="0" applyNumberFormat="1" applyFont="1" applyFill="1" applyBorder="1" applyAlignment="1">
      <alignment horizontal="center"/>
    </xf>
    <xf numFmtId="3" fontId="12" fillId="6" borderId="9" xfId="0" applyNumberFormat="1" applyFont="1" applyFill="1" applyBorder="1" applyAlignment="1">
      <alignment horizontal="center"/>
    </xf>
    <xf numFmtId="0" fontId="47" fillId="0" borderId="0" xfId="0" applyFont="1" applyAlignment="1">
      <alignment horizontal="left" vertical="top" wrapText="1"/>
    </xf>
    <xf numFmtId="0" fontId="108" fillId="0" borderId="0" xfId="0" applyFont="1"/>
    <xf numFmtId="174" fontId="9" fillId="11" borderId="44" xfId="0" applyNumberFormat="1" applyFont="1" applyFill="1" applyBorder="1" applyAlignment="1">
      <alignment horizontal="centerContinuous"/>
    </xf>
    <xf numFmtId="174" fontId="9" fillId="11" borderId="45" xfId="0" applyNumberFormat="1" applyFont="1" applyFill="1" applyBorder="1" applyAlignment="1">
      <alignment horizontal="centerContinuous"/>
    </xf>
    <xf numFmtId="174" fontId="9" fillId="11" borderId="148" xfId="0" applyNumberFormat="1" applyFont="1" applyFill="1" applyBorder="1" applyAlignment="1">
      <alignment horizontal="center" vertical="center"/>
    </xf>
    <xf numFmtId="174" fontId="9" fillId="11" borderId="149" xfId="0" applyNumberFormat="1" applyFont="1" applyFill="1" applyBorder="1" applyAlignment="1">
      <alignment horizontal="center" vertical="center"/>
    </xf>
    <xf numFmtId="174" fontId="9" fillId="11" borderId="150" xfId="0" applyNumberFormat="1" applyFont="1" applyFill="1" applyBorder="1" applyAlignment="1">
      <alignment horizontal="center" vertical="center"/>
    </xf>
    <xf numFmtId="174" fontId="9" fillId="11" borderId="151" xfId="0" applyNumberFormat="1" applyFont="1" applyFill="1" applyBorder="1" applyAlignment="1">
      <alignment horizontal="center" vertical="center"/>
    </xf>
    <xf numFmtId="174" fontId="9" fillId="11" borderId="154" xfId="0" applyNumberFormat="1" applyFont="1" applyFill="1" applyBorder="1" applyAlignment="1">
      <alignment horizontal="center" wrapText="1"/>
    </xf>
    <xf numFmtId="174" fontId="9" fillId="11" borderId="155" xfId="0" applyNumberFormat="1" applyFont="1" applyFill="1" applyBorder="1" applyAlignment="1">
      <alignment horizontal="center" wrapText="1"/>
    </xf>
    <xf numFmtId="174" fontId="9" fillId="11" borderId="156" xfId="0" applyNumberFormat="1" applyFont="1" applyFill="1" applyBorder="1" applyAlignment="1">
      <alignment horizontal="center" wrapText="1"/>
    </xf>
    <xf numFmtId="174" fontId="9" fillId="11" borderId="142" xfId="0" applyNumberFormat="1" applyFont="1" applyFill="1" applyBorder="1" applyAlignment="1">
      <alignment horizontal="center" wrapText="1"/>
    </xf>
    <xf numFmtId="174" fontId="12" fillId="22" borderId="157" xfId="0" applyNumberFormat="1" applyFont="1" applyFill="1" applyBorder="1" applyAlignment="1">
      <alignment horizontal="center" vertical="center"/>
    </xf>
    <xf numFmtId="174" fontId="12" fillId="22" borderId="158" xfId="0" applyNumberFormat="1" applyFont="1" applyFill="1" applyBorder="1" applyAlignment="1">
      <alignment horizontal="left" vertical="center"/>
    </xf>
    <xf numFmtId="174" fontId="12" fillId="22" borderId="158" xfId="0" applyNumberFormat="1" applyFont="1" applyFill="1" applyBorder="1"/>
    <xf numFmtId="174" fontId="12" fillId="22" borderId="159" xfId="0" applyNumberFormat="1" applyFont="1" applyFill="1" applyBorder="1"/>
    <xf numFmtId="174" fontId="12" fillId="22" borderId="49" xfId="0" applyNumberFormat="1" applyFont="1" applyFill="1" applyBorder="1" applyAlignment="1">
      <alignment horizontal="center" vertical="center"/>
    </xf>
    <xf numFmtId="174" fontId="12" fillId="22" borderId="0" xfId="0" applyNumberFormat="1" applyFont="1" applyFill="1" applyAlignment="1">
      <alignment horizontal="left" vertical="center"/>
    </xf>
    <xf numFmtId="174" fontId="12" fillId="22" borderId="0" xfId="0" applyNumberFormat="1" applyFont="1" applyFill="1" applyAlignment="1">
      <alignment vertical="center"/>
    </xf>
    <xf numFmtId="0" fontId="109" fillId="0" borderId="0" xfId="0" applyFont="1"/>
    <xf numFmtId="174" fontId="12" fillId="22" borderId="162" xfId="0" applyNumberFormat="1" applyFont="1" applyFill="1" applyBorder="1" applyAlignment="1">
      <alignment horizontal="center" vertical="center"/>
    </xf>
    <xf numFmtId="174" fontId="12" fillId="22" borderId="41" xfId="0" applyNumberFormat="1" applyFont="1" applyFill="1" applyBorder="1" applyAlignment="1">
      <alignment horizontal="left" vertical="center"/>
    </xf>
    <xf numFmtId="174" fontId="12" fillId="22" borderId="41" xfId="0" applyNumberFormat="1" applyFont="1" applyFill="1" applyBorder="1" applyAlignment="1">
      <alignment vertical="center"/>
    </xf>
    <xf numFmtId="177" fontId="110" fillId="22" borderId="49" xfId="0" applyNumberFormat="1" applyFont="1" applyFill="1" applyBorder="1" applyAlignment="1" applyProtection="1">
      <alignment vertical="center"/>
      <protection locked="0"/>
    </xf>
    <xf numFmtId="174" fontId="12" fillId="22" borderId="0" xfId="0" applyNumberFormat="1" applyFont="1" applyFill="1" applyAlignment="1">
      <alignment horizontal="right" vertical="center"/>
    </xf>
    <xf numFmtId="177" fontId="110" fillId="22" borderId="163" xfId="0" applyNumberFormat="1" applyFont="1" applyFill="1" applyBorder="1" applyAlignment="1" applyProtection="1">
      <alignment vertical="center"/>
      <protection locked="0"/>
    </xf>
    <xf numFmtId="9" fontId="106" fillId="22" borderId="164" xfId="0" applyNumberFormat="1" applyFont="1" applyFill="1" applyBorder="1" applyAlignment="1" applyProtection="1">
      <alignment horizontal="right" vertical="center"/>
      <protection locked="0"/>
    </xf>
    <xf numFmtId="174" fontId="12" fillId="22" borderId="164" xfId="0" applyNumberFormat="1" applyFont="1" applyFill="1" applyBorder="1" applyAlignment="1">
      <alignment horizontal="left" vertical="center"/>
    </xf>
    <xf numFmtId="174" fontId="12" fillId="22" borderId="164" xfId="0" applyNumberFormat="1" applyFont="1" applyFill="1" applyBorder="1" applyAlignment="1">
      <alignment vertical="center"/>
    </xf>
    <xf numFmtId="9" fontId="12" fillId="22" borderId="158" xfId="0" applyNumberFormat="1" applyFont="1" applyFill="1" applyBorder="1" applyAlignment="1">
      <alignment horizontal="right" vertical="center"/>
    </xf>
    <xf numFmtId="174" fontId="12" fillId="22" borderId="158" xfId="0" applyNumberFormat="1" applyFont="1" applyFill="1" applyBorder="1" applyAlignment="1">
      <alignment vertical="center"/>
    </xf>
    <xf numFmtId="9" fontId="12" fillId="22" borderId="166" xfId="0" applyNumberFormat="1" applyFont="1" applyFill="1" applyBorder="1" applyAlignment="1">
      <alignment horizontal="right" vertical="center"/>
    </xf>
    <xf numFmtId="174" fontId="12" fillId="22" borderId="166" xfId="0" applyNumberFormat="1" applyFont="1" applyFill="1" applyBorder="1" applyAlignment="1">
      <alignment horizontal="left" vertical="center"/>
    </xf>
    <xf numFmtId="174" fontId="12" fillId="22" borderId="166" xfId="0" applyNumberFormat="1" applyFont="1" applyFill="1" applyBorder="1" applyAlignment="1">
      <alignment vertical="center"/>
    </xf>
    <xf numFmtId="177" fontId="110" fillId="22" borderId="162" xfId="0" applyNumberFormat="1" applyFont="1" applyFill="1" applyBorder="1" applyAlignment="1" applyProtection="1">
      <alignment vertical="center"/>
      <protection locked="0"/>
    </xf>
    <xf numFmtId="9" fontId="12" fillId="22" borderId="41" xfId="0" applyNumberFormat="1" applyFont="1" applyFill="1" applyBorder="1" applyAlignment="1">
      <alignment horizontal="right" vertical="center"/>
    </xf>
    <xf numFmtId="49" fontId="12" fillId="22" borderId="41" xfId="11" applyNumberFormat="1" applyFont="1" applyFill="1" applyBorder="1" applyAlignment="1">
      <alignment horizontal="right" vertical="center"/>
    </xf>
    <xf numFmtId="3" fontId="12" fillId="6" borderId="167" xfId="0" applyNumberFormat="1" applyFont="1" applyFill="1" applyBorder="1" applyAlignment="1" applyProtection="1">
      <alignment horizontal="center" vertical="center"/>
      <protection locked="0"/>
    </xf>
    <xf numFmtId="174" fontId="12" fillId="6" borderId="10" xfId="0" applyNumberFormat="1" applyFont="1" applyFill="1" applyBorder="1" applyAlignment="1">
      <alignment horizontal="center" vertical="center"/>
    </xf>
    <xf numFmtId="174" fontId="106" fillId="22" borderId="171" xfId="0" quotePrefix="1" applyNumberFormat="1" applyFont="1" applyFill="1" applyBorder="1" applyAlignment="1" applyProtection="1">
      <alignment horizontal="center" vertical="center"/>
      <protection locked="0"/>
    </xf>
    <xf numFmtId="9" fontId="12" fillId="22" borderId="172" xfId="0" applyNumberFormat="1" applyFont="1" applyFill="1" applyBorder="1" applyAlignment="1">
      <alignment horizontal="left" vertical="center"/>
    </xf>
    <xf numFmtId="174" fontId="12" fillId="22" borderId="172" xfId="0" applyNumberFormat="1" applyFont="1" applyFill="1" applyBorder="1" applyAlignment="1">
      <alignment vertical="center"/>
    </xf>
    <xf numFmtId="178" fontId="110" fillId="22" borderId="37" xfId="0" applyNumberFormat="1" applyFont="1" applyFill="1" applyBorder="1" applyAlignment="1" applyProtection="1">
      <alignment horizontal="center" vertical="center"/>
      <protection locked="0"/>
    </xf>
    <xf numFmtId="0" fontId="29" fillId="22" borderId="37" xfId="11" applyFill="1" applyBorder="1"/>
    <xf numFmtId="5" fontId="12" fillId="22" borderId="173" xfId="0" applyNumberFormat="1" applyFont="1" applyFill="1" applyBorder="1" applyAlignment="1">
      <alignment horizontal="center" vertical="center"/>
    </xf>
    <xf numFmtId="9" fontId="12" fillId="22" borderId="50" xfId="0" applyNumberFormat="1" applyFont="1" applyFill="1" applyBorder="1" applyAlignment="1">
      <alignment vertical="center"/>
    </xf>
    <xf numFmtId="9" fontId="12" fillId="22" borderId="51" xfId="0" applyNumberFormat="1" applyFont="1" applyFill="1" applyBorder="1" applyAlignment="1">
      <alignment vertical="center"/>
    </xf>
    <xf numFmtId="174" fontId="12" fillId="22" borderId="51" xfId="0" applyNumberFormat="1" applyFont="1" applyFill="1" applyBorder="1" applyAlignment="1">
      <alignment vertical="center"/>
    </xf>
    <xf numFmtId="174" fontId="12" fillId="22" borderId="51" xfId="0" applyNumberFormat="1" applyFont="1" applyFill="1" applyBorder="1" applyAlignment="1">
      <alignment horizontal="left" vertical="center"/>
    </xf>
    <xf numFmtId="178" fontId="110" fillId="22" borderId="51" xfId="0" applyNumberFormat="1" applyFont="1" applyFill="1" applyBorder="1" applyAlignment="1" applyProtection="1">
      <alignment horizontal="center" vertical="center"/>
      <protection locked="0"/>
    </xf>
    <xf numFmtId="1" fontId="12" fillId="22" borderId="174" xfId="0" applyNumberFormat="1" applyFont="1" applyFill="1" applyBorder="1" applyAlignment="1">
      <alignment horizontal="center" vertical="center"/>
    </xf>
    <xf numFmtId="37" fontId="12" fillId="22" borderId="175" xfId="3" applyNumberFormat="1" applyFont="1" applyFill="1" applyBorder="1" applyAlignment="1">
      <alignment horizontal="center" vertical="center"/>
    </xf>
    <xf numFmtId="5" fontId="12" fillId="22" borderId="176" xfId="0" applyNumberFormat="1" applyFont="1" applyFill="1" applyBorder="1" applyAlignment="1">
      <alignment horizontal="center" vertical="center"/>
    </xf>
    <xf numFmtId="174" fontId="12" fillId="22" borderId="0" xfId="0" applyNumberFormat="1" applyFont="1" applyFill="1"/>
    <xf numFmtId="174" fontId="12" fillId="22" borderId="0" xfId="0" applyNumberFormat="1" applyFont="1" applyFill="1" applyAlignment="1">
      <alignment horizontal="center"/>
    </xf>
    <xf numFmtId="3" fontId="12" fillId="22" borderId="0" xfId="3" applyNumberFormat="1" applyFont="1" applyFill="1" applyAlignment="1">
      <alignment horizontal="right"/>
    </xf>
    <xf numFmtId="174" fontId="12" fillId="22" borderId="0" xfId="0" applyNumberFormat="1" applyFont="1" applyFill="1" applyAlignment="1">
      <alignment horizontal="right"/>
    </xf>
    <xf numFmtId="174" fontId="112" fillId="22" borderId="0" xfId="0" applyNumberFormat="1" applyFont="1" applyFill="1"/>
    <xf numFmtId="3" fontId="113" fillId="0" borderId="0" xfId="0" quotePrefix="1" applyNumberFormat="1" applyFont="1"/>
    <xf numFmtId="0" fontId="114" fillId="0" borderId="0" xfId="0" applyFont="1"/>
    <xf numFmtId="0" fontId="114" fillId="0" borderId="0" xfId="0" applyFont="1" applyAlignment="1">
      <alignment horizontal="center"/>
    </xf>
    <xf numFmtId="0" fontId="113" fillId="0" borderId="0" xfId="0" quotePrefix="1" applyFont="1"/>
    <xf numFmtId="174" fontId="9" fillId="11" borderId="177" xfId="0" applyNumberFormat="1" applyFont="1" applyFill="1" applyBorder="1" applyAlignment="1">
      <alignment horizontal="center" vertical="center"/>
    </xf>
    <xf numFmtId="174" fontId="9" fillId="11" borderId="178" xfId="0" applyNumberFormat="1" applyFont="1" applyFill="1" applyBorder="1" applyAlignment="1">
      <alignment horizontal="center" vertical="center"/>
    </xf>
    <xf numFmtId="174" fontId="9" fillId="11" borderId="179" xfId="0" applyNumberFormat="1" applyFont="1" applyFill="1" applyBorder="1" applyAlignment="1">
      <alignment horizontal="center" vertical="center"/>
    </xf>
    <xf numFmtId="174" fontId="9" fillId="11" borderId="180" xfId="0" applyNumberFormat="1" applyFont="1" applyFill="1" applyBorder="1" applyAlignment="1">
      <alignment horizontal="center" vertical="center"/>
    </xf>
    <xf numFmtId="174" fontId="9" fillId="11" borderId="184" xfId="0" applyNumberFormat="1" applyFont="1" applyFill="1" applyBorder="1" applyAlignment="1">
      <alignment horizontal="center" wrapText="1"/>
    </xf>
    <xf numFmtId="174" fontId="9" fillId="11" borderId="185" xfId="0" applyNumberFormat="1" applyFont="1" applyFill="1" applyBorder="1" applyAlignment="1">
      <alignment horizontal="center" wrapText="1"/>
    </xf>
    <xf numFmtId="174" fontId="9" fillId="11" borderId="134" xfId="0" applyNumberFormat="1" applyFont="1" applyFill="1" applyBorder="1" applyAlignment="1">
      <alignment horizontal="center" wrapText="1"/>
    </xf>
    <xf numFmtId="174" fontId="9" fillId="11" borderId="135" xfId="0" applyNumberFormat="1" applyFont="1" applyFill="1" applyBorder="1" applyAlignment="1">
      <alignment horizontal="center" wrapText="1"/>
    </xf>
    <xf numFmtId="0" fontId="113" fillId="0" borderId="0" xfId="0" applyFont="1"/>
    <xf numFmtId="0" fontId="113" fillId="23" borderId="0" xfId="0" applyFont="1" applyFill="1" applyAlignment="1">
      <alignment horizontal="center"/>
    </xf>
    <xf numFmtId="0" fontId="113" fillId="24" borderId="0" xfId="0" applyFont="1" applyFill="1" applyAlignment="1">
      <alignment horizontal="center"/>
    </xf>
    <xf numFmtId="0" fontId="113" fillId="23" borderId="0" xfId="0" applyFont="1" applyFill="1" applyAlignment="1">
      <alignment horizontal="center" vertical="center"/>
    </xf>
    <xf numFmtId="0" fontId="113" fillId="24" borderId="0" xfId="0" applyFont="1" applyFill="1" applyAlignment="1">
      <alignment horizontal="center" vertical="center"/>
    </xf>
    <xf numFmtId="174" fontId="9" fillId="11" borderId="186" xfId="0" applyNumberFormat="1" applyFont="1" applyFill="1" applyBorder="1" applyAlignment="1">
      <alignment horizontal="center" wrapText="1"/>
    </xf>
    <xf numFmtId="3" fontId="108" fillId="0" borderId="0" xfId="0" applyNumberFormat="1" applyFont="1"/>
    <xf numFmtId="3" fontId="12" fillId="21" borderId="116" xfId="0" applyNumberFormat="1" applyFont="1" applyFill="1" applyBorder="1" applyAlignment="1">
      <alignment horizontal="center"/>
    </xf>
    <xf numFmtId="3" fontId="12" fillId="21" borderId="115" xfId="0" applyNumberFormat="1" applyFont="1" applyFill="1" applyBorder="1" applyAlignment="1">
      <alignment horizontal="center"/>
    </xf>
    <xf numFmtId="164" fontId="12" fillId="21" borderId="137" xfId="0" applyNumberFormat="1" applyFont="1" applyFill="1" applyBorder="1" applyAlignment="1">
      <alignment horizontal="center"/>
    </xf>
    <xf numFmtId="3" fontId="12" fillId="21" borderId="10" xfId="0" applyNumberFormat="1" applyFont="1" applyFill="1" applyBorder="1" applyAlignment="1">
      <alignment horizontal="center"/>
    </xf>
    <xf numFmtId="164" fontId="12" fillId="21" borderId="139" xfId="0" applyNumberFormat="1" applyFont="1" applyFill="1" applyBorder="1" applyAlignment="1">
      <alignment horizontal="center"/>
    </xf>
    <xf numFmtId="3" fontId="12" fillId="21" borderId="141" xfId="0" applyNumberFormat="1" applyFont="1" applyFill="1" applyBorder="1" applyAlignment="1">
      <alignment horizontal="center"/>
    </xf>
    <xf numFmtId="164" fontId="12" fillId="21" borderId="142" xfId="0" applyNumberFormat="1" applyFont="1" applyFill="1" applyBorder="1" applyAlignment="1">
      <alignment horizontal="center"/>
    </xf>
    <xf numFmtId="164" fontId="12" fillId="21" borderId="144" xfId="0" applyNumberFormat="1" applyFont="1" applyFill="1" applyBorder="1" applyAlignment="1">
      <alignment horizontal="center"/>
    </xf>
    <xf numFmtId="164" fontId="12" fillId="21" borderId="147" xfId="0" applyNumberFormat="1" applyFont="1" applyFill="1" applyBorder="1" applyAlignment="1">
      <alignment horizontal="center"/>
    </xf>
    <xf numFmtId="3" fontId="11" fillId="4" borderId="9" xfId="0" applyNumberFormat="1" applyFont="1" applyFill="1" applyBorder="1" applyAlignment="1">
      <alignment horizontal="center"/>
    </xf>
    <xf numFmtId="0" fontId="9" fillId="0" borderId="0" xfId="0" applyFont="1" applyAlignment="1">
      <alignment horizontal="center" vertical="center" wrapText="1"/>
    </xf>
    <xf numFmtId="0" fontId="115" fillId="0" borderId="0" xfId="0" applyFont="1" applyAlignment="1">
      <alignment vertical="center"/>
    </xf>
    <xf numFmtId="174" fontId="105" fillId="0" borderId="0" xfId="0" applyNumberFormat="1" applyFont="1"/>
    <xf numFmtId="174" fontId="105" fillId="0" borderId="0" xfId="0" applyNumberFormat="1" applyFont="1" applyAlignment="1">
      <alignment wrapText="1"/>
    </xf>
    <xf numFmtId="174" fontId="11" fillId="11" borderId="126" xfId="0" applyNumberFormat="1" applyFont="1" applyFill="1" applyBorder="1"/>
    <xf numFmtId="174" fontId="11" fillId="11" borderId="180" xfId="0" applyNumberFormat="1" applyFont="1" applyFill="1" applyBorder="1" applyAlignment="1">
      <alignment horizontal="center"/>
    </xf>
    <xf numFmtId="174" fontId="11" fillId="11" borderId="187" xfId="0" applyNumberFormat="1" applyFont="1" applyFill="1" applyBorder="1" applyAlignment="1">
      <alignment horizontal="center"/>
    </xf>
    <xf numFmtId="174" fontId="11" fillId="11" borderId="49" xfId="0" applyNumberFormat="1" applyFont="1" applyFill="1" applyBorder="1"/>
    <xf numFmtId="174" fontId="11" fillId="0" borderId="130" xfId="0" applyNumberFormat="1" applyFont="1" applyBorder="1"/>
    <xf numFmtId="174" fontId="11" fillId="0" borderId="0" xfId="0" applyNumberFormat="1" applyFont="1"/>
    <xf numFmtId="0" fontId="73" fillId="0" borderId="130" xfId="0" applyFont="1" applyBorder="1"/>
    <xf numFmtId="0" fontId="73" fillId="0" borderId="7" xfId="0" applyFont="1" applyBorder="1"/>
    <xf numFmtId="174" fontId="11" fillId="11" borderId="188" xfId="0" applyNumberFormat="1" applyFont="1" applyFill="1" applyBorder="1" applyAlignment="1">
      <alignment horizontal="left" indent="2"/>
    </xf>
    <xf numFmtId="37" fontId="11" fillId="0" borderId="130" xfId="0" applyNumberFormat="1" applyFont="1" applyBorder="1" applyAlignment="1">
      <alignment horizontal="center"/>
    </xf>
    <xf numFmtId="37" fontId="11" fillId="0" borderId="189" xfId="0" applyNumberFormat="1" applyFont="1" applyBorder="1" applyAlignment="1">
      <alignment horizontal="center"/>
    </xf>
    <xf numFmtId="5" fontId="11" fillId="0" borderId="130" xfId="0" applyNumberFormat="1" applyFont="1" applyBorder="1" applyAlignment="1">
      <alignment horizontal="center"/>
    </xf>
    <xf numFmtId="5" fontId="11" fillId="0" borderId="189" xfId="0" applyNumberFormat="1" applyFont="1" applyBorder="1" applyAlignment="1">
      <alignment horizontal="center"/>
    </xf>
    <xf numFmtId="174" fontId="11" fillId="11" borderId="188" xfId="0" applyNumberFormat="1" applyFont="1" applyFill="1" applyBorder="1" applyAlignment="1">
      <alignment horizontal="left" wrapText="1" indent="2"/>
    </xf>
    <xf numFmtId="174" fontId="11" fillId="11" borderId="188" xfId="0" applyNumberFormat="1" applyFont="1" applyFill="1" applyBorder="1"/>
    <xf numFmtId="164" fontId="11" fillId="0" borderId="130" xfId="0" applyNumberFormat="1" applyFont="1" applyBorder="1" applyAlignment="1">
      <alignment horizontal="center"/>
    </xf>
    <xf numFmtId="0" fontId="11" fillId="0" borderId="130" xfId="0" applyFont="1" applyBorder="1"/>
    <xf numFmtId="0" fontId="11" fillId="0" borderId="189" xfId="0" applyFont="1" applyBorder="1"/>
    <xf numFmtId="174" fontId="11" fillId="11" borderId="188" xfId="0" applyNumberFormat="1" applyFont="1" applyFill="1" applyBorder="1" applyAlignment="1">
      <alignment horizontal="left" wrapText="1"/>
    </xf>
    <xf numFmtId="174" fontId="11" fillId="11" borderId="190" xfId="0" applyNumberFormat="1" applyFont="1" applyFill="1" applyBorder="1" applyAlignment="1">
      <alignment horizontal="left" wrapText="1"/>
    </xf>
    <xf numFmtId="5" fontId="11" fillId="0" borderId="191" xfId="0" applyNumberFormat="1" applyFont="1" applyBorder="1" applyAlignment="1">
      <alignment horizontal="center"/>
    </xf>
    <xf numFmtId="5" fontId="11" fillId="0" borderId="176" xfId="0" applyNumberFormat="1" applyFont="1" applyBorder="1" applyAlignment="1">
      <alignment horizontal="center"/>
    </xf>
    <xf numFmtId="0" fontId="103" fillId="25" borderId="0" xfId="0" applyFont="1" applyFill="1"/>
    <xf numFmtId="168" fontId="103" fillId="25" borderId="0" xfId="0" applyNumberFormat="1" applyFont="1" applyFill="1"/>
    <xf numFmtId="168" fontId="14" fillId="5" borderId="20" xfId="0" applyNumberFormat="1" applyFont="1" applyFill="1" applyBorder="1" applyAlignment="1">
      <alignment horizontal="center" vertical="center"/>
    </xf>
    <xf numFmtId="3" fontId="12" fillId="25" borderId="10" xfId="0" applyNumberFormat="1" applyFont="1" applyFill="1" applyBorder="1" applyAlignment="1">
      <alignment horizontal="center"/>
    </xf>
    <xf numFmtId="37" fontId="12" fillId="25" borderId="8" xfId="0" applyNumberFormat="1" applyFont="1" applyFill="1" applyBorder="1" applyAlignment="1">
      <alignment horizontal="center"/>
    </xf>
    <xf numFmtId="175" fontId="12" fillId="25" borderId="8" xfId="0" applyNumberFormat="1" applyFont="1" applyFill="1" applyBorder="1" applyAlignment="1">
      <alignment horizontal="center"/>
    </xf>
    <xf numFmtId="5" fontId="12" fillId="25" borderId="8" xfId="7" applyNumberFormat="1" applyFont="1" applyFill="1" applyBorder="1" applyAlignment="1">
      <alignment horizontal="center"/>
    </xf>
    <xf numFmtId="5" fontId="12" fillId="25" borderId="139" xfId="7" applyNumberFormat="1" applyFont="1" applyFill="1" applyBorder="1" applyAlignment="1">
      <alignment horizontal="center"/>
    </xf>
    <xf numFmtId="176" fontId="12" fillId="25" borderId="8" xfId="0" applyNumberFormat="1" applyFont="1" applyFill="1" applyBorder="1" applyAlignment="1">
      <alignment horizontal="center"/>
    </xf>
    <xf numFmtId="3" fontId="12" fillId="25" borderId="90" xfId="7" applyNumberFormat="1" applyFont="1" applyFill="1" applyBorder="1" applyAlignment="1">
      <alignment horizontal="center"/>
    </xf>
    <xf numFmtId="175" fontId="12" fillId="25" borderId="90" xfId="7" quotePrefix="1" applyNumberFormat="1" applyFont="1" applyFill="1" applyBorder="1" applyAlignment="1">
      <alignment horizontal="center"/>
    </xf>
    <xf numFmtId="5" fontId="12" fillId="25" borderId="90" xfId="7" applyNumberFormat="1" applyFont="1" applyFill="1" applyBorder="1" applyAlignment="1">
      <alignment horizontal="center"/>
    </xf>
    <xf numFmtId="5" fontId="12" fillId="0" borderId="168" xfId="0" applyNumberFormat="1" applyFont="1" applyBorder="1" applyAlignment="1">
      <alignment horizontal="center" vertical="center"/>
    </xf>
    <xf numFmtId="174" fontId="12" fillId="0" borderId="0" xfId="0" applyNumberFormat="1" applyFont="1" applyAlignment="1">
      <alignment horizontal="right"/>
    </xf>
    <xf numFmtId="174" fontId="12" fillId="0" borderId="0" xfId="0" applyNumberFormat="1" applyFont="1"/>
    <xf numFmtId="174" fontId="12" fillId="0" borderId="0" xfId="0" applyNumberFormat="1" applyFont="1" applyAlignment="1">
      <alignment horizontal="center"/>
    </xf>
    <xf numFmtId="3" fontId="12" fillId="0" borderId="0" xfId="3" applyNumberFormat="1" applyFont="1" applyFill="1" applyAlignment="1">
      <alignment horizontal="right"/>
    </xf>
    <xf numFmtId="0" fontId="5" fillId="0" borderId="3" xfId="0" applyFont="1" applyBorder="1" applyAlignment="1">
      <alignment vertical="center"/>
    </xf>
    <xf numFmtId="167" fontId="5" fillId="0" borderId="6" xfId="4" applyNumberFormat="1" applyFont="1" applyFill="1" applyBorder="1" applyAlignment="1">
      <alignment vertical="center"/>
    </xf>
    <xf numFmtId="0" fontId="0" fillId="0" borderId="128" xfId="0" applyBorder="1"/>
    <xf numFmtId="0" fontId="0" fillId="0" borderId="129" xfId="0" applyBorder="1"/>
    <xf numFmtId="0" fontId="0" fillId="0" borderId="192" xfId="0" applyBorder="1"/>
    <xf numFmtId="0" fontId="0" fillId="0" borderId="67" xfId="0" applyBorder="1"/>
    <xf numFmtId="6" fontId="0" fillId="0" borderId="42" xfId="0" applyNumberFormat="1" applyBorder="1"/>
    <xf numFmtId="0" fontId="0" fillId="0" borderId="43" xfId="0" applyBorder="1"/>
    <xf numFmtId="0" fontId="0" fillId="0" borderId="63" xfId="0" applyBorder="1" applyAlignment="1">
      <alignment horizontal="right"/>
    </xf>
    <xf numFmtId="6" fontId="0" fillId="0" borderId="63" xfId="0" applyNumberFormat="1" applyBorder="1"/>
    <xf numFmtId="6" fontId="0" fillId="0" borderId="116" xfId="0" applyNumberFormat="1" applyBorder="1"/>
    <xf numFmtId="3" fontId="72" fillId="0" borderId="100" xfId="0" applyNumberFormat="1" applyFont="1" applyBorder="1" applyAlignment="1">
      <alignment horizontal="center"/>
    </xf>
    <xf numFmtId="1" fontId="72" fillId="0" borderId="100" xfId="0" applyNumberFormat="1" applyFont="1" applyBorder="1" applyAlignment="1">
      <alignment horizontal="center"/>
    </xf>
    <xf numFmtId="2" fontId="72" fillId="0" borderId="100" xfId="0" applyNumberFormat="1" applyFont="1" applyBorder="1" applyAlignment="1">
      <alignment horizontal="center"/>
    </xf>
    <xf numFmtId="164" fontId="72" fillId="0" borderId="101" xfId="7" applyNumberFormat="1" applyFont="1" applyFill="1" applyBorder="1" applyAlignment="1">
      <alignment horizontal="center"/>
    </xf>
    <xf numFmtId="3" fontId="72" fillId="0" borderId="104" xfId="0" applyNumberFormat="1" applyFont="1" applyBorder="1" applyAlignment="1">
      <alignment horizontal="center"/>
    </xf>
    <xf numFmtId="164" fontId="72" fillId="0" borderId="106" xfId="7" applyNumberFormat="1" applyFont="1" applyFill="1" applyBorder="1" applyAlignment="1">
      <alignment horizontal="center"/>
    </xf>
    <xf numFmtId="3" fontId="72" fillId="0" borderId="103" xfId="0" applyNumberFormat="1" applyFont="1" applyBorder="1" applyAlignment="1">
      <alignment horizontal="center"/>
    </xf>
    <xf numFmtId="168" fontId="72" fillId="0" borderId="100" xfId="0" applyNumberFormat="1" applyFont="1" applyBorder="1" applyAlignment="1">
      <alignment horizontal="center"/>
    </xf>
    <xf numFmtId="1" fontId="72" fillId="0" borderId="100" xfId="0" applyNumberFormat="1" applyFont="1" applyBorder="1"/>
    <xf numFmtId="164" fontId="72" fillId="0" borderId="111" xfId="7" applyNumberFormat="1" applyFont="1" applyFill="1" applyBorder="1" applyAlignment="1">
      <alignment horizontal="center"/>
    </xf>
    <xf numFmtId="3" fontId="72" fillId="0" borderId="90" xfId="7" applyNumberFormat="1" applyFont="1" applyFill="1" applyBorder="1" applyAlignment="1">
      <alignment horizontal="center"/>
    </xf>
    <xf numFmtId="164" fontId="72" fillId="0" borderId="90" xfId="7" applyNumberFormat="1" applyFont="1" applyFill="1" applyBorder="1" applyAlignment="1">
      <alignment horizontal="center"/>
    </xf>
    <xf numFmtId="3" fontId="72" fillId="0" borderId="109" xfId="0" applyNumberFormat="1" applyFont="1" applyBorder="1" applyAlignment="1">
      <alignment horizontal="center"/>
    </xf>
    <xf numFmtId="1" fontId="72" fillId="0" borderId="107" xfId="0" applyNumberFormat="1" applyFont="1" applyBorder="1" applyAlignment="1">
      <alignment horizontal="center"/>
    </xf>
    <xf numFmtId="164" fontId="72" fillId="0" borderId="107" xfId="7" applyNumberFormat="1" applyFont="1" applyFill="1" applyBorder="1" applyAlignment="1">
      <alignment horizontal="center"/>
    </xf>
    <xf numFmtId="2" fontId="72" fillId="0" borderId="107" xfId="0" applyNumberFormat="1" applyFont="1" applyBorder="1" applyAlignment="1">
      <alignment horizontal="center"/>
    </xf>
    <xf numFmtId="169" fontId="72" fillId="0" borderId="90" xfId="3" applyNumberFormat="1" applyFont="1" applyFill="1" applyBorder="1" applyAlignment="1">
      <alignment horizontal="center"/>
    </xf>
    <xf numFmtId="1" fontId="72" fillId="0" borderId="103" xfId="0" applyNumberFormat="1" applyFont="1" applyBorder="1" applyAlignment="1">
      <alignment horizontal="center"/>
    </xf>
    <xf numFmtId="1" fontId="72" fillId="0" borderId="104" xfId="0" applyNumberFormat="1" applyFont="1" applyBorder="1" applyAlignment="1">
      <alignment horizontal="center"/>
    </xf>
    <xf numFmtId="164" fontId="72" fillId="0" borderId="104" xfId="7" applyNumberFormat="1" applyFont="1" applyFill="1" applyBorder="1" applyAlignment="1">
      <alignment horizontal="center"/>
    </xf>
    <xf numFmtId="164" fontId="72" fillId="0" borderId="105" xfId="7" applyNumberFormat="1" applyFont="1" applyFill="1" applyBorder="1" applyAlignment="1">
      <alignment horizontal="center"/>
    </xf>
    <xf numFmtId="3" fontId="72" fillId="0" borderId="98" xfId="0" applyNumberFormat="1" applyFont="1" applyBorder="1" applyAlignment="1">
      <alignment horizontal="center" vertical="center"/>
    </xf>
    <xf numFmtId="174" fontId="9" fillId="0" borderId="133" xfId="0" applyNumberFormat="1" applyFont="1" applyBorder="1" applyAlignment="1">
      <alignment horizontal="center" vertical="center" wrapText="1"/>
    </xf>
    <xf numFmtId="174" fontId="9" fillId="0" borderId="134" xfId="0" applyNumberFormat="1" applyFont="1" applyBorder="1" applyAlignment="1">
      <alignment horizontal="center" vertical="center" wrapText="1"/>
    </xf>
    <xf numFmtId="174" fontId="9" fillId="0" borderId="135" xfId="0" applyNumberFormat="1" applyFont="1" applyBorder="1" applyAlignment="1">
      <alignment horizontal="center" vertical="center" wrapText="1"/>
    </xf>
    <xf numFmtId="3" fontId="12" fillId="0" borderId="116" xfId="0" applyNumberFormat="1" applyFont="1" applyBorder="1" applyAlignment="1">
      <alignment horizontal="center"/>
    </xf>
    <xf numFmtId="37" fontId="12" fillId="0" borderId="115" xfId="3" applyNumberFormat="1" applyFont="1" applyFill="1" applyBorder="1" applyAlignment="1">
      <alignment horizontal="center"/>
    </xf>
    <xf numFmtId="5" fontId="12" fillId="0" borderId="115" xfId="0" applyNumberFormat="1" applyFont="1" applyBorder="1" applyAlignment="1">
      <alignment horizontal="center"/>
    </xf>
    <xf numFmtId="5" fontId="12" fillId="0" borderId="137" xfId="0" applyNumberFormat="1" applyFont="1" applyBorder="1" applyAlignment="1">
      <alignment horizontal="center"/>
    </xf>
    <xf numFmtId="3" fontId="12" fillId="0" borderId="10" xfId="0" applyNumberFormat="1" applyFont="1" applyBorder="1" applyAlignment="1">
      <alignment horizontal="center"/>
    </xf>
    <xf numFmtId="37" fontId="12" fillId="0" borderId="8" xfId="3" applyNumberFormat="1" applyFont="1" applyFill="1" applyBorder="1" applyAlignment="1">
      <alignment horizontal="center"/>
    </xf>
    <xf numFmtId="5" fontId="12" fillId="0" borderId="8" xfId="0" applyNumberFormat="1" applyFont="1" applyBorder="1" applyAlignment="1">
      <alignment horizontal="center"/>
    </xf>
    <xf numFmtId="5" fontId="12" fillId="0" borderId="139" xfId="0" applyNumberFormat="1" applyFont="1" applyBorder="1" applyAlignment="1">
      <alignment horizontal="center"/>
    </xf>
    <xf numFmtId="3" fontId="12" fillId="0" borderId="141" xfId="0" applyNumberFormat="1" applyFont="1" applyBorder="1" applyAlignment="1">
      <alignment horizontal="center"/>
    </xf>
    <xf numFmtId="37" fontId="12" fillId="0" borderId="69" xfId="3" applyNumberFormat="1" applyFont="1" applyFill="1" applyBorder="1" applyAlignment="1">
      <alignment horizontal="center"/>
    </xf>
    <xf numFmtId="5" fontId="12" fillId="0" borderId="69" xfId="0" applyNumberFormat="1" applyFont="1" applyBorder="1" applyAlignment="1">
      <alignment horizontal="center"/>
    </xf>
    <xf numFmtId="5" fontId="12" fillId="0" borderId="142" xfId="0" applyNumberFormat="1" applyFont="1" applyBorder="1" applyAlignment="1">
      <alignment horizontal="center"/>
    </xf>
    <xf numFmtId="5" fontId="12" fillId="0" borderId="143" xfId="0" applyNumberFormat="1" applyFont="1" applyBorder="1" applyAlignment="1">
      <alignment horizontal="center"/>
    </xf>
    <xf numFmtId="5" fontId="12" fillId="0" borderId="144" xfId="0" applyNumberFormat="1" applyFont="1" applyBorder="1" applyAlignment="1">
      <alignment horizontal="center"/>
    </xf>
    <xf numFmtId="3" fontId="12" fillId="0" borderId="146" xfId="0" applyNumberFormat="1" applyFont="1" applyBorder="1" applyAlignment="1">
      <alignment horizontal="center"/>
    </xf>
    <xf numFmtId="37" fontId="12" fillId="0" borderId="146" xfId="3" applyNumberFormat="1" applyFont="1" applyFill="1" applyBorder="1" applyAlignment="1">
      <alignment horizontal="center"/>
    </xf>
    <xf numFmtId="5" fontId="12" fillId="0" borderId="146" xfId="0" applyNumberFormat="1" applyFont="1" applyBorder="1" applyAlignment="1">
      <alignment horizontal="center"/>
    </xf>
    <xf numFmtId="5" fontId="12" fillId="0" borderId="147" xfId="0" applyNumberFormat="1" applyFont="1" applyBorder="1" applyAlignment="1">
      <alignment horizontal="center"/>
    </xf>
    <xf numFmtId="44" fontId="116" fillId="0" borderId="0" xfId="0" applyNumberFormat="1" applyFont="1"/>
    <xf numFmtId="0" fontId="116" fillId="0" borderId="0" xfId="0" applyFont="1"/>
    <xf numFmtId="167" fontId="116" fillId="0" borderId="0" xfId="0" applyNumberFormat="1" applyFont="1"/>
    <xf numFmtId="3" fontId="116" fillId="0" borderId="0" xfId="0" applyNumberFormat="1" applyFont="1"/>
    <xf numFmtId="6" fontId="116" fillId="0" borderId="0" xfId="0" applyNumberFormat="1" applyFont="1"/>
    <xf numFmtId="4" fontId="12" fillId="0" borderId="0" xfId="0" applyNumberFormat="1" applyFont="1" applyAlignment="1">
      <alignment horizontal="center" vertical="center"/>
    </xf>
    <xf numFmtId="3" fontId="12" fillId="0" borderId="0" xfId="0" applyNumberFormat="1" applyFont="1" applyAlignment="1">
      <alignment vertical="top" wrapText="1"/>
    </xf>
    <xf numFmtId="169" fontId="0" fillId="0" borderId="8" xfId="0" applyNumberFormat="1" applyBorder="1"/>
    <xf numFmtId="0" fontId="75" fillId="0" borderId="9" xfId="0" applyFont="1" applyBorder="1" applyAlignment="1">
      <alignment horizontal="center" vertical="center" wrapText="1" readingOrder="1"/>
    </xf>
    <xf numFmtId="0" fontId="117" fillId="0" borderId="0" xfId="0" applyFont="1" applyAlignment="1">
      <alignment vertical="center" wrapText="1"/>
    </xf>
    <xf numFmtId="2" fontId="117" fillId="0" borderId="0" xfId="0" applyNumberFormat="1" applyFont="1" applyAlignment="1">
      <alignment horizontal="center" vertical="center" wrapText="1"/>
    </xf>
    <xf numFmtId="0" fontId="117" fillId="0" borderId="0" xfId="0" applyFont="1" applyAlignment="1">
      <alignment horizontal="center" vertical="center" wrapText="1"/>
    </xf>
    <xf numFmtId="1" fontId="117" fillId="0" borderId="0" xfId="0" applyNumberFormat="1" applyFont="1" applyAlignment="1">
      <alignment horizontal="center" vertical="center" wrapText="1"/>
    </xf>
    <xf numFmtId="0" fontId="118" fillId="0" borderId="0" xfId="0" applyFont="1" applyAlignment="1">
      <alignment vertical="center" wrapText="1"/>
    </xf>
    <xf numFmtId="3" fontId="118" fillId="0" borderId="0" xfId="0" applyNumberFormat="1" applyFont="1" applyAlignment="1">
      <alignment horizontal="center" vertical="center" wrapText="1"/>
    </xf>
    <xf numFmtId="0" fontId="118" fillId="0" borderId="0" xfId="0" applyFont="1" applyAlignment="1">
      <alignment horizontal="center" vertical="center" wrapText="1"/>
    </xf>
    <xf numFmtId="0" fontId="10" fillId="6" borderId="115" xfId="0" applyFont="1" applyFill="1" applyBorder="1" applyAlignment="1">
      <alignment horizontal="center" vertical="center"/>
    </xf>
    <xf numFmtId="2" fontId="72" fillId="0" borderId="104" xfId="0" applyNumberFormat="1" applyFont="1" applyBorder="1" applyAlignment="1">
      <alignment horizontal="center"/>
    </xf>
    <xf numFmtId="0" fontId="33" fillId="6" borderId="53" xfId="0" applyFont="1" applyFill="1" applyBorder="1" applyAlignment="1">
      <alignment horizontal="left" vertical="center" wrapText="1"/>
    </xf>
    <xf numFmtId="167" fontId="6" fillId="17" borderId="6" xfId="0" applyNumberFormat="1" applyFont="1" applyFill="1" applyBorder="1" applyAlignment="1">
      <alignment vertical="center"/>
    </xf>
    <xf numFmtId="167" fontId="0" fillId="0" borderId="9" xfId="0" applyNumberFormat="1" applyFill="1" applyBorder="1"/>
    <xf numFmtId="167" fontId="0" fillId="0" borderId="8" xfId="0" applyNumberFormat="1" applyFill="1" applyBorder="1"/>
    <xf numFmtId="0" fontId="5" fillId="0" borderId="68" xfId="0" applyFont="1" applyFill="1" applyBorder="1"/>
    <xf numFmtId="0" fontId="5" fillId="0" borderId="82" xfId="0" applyFont="1" applyFill="1" applyBorder="1"/>
    <xf numFmtId="0" fontId="4" fillId="2"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9" borderId="38" xfId="0" applyFont="1" applyFill="1" applyBorder="1" applyAlignment="1">
      <alignment horizontal="center"/>
    </xf>
    <xf numFmtId="0" fontId="4" fillId="9" borderId="39" xfId="0" applyFont="1" applyFill="1" applyBorder="1" applyAlignment="1">
      <alignment horizontal="center"/>
    </xf>
    <xf numFmtId="0" fontId="4" fillId="9" borderId="40" xfId="0" applyFont="1" applyFill="1" applyBorder="1" applyAlignment="1">
      <alignment horizontal="center"/>
    </xf>
    <xf numFmtId="0" fontId="5" fillId="0" borderId="0" xfId="0" applyFont="1" applyAlignment="1">
      <alignment horizontal="left" wrapText="1"/>
    </xf>
    <xf numFmtId="0" fontId="13" fillId="0" borderId="11" xfId="0" applyFont="1" applyBorder="1" applyAlignment="1">
      <alignment horizontal="center" vertical="center"/>
    </xf>
    <xf numFmtId="0" fontId="13" fillId="0" borderId="16"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2"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28" xfId="0" applyFont="1" applyBorder="1" applyAlignment="1">
      <alignment horizontal="center" vertical="center"/>
    </xf>
    <xf numFmtId="0" fontId="13" fillId="0" borderId="26" xfId="0" applyFont="1" applyBorder="1" applyAlignment="1">
      <alignment horizontal="center" vertical="center" wrapText="1"/>
    </xf>
    <xf numFmtId="0" fontId="13" fillId="0" borderId="27" xfId="0" applyFont="1" applyBorder="1" applyAlignment="1">
      <alignment horizontal="center" vertical="center" wrapText="1"/>
    </xf>
    <xf numFmtId="0" fontId="14" fillId="5" borderId="29" xfId="0" applyFont="1" applyFill="1" applyBorder="1" applyAlignment="1">
      <alignment horizontal="center" vertical="center"/>
    </xf>
    <xf numFmtId="0" fontId="14" fillId="5" borderId="30" xfId="0" applyFont="1" applyFill="1" applyBorder="1" applyAlignment="1">
      <alignment horizontal="center" vertical="center"/>
    </xf>
    <xf numFmtId="0" fontId="14" fillId="5" borderId="29"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3" fillId="0" borderId="31" xfId="0" applyFont="1" applyBorder="1" applyAlignment="1">
      <alignment horizontal="center" vertical="center" wrapText="1"/>
    </xf>
    <xf numFmtId="0" fontId="13" fillId="0" borderId="32" xfId="0" applyFont="1" applyBorder="1" applyAlignment="1">
      <alignment horizontal="center" vertical="center" wrapText="1"/>
    </xf>
    <xf numFmtId="44" fontId="13" fillId="0" borderId="29" xfId="0" applyNumberFormat="1" applyFont="1" applyBorder="1" applyAlignment="1">
      <alignment horizontal="center" vertical="center"/>
    </xf>
    <xf numFmtId="8" fontId="13" fillId="0" borderId="30" xfId="0" applyNumberFormat="1" applyFont="1" applyBorder="1" applyAlignment="1">
      <alignment horizontal="center" vertical="center"/>
    </xf>
    <xf numFmtId="8" fontId="13" fillId="0" borderId="29" xfId="0" applyNumberFormat="1" applyFont="1" applyBorder="1" applyAlignment="1">
      <alignment horizontal="center" vertical="center"/>
    </xf>
    <xf numFmtId="0" fontId="0" fillId="0" borderId="33" xfId="0" applyBorder="1" applyAlignment="1">
      <alignment vertical="top" wrapText="1"/>
    </xf>
    <xf numFmtId="0" fontId="0" fillId="0" borderId="18" xfId="0" applyBorder="1" applyAlignment="1">
      <alignment vertical="top" wrapText="1"/>
    </xf>
    <xf numFmtId="0" fontId="0" fillId="0" borderId="63" xfId="0" applyBorder="1" applyAlignment="1">
      <alignment horizontal="left" wrapText="1"/>
    </xf>
    <xf numFmtId="0" fontId="0" fillId="0" borderId="0" xfId="0" applyAlignment="1">
      <alignment horizontal="left" wrapText="1"/>
    </xf>
    <xf numFmtId="0" fontId="0" fillId="0" borderId="2" xfId="0" applyBorder="1" applyAlignment="1">
      <alignment horizontal="center" wrapText="1"/>
    </xf>
    <xf numFmtId="0" fontId="0" fillId="0" borderId="58" xfId="0" applyBorder="1" applyAlignment="1">
      <alignment horizontal="center"/>
    </xf>
    <xf numFmtId="0" fontId="0" fillId="0" borderId="3" xfId="0" applyBorder="1" applyAlignment="1">
      <alignment horizontal="center"/>
    </xf>
    <xf numFmtId="0" fontId="74" fillId="0" borderId="2" xfId="0" applyFont="1" applyBorder="1" applyAlignment="1">
      <alignment horizontal="center" vertical="center" wrapText="1" readingOrder="1"/>
    </xf>
    <xf numFmtId="0" fontId="74" fillId="0" borderId="3" xfId="0" applyFont="1" applyBorder="1" applyAlignment="1">
      <alignment horizontal="center" vertical="center" wrapText="1" readingOrder="1"/>
    </xf>
    <xf numFmtId="0" fontId="74" fillId="0" borderId="44" xfId="0" applyFont="1" applyBorder="1" applyAlignment="1">
      <alignment horizontal="center" vertical="center" wrapText="1" readingOrder="1"/>
    </xf>
    <xf numFmtId="0" fontId="74" fillId="0" borderId="45" xfId="0" applyFont="1" applyBorder="1" applyAlignment="1">
      <alignment horizontal="center" vertical="center" wrapText="1" readingOrder="1"/>
    </xf>
    <xf numFmtId="0" fontId="74" fillId="0" borderId="46" xfId="0" applyFont="1" applyBorder="1" applyAlignment="1">
      <alignment horizontal="center" vertical="center" wrapText="1" readingOrder="1"/>
    </xf>
    <xf numFmtId="0" fontId="59" fillId="0" borderId="0" xfId="0" applyFont="1" applyAlignment="1">
      <alignment horizontal="left" vertical="center" wrapText="1"/>
    </xf>
    <xf numFmtId="0" fontId="0" fillId="0" borderId="62" xfId="0" applyBorder="1" applyAlignment="1">
      <alignment vertical="top" wrapText="1"/>
    </xf>
    <xf numFmtId="0" fontId="13" fillId="0" borderId="64" xfId="0" applyFont="1" applyBorder="1" applyAlignment="1">
      <alignment horizontal="center" vertical="center" wrapText="1"/>
    </xf>
    <xf numFmtId="0" fontId="13" fillId="0" borderId="65"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18" xfId="0" applyFont="1" applyBorder="1" applyAlignment="1">
      <alignment horizontal="center" vertical="center" wrapText="1"/>
    </xf>
    <xf numFmtId="0" fontId="7" fillId="0" borderId="0" xfId="0" applyFont="1" applyAlignment="1">
      <alignment horizontal="left" vertical="top" wrapText="1"/>
    </xf>
    <xf numFmtId="0" fontId="16" fillId="5" borderId="34" xfId="0" applyFont="1" applyFill="1" applyBorder="1" applyAlignment="1">
      <alignment horizontal="left" vertical="center" wrapText="1"/>
    </xf>
    <xf numFmtId="0" fontId="49" fillId="3" borderId="9" xfId="0" applyFont="1" applyFill="1" applyBorder="1" applyAlignment="1">
      <alignment horizontal="center" vertical="center" wrapText="1"/>
    </xf>
    <xf numFmtId="0" fontId="49" fillId="3" borderId="10" xfId="0" applyFont="1" applyFill="1" applyBorder="1" applyAlignment="1">
      <alignment horizontal="center" vertical="center" wrapText="1"/>
    </xf>
    <xf numFmtId="0" fontId="19" fillId="0" borderId="0" xfId="0" applyFont="1" applyAlignment="1">
      <alignment horizontal="left" vertical="top" wrapText="1"/>
    </xf>
    <xf numFmtId="0" fontId="10" fillId="3" borderId="8" xfId="0" applyFont="1" applyFill="1" applyBorder="1" applyAlignment="1">
      <alignment horizontal="center" vertical="center"/>
    </xf>
    <xf numFmtId="0" fontId="10" fillId="6" borderId="8" xfId="0" applyFont="1" applyFill="1" applyBorder="1" applyAlignment="1">
      <alignment horizontal="center" vertical="center"/>
    </xf>
    <xf numFmtId="165" fontId="2" fillId="0" borderId="0" xfId="0" applyNumberFormat="1" applyFont="1" applyAlignment="1">
      <alignment horizontal="center"/>
    </xf>
    <xf numFmtId="0" fontId="10" fillId="6" borderId="43" xfId="0" applyFont="1" applyFill="1" applyBorder="1" applyAlignment="1">
      <alignment horizontal="center" vertical="center"/>
    </xf>
    <xf numFmtId="0" fontId="10" fillId="6" borderId="63" xfId="0" applyFont="1" applyFill="1" applyBorder="1" applyAlignment="1">
      <alignment horizontal="center" vertical="center"/>
    </xf>
    <xf numFmtId="0" fontId="19" fillId="0" borderId="0" xfId="0" applyFont="1" applyAlignment="1">
      <alignment horizontal="left" vertical="top"/>
    </xf>
    <xf numFmtId="0" fontId="54" fillId="0" borderId="0" xfId="0" applyFont="1" applyAlignment="1">
      <alignment horizontal="left" vertical="top" wrapText="1"/>
    </xf>
    <xf numFmtId="0" fontId="10" fillId="6" borderId="67" xfId="0" applyFont="1" applyFill="1" applyBorder="1" applyAlignment="1">
      <alignment horizontal="center" vertical="center"/>
    </xf>
    <xf numFmtId="0" fontId="10" fillId="6" borderId="0" xfId="0" applyFont="1" applyFill="1" applyAlignment="1">
      <alignment horizontal="center" vertical="center"/>
    </xf>
    <xf numFmtId="0" fontId="63" fillId="0" borderId="0" xfId="0" applyFont="1" applyAlignment="1">
      <alignment horizontal="left" vertical="center" wrapText="1"/>
    </xf>
    <xf numFmtId="0" fontId="10" fillId="3" borderId="9" xfId="0" applyFont="1" applyFill="1" applyBorder="1" applyAlignment="1">
      <alignment horizontal="center" vertical="center"/>
    </xf>
    <xf numFmtId="0" fontId="10" fillId="6" borderId="9" xfId="0" applyFont="1" applyFill="1" applyBorder="1" applyAlignment="1">
      <alignment horizontal="center" vertical="center"/>
    </xf>
    <xf numFmtId="0" fontId="10" fillId="6" borderId="10" xfId="0" applyFont="1" applyFill="1" applyBorder="1" applyAlignment="1">
      <alignment horizontal="center" vertical="center"/>
    </xf>
    <xf numFmtId="0" fontId="69" fillId="0" borderId="51" xfId="0" applyFont="1" applyBorder="1" applyAlignment="1">
      <alignment horizontal="center" vertical="top"/>
    </xf>
    <xf numFmtId="1" fontId="70" fillId="11" borderId="2" xfId="0" applyNumberFormat="1" applyFont="1" applyFill="1" applyBorder="1" applyAlignment="1">
      <alignment horizontal="center"/>
    </xf>
    <xf numFmtId="1" fontId="70" fillId="11" borderId="58" xfId="0" applyNumberFormat="1" applyFont="1" applyFill="1" applyBorder="1" applyAlignment="1">
      <alignment horizontal="center"/>
    </xf>
    <xf numFmtId="1" fontId="70" fillId="11" borderId="3" xfId="0" applyNumberFormat="1" applyFont="1" applyFill="1" applyBorder="1" applyAlignment="1">
      <alignment horizontal="center"/>
    </xf>
    <xf numFmtId="1" fontId="70" fillId="0" borderId="2" xfId="0" applyNumberFormat="1" applyFont="1" applyBorder="1" applyAlignment="1">
      <alignment horizontal="center"/>
    </xf>
    <xf numFmtId="1" fontId="70" fillId="0" borderId="58" xfId="0" applyNumberFormat="1" applyFont="1" applyBorder="1" applyAlignment="1">
      <alignment horizontal="center"/>
    </xf>
    <xf numFmtId="1" fontId="70" fillId="0" borderId="3" xfId="0" applyNumberFormat="1" applyFont="1" applyBorder="1" applyAlignment="1">
      <alignment horizontal="center"/>
    </xf>
    <xf numFmtId="174" fontId="105" fillId="0" borderId="51" xfId="0" applyNumberFormat="1" applyFont="1" applyBorder="1" applyAlignment="1">
      <alignment horizontal="center" wrapText="1"/>
    </xf>
    <xf numFmtId="0" fontId="9" fillId="0" borderId="0" xfId="0" applyFont="1" applyAlignment="1">
      <alignment horizontal="center" vertical="top"/>
    </xf>
    <xf numFmtId="1" fontId="105" fillId="0" borderId="51" xfId="0" applyNumberFormat="1" applyFont="1" applyBorder="1" applyAlignment="1">
      <alignment horizontal="center" vertical="center" wrapText="1"/>
    </xf>
    <xf numFmtId="0" fontId="12" fillId="22" borderId="165" xfId="0" applyFont="1" applyFill="1" applyBorder="1" applyAlignment="1" applyProtection="1">
      <alignment horizontal="center" vertical="center"/>
      <protection locked="0"/>
    </xf>
    <xf numFmtId="0" fontId="12" fillId="22" borderId="139" xfId="0" applyFont="1" applyFill="1" applyBorder="1" applyAlignment="1" applyProtection="1">
      <alignment horizontal="center" vertical="center"/>
      <protection locked="0"/>
    </xf>
    <xf numFmtId="0" fontId="12" fillId="22" borderId="8" xfId="0" applyFont="1" applyFill="1" applyBorder="1" applyAlignment="1" applyProtection="1">
      <alignment horizontal="center" vertical="center"/>
      <protection locked="0"/>
    </xf>
    <xf numFmtId="0" fontId="12" fillId="22" borderId="169" xfId="0" applyFont="1" applyFill="1" applyBorder="1" applyAlignment="1" applyProtection="1">
      <alignment horizontal="center" vertical="center"/>
      <protection locked="0"/>
    </xf>
    <xf numFmtId="0" fontId="12" fillId="22" borderId="41" xfId="0" applyFont="1" applyFill="1" applyBorder="1" applyAlignment="1" applyProtection="1">
      <alignment horizontal="center" vertical="center"/>
      <protection locked="0"/>
    </xf>
    <xf numFmtId="0" fontId="12" fillId="22" borderId="170" xfId="0" applyFont="1" applyFill="1" applyBorder="1" applyAlignment="1" applyProtection="1">
      <alignment horizontal="center" vertical="center"/>
      <protection locked="0"/>
    </xf>
    <xf numFmtId="174" fontId="12" fillId="22" borderId="158" xfId="0" applyNumberFormat="1" applyFont="1" applyFill="1" applyBorder="1" applyAlignment="1">
      <alignment horizontal="left" vertical="center" wrapText="1"/>
    </xf>
    <xf numFmtId="174" fontId="12" fillId="22" borderId="158" xfId="0" applyNumberFormat="1" applyFont="1" applyFill="1" applyBorder="1" applyAlignment="1">
      <alignment vertical="center" wrapText="1"/>
    </xf>
    <xf numFmtId="174" fontId="107" fillId="22" borderId="0" xfId="0" applyNumberFormat="1" applyFont="1" applyFill="1" applyAlignment="1">
      <alignment horizontal="center" wrapText="1"/>
    </xf>
    <xf numFmtId="174" fontId="107" fillId="22" borderId="51" xfId="0" applyNumberFormat="1" applyFont="1" applyFill="1" applyBorder="1" applyAlignment="1">
      <alignment horizontal="center" wrapText="1"/>
    </xf>
    <xf numFmtId="174" fontId="9" fillId="11" borderId="152" xfId="0" applyNumberFormat="1" applyFont="1" applyFill="1" applyBorder="1" applyAlignment="1">
      <alignment horizontal="center"/>
    </xf>
    <xf numFmtId="174" fontId="9" fillId="11" borderId="37" xfId="0" applyNumberFormat="1" applyFont="1" applyFill="1" applyBorder="1" applyAlignment="1">
      <alignment horizontal="center"/>
    </xf>
    <xf numFmtId="174" fontId="9" fillId="11" borderId="153" xfId="0" applyNumberFormat="1" applyFont="1" applyFill="1" applyBorder="1" applyAlignment="1">
      <alignment horizontal="center"/>
    </xf>
    <xf numFmtId="174" fontId="12" fillId="22" borderId="160" xfId="0" applyNumberFormat="1" applyFont="1" applyFill="1" applyBorder="1" applyAlignment="1">
      <alignment horizontal="center" vertical="center" wrapText="1"/>
    </xf>
    <xf numFmtId="174" fontId="12" fillId="22" borderId="63" xfId="0" applyNumberFormat="1" applyFont="1" applyFill="1" applyBorder="1" applyAlignment="1">
      <alignment horizontal="center" vertical="center" wrapText="1"/>
    </xf>
    <xf numFmtId="174" fontId="12" fillId="22" borderId="161" xfId="0" applyNumberFormat="1" applyFont="1" applyFill="1" applyBorder="1" applyAlignment="1">
      <alignment horizontal="center" vertical="center" wrapText="1"/>
    </xf>
    <xf numFmtId="0" fontId="12" fillId="22" borderId="9" xfId="0" applyFont="1" applyFill="1" applyBorder="1" applyAlignment="1" applyProtection="1">
      <alignment horizontal="center" vertical="center"/>
      <protection locked="0"/>
    </xf>
    <xf numFmtId="174" fontId="9" fillId="11" borderId="181" xfId="0" applyNumberFormat="1" applyFont="1" applyFill="1" applyBorder="1" applyAlignment="1">
      <alignment horizontal="center"/>
    </xf>
    <xf numFmtId="174" fontId="9" fillId="11" borderId="182" xfId="0" applyNumberFormat="1" applyFont="1" applyFill="1" applyBorder="1" applyAlignment="1">
      <alignment horizontal="center"/>
    </xf>
    <xf numFmtId="174" fontId="9" fillId="11" borderId="183" xfId="0" applyNumberFormat="1" applyFont="1" applyFill="1" applyBorder="1" applyAlignment="1">
      <alignment horizontal="center"/>
    </xf>
    <xf numFmtId="0" fontId="73" fillId="0" borderId="45" xfId="0" applyFont="1" applyBorder="1" applyAlignment="1">
      <alignment horizontal="left" vertical="top" wrapText="1"/>
    </xf>
    <xf numFmtId="0" fontId="73" fillId="0" borderId="0" xfId="0" applyFont="1" applyAlignment="1">
      <alignment horizontal="left" vertical="top" wrapText="1"/>
    </xf>
    <xf numFmtId="0" fontId="26" fillId="6" borderId="8" xfId="1" applyFont="1" applyFill="1" applyBorder="1" applyAlignment="1">
      <alignment horizontal="center"/>
    </xf>
    <xf numFmtId="0" fontId="21" fillId="0" borderId="8" xfId="1" applyFont="1" applyBorder="1" applyAlignment="1">
      <alignment horizontal="left"/>
    </xf>
    <xf numFmtId="0" fontId="21" fillId="0" borderId="47" xfId="1" applyFont="1" applyBorder="1" applyAlignment="1">
      <alignment horizontal="left" vertical="top" wrapText="1"/>
    </xf>
    <xf numFmtId="0" fontId="21" fillId="0" borderId="48" xfId="1" applyFont="1" applyBorder="1" applyAlignment="1">
      <alignment horizontal="left" vertical="top" wrapText="1"/>
    </xf>
    <xf numFmtId="0" fontId="25" fillId="0" borderId="0" xfId="1" applyFont="1" applyAlignment="1">
      <alignment horizontal="left" vertical="top" wrapText="1"/>
    </xf>
    <xf numFmtId="0" fontId="40" fillId="8" borderId="1" xfId="0" applyFont="1" applyFill="1" applyBorder="1" applyAlignment="1">
      <alignment horizontal="center" vertical="center" wrapText="1"/>
    </xf>
    <xf numFmtId="0" fontId="40" fillId="8" borderId="56" xfId="0" applyFont="1" applyFill="1" applyBorder="1" applyAlignment="1">
      <alignment horizontal="center" vertical="center" wrapText="1"/>
    </xf>
    <xf numFmtId="0" fontId="40" fillId="8" borderId="2" xfId="0" applyFont="1" applyFill="1" applyBorder="1" applyAlignment="1">
      <alignment horizontal="center" vertical="center" wrapText="1"/>
    </xf>
    <xf numFmtId="0" fontId="40" fillId="8" borderId="58" xfId="0" applyFont="1" applyFill="1" applyBorder="1" applyAlignment="1">
      <alignment horizontal="center" vertical="center" wrapText="1"/>
    </xf>
    <xf numFmtId="0" fontId="40" fillId="8" borderId="57" xfId="0" applyFont="1" applyFill="1" applyBorder="1" applyAlignment="1">
      <alignment horizontal="center" vertical="center" wrapText="1"/>
    </xf>
    <xf numFmtId="0" fontId="10" fillId="6" borderId="43" xfId="0" applyFont="1" applyFill="1" applyBorder="1" applyAlignment="1">
      <alignment horizontal="center"/>
    </xf>
    <xf numFmtId="0" fontId="10" fillId="6" borderId="63" xfId="0" applyFont="1" applyFill="1" applyBorder="1" applyAlignment="1">
      <alignment horizontal="center"/>
    </xf>
    <xf numFmtId="165" fontId="2" fillId="0" borderId="129" xfId="0" applyNumberFormat="1" applyFont="1" applyBorder="1" applyAlignment="1">
      <alignment horizontal="center"/>
    </xf>
    <xf numFmtId="0" fontId="47" fillId="0" borderId="0" xfId="0" applyFont="1" applyAlignment="1">
      <alignment horizontal="left" vertical="top"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0" fillId="0" borderId="50" xfId="0" applyBorder="1" applyAlignment="1">
      <alignment horizontal="center"/>
    </xf>
    <xf numFmtId="0" fontId="0" fillId="0" borderId="51" xfId="0" applyBorder="1" applyAlignment="1">
      <alignment horizontal="center"/>
    </xf>
    <xf numFmtId="0" fontId="42" fillId="0" borderId="1" xfId="0" applyFont="1" applyBorder="1" applyAlignment="1">
      <alignment vertical="center" wrapText="1"/>
    </xf>
    <xf numFmtId="0" fontId="42" fillId="0" borderId="5" xfId="0" applyFont="1" applyBorder="1" applyAlignment="1">
      <alignment vertical="center" wrapText="1"/>
    </xf>
    <xf numFmtId="0" fontId="83" fillId="0" borderId="1" xfId="0" applyFont="1" applyBorder="1" applyAlignment="1">
      <alignment horizontal="center" vertical="center" wrapText="1"/>
    </xf>
    <xf numFmtId="0" fontId="83" fillId="0" borderId="4" xfId="0" applyFont="1" applyBorder="1" applyAlignment="1">
      <alignment horizontal="center" vertical="center" wrapText="1"/>
    </xf>
    <xf numFmtId="0" fontId="83" fillId="0" borderId="5" xfId="0" applyFont="1" applyBorder="1" applyAlignment="1">
      <alignment horizontal="center" vertical="center" wrapText="1"/>
    </xf>
    <xf numFmtId="0" fontId="84" fillId="0" borderId="1" xfId="0" applyFont="1" applyBorder="1" applyAlignment="1">
      <alignment horizontal="center" vertical="center" wrapText="1"/>
    </xf>
    <xf numFmtId="0" fontId="84" fillId="0" borderId="4" xfId="0" applyFont="1" applyBorder="1" applyAlignment="1">
      <alignment horizontal="center" vertical="center" wrapText="1"/>
    </xf>
    <xf numFmtId="0" fontId="84" fillId="0" borderId="5" xfId="0" applyFont="1" applyBorder="1" applyAlignment="1">
      <alignment horizontal="center" vertical="center" wrapText="1"/>
    </xf>
    <xf numFmtId="0" fontId="85" fillId="0" borderId="1" xfId="0" applyFont="1" applyBorder="1" applyAlignment="1">
      <alignment horizontal="center" vertical="center" wrapText="1"/>
    </xf>
    <xf numFmtId="0" fontId="85" fillId="0" borderId="4" xfId="0" applyFont="1" applyBorder="1" applyAlignment="1">
      <alignment horizontal="center" vertical="center" wrapText="1"/>
    </xf>
    <xf numFmtId="0" fontId="85" fillId="0" borderId="5" xfId="0" applyFont="1" applyBorder="1" applyAlignment="1">
      <alignment horizontal="center" vertical="center" wrapText="1"/>
    </xf>
    <xf numFmtId="0" fontId="0" fillId="10" borderId="0" xfId="0" applyFill="1" applyAlignment="1">
      <alignment horizontal="left" wrapText="1"/>
    </xf>
    <xf numFmtId="0" fontId="10" fillId="6" borderId="117" xfId="0" applyFont="1" applyFill="1" applyBorder="1" applyAlignment="1">
      <alignment horizontal="center"/>
    </xf>
    <xf numFmtId="0" fontId="38" fillId="0" borderId="0" xfId="0" applyFont="1" applyAlignment="1">
      <alignment horizontal="left" vertical="top" wrapText="1"/>
    </xf>
    <xf numFmtId="3" fontId="5" fillId="0" borderId="2" xfId="9" applyNumberFormat="1" applyFont="1" applyBorder="1" applyAlignment="1">
      <alignment horizontal="center" vertical="center" wrapText="1"/>
    </xf>
    <xf numFmtId="3" fontId="5" fillId="0" borderId="58" xfId="9" applyNumberFormat="1" applyFont="1" applyBorder="1" applyAlignment="1">
      <alignment horizontal="center" vertical="center" wrapText="1"/>
    </xf>
    <xf numFmtId="3" fontId="5" fillId="0" borderId="3" xfId="9" applyNumberFormat="1" applyFont="1" applyBorder="1" applyAlignment="1">
      <alignment horizontal="center" vertical="center" wrapText="1"/>
    </xf>
    <xf numFmtId="0" fontId="5" fillId="17" borderId="90" xfId="9" applyFont="1" applyFill="1" applyBorder="1" applyAlignment="1">
      <alignment horizontal="center" vertical="center" wrapText="1"/>
    </xf>
    <xf numFmtId="0" fontId="5" fillId="17" borderId="1" xfId="9" applyFont="1" applyFill="1" applyBorder="1" applyAlignment="1">
      <alignment horizontal="center" vertical="center" wrapText="1"/>
    </xf>
    <xf numFmtId="0" fontId="5" fillId="17" borderId="5" xfId="9" applyFont="1" applyFill="1" applyBorder="1" applyAlignment="1">
      <alignment horizontal="center" vertical="center" wrapText="1"/>
    </xf>
    <xf numFmtId="170" fontId="16" fillId="17" borderId="1" xfId="3" applyNumberFormat="1" applyFont="1" applyFill="1" applyBorder="1" applyAlignment="1">
      <alignment horizontal="center" vertical="center" wrapText="1"/>
    </xf>
    <xf numFmtId="170" fontId="16" fillId="17" borderId="5" xfId="3" applyNumberFormat="1" applyFont="1" applyFill="1" applyBorder="1" applyAlignment="1">
      <alignment horizontal="center" vertical="center" wrapText="1"/>
    </xf>
    <xf numFmtId="0" fontId="29" fillId="0" borderId="0" xfId="9" applyAlignment="1">
      <alignment horizontal="left" wrapText="1"/>
    </xf>
    <xf numFmtId="0" fontId="100" fillId="0" borderId="0" xfId="9" applyFont="1" applyAlignment="1">
      <alignment horizontal="left" wrapText="1"/>
    </xf>
    <xf numFmtId="0" fontId="29" fillId="0" borderId="45" xfId="9" applyBorder="1" applyAlignment="1">
      <alignment horizontal="left" wrapText="1"/>
    </xf>
    <xf numFmtId="10" fontId="29" fillId="0" borderId="0" xfId="9" applyNumberFormat="1" applyAlignment="1">
      <alignment horizontal="left" wrapText="1"/>
    </xf>
    <xf numFmtId="170" fontId="16" fillId="0" borderId="1" xfId="3" applyNumberFormat="1" applyFont="1" applyBorder="1" applyAlignment="1">
      <alignment horizontal="center" vertical="center" wrapText="1"/>
    </xf>
    <xf numFmtId="170" fontId="16" fillId="0" borderId="5" xfId="3" applyNumberFormat="1" applyFont="1" applyBorder="1" applyAlignment="1">
      <alignment horizontal="center" vertical="center" wrapText="1"/>
    </xf>
    <xf numFmtId="0" fontId="16" fillId="0" borderId="1" xfId="9" applyFont="1" applyBorder="1" applyAlignment="1">
      <alignment horizontal="center" vertical="center" wrapText="1"/>
    </xf>
    <xf numFmtId="0" fontId="16" fillId="0" borderId="5" xfId="9" applyFont="1" applyBorder="1" applyAlignment="1">
      <alignment horizontal="center" vertical="center" wrapText="1"/>
    </xf>
    <xf numFmtId="0" fontId="5" fillId="0" borderId="90" xfId="9" applyFont="1" applyBorder="1" applyAlignment="1">
      <alignment horizontal="center" vertical="center" wrapText="1"/>
    </xf>
    <xf numFmtId="0" fontId="5" fillId="0" borderId="1" xfId="9" applyFont="1" applyBorder="1" applyAlignment="1">
      <alignment horizontal="center" vertical="center" wrapText="1"/>
    </xf>
    <xf numFmtId="0" fontId="5" fillId="0" borderId="5" xfId="9" applyFont="1" applyBorder="1" applyAlignment="1">
      <alignment horizontal="center" vertical="center" wrapText="1"/>
    </xf>
    <xf numFmtId="0" fontId="16" fillId="17" borderId="1" xfId="9" applyFont="1" applyFill="1" applyBorder="1" applyAlignment="1">
      <alignment horizontal="center" vertical="center" wrapText="1"/>
    </xf>
    <xf numFmtId="0" fontId="16" fillId="17" borderId="5" xfId="9" applyFont="1" applyFill="1" applyBorder="1" applyAlignment="1">
      <alignment horizontal="center" vertical="center" wrapText="1"/>
    </xf>
    <xf numFmtId="3" fontId="16" fillId="17" borderId="1" xfId="9" applyNumberFormat="1" applyFont="1" applyFill="1" applyBorder="1" applyAlignment="1">
      <alignment horizontal="center" vertical="center" wrapText="1"/>
    </xf>
    <xf numFmtId="3" fontId="16" fillId="17" borderId="5" xfId="9" applyNumberFormat="1" applyFont="1" applyFill="1" applyBorder="1" applyAlignment="1">
      <alignment horizontal="center" vertical="center" wrapText="1"/>
    </xf>
    <xf numFmtId="170" fontId="16" fillId="19" borderId="1" xfId="3" applyNumberFormat="1" applyFont="1" applyFill="1" applyBorder="1" applyAlignment="1">
      <alignment horizontal="center" vertical="center" wrapText="1"/>
    </xf>
    <xf numFmtId="170" fontId="16" fillId="19" borderId="5" xfId="3" applyNumberFormat="1" applyFont="1" applyFill="1" applyBorder="1" applyAlignment="1">
      <alignment horizontal="center" vertical="center" wrapText="1"/>
    </xf>
    <xf numFmtId="3" fontId="16" fillId="0" borderId="1" xfId="9" applyNumberFormat="1" applyFont="1" applyBorder="1" applyAlignment="1">
      <alignment horizontal="center" vertical="center" wrapText="1"/>
    </xf>
    <xf numFmtId="3" fontId="16" fillId="0" borderId="5" xfId="9" applyNumberFormat="1" applyFont="1" applyBorder="1" applyAlignment="1">
      <alignment horizontal="center" vertical="center" wrapText="1"/>
    </xf>
    <xf numFmtId="0" fontId="0" fillId="10" borderId="63" xfId="0" applyFill="1" applyBorder="1" applyAlignment="1">
      <alignment horizontal="center"/>
    </xf>
    <xf numFmtId="171" fontId="16" fillId="19" borderId="1" xfId="8" applyNumberFormat="1" applyFont="1" applyFill="1" applyBorder="1" applyAlignment="1">
      <alignment horizontal="center" vertical="center" wrapText="1"/>
    </xf>
    <xf numFmtId="171" fontId="16" fillId="19" borderId="5" xfId="8" applyNumberFormat="1" applyFont="1" applyFill="1" applyBorder="1" applyAlignment="1">
      <alignment horizontal="center" vertical="center" wrapText="1"/>
    </xf>
    <xf numFmtId="166" fontId="16" fillId="19" borderId="1" xfId="3" applyNumberFormat="1" applyFont="1" applyFill="1" applyBorder="1" applyAlignment="1">
      <alignment horizontal="center" vertical="center" wrapText="1"/>
    </xf>
    <xf numFmtId="166" fontId="16" fillId="19" borderId="5" xfId="3" applyNumberFormat="1" applyFont="1" applyFill="1" applyBorder="1" applyAlignment="1">
      <alignment horizontal="center" vertical="center" wrapText="1"/>
    </xf>
    <xf numFmtId="9" fontId="16" fillId="19" borderId="1" xfId="8" applyFont="1" applyFill="1" applyBorder="1" applyAlignment="1">
      <alignment horizontal="center" vertical="center" wrapText="1"/>
    </xf>
    <xf numFmtId="9" fontId="16" fillId="19" borderId="5" xfId="8" applyFont="1" applyFill="1" applyBorder="1" applyAlignment="1">
      <alignment horizontal="center" vertical="center" wrapText="1"/>
    </xf>
    <xf numFmtId="0" fontId="0" fillId="0" borderId="51" xfId="0" applyBorder="1" applyAlignment="1">
      <alignment horizontal="left" vertical="center" wrapText="1"/>
    </xf>
    <xf numFmtId="0" fontId="4" fillId="15" borderId="1" xfId="9" applyFont="1" applyFill="1" applyBorder="1" applyAlignment="1">
      <alignment horizontal="center" vertical="center" wrapText="1"/>
    </xf>
    <xf numFmtId="0" fontId="4" fillId="15" borderId="5" xfId="9" applyFont="1" applyFill="1" applyBorder="1" applyAlignment="1">
      <alignment horizontal="center" vertical="center" wrapText="1"/>
    </xf>
    <xf numFmtId="0" fontId="4" fillId="15" borderId="2" xfId="9" applyFont="1" applyFill="1" applyBorder="1" applyAlignment="1">
      <alignment horizontal="center" vertical="center" wrapText="1"/>
    </xf>
    <xf numFmtId="0" fontId="4" fillId="15" borderId="58" xfId="9" applyFont="1" applyFill="1" applyBorder="1" applyAlignment="1">
      <alignment horizontal="center" vertical="center" wrapText="1"/>
    </xf>
    <xf numFmtId="0" fontId="4" fillId="15" borderId="4" xfId="9" applyFont="1" applyFill="1" applyBorder="1" applyAlignment="1">
      <alignment horizontal="center" vertical="center" wrapText="1"/>
    </xf>
    <xf numFmtId="0" fontId="4" fillId="15" borderId="3" xfId="9" applyFont="1" applyFill="1" applyBorder="1" applyAlignment="1">
      <alignment horizontal="center" vertical="center" wrapText="1"/>
    </xf>
    <xf numFmtId="0" fontId="33" fillId="0" borderId="51" xfId="9" applyFont="1" applyBorder="1" applyAlignment="1">
      <alignment vertical="center" wrapText="1"/>
    </xf>
    <xf numFmtId="0" fontId="0" fillId="0" borderId="0" xfId="0" applyAlignment="1">
      <alignment horizontal="center" wrapText="1"/>
    </xf>
    <xf numFmtId="170" fontId="4" fillId="15" borderId="2" xfId="3" applyNumberFormat="1" applyFont="1" applyFill="1" applyBorder="1" applyAlignment="1">
      <alignment horizontal="center" vertical="center" wrapText="1"/>
    </xf>
    <xf numFmtId="170" fontId="4" fillId="15" borderId="58" xfId="3" applyNumberFormat="1" applyFont="1" applyFill="1" applyBorder="1" applyAlignment="1">
      <alignment horizontal="center" vertical="center" wrapText="1"/>
    </xf>
    <xf numFmtId="170" fontId="4" fillId="15" borderId="3" xfId="3" applyNumberFormat="1" applyFont="1" applyFill="1" applyBorder="1" applyAlignment="1">
      <alignment horizontal="center" vertical="center" wrapText="1"/>
    </xf>
  </cellXfs>
  <cellStyles count="12">
    <cellStyle name="Comma" xfId="3" builtinId="3"/>
    <cellStyle name="Currency" xfId="4" builtinId="4"/>
    <cellStyle name="Currency 2" xfId="10" xr:uid="{BA7A7170-0BAE-41DD-B427-9F2314B67231}"/>
    <cellStyle name="Currency 2 2" xfId="7" xr:uid="{EA64F66D-AE3A-4EB1-BD01-C452A8DCACE9}"/>
    <cellStyle name="Hyperlink" xfId="5" builtinId="8"/>
    <cellStyle name="Normal" xfId="0" builtinId="0"/>
    <cellStyle name="Normal 2" xfId="9" xr:uid="{1F0B3CE3-C4B8-4DBF-852A-83337A8741C1}"/>
    <cellStyle name="Normal 2 2" xfId="1" xr:uid="{F6FE68B2-9334-499F-BBE2-A84D3F58B63F}"/>
    <cellStyle name="Normal_HMIWI EG SS" xfId="2" xr:uid="{5BA26122-3A5C-4779-84A4-6A8FFB5EE84E}"/>
    <cellStyle name="Normal_IP_Fugitives_Thresholds_Frequency_Methods (3)" xfId="6" xr:uid="{825D4250-2BFB-4EA7-A59A-C4E2F7CA14B0}"/>
    <cellStyle name="Normal_Sheet1" xfId="11" xr:uid="{615B984F-CEDA-4F38-B0E8-26838176F92E}"/>
    <cellStyle name="Percent" xfId="8" builtinId="5"/>
  </cellStyles>
  <dxfs count="23">
    <dxf>
      <numFmt numFmtId="167" formatCode="_(&quot;$&quot;* #,##0_);_(&quot;$&quot;* \(#,##0\);_(&quot;$&quot;* &quot;-&quot;??_);_(@_)"/>
    </dxf>
    <dxf>
      <numFmt numFmtId="167" formatCode="_(&quot;$&quot;* #,##0_);_(&quot;$&quot;* \(#,##0\);_(&quot;$&quot;* &quot;-&quot;??_);_(@_)"/>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numFmt numFmtId="34" formatCode="_(&quot;$&quot;* #,##0.00_);_(&quot;$&quot;* \(#,##0.00\);_(&quot;$&quot;* &quot;-&quot;??_);_(@_)"/>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sheetMetadata" Target="metadata.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pivotCacheDefinition" Target="pivotCache/pivotCacheDefinition2.xml"/><Relationship Id="rId66"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64" Type="http://schemas.microsoft.com/office/2017/10/relationships/person" Target="persons/person.xml"/><Relationship Id="rId69"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pivotCacheDefinition" Target="pivotCache/pivotCacheDefinition3.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pivotCacheDefinition" Target="pivotCache/pivotCacheDefinition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asternresearchgroup.sharepoint.com/sites/GHGRP/Shared%20Documents/General/Rulemaking/Supplemental%20Notice/Impacts/Subpart%20W%20BLP/ERG_New%20W%20Reporters%20by%20segment_MKI_TRC_blp_11-16-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asternresearchgroup.sharepoint.com/sites/GHGRP/Shared%20Documents/General/Rulemaking/Supplemental%20Notice/Impacts/Subpart%20W%20BLP/Subpart%20W%20PKG%201%20SAN%207230%20GHGRP%20NPRM%20Assessment%20of%20Impacts%20Memo_Appendix%20B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 Reporters"/>
      <sheetName val="Sub W Baseline"/>
      <sheetName val="Subpart W Revised"/>
      <sheetName val="2019 ICR"/>
      <sheetName val="2019 ICR_revised rates"/>
      <sheetName val="CEPCI"/>
      <sheetName val="Rates"/>
    </sheetNames>
    <sheetDataSet>
      <sheetData sheetId="0">
        <row r="4">
          <cell r="A4">
            <v>1</v>
          </cell>
          <cell r="B4" t="str">
            <v>Gathering and Boosting</v>
          </cell>
          <cell r="C4">
            <v>361</v>
          </cell>
          <cell r="D4">
            <v>361</v>
          </cell>
          <cell r="E4">
            <v>0</v>
          </cell>
        </row>
        <row r="5">
          <cell r="A5">
            <v>2</v>
          </cell>
          <cell r="B5" t="str">
            <v>LNG Import/Export</v>
          </cell>
          <cell r="C5">
            <v>11</v>
          </cell>
          <cell r="D5">
            <v>11</v>
          </cell>
          <cell r="E5">
            <v>0</v>
          </cell>
        </row>
        <row r="6">
          <cell r="A6">
            <v>3</v>
          </cell>
          <cell r="B6" t="str">
            <v>LNG Storage</v>
          </cell>
          <cell r="C6">
            <v>5</v>
          </cell>
          <cell r="D6">
            <v>6</v>
          </cell>
          <cell r="E6">
            <v>1</v>
          </cell>
        </row>
        <row r="7">
          <cell r="A7">
            <v>4</v>
          </cell>
          <cell r="B7" t="str">
            <v>Natural Gas Distribution</v>
          </cell>
          <cell r="C7">
            <v>164</v>
          </cell>
          <cell r="D7">
            <v>164</v>
          </cell>
          <cell r="E7">
            <v>0</v>
          </cell>
        </row>
        <row r="8">
          <cell r="A8">
            <v>5</v>
          </cell>
          <cell r="B8" t="str">
            <v>Natural Gas Processing</v>
          </cell>
          <cell r="C8">
            <v>462</v>
          </cell>
          <cell r="D8">
            <v>505</v>
          </cell>
          <cell r="E8">
            <v>0</v>
          </cell>
        </row>
        <row r="9">
          <cell r="A9">
            <v>6</v>
          </cell>
          <cell r="B9" t="str">
            <v>Natural Gas Transmission Compression</v>
          </cell>
          <cell r="C9">
            <v>640</v>
          </cell>
          <cell r="D9">
            <v>807</v>
          </cell>
          <cell r="E9">
            <v>14</v>
          </cell>
        </row>
        <row r="10">
          <cell r="A10">
            <v>7</v>
          </cell>
          <cell r="B10" t="str">
            <v>Natural Gas Transmission Pipelines</v>
          </cell>
          <cell r="C10">
            <v>49</v>
          </cell>
          <cell r="D10">
            <v>50</v>
          </cell>
          <cell r="E10">
            <v>1</v>
          </cell>
        </row>
        <row r="11">
          <cell r="A11">
            <v>8</v>
          </cell>
          <cell r="B11" t="str">
            <v>Offshore Production</v>
          </cell>
          <cell r="C11">
            <v>134</v>
          </cell>
          <cell r="D11">
            <v>141</v>
          </cell>
          <cell r="E11">
            <v>7</v>
          </cell>
        </row>
        <row r="12">
          <cell r="A12">
            <v>9</v>
          </cell>
          <cell r="B12" t="str">
            <v>Onshore Production</v>
          </cell>
          <cell r="C12">
            <v>468</v>
          </cell>
          <cell r="D12">
            <v>555</v>
          </cell>
          <cell r="E12">
            <v>42</v>
          </cell>
        </row>
        <row r="13">
          <cell r="A13">
            <v>10</v>
          </cell>
          <cell r="B13" t="str">
            <v>Underground Natural Gas Storage</v>
          </cell>
          <cell r="C13">
            <v>52</v>
          </cell>
          <cell r="D13">
            <v>58</v>
          </cell>
          <cell r="E13">
            <v>3</v>
          </cell>
        </row>
      </sheetData>
      <sheetData sheetId="1"/>
      <sheetData sheetId="2"/>
      <sheetData sheetId="3"/>
      <sheetData sheetId="4"/>
      <sheetData sheetId="5"/>
      <sheetData sheetId="6">
        <row r="7">
          <cell r="J7"/>
        </row>
        <row r="25">
          <cell r="E25">
            <v>79.040075539568335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Workbook Summary"/>
      <sheetName val=" UPDATRespondent Burden-All Yrs"/>
      <sheetName val="EPA-YR1"/>
      <sheetName val="EPA-YR2"/>
      <sheetName val="EPA-YR3"/>
      <sheetName val="Respondent Burden Summary"/>
      <sheetName val="Average Burden by Subpart"/>
      <sheetName val="EPA Burden Summary "/>
      <sheetName val="Bottom-Line Burden"/>
      <sheetName val="FF_old"/>
      <sheetName val="NN"/>
      <sheetName val="Note (1)"/>
      <sheetName val="Cost Summary by Subpart-Year"/>
      <sheetName val="Cost Summary"/>
      <sheetName val="Subpart I (Applicability)"/>
      <sheetName val="Subpart C (Calculations)"/>
      <sheetName val="Subpart P (Monitoring)"/>
      <sheetName val="Subpart W (Monitoring)"/>
      <sheetName val="Subpart UU-VV (Applicability)"/>
      <sheetName val="Reporting Cost Summary"/>
      <sheetName val="C (Data Elements)"/>
      <sheetName val="G (Data Elements) "/>
      <sheetName val="H (Data Elements)"/>
      <sheetName val="I (Data Elements)"/>
      <sheetName val="N (Data Elements)"/>
      <sheetName val="P (Data Elements) "/>
      <sheetName val="Q (Data Elements)  "/>
      <sheetName val="S (Data Elements)"/>
      <sheetName val="W (Data Elements)"/>
      <sheetName val="Subpart P Sampling"/>
      <sheetName val="Subpart Y Sampling"/>
      <sheetName val="Subpart FF Monitoring"/>
      <sheetName val="Note (2)"/>
      <sheetName val="X (Data Elements)"/>
      <sheetName val="Y (Data Elements) "/>
      <sheetName val="BB (Data Elements) "/>
      <sheetName val="DD (Data Elements)  "/>
      <sheetName val="GG (Data Elements) "/>
      <sheetName val="HH (Data Elements) "/>
      <sheetName val="OO (Data Elements)"/>
      <sheetName val="PP (Data Elements)"/>
      <sheetName val="SS (Data Elements)"/>
      <sheetName val=" OLD Rev to Data Elements"/>
      <sheetName val="VV (Data Elements)"/>
      <sheetName val="Sheet1"/>
      <sheetName val=" Inputs"/>
      <sheetName val="C only"/>
      <sheetName val="C plus"/>
      <sheetName val="D"/>
      <sheetName val="G"/>
      <sheetName val="H"/>
      <sheetName val="I"/>
      <sheetName val="N"/>
      <sheetName val="P"/>
      <sheetName val="Q"/>
      <sheetName val="S"/>
      <sheetName val="T"/>
      <sheetName val="U"/>
      <sheetName val="V"/>
      <sheetName val="W_old"/>
      <sheetName val="W"/>
      <sheetName val="Wchange"/>
      <sheetName val="Y"/>
      <sheetName val="DD"/>
      <sheetName val="FF"/>
      <sheetName val="HH"/>
      <sheetName val="II"/>
      <sheetName val="SS"/>
      <sheetName val="TT"/>
      <sheetName val="UPDATE-Input-EPA Burden-Others"/>
      <sheetName val="UPDATEInput-EPABurden-Subpart W"/>
      <sheetName val="Table 3.1.2&amp;Preamb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4">
          <cell r="E4">
            <v>141</v>
          </cell>
        </row>
      </sheetData>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persons/person.xml><?xml version="1.0" encoding="utf-8"?>
<personList xmlns="http://schemas.microsoft.com/office/spreadsheetml/2018/threadedcomments" xmlns:x="http://schemas.openxmlformats.org/spreadsheetml/2006/main">
  <person displayName="Brian Palmer" id="{98A38FC4-2D21-47FF-BB81-468127F7D5DA}" userId="S::Brian.Palmer@erg.com::d08f0a62-c159-450d-a265-2e29e297481e"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easternresearchgroup.sharepoint.com/sites/GHGRP/Shared%20Documents/General/Rulemaking/Supplemental%20Notice/Impacts/Subpart%20W%20BLP/ERG_New%20W%20Reporters%20by%20segment_MKI_TRC_blp_11-16-22.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Brian Palmer" refreshedDate="44936.659215277781" createdVersion="8" refreshedVersion="8" minRefreshableVersion="3" recordCount="319" xr:uid="{6FC0014C-F6E5-4603-84E1-08ADD25DB714}">
  <cacheSource type="worksheet">
    <worksheetSource ref="R11:T330" sheet="2019 ICR_revised rates" r:id="rId2"/>
  </cacheSource>
  <cacheFields count="3">
    <cacheField name="Segment Number" numFmtId="0">
      <sharedItems containsBlank="1" containsMixedTypes="1" containsNumber="1" containsInteger="1" minValue="0" maxValue="10" count="36">
        <n v="5"/>
        <n v="6"/>
        <n v="10"/>
        <n v="2"/>
        <n v="9"/>
        <n v="4"/>
        <n v="3"/>
        <n v="1"/>
        <n v="7"/>
        <n v="8"/>
        <s v="A2. Read Rule, Instructions, Guidance Documents for Subpart A"/>
        <s v="B. Required Activities"/>
        <n v="0"/>
        <s v="C. Create Information (Included in 4B)"/>
        <s v="D. Gather Existing Information (Included in 4E)"/>
        <s v="E. Write Report"/>
        <s v="A. Read Instructions (Included in 4A)"/>
        <s v="B. Plan Activities (Included in 4B)"/>
        <s v="C. Implement Activities (Included in 4B)"/>
        <s v="D. Recordkeeping"/>
        <s v="E. Time to Transmit or Disclose Information (included in 4E)"/>
        <s v="F. Time to Train Personnel (included in 4A)"/>
        <s v="G. Time for Audits (Not Applicable)"/>
        <s v="Recordkeeping costs"/>
        <s v="Acid gas removal units"/>
        <s v="Centrifugal and Reciprocating Compressors--contractor to perform compressor leak measurements"/>
        <s v="Transmission storage tanks--flow meter"/>
        <s v="Transmission storage tanks--acoustic leak detection device"/>
        <s v="Transmission storage tanks--optical gas imaging instrument"/>
        <s v="Transmission storage tanks--high volume sampler"/>
        <s v="Transmission storage tanks--calibrated bag"/>
        <s v="Storage tanks"/>
        <s v="Flare stacks"/>
        <s v="Glycol Dehydrators &gt;= 0.4 million standard cubic feet per day"/>
        <s v="Equipment Leak Surveys--Method 21 Testing"/>
        <m/>
      </sharedItems>
    </cacheField>
    <cacheField name="Type" numFmtId="0">
      <sharedItems count="2">
        <s v="Labor"/>
        <s v="O&amp;M"/>
      </sharedItems>
    </cacheField>
    <cacheField name="Updated Cost/ Year" numFmtId="0">
      <sharedItems containsString="0" containsBlank="1" containsNumber="1" minValue="0" maxValue="10200585.79030836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ian Palmer" refreshedDate="44936.659219560184" createdVersion="8" refreshedVersion="8" minRefreshableVersion="3" recordCount="246" xr:uid="{CBB5E23E-1AEC-453B-BACA-47848CF90D96}">
  <cacheSource type="worksheet">
    <worksheetSource ref="L11:T257" sheet="W_2019 ICR_revised rates"/>
  </cacheSource>
  <cacheFields count="9">
    <cacheField name="Engineer" numFmtId="0">
      <sharedItems containsBlank="1" containsMixedTypes="1" containsNumber="1" minValue="0.2" maxValue="52415.3"/>
    </cacheField>
    <cacheField name="Technician" numFmtId="0">
      <sharedItems containsString="0" containsBlank="1" containsNumber="1" minValue="1.3" maxValue="2088"/>
    </cacheField>
    <cacheField name="Middle Manager  " numFmtId="0">
      <sharedItems containsBlank="1" containsMixedTypes="1" containsNumber="1" minValue="0" maxValue="5241.5"/>
    </cacheField>
    <cacheField name="Senior Manager  " numFmtId="0">
      <sharedItems containsBlank="1" containsMixedTypes="1" containsNumber="1" minValue="0" maxValue="2620.8000000000002"/>
    </cacheField>
    <cacheField name="Lawyer  " numFmtId="0">
      <sharedItems containsString="0" containsBlank="1" containsNumber="1" containsInteger="1" minValue="6" maxValue="532"/>
    </cacheField>
    <cacheField name="Total Cost" numFmtId="0">
      <sharedItems containsString="0" containsBlank="1" containsNumber="1" containsInteger="1" minValue="0" maxValue="5697805"/>
    </cacheField>
    <cacheField name="Segment Number" numFmtId="0">
      <sharedItems containsMixedTypes="1" containsNumber="1" containsInteger="1" minValue="0" maxValue="10" count="23">
        <n v="5"/>
        <n v="6"/>
        <n v="10"/>
        <n v="2"/>
        <n v="9"/>
        <n v="4"/>
        <n v="3"/>
        <n v="1"/>
        <n v="7"/>
        <n v="8"/>
        <s v="A2. Read Rule, Instructions, Guidance Documents for Subpart A"/>
        <s v="B. Required Activities"/>
        <n v="0"/>
        <s v="C. Create Information (Included in 4B)"/>
        <s v="D. Gather Existing Information (Included in 4E)"/>
        <s v="E. Write Report"/>
        <s v="A. Read Instructions (Included in 4A)"/>
        <s v="B. Plan Activities (Included in 4B)"/>
        <s v="C. Implement Activities (Included in 4B)"/>
        <s v="D. Recordkeeping"/>
        <s v="E. Time to Transmit or Disclose Information (included in 4E)"/>
        <s v="F. Time to Train Personnel (included in 4A)"/>
        <s v="G. Time for Audits (Not Applicable)"/>
      </sharedItems>
    </cacheField>
    <cacheField name="Type" numFmtId="0">
      <sharedItems/>
    </cacheField>
    <cacheField name="Updated Cost/ Year" numFmtId="0">
      <sharedItems containsString="0" containsBlank="1" containsNumber="1" minValue="0" maxValue="6768363.535512000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ian Palmer" refreshedDate="44936.659219791669" createdVersion="8" refreshedVersion="8" minRefreshableVersion="3" recordCount="370" xr:uid="{FD42E8B0-68AE-46E2-9DCE-1B3A140C00E5}">
  <cacheSource type="worksheet">
    <worksheetSource ref="R11:T381" sheet="W_2019 ICR_revised rates"/>
  </cacheSource>
  <cacheFields count="3">
    <cacheField name="Segment Number" numFmtId="0">
      <sharedItems containsBlank="1" containsMixedTypes="1" containsNumber="1" containsInteger="1" minValue="0" maxValue="10" count="44">
        <n v="5"/>
        <n v="6"/>
        <n v="10"/>
        <n v="2"/>
        <n v="9"/>
        <n v="4"/>
        <n v="3"/>
        <n v="1"/>
        <n v="7"/>
        <n v="8"/>
        <s v="A2. Read Rule, Instructions, Guidance Documents for Subpart A"/>
        <s v="B. Required Activities"/>
        <n v="0"/>
        <s v="C. Create Information (Included in 4B)"/>
        <s v="D. Gather Existing Information (Included in 4E)"/>
        <s v="E. Write Report"/>
        <s v="A. Read Instructions (Included in 4A)"/>
        <s v="B. Plan Activities (Included in 4B)"/>
        <s v="C. Implement Activities (Included in 4B)"/>
        <s v="D. Recordkeeping"/>
        <s v="E. Time to Transmit or Disclose Information (included in 4E)"/>
        <s v="F. Time to Train Personnel (included in 4A)"/>
        <s v="G. Time for Audits (Not Applicable)"/>
        <s v="Recordkeeping costs"/>
        <s v="Acid gas removal units"/>
        <s v="Centrifugal and Reciprocating Compressors--contractor to perform compressor leak measurements"/>
        <s v="Transmission storage tanks--flow meter"/>
        <s v="Transmission storage tanks--acoustic leak detection device"/>
        <s v="Transmission storage tanks--optical gas imaging instrument"/>
        <s v="Transmission storage tanks--high volume sampler"/>
        <s v="Transmission storage tanks--calibrated bag"/>
        <s v="Storage tanks"/>
        <s v="Flare stacks"/>
        <s v="Glycol Dehydrators &gt;= 0.4 million standard cubic feet per day"/>
        <s v="Equipment Leak Surveys--Method 21 Testing"/>
        <m/>
        <s v="Blowdown vent stacks--flow meter"/>
        <s v="Centrifugal and Reciprocating Compressors--flow meter"/>
        <s v="Equipment Leak surveys--acoustic leak detection device"/>
        <s v="Equipment Leak surveys--infrared laser beam illuminated instrument"/>
        <s v="Equipment Leak surveys--optical gas imaging instrument"/>
        <s v="Gas well completions and workovers with hydraulic fracturing--flow meter"/>
        <s v="Oil well completions and workovers with hydraulic fracturing--flow meter"/>
        <s v="Well venting for liquids unloading--flow meter"/>
      </sharedItems>
    </cacheField>
    <cacheField name="Type" numFmtId="0">
      <sharedItems containsBlank="1" count="3">
        <s v="Labor"/>
        <s v="O&amp;M"/>
        <m/>
      </sharedItems>
    </cacheField>
    <cacheField name="Updated Cost/ Year" numFmtId="0">
      <sharedItems containsString="0" containsBlank="1" containsNumber="1" minValue="0" maxValue="10200585.79030836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9">
  <r>
    <x v="0"/>
    <x v="0"/>
    <n v="342375.81809962675"/>
  </r>
  <r>
    <x v="1"/>
    <x v="0"/>
    <n v="405658.46733569086"/>
  </r>
  <r>
    <x v="2"/>
    <x v="0"/>
    <n v="36600.763970137523"/>
  </r>
  <r>
    <x v="3"/>
    <x v="0"/>
    <n v="4575.0954962671904"/>
  </r>
  <r>
    <x v="4"/>
    <x v="0"/>
    <n v="378976.58206976426"/>
  </r>
  <r>
    <x v="5"/>
    <x v="0"/>
    <n v="128871.36160715783"/>
  </r>
  <r>
    <x v="6"/>
    <x v="0"/>
    <n v="4575.0954962671904"/>
  </r>
  <r>
    <x v="7"/>
    <x v="0"/>
    <n v="244773.78084592664"/>
  </r>
  <r>
    <x v="8"/>
    <x v="0"/>
    <n v="25169.197025101508"/>
  </r>
  <r>
    <x v="9"/>
    <x v="0"/>
    <n v="34455.822276967912"/>
  </r>
  <r>
    <x v="10"/>
    <x v="0"/>
    <m/>
  </r>
  <r>
    <x v="0"/>
    <x v="0"/>
    <n v="342375.81809962675"/>
  </r>
  <r>
    <x v="1"/>
    <x v="0"/>
    <n v="405658.46733569086"/>
  </r>
  <r>
    <x v="2"/>
    <x v="0"/>
    <n v="36600.763970137523"/>
  </r>
  <r>
    <x v="3"/>
    <x v="0"/>
    <n v="4575.0954962671904"/>
  </r>
  <r>
    <x v="4"/>
    <x v="0"/>
    <n v="378976.58206976426"/>
  </r>
  <r>
    <x v="5"/>
    <x v="0"/>
    <n v="128871.36160715783"/>
  </r>
  <r>
    <x v="6"/>
    <x v="0"/>
    <n v="4575.0954962671904"/>
  </r>
  <r>
    <x v="7"/>
    <x v="0"/>
    <n v="244773.78084592664"/>
  </r>
  <r>
    <x v="8"/>
    <x v="0"/>
    <n v="25169.197025101508"/>
  </r>
  <r>
    <x v="9"/>
    <x v="0"/>
    <n v="107520.91595791093"/>
  </r>
  <r>
    <x v="11"/>
    <x v="0"/>
    <m/>
  </r>
  <r>
    <x v="12"/>
    <x v="0"/>
    <m/>
  </r>
  <r>
    <x v="12"/>
    <x v="0"/>
    <m/>
  </r>
  <r>
    <x v="0"/>
    <x v="0"/>
    <n v="653.91198783889968"/>
  </r>
  <r>
    <x v="4"/>
    <x v="0"/>
    <m/>
  </r>
  <r>
    <x v="7"/>
    <x v="0"/>
    <m/>
  </r>
  <r>
    <x v="12"/>
    <x v="0"/>
    <m/>
  </r>
  <r>
    <x v="0"/>
    <x v="0"/>
    <n v="7367.0516674983628"/>
  </r>
  <r>
    <x v="4"/>
    <x v="0"/>
    <n v="0"/>
  </r>
  <r>
    <x v="7"/>
    <x v="0"/>
    <n v="10454.175134034054"/>
  </r>
  <r>
    <x v="12"/>
    <x v="0"/>
    <m/>
  </r>
  <r>
    <x v="0"/>
    <x v="0"/>
    <n v="3335.2048153896526"/>
  </r>
  <r>
    <x v="4"/>
    <x v="0"/>
    <n v="686.95617192534382"/>
  </r>
  <r>
    <x v="7"/>
    <x v="0"/>
    <n v="1622.879063962017"/>
  </r>
  <r>
    <x v="12"/>
    <x v="0"/>
    <m/>
  </r>
  <r>
    <x v="0"/>
    <x v="0"/>
    <n v="6567.7339807924036"/>
  </r>
  <r>
    <x v="4"/>
    <x v="0"/>
    <n v="427.86009504256708"/>
  </r>
  <r>
    <x v="7"/>
    <x v="0"/>
    <n v="2276.7910518009171"/>
  </r>
  <r>
    <x v="12"/>
    <x v="0"/>
    <m/>
  </r>
  <r>
    <x v="12"/>
    <x v="0"/>
    <m/>
  </r>
  <r>
    <x v="0"/>
    <x v="0"/>
    <n v="232668.27704073346"/>
  </r>
  <r>
    <x v="1"/>
    <x v="0"/>
    <n v="275678.22580327437"/>
  </r>
  <r>
    <x v="2"/>
    <x v="0"/>
    <n v="24873.22338074656"/>
  </r>
  <r>
    <x v="3"/>
    <x v="0"/>
    <n v="3109.15292259332"/>
  </r>
  <r>
    <x v="4"/>
    <x v="0"/>
    <n v="105711.19936817289"/>
  </r>
  <r>
    <x v="5"/>
    <x v="0"/>
    <n v="87574.473986378522"/>
  </r>
  <r>
    <x v="6"/>
    <x v="0"/>
    <n v="3109.15292259332"/>
  </r>
  <r>
    <x v="7"/>
    <x v="0"/>
    <n v="44564.525223837591"/>
  </r>
  <r>
    <x v="12"/>
    <x v="0"/>
    <m/>
  </r>
  <r>
    <x v="0"/>
    <x v="0"/>
    <n v="0"/>
  </r>
  <r>
    <x v="1"/>
    <x v="0"/>
    <n v="0"/>
  </r>
  <r>
    <x v="2"/>
    <x v="0"/>
    <n v="1564.9934956834531"/>
  </r>
  <r>
    <x v="3"/>
    <x v="0"/>
    <n v="213.40820395683451"/>
  </r>
  <r>
    <x v="4"/>
    <x v="0"/>
    <n v="165035.67772661868"/>
  </r>
  <r>
    <x v="5"/>
    <x v="0"/>
    <n v="5943.8136805755394"/>
  </r>
  <r>
    <x v="6"/>
    <x v="0"/>
    <n v="181.79217374100716"/>
  </r>
  <r>
    <x v="7"/>
    <x v="0"/>
    <n v="11381.77087769784"/>
  </r>
  <r>
    <x v="12"/>
    <x v="0"/>
    <m/>
  </r>
  <r>
    <x v="12"/>
    <x v="0"/>
    <m/>
  </r>
  <r>
    <x v="0"/>
    <x v="0"/>
    <n v="157530.41474472822"/>
  </r>
  <r>
    <x v="1"/>
    <x v="0"/>
    <n v="266868.95918926003"/>
  </r>
  <r>
    <x v="3"/>
    <x v="0"/>
    <n v="1036.3843075311067"/>
  </r>
  <r>
    <x v="8"/>
    <x v="0"/>
    <n v="17100.341074263259"/>
  </r>
  <r>
    <x v="7"/>
    <x v="0"/>
    <n v="204426.80466051082"/>
  </r>
  <r>
    <x v="12"/>
    <x v="0"/>
    <m/>
  </r>
  <r>
    <x v="12"/>
    <x v="0"/>
    <m/>
  </r>
  <r>
    <x v="0"/>
    <x v="0"/>
    <n v="0"/>
  </r>
  <r>
    <x v="1"/>
    <x v="0"/>
    <n v="0"/>
  </r>
  <r>
    <x v="2"/>
    <x v="0"/>
    <n v="0"/>
  </r>
  <r>
    <x v="3"/>
    <x v="0"/>
    <n v="0"/>
  </r>
  <r>
    <x v="6"/>
    <x v="0"/>
    <n v="0"/>
  </r>
  <r>
    <x v="12"/>
    <x v="0"/>
    <m/>
  </r>
  <r>
    <x v="0"/>
    <x v="0"/>
    <n v="9630.613756777997"/>
  </r>
  <r>
    <x v="1"/>
    <x v="0"/>
    <n v="18238.072168546172"/>
  </r>
  <r>
    <x v="2"/>
    <x v="0"/>
    <n v="755.25877459070068"/>
  </r>
  <r>
    <x v="3"/>
    <x v="0"/>
    <n v="190.79347421741977"/>
  </r>
  <r>
    <x v="6"/>
    <x v="0"/>
    <n v="22.029456057629339"/>
  </r>
  <r>
    <x v="12"/>
    <x v="0"/>
    <m/>
  </r>
  <r>
    <x v="4"/>
    <x v="0"/>
    <n v="102.75209820143884"/>
  </r>
  <r>
    <x v="7"/>
    <x v="0"/>
    <n v="189.69618129496399"/>
  </r>
  <r>
    <x v="12"/>
    <x v="0"/>
    <m/>
  </r>
  <r>
    <x v="12"/>
    <x v="0"/>
    <m/>
  </r>
  <r>
    <x v="0"/>
    <x v="0"/>
    <n v="0"/>
  </r>
  <r>
    <x v="1"/>
    <x v="0"/>
    <n v="0"/>
  </r>
  <r>
    <x v="2"/>
    <x v="0"/>
    <n v="0"/>
  </r>
  <r>
    <x v="3"/>
    <x v="0"/>
    <n v="0"/>
  </r>
  <r>
    <x v="6"/>
    <x v="0"/>
    <n v="0"/>
  </r>
  <r>
    <x v="12"/>
    <x v="0"/>
    <m/>
  </r>
  <r>
    <x v="0"/>
    <x v="0"/>
    <n v="60200.621895527176"/>
  </r>
  <r>
    <x v="1"/>
    <x v="0"/>
    <n v="46479.544548768827"/>
  </r>
  <r>
    <x v="2"/>
    <x v="0"/>
    <n v="7006.6088038637845"/>
  </r>
  <r>
    <x v="3"/>
    <x v="0"/>
    <n v="338.41340757694826"/>
  </r>
  <r>
    <x v="6"/>
    <x v="0"/>
    <n v="123.37624280943025"/>
  </r>
  <r>
    <x v="12"/>
    <x v="0"/>
    <m/>
  </r>
  <r>
    <x v="4"/>
    <x v="0"/>
    <n v="3928.2917543165463"/>
  </r>
  <r>
    <x v="7"/>
    <x v="0"/>
    <n v="2537.1864248201437"/>
  </r>
  <r>
    <x v="12"/>
    <x v="0"/>
    <m/>
  </r>
  <r>
    <x v="12"/>
    <x v="0"/>
    <m/>
  </r>
  <r>
    <x v="4"/>
    <x v="0"/>
    <n v="128770.75021074001"/>
  </r>
  <r>
    <x v="7"/>
    <x v="0"/>
    <n v="83169.840679371307"/>
  </r>
  <r>
    <x v="5"/>
    <x v="0"/>
    <n v="43787.236993189261"/>
  </r>
  <r>
    <x v="12"/>
    <x v="0"/>
    <m/>
  </r>
  <r>
    <x v="12"/>
    <x v="0"/>
    <m/>
  </r>
  <r>
    <x v="4"/>
    <x v="0"/>
    <n v="97161.028831041258"/>
  </r>
  <r>
    <x v="12"/>
    <x v="0"/>
    <m/>
  </r>
  <r>
    <x v="4"/>
    <x v="0"/>
    <n v="0"/>
  </r>
  <r>
    <x v="12"/>
    <x v="0"/>
    <m/>
  </r>
  <r>
    <x v="12"/>
    <x v="0"/>
    <m/>
  </r>
  <r>
    <x v="0"/>
    <x v="0"/>
    <n v="0"/>
  </r>
  <r>
    <x v="4"/>
    <x v="0"/>
    <n v="0"/>
  </r>
  <r>
    <x v="7"/>
    <x v="0"/>
    <n v="0"/>
  </r>
  <r>
    <x v="12"/>
    <x v="0"/>
    <m/>
  </r>
  <r>
    <x v="0"/>
    <x v="0"/>
    <n v="0"/>
  </r>
  <r>
    <x v="4"/>
    <x v="0"/>
    <n v="0"/>
  </r>
  <r>
    <x v="7"/>
    <x v="0"/>
    <n v="0"/>
  </r>
  <r>
    <x v="12"/>
    <x v="0"/>
    <m/>
  </r>
  <r>
    <x v="0"/>
    <x v="0"/>
    <n v="134.36812841726618"/>
  </r>
  <r>
    <x v="4"/>
    <x v="0"/>
    <n v="61026.842324100711"/>
  </r>
  <r>
    <x v="7"/>
    <x v="0"/>
    <n v="6678.8863830935243"/>
  </r>
  <r>
    <x v="12"/>
    <x v="0"/>
    <m/>
  </r>
  <r>
    <x v="0"/>
    <x v="0"/>
    <n v="5026.9488043165466"/>
  </r>
  <r>
    <x v="4"/>
    <x v="0"/>
    <n v="7042.4707305755383"/>
  </r>
  <r>
    <x v="7"/>
    <x v="0"/>
    <n v="1027.5209820143884"/>
  </r>
  <r>
    <x v="12"/>
    <x v="0"/>
    <m/>
  </r>
  <r>
    <x v="0"/>
    <x v="0"/>
    <n v="8247.0155481335951"/>
  </r>
  <r>
    <x v="4"/>
    <x v="0"/>
    <n v="11546.961944944334"/>
  </r>
  <r>
    <x v="7"/>
    <x v="0"/>
    <n v="1690.2962953700066"/>
  </r>
  <r>
    <x v="12"/>
    <x v="0"/>
    <m/>
  </r>
  <r>
    <x v="12"/>
    <x v="0"/>
    <m/>
  </r>
  <r>
    <x v="4"/>
    <x v="0"/>
    <n v="569.08854388489203"/>
  </r>
  <r>
    <x v="12"/>
    <x v="0"/>
    <m/>
  </r>
  <r>
    <x v="4"/>
    <x v="0"/>
    <n v="569.08854388489203"/>
  </r>
  <r>
    <x v="12"/>
    <x v="0"/>
    <m/>
  </r>
  <r>
    <x v="4"/>
    <x v="0"/>
    <n v="935.03752077930574"/>
  </r>
  <r>
    <x v="12"/>
    <x v="0"/>
    <m/>
  </r>
  <r>
    <x v="12"/>
    <x v="0"/>
    <m/>
  </r>
  <r>
    <x v="4"/>
    <x v="0"/>
    <n v="3390.2784555337262"/>
  </r>
  <r>
    <x v="12"/>
    <x v="0"/>
    <m/>
  </r>
  <r>
    <x v="4"/>
    <x v="0"/>
    <n v="3390.2784555337262"/>
  </r>
  <r>
    <x v="12"/>
    <x v="0"/>
    <m/>
  </r>
  <r>
    <x v="4"/>
    <x v="0"/>
    <n v="3390.2784555337262"/>
  </r>
  <r>
    <x v="12"/>
    <x v="0"/>
    <m/>
  </r>
  <r>
    <x v="1"/>
    <x v="0"/>
    <n v="12987.848028225277"/>
  </r>
  <r>
    <x v="1"/>
    <x v="0"/>
    <n v="303.15498899803532"/>
  </r>
  <r>
    <x v="1"/>
    <x v="0"/>
    <n v="0"/>
  </r>
  <r>
    <x v="1"/>
    <x v="0"/>
    <n v="0"/>
  </r>
  <r>
    <x v="1"/>
    <x v="0"/>
    <n v="1047.3990355599212"/>
  </r>
  <r>
    <x v="1"/>
    <x v="0"/>
    <n v="4696.7735679764246"/>
  </r>
  <r>
    <x v="1"/>
    <x v="0"/>
    <n v="1565.5911893254747"/>
  </r>
  <r>
    <x v="1"/>
    <x v="0"/>
    <n v="12987.848028225277"/>
  </r>
  <r>
    <x v="12"/>
    <x v="0"/>
    <m/>
  </r>
  <r>
    <x v="12"/>
    <x v="0"/>
    <m/>
  </r>
  <r>
    <x v="4"/>
    <x v="0"/>
    <n v="0"/>
  </r>
  <r>
    <x v="7"/>
    <x v="0"/>
    <n v="0"/>
  </r>
  <r>
    <x v="12"/>
    <x v="0"/>
    <m/>
  </r>
  <r>
    <x v="1"/>
    <x v="0"/>
    <n v="30900.73575171578"/>
  </r>
  <r>
    <x v="2"/>
    <x v="0"/>
    <n v="2805.9979335952848"/>
  </r>
  <r>
    <x v="4"/>
    <x v="0"/>
    <n v="28985.716426784544"/>
  </r>
  <r>
    <x v="7"/>
    <x v="0"/>
    <n v="18709.991175703995"/>
  </r>
  <r>
    <x v="12"/>
    <x v="0"/>
    <m/>
  </r>
  <r>
    <x v="12"/>
    <x v="0"/>
    <m/>
  </r>
  <r>
    <x v="4"/>
    <x v="0"/>
    <n v="6790299.6508850884"/>
  </r>
  <r>
    <x v="7"/>
    <x v="0"/>
    <n v="731687.32111696131"/>
  </r>
  <r>
    <x v="12"/>
    <x v="0"/>
    <m/>
  </r>
  <r>
    <x v="4"/>
    <x v="0"/>
    <n v="10670.410197841726"/>
  </r>
  <r>
    <x v="7"/>
    <x v="0"/>
    <n v="15491.854805755394"/>
  </r>
  <r>
    <x v="12"/>
    <x v="0"/>
    <m/>
  </r>
  <r>
    <x v="4"/>
    <x v="0"/>
    <n v="108450.88764784171"/>
  </r>
  <r>
    <x v="7"/>
    <x v="0"/>
    <n v="6639.3663453237405"/>
  </r>
  <r>
    <x v="12"/>
    <x v="0"/>
    <m/>
  </r>
  <r>
    <x v="12"/>
    <x v="0"/>
    <m/>
  </r>
  <r>
    <x v="4"/>
    <x v="0"/>
    <n v="18417.850914734772"/>
  </r>
  <r>
    <x v="7"/>
    <x v="0"/>
    <n v="12775.025097950227"/>
  </r>
  <r>
    <x v="12"/>
    <x v="0"/>
    <m/>
  </r>
  <r>
    <x v="12"/>
    <x v="0"/>
    <m/>
  </r>
  <r>
    <x v="4"/>
    <x v="0"/>
    <m/>
  </r>
  <r>
    <x v="12"/>
    <x v="0"/>
    <m/>
  </r>
  <r>
    <x v="4"/>
    <x v="0"/>
    <m/>
  </r>
  <r>
    <x v="12"/>
    <x v="0"/>
    <m/>
  </r>
  <r>
    <x v="4"/>
    <x v="0"/>
    <n v="172648.31926265228"/>
  </r>
  <r>
    <x v="12"/>
    <x v="0"/>
    <m/>
  </r>
  <r>
    <x v="12"/>
    <x v="0"/>
    <m/>
  </r>
  <r>
    <x v="4"/>
    <x v="0"/>
    <m/>
  </r>
  <r>
    <x v="12"/>
    <x v="0"/>
    <m/>
  </r>
  <r>
    <x v="4"/>
    <x v="0"/>
    <m/>
  </r>
  <r>
    <x v="12"/>
    <x v="0"/>
    <m/>
  </r>
  <r>
    <x v="4"/>
    <x v="0"/>
    <n v="752674.1033444663"/>
  </r>
  <r>
    <x v="12"/>
    <x v="0"/>
    <m/>
  </r>
  <r>
    <x v="12"/>
    <x v="0"/>
    <m/>
  </r>
  <r>
    <x v="4"/>
    <x v="0"/>
    <m/>
  </r>
  <r>
    <x v="12"/>
    <x v="0"/>
    <m/>
  </r>
  <r>
    <x v="4"/>
    <x v="0"/>
    <n v="87629.547626522603"/>
  </r>
  <r>
    <x v="12"/>
    <x v="0"/>
    <m/>
  </r>
  <r>
    <x v="4"/>
    <x v="0"/>
    <n v="97318.778121172232"/>
  </r>
  <r>
    <x v="12"/>
    <x v="0"/>
    <m/>
  </r>
  <r>
    <x v="12"/>
    <x v="0"/>
    <m/>
  </r>
  <r>
    <x v="4"/>
    <x v="0"/>
    <n v="2686308.1251206286"/>
  </r>
  <r>
    <x v="12"/>
    <x v="0"/>
    <m/>
  </r>
  <r>
    <x v="12"/>
    <x v="0"/>
    <m/>
  </r>
  <r>
    <x v="0"/>
    <x v="0"/>
    <n v="31440.95736153896"/>
  </r>
  <r>
    <x v="1"/>
    <x v="0"/>
    <n v="878.63501740013089"/>
  </r>
  <r>
    <x v="2"/>
    <x v="0"/>
    <n v="867.6202893713164"/>
  </r>
  <r>
    <x v="3"/>
    <x v="0"/>
    <n v="518.19215376555337"/>
  </r>
  <r>
    <x v="4"/>
    <x v="0"/>
    <n v="1359758.2409368698"/>
  </r>
  <r>
    <x v="6"/>
    <x v="0"/>
    <n v="33.044184086444005"/>
  </r>
  <r>
    <x v="7"/>
    <x v="0"/>
    <n v="180240.53745168957"/>
  </r>
  <r>
    <x v="12"/>
    <x v="0"/>
    <m/>
  </r>
  <r>
    <x v="0"/>
    <x v="0"/>
    <n v="15714.528631126392"/>
  </r>
  <r>
    <x v="1"/>
    <x v="0"/>
    <n v="438.8748230713818"/>
  </r>
  <r>
    <x v="2"/>
    <x v="0"/>
    <n v="427.86009504256708"/>
  </r>
  <r>
    <x v="3"/>
    <x v="0"/>
    <n v="259.09607688277669"/>
  </r>
  <r>
    <x v="4"/>
    <x v="0"/>
    <n v="679879.12046843488"/>
  </r>
  <r>
    <x v="6"/>
    <x v="0"/>
    <n v="22.029456057629339"/>
  </r>
  <r>
    <x v="7"/>
    <x v="0"/>
    <n v="90132.390571119831"/>
  </r>
  <r>
    <x v="13"/>
    <x v="0"/>
    <m/>
  </r>
  <r>
    <x v="14"/>
    <x v="0"/>
    <m/>
  </r>
  <r>
    <x v="15"/>
    <x v="0"/>
    <m/>
  </r>
  <r>
    <x v="0"/>
    <x v="0"/>
    <n v="1475633.4213594832"/>
  </r>
  <r>
    <x v="1"/>
    <x v="0"/>
    <n v="1748411.9825462028"/>
  </r>
  <r>
    <x v="2"/>
    <x v="0"/>
    <n v="157751.45707183785"/>
  </r>
  <r>
    <x v="3"/>
    <x v="0"/>
    <n v="19718.932133979732"/>
  </r>
  <r>
    <x v="4"/>
    <x v="0"/>
    <n v="1633384.8784313211"/>
  </r>
  <r>
    <x v="5"/>
    <x v="0"/>
    <n v="555416.58844042907"/>
  </r>
  <r>
    <x v="6"/>
    <x v="0"/>
    <n v="19718.932133979732"/>
  </r>
  <r>
    <x v="7"/>
    <x v="0"/>
    <n v="1054962.8691679155"/>
  </r>
  <r>
    <x v="8"/>
    <x v="0"/>
    <n v="108454.12673688852"/>
  </r>
  <r>
    <x v="9"/>
    <x v="0"/>
    <n v="231697.45257426184"/>
  </r>
  <r>
    <x v="12"/>
    <x v="0"/>
    <m/>
  </r>
  <r>
    <x v="16"/>
    <x v="0"/>
    <m/>
  </r>
  <r>
    <x v="17"/>
    <x v="0"/>
    <m/>
  </r>
  <r>
    <x v="18"/>
    <x v="0"/>
    <m/>
  </r>
  <r>
    <x v="19"/>
    <x v="0"/>
    <m/>
  </r>
  <r>
    <x v="0"/>
    <x v="0"/>
    <n v="737816.71067974158"/>
  </r>
  <r>
    <x v="1"/>
    <x v="0"/>
    <n v="874205.99127310142"/>
  </r>
  <r>
    <x v="2"/>
    <x v="0"/>
    <n v="78875.728535918926"/>
  </r>
  <r>
    <x v="3"/>
    <x v="0"/>
    <n v="9859.4660669898658"/>
  </r>
  <r>
    <x v="4"/>
    <x v="0"/>
    <n v="816692.43921566056"/>
  </r>
  <r>
    <x v="5"/>
    <x v="0"/>
    <n v="277708.29422021454"/>
  </r>
  <r>
    <x v="6"/>
    <x v="0"/>
    <n v="9859.4660669898658"/>
  </r>
  <r>
    <x v="7"/>
    <x v="0"/>
    <n v="527481.43458395777"/>
  </r>
  <r>
    <x v="8"/>
    <x v="0"/>
    <n v="54227.063368444258"/>
  </r>
  <r>
    <x v="9"/>
    <x v="0"/>
    <n v="130747.4701901754"/>
  </r>
  <r>
    <x v="20"/>
    <x v="0"/>
    <m/>
  </r>
  <r>
    <x v="21"/>
    <x v="0"/>
    <m/>
  </r>
  <r>
    <x v="22"/>
    <x v="0"/>
    <m/>
  </r>
  <r>
    <x v="12"/>
    <x v="0"/>
    <m/>
  </r>
  <r>
    <x v="12"/>
    <x v="0"/>
    <m/>
  </r>
  <r>
    <x v="12"/>
    <x v="0"/>
    <m/>
  </r>
  <r>
    <x v="12"/>
    <x v="0"/>
    <m/>
  </r>
  <r>
    <x v="23"/>
    <x v="0"/>
    <m/>
  </r>
  <r>
    <x v="12"/>
    <x v="1"/>
    <m/>
  </r>
  <r>
    <x v="0"/>
    <x v="1"/>
    <n v="28008.105726872247"/>
  </r>
  <r>
    <x v="1"/>
    <x v="1"/>
    <n v="33185.550660792949"/>
  </r>
  <r>
    <x v="2"/>
    <x v="1"/>
    <n v="2994.1850220264319"/>
  </r>
  <r>
    <x v="3"/>
    <x v="1"/>
    <n v="374.27312775330398"/>
  </r>
  <r>
    <x v="4"/>
    <x v="1"/>
    <n v="31002.290748898678"/>
  </r>
  <r>
    <x v="5"/>
    <x v="1"/>
    <n v="10542.026431718063"/>
  </r>
  <r>
    <x v="6"/>
    <x v="1"/>
    <n v="374.27312775330398"/>
  </r>
  <r>
    <x v="7"/>
    <x v="1"/>
    <n v="20023.612334801761"/>
  </r>
  <r>
    <x v="8"/>
    <x v="1"/>
    <n v="2058.502202643172"/>
  </r>
  <r>
    <x v="9"/>
    <x v="1"/>
    <n v="8795.4185022026431"/>
  </r>
  <r>
    <x v="24"/>
    <x v="1"/>
    <n v="0"/>
  </r>
  <r>
    <x v="12"/>
    <x v="1"/>
    <n v="0"/>
  </r>
  <r>
    <x v="0"/>
    <x v="1"/>
    <n v="170468.93392070485"/>
  </r>
  <r>
    <x v="4"/>
    <x v="1"/>
    <n v="0"/>
  </r>
  <r>
    <x v="7"/>
    <x v="1"/>
    <n v="0"/>
  </r>
  <r>
    <x v="24"/>
    <x v="1"/>
    <n v="0"/>
  </r>
  <r>
    <x v="12"/>
    <x v="1"/>
    <n v="0"/>
  </r>
  <r>
    <x v="0"/>
    <x v="1"/>
    <n v="63210.98854625551"/>
  </r>
  <r>
    <x v="4"/>
    <x v="1"/>
    <n v="4990.3083700440529"/>
  </r>
  <r>
    <x v="7"/>
    <x v="1"/>
    <n v="17466.079295154184"/>
  </r>
  <r>
    <x v="25"/>
    <x v="1"/>
    <n v="0"/>
  </r>
  <r>
    <x v="0"/>
    <x v="1"/>
    <n v="1519934.4"/>
  </r>
  <r>
    <x v="1"/>
    <x v="1"/>
    <n v="1573580.2149779736"/>
  </r>
  <r>
    <x v="2"/>
    <x v="1"/>
    <n v="210108.20088105727"/>
  </r>
  <r>
    <x v="3"/>
    <x v="1"/>
    <n v="17881.522466960352"/>
  </r>
  <r>
    <x v="6"/>
    <x v="1"/>
    <n v="8941.3850220264321"/>
  </r>
  <r>
    <x v="26"/>
    <x v="1"/>
    <n v="0"/>
  </r>
  <r>
    <x v="1"/>
    <x v="1"/>
    <n v="22556.193832599118"/>
  </r>
  <r>
    <x v="27"/>
    <x v="1"/>
    <n v="0"/>
  </r>
  <r>
    <x v="1"/>
    <x v="1"/>
    <n v="18.7136563876652"/>
  </r>
  <r>
    <x v="28"/>
    <x v="1"/>
    <n v="0"/>
  </r>
  <r>
    <x v="1"/>
    <x v="1"/>
    <n v="280238.25198237883"/>
  </r>
  <r>
    <x v="29"/>
    <x v="1"/>
    <n v="0"/>
  </r>
  <r>
    <x v="1"/>
    <x v="1"/>
    <n v="82704.380616740091"/>
  </r>
  <r>
    <x v="30"/>
    <x v="1"/>
    <n v="0"/>
  </r>
  <r>
    <x v="1"/>
    <x v="1"/>
    <n v="0"/>
  </r>
  <r>
    <x v="31"/>
    <x v="1"/>
    <n v="0"/>
  </r>
  <r>
    <x v="12"/>
    <x v="1"/>
    <n v="0"/>
  </r>
  <r>
    <x v="4"/>
    <x v="1"/>
    <n v="66371.101321585898"/>
  </r>
  <r>
    <x v="7"/>
    <x v="1"/>
    <n v="36179.735682819381"/>
  </r>
  <r>
    <x v="32"/>
    <x v="1"/>
    <n v="0"/>
  </r>
  <r>
    <x v="12"/>
    <x v="1"/>
    <n v="0"/>
  </r>
  <r>
    <x v="4"/>
    <x v="1"/>
    <n v="66371.101321585898"/>
  </r>
  <r>
    <x v="7"/>
    <x v="1"/>
    <n v="36179.735682819381"/>
  </r>
  <r>
    <x v="33"/>
    <x v="1"/>
    <n v="0"/>
  </r>
  <r>
    <x v="12"/>
    <x v="1"/>
    <n v="0"/>
  </r>
  <r>
    <x v="0"/>
    <x v="1"/>
    <n v="0"/>
  </r>
  <r>
    <x v="4"/>
    <x v="1"/>
    <n v="0"/>
  </r>
  <r>
    <x v="7"/>
    <x v="1"/>
    <n v="0"/>
  </r>
  <r>
    <x v="12"/>
    <x v="1"/>
    <n v="0"/>
  </r>
  <r>
    <x v="0"/>
    <x v="1"/>
    <n v="0"/>
  </r>
  <r>
    <x v="4"/>
    <x v="1"/>
    <n v="0"/>
  </r>
  <r>
    <x v="7"/>
    <x v="1"/>
    <n v="0"/>
  </r>
  <r>
    <x v="12"/>
    <x v="1"/>
    <n v="0"/>
  </r>
  <r>
    <x v="0"/>
    <x v="1"/>
    <n v="0"/>
  </r>
  <r>
    <x v="4"/>
    <x v="1"/>
    <n v="0"/>
  </r>
  <r>
    <x v="7"/>
    <x v="1"/>
    <n v="0"/>
  </r>
  <r>
    <x v="34"/>
    <x v="1"/>
    <n v="0"/>
  </r>
  <r>
    <x v="0"/>
    <x v="1"/>
    <n v="10200585.790308369"/>
  </r>
  <r>
    <x v="1"/>
    <x v="1"/>
    <n v="7796839.0837004408"/>
  </r>
  <r>
    <x v="2"/>
    <x v="1"/>
    <n v="1441031.386784141"/>
  </r>
  <r>
    <x v="3"/>
    <x v="1"/>
    <n v="128270.88634361234"/>
  </r>
  <r>
    <x v="4"/>
    <x v="1"/>
    <n v="0"/>
  </r>
  <r>
    <x v="5"/>
    <x v="1"/>
    <n v="1341957.5471365638"/>
  </r>
  <r>
    <x v="6"/>
    <x v="1"/>
    <n v="32067.721585903084"/>
  </r>
  <r>
    <x v="7"/>
    <x v="1"/>
    <n v="0"/>
  </r>
  <r>
    <x v="35"/>
    <x v="1"/>
    <n v="10200585.790308369"/>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6">
  <r>
    <n v="2245"/>
    <m/>
    <n v="224.5"/>
    <n v="112.3"/>
    <n v="449"/>
    <n v="294434"/>
    <x v="0"/>
    <s v="Labor"/>
    <n v="341446.33877699997"/>
  </r>
  <r>
    <n v="2660"/>
    <m/>
    <n v="266"/>
    <n v="133"/>
    <n v="532"/>
    <n v="348862"/>
    <x v="1"/>
    <s v="Labor"/>
    <n v="404556.64291"/>
  </r>
  <r>
    <n v="240"/>
    <m/>
    <n v="24"/>
    <n v="12"/>
    <n v="48"/>
    <n v="31476"/>
    <x v="2"/>
    <s v="Labor"/>
    <n v="36501.351240000004"/>
  </r>
  <r>
    <n v="30"/>
    <m/>
    <n v="3"/>
    <n v="1.5"/>
    <n v="6"/>
    <n v="3935"/>
    <x v="3"/>
    <s v="Labor"/>
    <n v="4562.6689050000004"/>
  </r>
  <r>
    <n v="2485"/>
    <m/>
    <n v="248.5"/>
    <n v="124.3"/>
    <n v="497"/>
    <n v="325910"/>
    <x v="4"/>
    <s v="Labor"/>
    <n v="377947.69001700002"/>
  </r>
  <r>
    <n v="845"/>
    <m/>
    <n v="84.5"/>
    <n v="42.3"/>
    <n v="169"/>
    <n v="110823"/>
    <x v="5"/>
    <s v="Labor"/>
    <n v="128521.789877"/>
  </r>
  <r>
    <n v="30"/>
    <m/>
    <n v="3"/>
    <n v="1.5"/>
    <n v="6"/>
    <n v="3935"/>
    <x v="6"/>
    <s v="Labor"/>
    <n v="4562.6689050000004"/>
  </r>
  <r>
    <n v="1605"/>
    <m/>
    <n v="160.5"/>
    <n v="80.3"/>
    <n v="321"/>
    <n v="210497"/>
    <x v="7"/>
    <s v="Labor"/>
    <n v="244109.40213700006"/>
  </r>
  <r>
    <n v="165"/>
    <m/>
    <n v="16.5"/>
    <n v="8.3000000000000007"/>
    <n v="33"/>
    <n v="21640"/>
    <x v="8"/>
    <s v="Labor"/>
    <n v="25101.294697000001"/>
  </r>
  <r>
    <n v="141"/>
    <m/>
    <n v="14.1"/>
    <n v="7.1"/>
    <n v="141"/>
    <n v="31152"/>
    <x v="9"/>
    <s v="Labor"/>
    <n v="34400.284861"/>
  </r>
  <r>
    <m/>
    <m/>
    <m/>
    <m/>
    <m/>
    <m/>
    <x v="10"/>
    <s v="Labor"/>
    <m/>
  </r>
  <r>
    <n v="2245"/>
    <m/>
    <n v="224.5"/>
    <n v="112.3"/>
    <n v="449"/>
    <n v="294434"/>
    <x v="0"/>
    <s v="Labor"/>
    <n v="341446.33877699997"/>
  </r>
  <r>
    <n v="2660"/>
    <m/>
    <n v="266"/>
    <n v="133"/>
    <n v="532"/>
    <n v="348862"/>
    <x v="1"/>
    <s v="Labor"/>
    <n v="404556.64291"/>
  </r>
  <r>
    <n v="240"/>
    <m/>
    <n v="24"/>
    <n v="12"/>
    <n v="48"/>
    <n v="31476"/>
    <x v="2"/>
    <s v="Labor"/>
    <n v="36501.351240000004"/>
  </r>
  <r>
    <n v="30"/>
    <m/>
    <n v="3"/>
    <n v="1.5"/>
    <n v="6"/>
    <n v="3935"/>
    <x v="3"/>
    <s v="Labor"/>
    <n v="4562.6689050000004"/>
  </r>
  <r>
    <n v="2485"/>
    <m/>
    <n v="248.5"/>
    <n v="124.3"/>
    <n v="497"/>
    <n v="325910"/>
    <x v="4"/>
    <s v="Labor"/>
    <n v="377947.69001700002"/>
  </r>
  <r>
    <n v="845"/>
    <m/>
    <n v="84.5"/>
    <n v="42.3"/>
    <n v="169"/>
    <n v="110823"/>
    <x v="5"/>
    <s v="Labor"/>
    <n v="128521.789877"/>
  </r>
  <r>
    <n v="30"/>
    <m/>
    <n v="3"/>
    <n v="1.5"/>
    <n v="6"/>
    <n v="3935"/>
    <x v="6"/>
    <s v="Labor"/>
    <n v="4562.6689050000004"/>
  </r>
  <r>
    <n v="1605"/>
    <m/>
    <n v="160.5"/>
    <n v="80.3"/>
    <n v="321"/>
    <n v="210497"/>
    <x v="7"/>
    <s v="Labor"/>
    <n v="244109.40213700006"/>
  </r>
  <r>
    <n v="165"/>
    <m/>
    <n v="16.5"/>
    <n v="8.3000000000000007"/>
    <n v="33"/>
    <n v="21640"/>
    <x v="8"/>
    <s v="Labor"/>
    <n v="25101.294697000001"/>
  </r>
  <r>
    <n v="705"/>
    <m/>
    <n v="70.5"/>
    <n v="35.299999999999997"/>
    <n v="141"/>
    <n v="92461"/>
    <x v="9"/>
    <s v="Labor"/>
    <n v="107229.33498700001"/>
  </r>
  <r>
    <m/>
    <m/>
    <m/>
    <m/>
    <m/>
    <m/>
    <x v="11"/>
    <s v="Labor"/>
    <m/>
  </r>
  <r>
    <m/>
    <m/>
    <m/>
    <m/>
    <m/>
    <m/>
    <x v="12"/>
    <s v="Labor"/>
    <m/>
  </r>
  <r>
    <m/>
    <m/>
    <m/>
    <m/>
    <m/>
    <m/>
    <x v="12"/>
    <s v="Labor"/>
    <m/>
  </r>
  <r>
    <n v="5"/>
    <m/>
    <n v="0.5"/>
    <n v="0.3"/>
    <m/>
    <n v="544"/>
    <x v="0"/>
    <s v="Labor"/>
    <n v="652.263327"/>
  </r>
  <r>
    <m/>
    <m/>
    <m/>
    <m/>
    <m/>
    <n v="0"/>
    <x v="4"/>
    <s v="Labor"/>
    <m/>
  </r>
  <r>
    <m/>
    <m/>
    <m/>
    <m/>
    <m/>
    <n v="0"/>
    <x v="7"/>
    <s v="Labor"/>
    <m/>
  </r>
  <r>
    <m/>
    <m/>
    <m/>
    <m/>
    <m/>
    <m/>
    <x v="12"/>
    <s v="Labor"/>
    <m/>
  </r>
  <r>
    <n v="56.9"/>
    <m/>
    <n v="5.7"/>
    <n v="2.8"/>
    <m/>
    <n v="6189"/>
    <x v="0"/>
    <s v="Labor"/>
    <n v="7342.7502160000004"/>
  </r>
  <r>
    <m/>
    <m/>
    <m/>
    <m/>
    <m/>
    <n v="0"/>
    <x v="4"/>
    <s v="Labor"/>
    <n v="0"/>
  </r>
  <r>
    <n v="80.7"/>
    <m/>
    <n v="8.1"/>
    <n v="4"/>
    <m/>
    <n v="8769"/>
    <x v="7"/>
    <s v="Labor"/>
    <n v="10419.825151999999"/>
  </r>
  <r>
    <m/>
    <m/>
    <m/>
    <m/>
    <m/>
    <m/>
    <x v="12"/>
    <s v="Labor"/>
    <m/>
  </r>
  <r>
    <n v="25.7"/>
    <m/>
    <n v="2.6"/>
    <n v="1.3"/>
    <m/>
    <n v="2790"/>
    <x v="0"/>
    <s v="Labor"/>
    <n v="3324.3171890000003"/>
  </r>
  <r>
    <n v="5.3"/>
    <m/>
    <n v="0.5"/>
    <n v="0.3"/>
    <m/>
    <n v="580"/>
    <x v="4"/>
    <s v="Labor"/>
    <n v="685.31369699999993"/>
  </r>
  <r>
    <n v="12.5"/>
    <m/>
    <n v="1.3"/>
    <n v="0.6"/>
    <m/>
    <n v="1359"/>
    <x v="7"/>
    <s v="Labor"/>
    <n v="1616.9841100000001"/>
  </r>
  <r>
    <m/>
    <m/>
    <m/>
    <m/>
    <m/>
    <m/>
    <x v="12"/>
    <s v="Labor"/>
    <m/>
  </r>
  <r>
    <n v="50.7"/>
    <m/>
    <n v="5.0999999999999996"/>
    <n v="2.5"/>
    <m/>
    <n v="5508"/>
    <x v="0"/>
    <s v="Labor"/>
    <n v="6545.939507000001"/>
  </r>
  <r>
    <n v="3.3"/>
    <m/>
    <n v="0.3"/>
    <n v="0.2"/>
    <m/>
    <n v="353"/>
    <x v="4"/>
    <s v="Labor"/>
    <n v="427.05465399999997"/>
  </r>
  <r>
    <n v="17.5"/>
    <m/>
    <n v="1.8"/>
    <n v="0.9"/>
    <m/>
    <n v="1902"/>
    <x v="7"/>
    <s v="Labor"/>
    <n v="2269.247437"/>
  </r>
  <r>
    <m/>
    <m/>
    <m/>
    <m/>
    <m/>
    <m/>
    <x v="12"/>
    <s v="Labor"/>
    <m/>
  </r>
  <r>
    <m/>
    <m/>
    <m/>
    <m/>
    <m/>
    <m/>
    <x v="12"/>
    <s v="Labor"/>
    <m/>
  </r>
  <r>
    <n v="1796"/>
    <m/>
    <n v="179.6"/>
    <n v="89.8"/>
    <m/>
    <n v="195234"/>
    <x v="0"/>
    <s v="Labor"/>
    <n v="231916.62061400001"/>
  </r>
  <r>
    <n v="2128"/>
    <m/>
    <n v="212.8"/>
    <n v="106.4"/>
    <m/>
    <n v="231324"/>
    <x v="1"/>
    <s v="Labor"/>
    <n v="274787.62175200001"/>
  </r>
  <r>
    <n v="192"/>
    <m/>
    <n v="19.2"/>
    <n v="9.6"/>
    <m/>
    <n v="20871"/>
    <x v="2"/>
    <s v="Labor"/>
    <n v="24792.868127999998"/>
  </r>
  <r>
    <n v="24"/>
    <m/>
    <n v="2.4"/>
    <n v="1.2"/>
    <m/>
    <n v="2609"/>
    <x v="3"/>
    <s v="Labor"/>
    <n v="3099.1085159999998"/>
  </r>
  <r>
    <n v="816"/>
    <m/>
    <n v="81.599999999999994"/>
    <n v="40.799999999999997"/>
    <m/>
    <n v="88703"/>
    <x v="4"/>
    <s v="Labor"/>
    <n v="105369.68954400001"/>
  </r>
  <r>
    <n v="676"/>
    <m/>
    <n v="67.599999999999994"/>
    <n v="33.799999999999997"/>
    <m/>
    <n v="73485"/>
    <x v="5"/>
    <s v="Labor"/>
    <n v="87291.556534000003"/>
  </r>
  <r>
    <n v="24"/>
    <m/>
    <n v="2.4"/>
    <n v="1.2"/>
    <m/>
    <n v="2609"/>
    <x v="6"/>
    <s v="Labor"/>
    <n v="3099.1085159999998"/>
  </r>
  <r>
    <n v="344"/>
    <m/>
    <n v="34.4"/>
    <n v="17.2"/>
    <m/>
    <n v="37395"/>
    <x v="7"/>
    <s v="Labor"/>
    <n v="44420.555396000003"/>
  </r>
  <r>
    <m/>
    <m/>
    <m/>
    <m/>
    <m/>
    <m/>
    <x v="12"/>
    <s v="Labor"/>
    <m/>
  </r>
  <r>
    <m/>
    <m/>
    <m/>
    <m/>
    <m/>
    <n v="0"/>
    <x v="0"/>
    <s v="Labor"/>
    <n v="0"/>
  </r>
  <r>
    <m/>
    <m/>
    <m/>
    <m/>
    <m/>
    <n v="0"/>
    <x v="1"/>
    <s v="Labor"/>
    <n v="0"/>
  </r>
  <r>
    <m/>
    <n v="19.8"/>
    <m/>
    <m/>
    <m/>
    <n v="1202"/>
    <x v="2"/>
    <s v="Labor"/>
    <n v="1544.1732900000002"/>
  </r>
  <r>
    <m/>
    <n v="2.7"/>
    <m/>
    <m/>
    <m/>
    <n v="164"/>
    <x v="3"/>
    <s v="Labor"/>
    <n v="210.56908500000003"/>
  </r>
  <r>
    <m/>
    <n v="2088"/>
    <m/>
    <m/>
    <m/>
    <n v="126783"/>
    <x v="4"/>
    <s v="Labor"/>
    <n v="162840.09239999999"/>
  </r>
  <r>
    <m/>
    <n v="75.2"/>
    <m/>
    <m/>
    <m/>
    <n v="4563"/>
    <x v="5"/>
    <s v="Labor"/>
    <n v="5864.7389600000006"/>
  </r>
  <r>
    <m/>
    <n v="2.2999999999999998"/>
    <m/>
    <m/>
    <m/>
    <n v="137"/>
    <x v="6"/>
    <s v="Labor"/>
    <n v="179.37366499999999"/>
  </r>
  <r>
    <m/>
    <n v="144"/>
    <m/>
    <m/>
    <m/>
    <n v="8744"/>
    <x v="7"/>
    <s v="Labor"/>
    <n v="11230.351200000001"/>
  </r>
  <r>
    <m/>
    <m/>
    <m/>
    <m/>
    <m/>
    <m/>
    <x v="12"/>
    <s v="Labor"/>
    <m/>
  </r>
  <r>
    <m/>
    <m/>
    <m/>
    <m/>
    <m/>
    <m/>
    <x v="12"/>
    <s v="Labor"/>
    <m/>
  </r>
  <r>
    <n v="1216"/>
    <m/>
    <n v="121.6"/>
    <n v="60.8"/>
    <m/>
    <n v="132185"/>
    <x v="0"/>
    <s v="Labor"/>
    <n v="157021.49814400001"/>
  </r>
  <r>
    <n v="2060"/>
    <m/>
    <n v="206"/>
    <n v="103"/>
    <m/>
    <n v="223932"/>
    <x v="1"/>
    <s v="Labor"/>
    <n v="266006.81429000001"/>
  </r>
  <r>
    <n v="8"/>
    <m/>
    <n v="0.8"/>
    <n v="0.4"/>
    <m/>
    <n v="870"/>
    <x v="3"/>
    <s v="Labor"/>
    <n v="1033.0361720000001"/>
  </r>
  <r>
    <n v="132"/>
    <m/>
    <n v="13.2"/>
    <n v="6.6"/>
    <m/>
    <n v="14349"/>
    <x v="8"/>
    <s v="Labor"/>
    <n v="17045.096837999998"/>
  </r>
  <r>
    <n v="1578"/>
    <m/>
    <n v="157.80000000000001"/>
    <n v="78.900000000000006"/>
    <m/>
    <n v="171536"/>
    <x v="7"/>
    <s v="Labor"/>
    <n v="203766.38492700004"/>
  </r>
  <r>
    <m/>
    <m/>
    <m/>
    <m/>
    <m/>
    <m/>
    <x v="12"/>
    <s v="Labor"/>
    <m/>
  </r>
  <r>
    <m/>
    <m/>
    <m/>
    <m/>
    <m/>
    <m/>
    <x v="12"/>
    <s v="Labor"/>
    <m/>
  </r>
  <r>
    <m/>
    <m/>
    <m/>
    <m/>
    <m/>
    <n v="0"/>
    <x v="0"/>
    <s v="Labor"/>
    <n v="0"/>
  </r>
  <r>
    <m/>
    <m/>
    <m/>
    <m/>
    <m/>
    <n v="0"/>
    <x v="1"/>
    <s v="Labor"/>
    <n v="0"/>
  </r>
  <r>
    <m/>
    <m/>
    <m/>
    <m/>
    <m/>
    <n v="0"/>
    <x v="2"/>
    <s v="Labor"/>
    <n v="0"/>
  </r>
  <r>
    <m/>
    <m/>
    <m/>
    <m/>
    <m/>
    <n v="0"/>
    <x v="3"/>
    <s v="Labor"/>
    <n v="0"/>
  </r>
  <r>
    <m/>
    <m/>
    <m/>
    <m/>
    <m/>
    <n v="0"/>
    <x v="6"/>
    <s v="Labor"/>
    <n v="0"/>
  </r>
  <r>
    <m/>
    <m/>
    <m/>
    <m/>
    <m/>
    <m/>
    <x v="12"/>
    <s v="Labor"/>
    <m/>
  </r>
  <r>
    <n v="74.400000000000006"/>
    <m/>
    <n v="7.4"/>
    <n v="3.7"/>
    <m/>
    <n v="8088"/>
    <x v="0"/>
    <s v="Labor"/>
    <n v="9599.6517510000012"/>
  </r>
  <r>
    <n v="140.80000000000001"/>
    <m/>
    <n v="14.1"/>
    <n v="7"/>
    <m/>
    <n v="15306"/>
    <x v="1"/>
    <s v="Labor"/>
    <n v="18178.613232000003"/>
  </r>
  <r>
    <n v="5.8"/>
    <m/>
    <n v="0.6"/>
    <n v="0.3"/>
    <m/>
    <n v="634"/>
    <x v="2"/>
    <s v="Labor"/>
    <n v="752.74354900000003"/>
  </r>
  <r>
    <n v="1.5"/>
    <m/>
    <n v="0.1"/>
    <n v="0.1"/>
    <m/>
    <n v="159"/>
    <x v="3"/>
    <s v="Labor"/>
    <n v="190.82919099999998"/>
  </r>
  <r>
    <n v="0.2"/>
    <m/>
    <n v="0"/>
    <n v="0"/>
    <m/>
    <n v="16"/>
    <x v="6"/>
    <s v="Labor"/>
    <n v="22.033580000000001"/>
  </r>
  <r>
    <m/>
    <m/>
    <m/>
    <m/>
    <m/>
    <m/>
    <x v="12"/>
    <s v="Labor"/>
    <m/>
  </r>
  <r>
    <m/>
    <n v="1.3"/>
    <m/>
    <m/>
    <m/>
    <n v="79"/>
    <x v="4"/>
    <s v="Labor"/>
    <n v="101.38511500000001"/>
  </r>
  <r>
    <m/>
    <n v="2.4"/>
    <m/>
    <m/>
    <m/>
    <n v="146"/>
    <x v="7"/>
    <s v="Labor"/>
    <n v="187.17251999999999"/>
  </r>
  <r>
    <m/>
    <m/>
    <m/>
    <m/>
    <m/>
    <m/>
    <x v="12"/>
    <s v="Labor"/>
    <m/>
  </r>
  <r>
    <m/>
    <m/>
    <m/>
    <m/>
    <m/>
    <m/>
    <x v="12"/>
    <s v="Labor"/>
    <m/>
  </r>
  <r>
    <m/>
    <m/>
    <m/>
    <m/>
    <m/>
    <n v="0"/>
    <x v="0"/>
    <s v="Labor"/>
    <n v="0"/>
  </r>
  <r>
    <m/>
    <m/>
    <m/>
    <m/>
    <m/>
    <n v="0"/>
    <x v="1"/>
    <s v="Labor"/>
    <n v="0"/>
  </r>
  <r>
    <m/>
    <m/>
    <m/>
    <m/>
    <m/>
    <n v="0"/>
    <x v="2"/>
    <s v="Labor"/>
    <n v="0"/>
  </r>
  <r>
    <m/>
    <m/>
    <m/>
    <m/>
    <m/>
    <n v="0"/>
    <x v="3"/>
    <s v="Labor"/>
    <n v="0"/>
  </r>
  <r>
    <m/>
    <m/>
    <m/>
    <m/>
    <m/>
    <n v="0"/>
    <x v="6"/>
    <s v="Labor"/>
    <n v="0"/>
  </r>
  <r>
    <m/>
    <m/>
    <m/>
    <m/>
    <m/>
    <m/>
    <x v="12"/>
    <s v="Labor"/>
    <m/>
  </r>
  <r>
    <n v="464.7"/>
    <m/>
    <n v="46.5"/>
    <n v="23.2"/>
    <m/>
    <n v="50512"/>
    <x v="0"/>
    <s v="Labor"/>
    <n v="60005.561408000001"/>
  </r>
  <r>
    <n v="358.8"/>
    <m/>
    <n v="35.9"/>
    <n v="17.899999999999999"/>
    <m/>
    <n v="39003"/>
    <x v="1"/>
    <s v="Labor"/>
    <n v="46328.848918999996"/>
  </r>
  <r>
    <n v="54.1"/>
    <m/>
    <n v="5.4"/>
    <n v="2.7"/>
    <m/>
    <n v="5876"/>
    <x v="2"/>
    <s v="Labor"/>
    <n v="6984.0109510000011"/>
  </r>
  <r>
    <n v="2.6"/>
    <m/>
    <n v="0.3"/>
    <n v="0.1"/>
    <m/>
    <n v="283"/>
    <x v="3"/>
    <s v="Labor"/>
    <n v="336.70568500000007"/>
  </r>
  <r>
    <n v="1"/>
    <m/>
    <n v="0.1"/>
    <n v="0"/>
    <m/>
    <n v="105"/>
    <x v="6"/>
    <s v="Labor"/>
    <n v="122.513802"/>
  </r>
  <r>
    <m/>
    <m/>
    <m/>
    <m/>
    <m/>
    <m/>
    <x v="12"/>
    <s v="Labor"/>
    <m/>
  </r>
  <r>
    <m/>
    <n v="49.7"/>
    <m/>
    <m/>
    <m/>
    <n v="3018"/>
    <x v="4"/>
    <s v="Labor"/>
    <n v="3876.0309350000002"/>
  </r>
  <r>
    <m/>
    <n v="32.1"/>
    <m/>
    <m/>
    <m/>
    <n v="1949"/>
    <x v="7"/>
    <s v="Labor"/>
    <n v="2503.4324550000001"/>
  </r>
  <r>
    <m/>
    <m/>
    <m/>
    <m/>
    <m/>
    <m/>
    <x v="12"/>
    <s v="Labor"/>
    <m/>
  </r>
  <r>
    <m/>
    <m/>
    <m/>
    <m/>
    <m/>
    <m/>
    <x v="12"/>
    <s v="Labor"/>
    <m/>
  </r>
  <r>
    <n v="994"/>
    <m/>
    <n v="99.4"/>
    <n v="49.7"/>
    <m/>
    <n v="108053"/>
    <x v="4"/>
    <s v="Labor"/>
    <n v="128354.74437100002"/>
  </r>
  <r>
    <n v="642"/>
    <m/>
    <n v="64.2"/>
    <n v="32.1"/>
    <m/>
    <n v="69789"/>
    <x v="7"/>
    <s v="Labor"/>
    <n v="82901.152803000004"/>
  </r>
  <r>
    <n v="338"/>
    <m/>
    <n v="33.799999999999997"/>
    <n v="16.899999999999999"/>
    <m/>
    <n v="36742"/>
    <x v="5"/>
    <s v="Labor"/>
    <n v="43645.778267000002"/>
  </r>
  <r>
    <m/>
    <m/>
    <m/>
    <m/>
    <m/>
    <m/>
    <x v="12"/>
    <s v="Labor"/>
    <m/>
  </r>
  <r>
    <m/>
    <m/>
    <m/>
    <m/>
    <m/>
    <m/>
    <x v="12"/>
    <s v="Labor"/>
    <m/>
  </r>
  <r>
    <n v="750"/>
    <m/>
    <n v="75"/>
    <n v="37.5"/>
    <m/>
    <n v="81529"/>
    <x v="4"/>
    <s v="Labor"/>
    <n v="96847.141125000009"/>
  </r>
  <r>
    <m/>
    <m/>
    <m/>
    <m/>
    <m/>
    <m/>
    <x v="12"/>
    <s v="Labor"/>
    <m/>
  </r>
  <r>
    <m/>
    <m/>
    <m/>
    <m/>
    <m/>
    <n v="0"/>
    <x v="4"/>
    <s v="Labor"/>
    <n v="0"/>
  </r>
  <r>
    <m/>
    <m/>
    <m/>
    <m/>
    <m/>
    <m/>
    <x v="12"/>
    <s v="Labor"/>
    <m/>
  </r>
  <r>
    <m/>
    <m/>
    <m/>
    <m/>
    <m/>
    <m/>
    <x v="12"/>
    <s v="Labor"/>
    <m/>
  </r>
  <r>
    <m/>
    <m/>
    <m/>
    <m/>
    <m/>
    <n v="0"/>
    <x v="0"/>
    <s v="Labor"/>
    <n v="0"/>
  </r>
  <r>
    <m/>
    <m/>
    <m/>
    <m/>
    <m/>
    <n v="0"/>
    <x v="4"/>
    <s v="Labor"/>
    <n v="0"/>
  </r>
  <r>
    <m/>
    <m/>
    <m/>
    <m/>
    <m/>
    <n v="0"/>
    <x v="7"/>
    <s v="Labor"/>
    <n v="0"/>
  </r>
  <r>
    <m/>
    <m/>
    <m/>
    <m/>
    <m/>
    <m/>
    <x v="12"/>
    <s v="Labor"/>
    <m/>
  </r>
  <r>
    <m/>
    <m/>
    <m/>
    <m/>
    <m/>
    <n v="0"/>
    <x v="0"/>
    <s v="Labor"/>
    <n v="0"/>
  </r>
  <r>
    <m/>
    <m/>
    <m/>
    <m/>
    <m/>
    <n v="0"/>
    <x v="4"/>
    <s v="Labor"/>
    <n v="0"/>
  </r>
  <r>
    <m/>
    <m/>
    <m/>
    <m/>
    <m/>
    <n v="0"/>
    <x v="7"/>
    <s v="Labor"/>
    <n v="0"/>
  </r>
  <r>
    <m/>
    <m/>
    <m/>
    <m/>
    <m/>
    <m/>
    <x v="12"/>
    <s v="Labor"/>
    <m/>
  </r>
  <r>
    <m/>
    <n v="1.7"/>
    <m/>
    <m/>
    <m/>
    <n v="100"/>
    <x v="0"/>
    <s v="Labor"/>
    <n v="132.580535"/>
  </r>
  <r>
    <m/>
    <n v="772.1"/>
    <m/>
    <m/>
    <m/>
    <n v="46880"/>
    <x v="4"/>
    <s v="Labor"/>
    <n v="60214.959455000004"/>
  </r>
  <r>
    <m/>
    <n v="84.5"/>
    <m/>
    <m/>
    <m/>
    <n v="5131"/>
    <x v="7"/>
    <s v="Labor"/>
    <n v="6590.032475"/>
  </r>
  <r>
    <m/>
    <m/>
    <m/>
    <m/>
    <m/>
    <m/>
    <x v="12"/>
    <s v="Labor"/>
    <m/>
  </r>
  <r>
    <m/>
    <n v="63.6"/>
    <m/>
    <m/>
    <m/>
    <n v="3859"/>
    <x v="0"/>
    <s v="Labor"/>
    <n v="4960.0717800000002"/>
  </r>
  <r>
    <m/>
    <n v="89.1"/>
    <m/>
    <m/>
    <m/>
    <n v="5410"/>
    <x v="4"/>
    <s v="Labor"/>
    <n v="6948.7798050000001"/>
  </r>
  <r>
    <m/>
    <n v="13"/>
    <m/>
    <m/>
    <m/>
    <n v="789"/>
    <x v="7"/>
    <s v="Labor"/>
    <n v="1013.8511500000001"/>
  </r>
  <r>
    <m/>
    <m/>
    <m/>
    <m/>
    <m/>
    <m/>
    <x v="12"/>
    <s v="Labor"/>
    <m/>
  </r>
  <r>
    <n v="63.6"/>
    <m/>
    <n v="6.4"/>
    <n v="3.2"/>
    <m/>
    <n v="6908"/>
    <x v="0"/>
    <s v="Labor"/>
    <n v="8220.2222160000019"/>
  </r>
  <r>
    <n v="89.1"/>
    <m/>
    <n v="8.9"/>
    <n v="4.5"/>
    <m/>
    <n v="9686"/>
    <x v="4"/>
    <s v="Labor"/>
    <n v="11510.159923000001"/>
  </r>
  <r>
    <n v="13"/>
    <m/>
    <n v="1.3"/>
    <n v="0.7"/>
    <m/>
    <n v="1413"/>
    <x v="7"/>
    <s v="Labor"/>
    <n v="1685.2994990000002"/>
  </r>
  <r>
    <m/>
    <m/>
    <m/>
    <m/>
    <m/>
    <m/>
    <x v="12"/>
    <s v="Labor"/>
    <m/>
  </r>
  <r>
    <m/>
    <m/>
    <m/>
    <m/>
    <m/>
    <m/>
    <x v="12"/>
    <s v="Labor"/>
    <m/>
  </r>
  <r>
    <m/>
    <n v="7.2"/>
    <m/>
    <m/>
    <m/>
    <n v="434"/>
    <x v="4"/>
    <s v="Labor"/>
    <n v="561.51756"/>
  </r>
  <r>
    <m/>
    <m/>
    <m/>
    <m/>
    <m/>
    <m/>
    <x v="12"/>
    <s v="Labor"/>
    <m/>
  </r>
  <r>
    <m/>
    <n v="7.2"/>
    <m/>
    <m/>
    <m/>
    <n v="434"/>
    <x v="4"/>
    <s v="Labor"/>
    <n v="561.51756"/>
  </r>
  <r>
    <m/>
    <m/>
    <m/>
    <m/>
    <m/>
    <m/>
    <x v="12"/>
    <s v="Labor"/>
    <m/>
  </r>
  <r>
    <n v="7.2"/>
    <m/>
    <n v="0.7"/>
    <n v="0.4"/>
    <m/>
    <n v="777"/>
    <x v="4"/>
    <s v="Labor"/>
    <n v="932.55595000000005"/>
  </r>
  <r>
    <m/>
    <m/>
    <m/>
    <m/>
    <m/>
    <m/>
    <x v="12"/>
    <s v="Labor"/>
    <m/>
  </r>
  <r>
    <m/>
    <m/>
    <m/>
    <m/>
    <m/>
    <m/>
    <x v="12"/>
    <s v="Labor"/>
    <m/>
  </r>
  <r>
    <n v="26.2"/>
    <m/>
    <n v="2.6"/>
    <n v="1.3"/>
    <m/>
    <n v="2844"/>
    <x v="4"/>
    <s v="Labor"/>
    <n v="3379.4011390000001"/>
  </r>
  <r>
    <m/>
    <m/>
    <m/>
    <m/>
    <m/>
    <m/>
    <x v="12"/>
    <s v="Labor"/>
    <m/>
  </r>
  <r>
    <n v="26.2"/>
    <m/>
    <n v="2.6"/>
    <n v="1.3"/>
    <m/>
    <n v="2844"/>
    <x v="4"/>
    <s v="Labor"/>
    <n v="3379.4011390000001"/>
  </r>
  <r>
    <m/>
    <m/>
    <m/>
    <m/>
    <m/>
    <m/>
    <x v="12"/>
    <s v="Labor"/>
    <m/>
  </r>
  <r>
    <n v="26.2"/>
    <m/>
    <n v="2.6"/>
    <n v="1.3"/>
    <m/>
    <n v="2844"/>
    <x v="4"/>
    <s v="Labor"/>
    <n v="3379.4011390000001"/>
  </r>
  <r>
    <m/>
    <m/>
    <m/>
    <m/>
    <m/>
    <m/>
    <x v="12"/>
    <s v="Labor"/>
    <m/>
  </r>
  <r>
    <n v="100.3"/>
    <m/>
    <n v="10"/>
    <n v="5"/>
    <m/>
    <n v="10907"/>
    <x v="1"/>
    <s v="Labor"/>
    <n v="12946.00252"/>
  </r>
  <r>
    <n v="2.4"/>
    <m/>
    <n v="0.2"/>
    <n v="0.1"/>
    <m/>
    <n v="266"/>
    <x v="1"/>
    <s v="Labor"/>
    <n v="302.32620300000002"/>
  </r>
  <r>
    <m/>
    <m/>
    <m/>
    <m/>
    <m/>
    <n v="0"/>
    <x v="1"/>
    <s v="Labor"/>
    <n v="0"/>
  </r>
  <r>
    <m/>
    <m/>
    <m/>
    <m/>
    <m/>
    <n v="0"/>
    <x v="1"/>
    <s v="Labor"/>
    <n v="0"/>
  </r>
  <r>
    <n v="8.1"/>
    <m/>
    <n v="0.8"/>
    <n v="0.4"/>
    <m/>
    <n v="878"/>
    <x v="1"/>
    <s v="Labor"/>
    <n v="1044.0529620000002"/>
  </r>
  <r>
    <n v="36.299999999999997"/>
    <m/>
    <n v="3.6"/>
    <n v="1.8"/>
    <m/>
    <n v="3950"/>
    <x v="1"/>
    <s v="Labor"/>
    <n v="4681.7131439999994"/>
  </r>
  <r>
    <n v="12.1"/>
    <m/>
    <n v="1.2"/>
    <n v="0.6"/>
    <m/>
    <n v="1317"/>
    <x v="1"/>
    <s v="Labor"/>
    <n v="1560.571048"/>
  </r>
  <r>
    <n v="100.3"/>
    <m/>
    <n v="10"/>
    <n v="5"/>
    <m/>
    <n v="10907"/>
    <x v="1"/>
    <s v="Labor"/>
    <n v="12946.00252"/>
  </r>
  <r>
    <m/>
    <m/>
    <m/>
    <m/>
    <m/>
    <m/>
    <x v="12"/>
    <s v="Labor"/>
    <m/>
  </r>
  <r>
    <m/>
    <m/>
    <m/>
    <m/>
    <m/>
    <m/>
    <x v="12"/>
    <s v="Labor"/>
    <m/>
  </r>
  <r>
    <m/>
    <m/>
    <m/>
    <m/>
    <m/>
    <n v="0"/>
    <x v="4"/>
    <s v="Labor"/>
    <n v="0"/>
  </r>
  <r>
    <m/>
    <m/>
    <m/>
    <m/>
    <m/>
    <n v="0"/>
    <x v="7"/>
    <s v="Labor"/>
    <n v="0"/>
  </r>
  <r>
    <m/>
    <m/>
    <m/>
    <m/>
    <m/>
    <m/>
    <x v="12"/>
    <s v="Labor"/>
    <m/>
  </r>
  <r>
    <n v="238.5"/>
    <m/>
    <n v="23.9"/>
    <n v="11.9"/>
    <m/>
    <n v="25926"/>
    <x v="1"/>
    <s v="Labor"/>
    <n v="30800.255969000002"/>
  </r>
  <r>
    <n v="21.6"/>
    <m/>
    <n v="2.2000000000000002"/>
    <n v="1.1000000000000001"/>
    <m/>
    <n v="2348"/>
    <x v="2"/>
    <s v="Labor"/>
    <n v="2796.7823130000006"/>
  </r>
  <r>
    <n v="223.7"/>
    <m/>
    <n v="22.4"/>
    <n v="11.2"/>
    <m/>
    <n v="24312"/>
    <x v="4"/>
    <s v="Labor"/>
    <n v="28891.962446000001"/>
  </r>
  <r>
    <n v="144.5"/>
    <m/>
    <n v="14.4"/>
    <n v="7.2"/>
    <m/>
    <n v="15702"/>
    <x v="7"/>
    <s v="Labor"/>
    <n v="18649.735046000002"/>
  </r>
  <r>
    <m/>
    <m/>
    <m/>
    <m/>
    <m/>
    <m/>
    <x v="12"/>
    <s v="Labor"/>
    <m/>
  </r>
  <r>
    <m/>
    <m/>
    <m/>
    <m/>
    <m/>
    <m/>
    <x v="12"/>
    <s v="Labor"/>
    <m/>
  </r>
  <r>
    <n v="52415.3"/>
    <m/>
    <n v="5241.5"/>
    <n v="2620.8000000000002"/>
    <m/>
    <n v="5697805"/>
    <x v="4"/>
    <s v="Labor"/>
    <n v="6768363.5355120003"/>
  </r>
  <r>
    <n v="5648"/>
    <m/>
    <n v="564.79999999999995"/>
    <n v="282.39999999999998"/>
    <m/>
    <n v="613966"/>
    <x v="7"/>
    <s v="Labor"/>
    <n v="729323.53743200004"/>
  </r>
  <r>
    <m/>
    <m/>
    <m/>
    <m/>
    <m/>
    <m/>
    <x v="12"/>
    <s v="Labor"/>
    <m/>
  </r>
  <r>
    <m/>
    <n v="135"/>
    <m/>
    <m/>
    <m/>
    <n v="8197"/>
    <x v="4"/>
    <s v="Labor"/>
    <n v="10528.454250000001"/>
  </r>
  <r>
    <m/>
    <n v="196"/>
    <m/>
    <m/>
    <m/>
    <n v="11901"/>
    <x v="7"/>
    <s v="Labor"/>
    <n v="15285.755800000001"/>
  </r>
  <r>
    <m/>
    <m/>
    <m/>
    <m/>
    <m/>
    <m/>
    <x v="12"/>
    <s v="Labor"/>
    <m/>
  </r>
  <r>
    <m/>
    <n v="1372.1"/>
    <m/>
    <m/>
    <m/>
    <n v="83314"/>
    <x v="4"/>
    <s v="Labor"/>
    <n v="107008.08945499999"/>
  </r>
  <r>
    <m/>
    <n v="84"/>
    <m/>
    <m/>
    <m/>
    <n v="5100"/>
    <x v="7"/>
    <s v="Labor"/>
    <n v="6551.0382"/>
  </r>
  <r>
    <m/>
    <m/>
    <m/>
    <m/>
    <m/>
    <m/>
    <x v="12"/>
    <s v="Labor"/>
    <m/>
  </r>
  <r>
    <m/>
    <m/>
    <m/>
    <m/>
    <m/>
    <m/>
    <x v="12"/>
    <s v="Labor"/>
    <m/>
  </r>
  <r>
    <n v="142.19999999999999"/>
    <m/>
    <n v="14.2"/>
    <n v="7.1"/>
    <m/>
    <n v="15458"/>
    <x v="4"/>
    <s v="Labor"/>
    <n v="18358.425632999999"/>
  </r>
  <r>
    <n v="98.6"/>
    <m/>
    <n v="9.9"/>
    <n v="4.9000000000000004"/>
    <m/>
    <n v="10713"/>
    <x v="7"/>
    <s v="Labor"/>
    <n v="12733.139749"/>
  </r>
  <r>
    <m/>
    <m/>
    <m/>
    <m/>
    <m/>
    <m/>
    <x v="12"/>
    <s v="Labor"/>
    <m/>
  </r>
  <r>
    <m/>
    <m/>
    <m/>
    <m/>
    <m/>
    <m/>
    <x v="12"/>
    <s v="Labor"/>
    <m/>
  </r>
  <r>
    <s v="                   -   "/>
    <m/>
    <s v="                   -   "/>
    <s v="                  -   "/>
    <m/>
    <n v="0"/>
    <x v="4"/>
    <s v="Labor"/>
    <m/>
  </r>
  <r>
    <m/>
    <m/>
    <m/>
    <m/>
    <m/>
    <m/>
    <x v="12"/>
    <s v="Labor"/>
    <m/>
  </r>
  <r>
    <s v="                   -   "/>
    <m/>
    <s v="                   -   "/>
    <s v="                  -   "/>
    <m/>
    <n v="0"/>
    <x v="4"/>
    <s v="Labor"/>
    <m/>
  </r>
  <r>
    <m/>
    <m/>
    <m/>
    <m/>
    <m/>
    <m/>
    <x v="12"/>
    <s v="Labor"/>
    <m/>
  </r>
  <r>
    <n v="1332.7"/>
    <m/>
    <n v="133.30000000000001"/>
    <n v="66.599999999999994"/>
    <m/>
    <n v="144868"/>
    <x v="4"/>
    <s v="Labor"/>
    <n v="172089.98607000001"/>
  </r>
  <r>
    <m/>
    <m/>
    <m/>
    <m/>
    <m/>
    <m/>
    <x v="12"/>
    <s v="Labor"/>
    <m/>
  </r>
  <r>
    <m/>
    <m/>
    <m/>
    <m/>
    <m/>
    <m/>
    <x v="12"/>
    <s v="Labor"/>
    <m/>
  </r>
  <r>
    <s v="                   -   "/>
    <m/>
    <s v="                   -   "/>
    <s v="                  -   "/>
    <m/>
    <n v="0"/>
    <x v="4"/>
    <s v="Labor"/>
    <m/>
  </r>
  <r>
    <m/>
    <m/>
    <m/>
    <m/>
    <m/>
    <m/>
    <x v="12"/>
    <s v="Labor"/>
    <m/>
  </r>
  <r>
    <s v="                   -   "/>
    <m/>
    <s v="                   -   "/>
    <s v="                  -   "/>
    <m/>
    <n v="0"/>
    <x v="4"/>
    <s v="Labor"/>
    <m/>
  </r>
  <r>
    <m/>
    <m/>
    <m/>
    <m/>
    <m/>
    <m/>
    <x v="12"/>
    <s v="Labor"/>
    <m/>
  </r>
  <r>
    <n v="5810"/>
    <m/>
    <n v="581"/>
    <n v="290.5"/>
    <m/>
    <n v="631576"/>
    <x v="4"/>
    <s v="Labor"/>
    <n v="750242.51991500007"/>
  </r>
  <r>
    <m/>
    <m/>
    <m/>
    <m/>
    <m/>
    <m/>
    <x v="12"/>
    <s v="Labor"/>
    <m/>
  </r>
  <r>
    <m/>
    <m/>
    <m/>
    <m/>
    <m/>
    <m/>
    <x v="12"/>
    <s v="Labor"/>
    <m/>
  </r>
  <r>
    <s v="                   -   "/>
    <m/>
    <s v="                   -   "/>
    <s v="                  -   "/>
    <m/>
    <n v="0"/>
    <x v="4"/>
    <s v="Labor"/>
    <m/>
  </r>
  <r>
    <m/>
    <m/>
    <m/>
    <m/>
    <m/>
    <m/>
    <x v="12"/>
    <s v="Labor"/>
    <m/>
  </r>
  <r>
    <n v="676.5"/>
    <m/>
    <n v="67.599999999999994"/>
    <n v="33.799999999999997"/>
    <m/>
    <n v="73533"/>
    <x v="4"/>
    <s v="Labor"/>
    <n v="87346.640484000003"/>
  </r>
  <r>
    <m/>
    <m/>
    <m/>
    <m/>
    <m/>
    <m/>
    <x v="12"/>
    <s v="Labor"/>
    <m/>
  </r>
  <r>
    <n v="751.2"/>
    <m/>
    <n v="75.099999999999994"/>
    <n v="37.6"/>
    <m/>
    <n v="81654"/>
    <x v="4"/>
    <s v="Labor"/>
    <n v="97004.919946000009"/>
  </r>
  <r>
    <m/>
    <m/>
    <m/>
    <m/>
    <m/>
    <m/>
    <x v="12"/>
    <s v="Labor"/>
    <m/>
  </r>
  <r>
    <m/>
    <m/>
    <m/>
    <m/>
    <m/>
    <m/>
    <x v="12"/>
    <s v="Labor"/>
    <m/>
  </r>
  <r>
    <n v="20736"/>
    <m/>
    <n v="2073.6"/>
    <n v="1036.8"/>
    <m/>
    <n v="2254107"/>
    <x v="4"/>
    <s v="Labor"/>
    <n v="2677629.757824"/>
  </r>
  <r>
    <m/>
    <m/>
    <m/>
    <m/>
    <m/>
    <m/>
    <x v="12"/>
    <s v="Labor"/>
    <m/>
  </r>
  <r>
    <m/>
    <m/>
    <m/>
    <m/>
    <m/>
    <m/>
    <x v="12"/>
    <s v="Labor"/>
    <m/>
  </r>
  <r>
    <n v="242.7"/>
    <m/>
    <n v="24.3"/>
    <n v="12.1"/>
    <m/>
    <n v="26379"/>
    <x v="0"/>
    <s v="Labor"/>
    <n v="31338.807635000001"/>
  </r>
  <r>
    <n v="6.8"/>
    <m/>
    <n v="0.7"/>
    <n v="0.3"/>
    <m/>
    <n v="739"/>
    <x v="1"/>
    <s v="Labor"/>
    <n v="875.25735099999997"/>
  </r>
  <r>
    <n v="6.7"/>
    <m/>
    <n v="0.7"/>
    <n v="0.3"/>
    <m/>
    <n v="725"/>
    <x v="2"/>
    <s v="Labor"/>
    <n v="864.24056100000007"/>
  </r>
  <r>
    <n v="4"/>
    <m/>
    <n v="0.4"/>
    <n v="0.2"/>
    <m/>
    <n v="435"/>
    <x v="3"/>
    <s v="Labor"/>
    <n v="516.51808600000004"/>
  </r>
  <r>
    <n v="10496.2"/>
    <m/>
    <n v="1049.5999999999999"/>
    <n v="524.79999999999995"/>
    <m/>
    <n v="1140986"/>
    <x v="4"/>
    <s v="Labor"/>
    <n v="1355365.4912439999"/>
  </r>
  <r>
    <n v="0.3"/>
    <m/>
    <n v="0"/>
    <n v="0"/>
    <m/>
    <n v="36"/>
    <x v="6"/>
    <s v="Labor"/>
    <n v="33.050370000000001"/>
  </r>
  <r>
    <n v="1391.3"/>
    <m/>
    <n v="139.1"/>
    <n v="69.599999999999994"/>
    <m/>
    <n v="151245"/>
    <x v="7"/>
    <s v="Labor"/>
    <n v="179658.83049599998"/>
  </r>
  <r>
    <m/>
    <m/>
    <m/>
    <m/>
    <m/>
    <m/>
    <x v="12"/>
    <s v="Labor"/>
    <m/>
  </r>
  <r>
    <n v="121.3"/>
    <m/>
    <n v="12.1"/>
    <n v="6.1"/>
    <m/>
    <n v="13190"/>
    <x v="0"/>
    <s v="Labor"/>
    <n v="15664.338191000001"/>
  </r>
  <r>
    <n v="3.4"/>
    <m/>
    <n v="0.3"/>
    <n v="0.2"/>
    <m/>
    <n v="370"/>
    <x v="1"/>
    <s v="Labor"/>
    <n v="438.07144399999999"/>
  </r>
  <r>
    <n v="3.3"/>
    <m/>
    <n v="0.3"/>
    <n v="0.2"/>
    <m/>
    <n v="362"/>
    <x v="2"/>
    <s v="Labor"/>
    <n v="427.05465399999997"/>
  </r>
  <r>
    <n v="2"/>
    <m/>
    <n v="0.2"/>
    <n v="0.1"/>
    <m/>
    <n v="217"/>
    <x v="3"/>
    <s v="Labor"/>
    <n v="258.25904300000002"/>
  </r>
  <r>
    <n v="5248.1"/>
    <m/>
    <n v="524.79999999999995"/>
    <n v="262.39999999999998"/>
    <m/>
    <n v="570493"/>
    <x v="4"/>
    <s v="Labor"/>
    <n v="677682.74562199996"/>
  </r>
  <r>
    <n v="0.2"/>
    <m/>
    <n v="0"/>
    <n v="0"/>
    <m/>
    <n v="18"/>
    <x v="6"/>
    <s v="Labor"/>
    <n v="22.033580000000001"/>
  </r>
  <r>
    <n v="695.7"/>
    <m/>
    <n v="69.599999999999994"/>
    <n v="34.799999999999997"/>
    <m/>
    <n v="75622"/>
    <x v="7"/>
    <s v="Labor"/>
    <n v="89841.096593999988"/>
  </r>
  <r>
    <m/>
    <m/>
    <m/>
    <m/>
    <m/>
    <m/>
    <x v="13"/>
    <s v="Labor"/>
    <m/>
  </r>
  <r>
    <m/>
    <m/>
    <m/>
    <m/>
    <m/>
    <m/>
    <x v="14"/>
    <s v="Labor"/>
    <m/>
  </r>
  <r>
    <m/>
    <m/>
    <m/>
    <m/>
    <m/>
    <m/>
    <x v="15"/>
    <s v="Labor"/>
    <m/>
  </r>
  <r>
    <n v="11674"/>
    <n v="898"/>
    <n v="898"/>
    <n v="0"/>
    <m/>
    <n v="1212462"/>
    <x v="0"/>
    <s v="Labor"/>
    <n v="1466999.9824600001"/>
  </r>
  <r>
    <n v="13832"/>
    <n v="1064"/>
    <n v="1064"/>
    <n v="0"/>
    <m/>
    <n v="1436592"/>
    <x v="1"/>
    <s v="Labor"/>
    <n v="1738182.6072800001"/>
  </r>
  <r>
    <n v="1248"/>
    <n v="96"/>
    <n v="96"/>
    <n v="0"/>
    <m/>
    <n v="129617"/>
    <x v="2"/>
    <s v="Labor"/>
    <n v="156828.50592"/>
  </r>
  <r>
    <n v="156"/>
    <n v="12"/>
    <n v="12"/>
    <n v="0"/>
    <m/>
    <n v="16202"/>
    <x v="3"/>
    <s v="Labor"/>
    <n v="19603.563239999999"/>
  </r>
  <r>
    <n v="12922"/>
    <n v="994"/>
    <n v="994"/>
    <n v="0"/>
    <m/>
    <n v="1342079"/>
    <x v="4"/>
    <s v="Labor"/>
    <n v="1623828.48838"/>
  </r>
  <r>
    <n v="4394"/>
    <n v="338"/>
    <n v="338"/>
    <n v="0"/>
    <m/>
    <n v="456361"/>
    <x v="5"/>
    <s v="Labor"/>
    <n v="552167.03126000008"/>
  </r>
  <r>
    <n v="156"/>
    <n v="12"/>
    <n v="12"/>
    <n v="0"/>
    <m/>
    <n v="16202"/>
    <x v="6"/>
    <s v="Labor"/>
    <n v="19603.563239999999"/>
  </r>
  <r>
    <n v="8346"/>
    <n v="642"/>
    <n v="642"/>
    <n v="0"/>
    <m/>
    <n v="866816"/>
    <x v="7"/>
    <s v="Labor"/>
    <n v="1048790.6333400002"/>
  </r>
  <r>
    <n v="858"/>
    <n v="66"/>
    <n v="66"/>
    <n v="0"/>
    <m/>
    <n v="89112"/>
    <x v="8"/>
    <s v="Labor"/>
    <n v="107819.59782000001"/>
  </r>
  <r>
    <n v="1833"/>
    <n v="141"/>
    <n v="141"/>
    <n v="0"/>
    <m/>
    <n v="190375"/>
    <x v="9"/>
    <s v="Labor"/>
    <n v="230341.86807000003"/>
  </r>
  <r>
    <m/>
    <m/>
    <m/>
    <m/>
    <m/>
    <m/>
    <x v="12"/>
    <s v="Labor"/>
    <m/>
  </r>
  <r>
    <m/>
    <m/>
    <m/>
    <m/>
    <m/>
    <m/>
    <x v="16"/>
    <s v="Labor"/>
    <m/>
  </r>
  <r>
    <m/>
    <m/>
    <m/>
    <m/>
    <m/>
    <m/>
    <x v="17"/>
    <s v="Labor"/>
    <m/>
  </r>
  <r>
    <m/>
    <m/>
    <m/>
    <m/>
    <m/>
    <m/>
    <x v="18"/>
    <s v="Labor"/>
    <m/>
  </r>
  <r>
    <m/>
    <m/>
    <m/>
    <m/>
    <m/>
    <m/>
    <x v="19"/>
    <s v="Labor"/>
    <m/>
  </r>
  <r>
    <n v="5837"/>
    <n v="449"/>
    <n v="449"/>
    <n v="0"/>
    <m/>
    <n v="606231"/>
    <x v="0"/>
    <s v="Labor"/>
    <n v="733499.99123000004"/>
  </r>
  <r>
    <n v="6916"/>
    <n v="532"/>
    <n v="532"/>
    <n v="0"/>
    <m/>
    <n v="718296"/>
    <x v="1"/>
    <s v="Labor"/>
    <n v="869091.30364000006"/>
  </r>
  <r>
    <n v="624"/>
    <n v="48"/>
    <n v="48"/>
    <n v="0"/>
    <m/>
    <n v="64809"/>
    <x v="2"/>
    <s v="Labor"/>
    <n v="78414.252959999998"/>
  </r>
  <r>
    <n v="78"/>
    <n v="6"/>
    <n v="6"/>
    <n v="0"/>
    <m/>
    <n v="8101"/>
    <x v="3"/>
    <s v="Labor"/>
    <n v="9801.7816199999997"/>
  </r>
  <r>
    <n v="6461"/>
    <n v="497"/>
    <n v="497"/>
    <n v="0"/>
    <m/>
    <n v="671039"/>
    <x v="4"/>
    <s v="Labor"/>
    <n v="811914.24419"/>
  </r>
  <r>
    <n v="2197"/>
    <n v="169"/>
    <n v="169"/>
    <n v="0"/>
    <m/>
    <n v="228180"/>
    <x v="5"/>
    <s v="Labor"/>
    <n v="276083.51563000004"/>
  </r>
  <r>
    <n v="78"/>
    <n v="6"/>
    <n v="6"/>
    <n v="0"/>
    <m/>
    <n v="8101"/>
    <x v="6"/>
    <s v="Labor"/>
    <n v="9801.7816199999997"/>
  </r>
  <r>
    <n v="4173"/>
    <n v="321"/>
    <n v="321"/>
    <n v="0"/>
    <m/>
    <n v="433408"/>
    <x v="7"/>
    <s v="Labor"/>
    <n v="524395.31667000009"/>
  </r>
  <r>
    <n v="429"/>
    <n v="33"/>
    <n v="33"/>
    <n v="0"/>
    <m/>
    <n v="44556"/>
    <x v="8"/>
    <s v="Labor"/>
    <n v="53909.798910000005"/>
  </r>
  <r>
    <n v="916.5"/>
    <n v="141"/>
    <n v="141"/>
    <n v="0"/>
    <m/>
    <n v="106919"/>
    <x v="9"/>
    <s v="Labor"/>
    <n v="129372.98772000002"/>
  </r>
  <r>
    <m/>
    <m/>
    <m/>
    <m/>
    <m/>
    <m/>
    <x v="20"/>
    <s v="Labor"/>
    <m/>
  </r>
  <r>
    <m/>
    <m/>
    <m/>
    <m/>
    <m/>
    <m/>
    <x v="21"/>
    <s v="Labor"/>
    <m/>
  </r>
  <r>
    <m/>
    <m/>
    <m/>
    <m/>
    <m/>
    <m/>
    <x v="22"/>
    <s v="Labor"/>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0">
  <r>
    <x v="0"/>
    <x v="0"/>
    <n v="341446.33877699997"/>
  </r>
  <r>
    <x v="1"/>
    <x v="0"/>
    <n v="404556.64291"/>
  </r>
  <r>
    <x v="2"/>
    <x v="0"/>
    <n v="36501.351240000004"/>
  </r>
  <r>
    <x v="3"/>
    <x v="0"/>
    <n v="4562.6689050000004"/>
  </r>
  <r>
    <x v="4"/>
    <x v="0"/>
    <n v="377947.69001700002"/>
  </r>
  <r>
    <x v="5"/>
    <x v="0"/>
    <n v="128521.789877"/>
  </r>
  <r>
    <x v="6"/>
    <x v="0"/>
    <n v="4562.6689050000004"/>
  </r>
  <r>
    <x v="7"/>
    <x v="0"/>
    <n v="244109.40213700006"/>
  </r>
  <r>
    <x v="8"/>
    <x v="0"/>
    <n v="25101.294697000001"/>
  </r>
  <r>
    <x v="9"/>
    <x v="0"/>
    <n v="34400.284861"/>
  </r>
  <r>
    <x v="10"/>
    <x v="0"/>
    <m/>
  </r>
  <r>
    <x v="0"/>
    <x v="0"/>
    <n v="341446.33877699997"/>
  </r>
  <r>
    <x v="1"/>
    <x v="0"/>
    <n v="404556.64291"/>
  </r>
  <r>
    <x v="2"/>
    <x v="0"/>
    <n v="36501.351240000004"/>
  </r>
  <r>
    <x v="3"/>
    <x v="0"/>
    <n v="4562.6689050000004"/>
  </r>
  <r>
    <x v="4"/>
    <x v="0"/>
    <n v="377947.69001700002"/>
  </r>
  <r>
    <x v="5"/>
    <x v="0"/>
    <n v="128521.789877"/>
  </r>
  <r>
    <x v="6"/>
    <x v="0"/>
    <n v="4562.6689050000004"/>
  </r>
  <r>
    <x v="7"/>
    <x v="0"/>
    <n v="244109.40213700006"/>
  </r>
  <r>
    <x v="8"/>
    <x v="0"/>
    <n v="25101.294697000001"/>
  </r>
  <r>
    <x v="9"/>
    <x v="0"/>
    <n v="107229.33498700001"/>
  </r>
  <r>
    <x v="11"/>
    <x v="0"/>
    <m/>
  </r>
  <r>
    <x v="12"/>
    <x v="0"/>
    <m/>
  </r>
  <r>
    <x v="12"/>
    <x v="0"/>
    <m/>
  </r>
  <r>
    <x v="0"/>
    <x v="0"/>
    <n v="652.263327"/>
  </r>
  <r>
    <x v="4"/>
    <x v="0"/>
    <m/>
  </r>
  <r>
    <x v="7"/>
    <x v="0"/>
    <m/>
  </r>
  <r>
    <x v="12"/>
    <x v="0"/>
    <m/>
  </r>
  <r>
    <x v="0"/>
    <x v="0"/>
    <n v="7342.7502160000004"/>
  </r>
  <r>
    <x v="4"/>
    <x v="0"/>
    <n v="0"/>
  </r>
  <r>
    <x v="7"/>
    <x v="0"/>
    <n v="10419.825151999999"/>
  </r>
  <r>
    <x v="12"/>
    <x v="0"/>
    <m/>
  </r>
  <r>
    <x v="0"/>
    <x v="0"/>
    <n v="3324.3171890000003"/>
  </r>
  <r>
    <x v="4"/>
    <x v="0"/>
    <n v="685.31369699999993"/>
  </r>
  <r>
    <x v="7"/>
    <x v="0"/>
    <n v="1616.9841100000001"/>
  </r>
  <r>
    <x v="12"/>
    <x v="0"/>
    <m/>
  </r>
  <r>
    <x v="0"/>
    <x v="0"/>
    <n v="6545.939507000001"/>
  </r>
  <r>
    <x v="4"/>
    <x v="0"/>
    <n v="427.05465399999997"/>
  </r>
  <r>
    <x v="7"/>
    <x v="0"/>
    <n v="2269.247437"/>
  </r>
  <r>
    <x v="12"/>
    <x v="0"/>
    <m/>
  </r>
  <r>
    <x v="12"/>
    <x v="0"/>
    <m/>
  </r>
  <r>
    <x v="0"/>
    <x v="0"/>
    <n v="231916.62061400001"/>
  </r>
  <r>
    <x v="1"/>
    <x v="0"/>
    <n v="274787.62175200001"/>
  </r>
  <r>
    <x v="2"/>
    <x v="0"/>
    <n v="24792.868127999998"/>
  </r>
  <r>
    <x v="3"/>
    <x v="0"/>
    <n v="3099.1085159999998"/>
  </r>
  <r>
    <x v="4"/>
    <x v="0"/>
    <n v="105369.68954400001"/>
  </r>
  <r>
    <x v="5"/>
    <x v="0"/>
    <n v="87291.556534000003"/>
  </r>
  <r>
    <x v="6"/>
    <x v="0"/>
    <n v="3099.1085159999998"/>
  </r>
  <r>
    <x v="7"/>
    <x v="0"/>
    <n v="44420.555396000003"/>
  </r>
  <r>
    <x v="12"/>
    <x v="0"/>
    <m/>
  </r>
  <r>
    <x v="0"/>
    <x v="0"/>
    <n v="0"/>
  </r>
  <r>
    <x v="1"/>
    <x v="0"/>
    <n v="0"/>
  </r>
  <r>
    <x v="2"/>
    <x v="0"/>
    <n v="1544.1732900000002"/>
  </r>
  <r>
    <x v="3"/>
    <x v="0"/>
    <n v="210.56908500000003"/>
  </r>
  <r>
    <x v="4"/>
    <x v="0"/>
    <n v="162840.09239999999"/>
  </r>
  <r>
    <x v="5"/>
    <x v="0"/>
    <n v="5864.7389600000006"/>
  </r>
  <r>
    <x v="6"/>
    <x v="0"/>
    <n v="179.37366499999999"/>
  </r>
  <r>
    <x v="7"/>
    <x v="0"/>
    <n v="11230.351200000001"/>
  </r>
  <r>
    <x v="12"/>
    <x v="0"/>
    <m/>
  </r>
  <r>
    <x v="12"/>
    <x v="0"/>
    <m/>
  </r>
  <r>
    <x v="0"/>
    <x v="0"/>
    <n v="157021.49814400001"/>
  </r>
  <r>
    <x v="1"/>
    <x v="0"/>
    <n v="266006.81429000001"/>
  </r>
  <r>
    <x v="3"/>
    <x v="0"/>
    <n v="1033.0361720000001"/>
  </r>
  <r>
    <x v="8"/>
    <x v="0"/>
    <n v="17045.096837999998"/>
  </r>
  <r>
    <x v="7"/>
    <x v="0"/>
    <n v="203766.38492700004"/>
  </r>
  <r>
    <x v="12"/>
    <x v="0"/>
    <m/>
  </r>
  <r>
    <x v="12"/>
    <x v="0"/>
    <m/>
  </r>
  <r>
    <x v="0"/>
    <x v="0"/>
    <n v="0"/>
  </r>
  <r>
    <x v="1"/>
    <x v="0"/>
    <n v="0"/>
  </r>
  <r>
    <x v="2"/>
    <x v="0"/>
    <n v="0"/>
  </r>
  <r>
    <x v="3"/>
    <x v="0"/>
    <n v="0"/>
  </r>
  <r>
    <x v="6"/>
    <x v="0"/>
    <n v="0"/>
  </r>
  <r>
    <x v="12"/>
    <x v="0"/>
    <m/>
  </r>
  <r>
    <x v="0"/>
    <x v="0"/>
    <n v="9599.6517510000012"/>
  </r>
  <r>
    <x v="1"/>
    <x v="0"/>
    <n v="18178.613232000003"/>
  </r>
  <r>
    <x v="2"/>
    <x v="0"/>
    <n v="752.74354900000003"/>
  </r>
  <r>
    <x v="3"/>
    <x v="0"/>
    <n v="190.82919099999998"/>
  </r>
  <r>
    <x v="6"/>
    <x v="0"/>
    <n v="22.033580000000001"/>
  </r>
  <r>
    <x v="12"/>
    <x v="0"/>
    <m/>
  </r>
  <r>
    <x v="4"/>
    <x v="0"/>
    <n v="101.38511500000001"/>
  </r>
  <r>
    <x v="7"/>
    <x v="0"/>
    <n v="187.17251999999999"/>
  </r>
  <r>
    <x v="12"/>
    <x v="0"/>
    <m/>
  </r>
  <r>
    <x v="12"/>
    <x v="0"/>
    <m/>
  </r>
  <r>
    <x v="0"/>
    <x v="0"/>
    <n v="0"/>
  </r>
  <r>
    <x v="1"/>
    <x v="0"/>
    <n v="0"/>
  </r>
  <r>
    <x v="2"/>
    <x v="0"/>
    <n v="0"/>
  </r>
  <r>
    <x v="3"/>
    <x v="0"/>
    <n v="0"/>
  </r>
  <r>
    <x v="6"/>
    <x v="0"/>
    <n v="0"/>
  </r>
  <r>
    <x v="12"/>
    <x v="0"/>
    <m/>
  </r>
  <r>
    <x v="0"/>
    <x v="0"/>
    <n v="60005.561408000001"/>
  </r>
  <r>
    <x v="1"/>
    <x v="0"/>
    <n v="46328.848918999996"/>
  </r>
  <r>
    <x v="2"/>
    <x v="0"/>
    <n v="6984.0109510000011"/>
  </r>
  <r>
    <x v="3"/>
    <x v="0"/>
    <n v="336.70568500000007"/>
  </r>
  <r>
    <x v="6"/>
    <x v="0"/>
    <n v="122.513802"/>
  </r>
  <r>
    <x v="12"/>
    <x v="0"/>
    <m/>
  </r>
  <r>
    <x v="4"/>
    <x v="0"/>
    <n v="3876.0309350000002"/>
  </r>
  <r>
    <x v="7"/>
    <x v="0"/>
    <n v="2503.4324550000001"/>
  </r>
  <r>
    <x v="12"/>
    <x v="0"/>
    <m/>
  </r>
  <r>
    <x v="12"/>
    <x v="0"/>
    <m/>
  </r>
  <r>
    <x v="4"/>
    <x v="0"/>
    <n v="128354.74437100002"/>
  </r>
  <r>
    <x v="7"/>
    <x v="0"/>
    <n v="82901.152803000004"/>
  </r>
  <r>
    <x v="5"/>
    <x v="0"/>
    <n v="43645.778267000002"/>
  </r>
  <r>
    <x v="12"/>
    <x v="0"/>
    <m/>
  </r>
  <r>
    <x v="12"/>
    <x v="0"/>
    <m/>
  </r>
  <r>
    <x v="4"/>
    <x v="0"/>
    <n v="96847.141125000009"/>
  </r>
  <r>
    <x v="12"/>
    <x v="0"/>
    <m/>
  </r>
  <r>
    <x v="4"/>
    <x v="0"/>
    <n v="0"/>
  </r>
  <r>
    <x v="12"/>
    <x v="0"/>
    <m/>
  </r>
  <r>
    <x v="12"/>
    <x v="0"/>
    <m/>
  </r>
  <r>
    <x v="0"/>
    <x v="0"/>
    <n v="0"/>
  </r>
  <r>
    <x v="4"/>
    <x v="0"/>
    <n v="0"/>
  </r>
  <r>
    <x v="7"/>
    <x v="0"/>
    <n v="0"/>
  </r>
  <r>
    <x v="12"/>
    <x v="0"/>
    <m/>
  </r>
  <r>
    <x v="0"/>
    <x v="0"/>
    <n v="0"/>
  </r>
  <r>
    <x v="4"/>
    <x v="0"/>
    <n v="0"/>
  </r>
  <r>
    <x v="7"/>
    <x v="0"/>
    <n v="0"/>
  </r>
  <r>
    <x v="12"/>
    <x v="0"/>
    <m/>
  </r>
  <r>
    <x v="0"/>
    <x v="0"/>
    <n v="132.580535"/>
  </r>
  <r>
    <x v="4"/>
    <x v="0"/>
    <n v="60214.959455000004"/>
  </r>
  <r>
    <x v="7"/>
    <x v="0"/>
    <n v="6590.032475"/>
  </r>
  <r>
    <x v="12"/>
    <x v="0"/>
    <m/>
  </r>
  <r>
    <x v="0"/>
    <x v="0"/>
    <n v="4960.0717800000002"/>
  </r>
  <r>
    <x v="4"/>
    <x v="0"/>
    <n v="6948.7798050000001"/>
  </r>
  <r>
    <x v="7"/>
    <x v="0"/>
    <n v="1013.8511500000001"/>
  </r>
  <r>
    <x v="12"/>
    <x v="0"/>
    <m/>
  </r>
  <r>
    <x v="0"/>
    <x v="0"/>
    <n v="8220.2222160000019"/>
  </r>
  <r>
    <x v="4"/>
    <x v="0"/>
    <n v="11510.159923000001"/>
  </r>
  <r>
    <x v="7"/>
    <x v="0"/>
    <n v="1685.2994990000002"/>
  </r>
  <r>
    <x v="12"/>
    <x v="0"/>
    <m/>
  </r>
  <r>
    <x v="12"/>
    <x v="0"/>
    <m/>
  </r>
  <r>
    <x v="4"/>
    <x v="0"/>
    <n v="561.51756"/>
  </r>
  <r>
    <x v="12"/>
    <x v="0"/>
    <m/>
  </r>
  <r>
    <x v="4"/>
    <x v="0"/>
    <n v="561.51756"/>
  </r>
  <r>
    <x v="12"/>
    <x v="0"/>
    <m/>
  </r>
  <r>
    <x v="4"/>
    <x v="0"/>
    <n v="932.55595000000005"/>
  </r>
  <r>
    <x v="12"/>
    <x v="0"/>
    <m/>
  </r>
  <r>
    <x v="12"/>
    <x v="0"/>
    <m/>
  </r>
  <r>
    <x v="4"/>
    <x v="0"/>
    <n v="3379.4011390000001"/>
  </r>
  <r>
    <x v="12"/>
    <x v="0"/>
    <m/>
  </r>
  <r>
    <x v="4"/>
    <x v="0"/>
    <n v="3379.4011390000001"/>
  </r>
  <r>
    <x v="12"/>
    <x v="0"/>
    <m/>
  </r>
  <r>
    <x v="4"/>
    <x v="0"/>
    <n v="3379.4011390000001"/>
  </r>
  <r>
    <x v="12"/>
    <x v="0"/>
    <m/>
  </r>
  <r>
    <x v="1"/>
    <x v="0"/>
    <n v="12946.00252"/>
  </r>
  <r>
    <x v="1"/>
    <x v="0"/>
    <n v="302.32620300000002"/>
  </r>
  <r>
    <x v="1"/>
    <x v="0"/>
    <n v="0"/>
  </r>
  <r>
    <x v="1"/>
    <x v="0"/>
    <n v="0"/>
  </r>
  <r>
    <x v="1"/>
    <x v="0"/>
    <n v="1044.0529620000002"/>
  </r>
  <r>
    <x v="1"/>
    <x v="0"/>
    <n v="4681.7131439999994"/>
  </r>
  <r>
    <x v="1"/>
    <x v="0"/>
    <n v="1560.571048"/>
  </r>
  <r>
    <x v="1"/>
    <x v="0"/>
    <n v="12946.00252"/>
  </r>
  <r>
    <x v="12"/>
    <x v="0"/>
    <m/>
  </r>
  <r>
    <x v="12"/>
    <x v="0"/>
    <m/>
  </r>
  <r>
    <x v="4"/>
    <x v="0"/>
    <n v="0"/>
  </r>
  <r>
    <x v="7"/>
    <x v="0"/>
    <n v="0"/>
  </r>
  <r>
    <x v="12"/>
    <x v="0"/>
    <m/>
  </r>
  <r>
    <x v="1"/>
    <x v="0"/>
    <n v="30800.255969000002"/>
  </r>
  <r>
    <x v="2"/>
    <x v="0"/>
    <n v="2796.7823130000006"/>
  </r>
  <r>
    <x v="4"/>
    <x v="0"/>
    <n v="28891.962446000001"/>
  </r>
  <r>
    <x v="7"/>
    <x v="0"/>
    <n v="18649.735046000002"/>
  </r>
  <r>
    <x v="12"/>
    <x v="0"/>
    <m/>
  </r>
  <r>
    <x v="12"/>
    <x v="0"/>
    <m/>
  </r>
  <r>
    <x v="4"/>
    <x v="0"/>
    <n v="6768363.5355120003"/>
  </r>
  <r>
    <x v="7"/>
    <x v="0"/>
    <n v="729323.53743200004"/>
  </r>
  <r>
    <x v="12"/>
    <x v="0"/>
    <m/>
  </r>
  <r>
    <x v="4"/>
    <x v="0"/>
    <n v="10528.454250000001"/>
  </r>
  <r>
    <x v="7"/>
    <x v="0"/>
    <n v="15285.755800000001"/>
  </r>
  <r>
    <x v="12"/>
    <x v="0"/>
    <m/>
  </r>
  <r>
    <x v="4"/>
    <x v="0"/>
    <n v="107008.08945499999"/>
  </r>
  <r>
    <x v="7"/>
    <x v="0"/>
    <n v="6551.0382"/>
  </r>
  <r>
    <x v="12"/>
    <x v="0"/>
    <m/>
  </r>
  <r>
    <x v="12"/>
    <x v="0"/>
    <m/>
  </r>
  <r>
    <x v="4"/>
    <x v="0"/>
    <n v="18358.425632999999"/>
  </r>
  <r>
    <x v="7"/>
    <x v="0"/>
    <n v="12733.139749"/>
  </r>
  <r>
    <x v="12"/>
    <x v="0"/>
    <m/>
  </r>
  <r>
    <x v="12"/>
    <x v="0"/>
    <m/>
  </r>
  <r>
    <x v="4"/>
    <x v="0"/>
    <m/>
  </r>
  <r>
    <x v="12"/>
    <x v="0"/>
    <m/>
  </r>
  <r>
    <x v="4"/>
    <x v="0"/>
    <m/>
  </r>
  <r>
    <x v="12"/>
    <x v="0"/>
    <m/>
  </r>
  <r>
    <x v="4"/>
    <x v="0"/>
    <n v="172089.98607000001"/>
  </r>
  <r>
    <x v="12"/>
    <x v="0"/>
    <m/>
  </r>
  <r>
    <x v="12"/>
    <x v="0"/>
    <m/>
  </r>
  <r>
    <x v="4"/>
    <x v="0"/>
    <m/>
  </r>
  <r>
    <x v="12"/>
    <x v="0"/>
    <m/>
  </r>
  <r>
    <x v="4"/>
    <x v="0"/>
    <m/>
  </r>
  <r>
    <x v="12"/>
    <x v="0"/>
    <m/>
  </r>
  <r>
    <x v="4"/>
    <x v="0"/>
    <n v="750242.51991500007"/>
  </r>
  <r>
    <x v="12"/>
    <x v="0"/>
    <m/>
  </r>
  <r>
    <x v="12"/>
    <x v="0"/>
    <m/>
  </r>
  <r>
    <x v="4"/>
    <x v="0"/>
    <m/>
  </r>
  <r>
    <x v="12"/>
    <x v="0"/>
    <m/>
  </r>
  <r>
    <x v="4"/>
    <x v="0"/>
    <n v="87346.640484000003"/>
  </r>
  <r>
    <x v="12"/>
    <x v="0"/>
    <m/>
  </r>
  <r>
    <x v="4"/>
    <x v="0"/>
    <n v="97004.919946000009"/>
  </r>
  <r>
    <x v="12"/>
    <x v="0"/>
    <m/>
  </r>
  <r>
    <x v="12"/>
    <x v="0"/>
    <m/>
  </r>
  <r>
    <x v="4"/>
    <x v="0"/>
    <n v="2677629.757824"/>
  </r>
  <r>
    <x v="12"/>
    <x v="0"/>
    <m/>
  </r>
  <r>
    <x v="12"/>
    <x v="0"/>
    <m/>
  </r>
  <r>
    <x v="0"/>
    <x v="0"/>
    <n v="31338.807635000001"/>
  </r>
  <r>
    <x v="1"/>
    <x v="0"/>
    <n v="875.25735099999997"/>
  </r>
  <r>
    <x v="2"/>
    <x v="0"/>
    <n v="864.24056100000007"/>
  </r>
  <r>
    <x v="3"/>
    <x v="0"/>
    <n v="516.51808600000004"/>
  </r>
  <r>
    <x v="4"/>
    <x v="0"/>
    <n v="1355365.4912439999"/>
  </r>
  <r>
    <x v="6"/>
    <x v="0"/>
    <n v="33.050370000000001"/>
  </r>
  <r>
    <x v="7"/>
    <x v="0"/>
    <n v="179658.83049599998"/>
  </r>
  <r>
    <x v="12"/>
    <x v="0"/>
    <m/>
  </r>
  <r>
    <x v="0"/>
    <x v="0"/>
    <n v="15664.338191000001"/>
  </r>
  <r>
    <x v="1"/>
    <x v="0"/>
    <n v="438.07144399999999"/>
  </r>
  <r>
    <x v="2"/>
    <x v="0"/>
    <n v="427.05465399999997"/>
  </r>
  <r>
    <x v="3"/>
    <x v="0"/>
    <n v="258.25904300000002"/>
  </r>
  <r>
    <x v="4"/>
    <x v="0"/>
    <n v="677682.74562199996"/>
  </r>
  <r>
    <x v="6"/>
    <x v="0"/>
    <n v="22.033580000000001"/>
  </r>
  <r>
    <x v="7"/>
    <x v="0"/>
    <n v="89841.096593999988"/>
  </r>
  <r>
    <x v="13"/>
    <x v="0"/>
    <m/>
  </r>
  <r>
    <x v="14"/>
    <x v="0"/>
    <m/>
  </r>
  <r>
    <x v="15"/>
    <x v="0"/>
    <m/>
  </r>
  <r>
    <x v="0"/>
    <x v="0"/>
    <n v="1466999.9824600001"/>
  </r>
  <r>
    <x v="1"/>
    <x v="0"/>
    <n v="1738182.6072800001"/>
  </r>
  <r>
    <x v="2"/>
    <x v="0"/>
    <n v="156828.50592"/>
  </r>
  <r>
    <x v="3"/>
    <x v="0"/>
    <n v="19603.563239999999"/>
  </r>
  <r>
    <x v="4"/>
    <x v="0"/>
    <n v="1623828.48838"/>
  </r>
  <r>
    <x v="5"/>
    <x v="0"/>
    <n v="552167.03126000008"/>
  </r>
  <r>
    <x v="6"/>
    <x v="0"/>
    <n v="19603.563239999999"/>
  </r>
  <r>
    <x v="7"/>
    <x v="0"/>
    <n v="1048790.6333400002"/>
  </r>
  <r>
    <x v="8"/>
    <x v="0"/>
    <n v="107819.59782000001"/>
  </r>
  <r>
    <x v="9"/>
    <x v="0"/>
    <n v="230341.86807000003"/>
  </r>
  <r>
    <x v="12"/>
    <x v="0"/>
    <m/>
  </r>
  <r>
    <x v="16"/>
    <x v="0"/>
    <m/>
  </r>
  <r>
    <x v="17"/>
    <x v="0"/>
    <m/>
  </r>
  <r>
    <x v="18"/>
    <x v="0"/>
    <m/>
  </r>
  <r>
    <x v="19"/>
    <x v="0"/>
    <m/>
  </r>
  <r>
    <x v="0"/>
    <x v="0"/>
    <n v="733499.99123000004"/>
  </r>
  <r>
    <x v="1"/>
    <x v="0"/>
    <n v="869091.30364000006"/>
  </r>
  <r>
    <x v="2"/>
    <x v="0"/>
    <n v="78414.252959999998"/>
  </r>
  <r>
    <x v="3"/>
    <x v="0"/>
    <n v="9801.7816199999997"/>
  </r>
  <r>
    <x v="4"/>
    <x v="0"/>
    <n v="811914.24419"/>
  </r>
  <r>
    <x v="5"/>
    <x v="0"/>
    <n v="276083.51563000004"/>
  </r>
  <r>
    <x v="6"/>
    <x v="0"/>
    <n v="9801.7816199999997"/>
  </r>
  <r>
    <x v="7"/>
    <x v="0"/>
    <n v="524395.31667000009"/>
  </r>
  <r>
    <x v="8"/>
    <x v="0"/>
    <n v="53909.798910000005"/>
  </r>
  <r>
    <x v="9"/>
    <x v="0"/>
    <n v="129372.98772000002"/>
  </r>
  <r>
    <x v="20"/>
    <x v="0"/>
    <m/>
  </r>
  <r>
    <x v="21"/>
    <x v="0"/>
    <m/>
  </r>
  <r>
    <x v="22"/>
    <x v="0"/>
    <m/>
  </r>
  <r>
    <x v="12"/>
    <x v="0"/>
    <m/>
  </r>
  <r>
    <x v="12"/>
    <x v="0"/>
    <m/>
  </r>
  <r>
    <x v="12"/>
    <x v="0"/>
    <m/>
  </r>
  <r>
    <x v="12"/>
    <x v="0"/>
    <m/>
  </r>
  <r>
    <x v="23"/>
    <x v="0"/>
    <m/>
  </r>
  <r>
    <x v="12"/>
    <x v="1"/>
    <m/>
  </r>
  <r>
    <x v="0"/>
    <x v="1"/>
    <n v="28008.105726872247"/>
  </r>
  <r>
    <x v="1"/>
    <x v="1"/>
    <n v="33185.550660792949"/>
  </r>
  <r>
    <x v="2"/>
    <x v="1"/>
    <n v="2994.1850220264319"/>
  </r>
  <r>
    <x v="3"/>
    <x v="1"/>
    <n v="374.27312775330398"/>
  </r>
  <r>
    <x v="4"/>
    <x v="1"/>
    <n v="31002.290748898678"/>
  </r>
  <r>
    <x v="5"/>
    <x v="1"/>
    <n v="10542.026431718063"/>
  </r>
  <r>
    <x v="6"/>
    <x v="1"/>
    <n v="374.27312775330398"/>
  </r>
  <r>
    <x v="7"/>
    <x v="1"/>
    <n v="20023.612334801761"/>
  </r>
  <r>
    <x v="8"/>
    <x v="1"/>
    <n v="2058.502202643172"/>
  </r>
  <r>
    <x v="9"/>
    <x v="1"/>
    <n v="8795.4185022026431"/>
  </r>
  <r>
    <x v="24"/>
    <x v="1"/>
    <n v="0"/>
  </r>
  <r>
    <x v="12"/>
    <x v="1"/>
    <n v="0"/>
  </r>
  <r>
    <x v="0"/>
    <x v="1"/>
    <n v="170468.93392070485"/>
  </r>
  <r>
    <x v="4"/>
    <x v="1"/>
    <n v="0"/>
  </r>
  <r>
    <x v="7"/>
    <x v="1"/>
    <n v="0"/>
  </r>
  <r>
    <x v="24"/>
    <x v="1"/>
    <n v="0"/>
  </r>
  <r>
    <x v="12"/>
    <x v="1"/>
    <n v="0"/>
  </r>
  <r>
    <x v="0"/>
    <x v="1"/>
    <n v="63210.98854625551"/>
  </r>
  <r>
    <x v="4"/>
    <x v="1"/>
    <n v="4990.3083700440529"/>
  </r>
  <r>
    <x v="7"/>
    <x v="1"/>
    <n v="17466.079295154184"/>
  </r>
  <r>
    <x v="25"/>
    <x v="1"/>
    <n v="0"/>
  </r>
  <r>
    <x v="0"/>
    <x v="1"/>
    <n v="1519934.4"/>
  </r>
  <r>
    <x v="1"/>
    <x v="1"/>
    <n v="1573580.2149779736"/>
  </r>
  <r>
    <x v="2"/>
    <x v="1"/>
    <n v="210108.20088105727"/>
  </r>
  <r>
    <x v="3"/>
    <x v="1"/>
    <n v="17881.522466960352"/>
  </r>
  <r>
    <x v="6"/>
    <x v="1"/>
    <n v="8941.3850220264321"/>
  </r>
  <r>
    <x v="26"/>
    <x v="1"/>
    <n v="0"/>
  </r>
  <r>
    <x v="1"/>
    <x v="1"/>
    <n v="22556.193832599118"/>
  </r>
  <r>
    <x v="27"/>
    <x v="1"/>
    <n v="0"/>
  </r>
  <r>
    <x v="1"/>
    <x v="1"/>
    <n v="18.7136563876652"/>
  </r>
  <r>
    <x v="28"/>
    <x v="1"/>
    <n v="0"/>
  </r>
  <r>
    <x v="1"/>
    <x v="1"/>
    <n v="280238.25198237883"/>
  </r>
  <r>
    <x v="29"/>
    <x v="1"/>
    <n v="0"/>
  </r>
  <r>
    <x v="1"/>
    <x v="1"/>
    <n v="82704.380616740091"/>
  </r>
  <r>
    <x v="30"/>
    <x v="1"/>
    <n v="0"/>
  </r>
  <r>
    <x v="1"/>
    <x v="1"/>
    <n v="0"/>
  </r>
  <r>
    <x v="31"/>
    <x v="1"/>
    <n v="0"/>
  </r>
  <r>
    <x v="12"/>
    <x v="1"/>
    <n v="0"/>
  </r>
  <r>
    <x v="4"/>
    <x v="1"/>
    <n v="66371.101321585898"/>
  </r>
  <r>
    <x v="7"/>
    <x v="1"/>
    <n v="36179.735682819381"/>
  </r>
  <r>
    <x v="32"/>
    <x v="1"/>
    <n v="0"/>
  </r>
  <r>
    <x v="12"/>
    <x v="1"/>
    <n v="0"/>
  </r>
  <r>
    <x v="4"/>
    <x v="1"/>
    <n v="66371.101321585898"/>
  </r>
  <r>
    <x v="7"/>
    <x v="1"/>
    <n v="36179.735682819381"/>
  </r>
  <r>
    <x v="33"/>
    <x v="1"/>
    <n v="0"/>
  </r>
  <r>
    <x v="12"/>
    <x v="1"/>
    <n v="0"/>
  </r>
  <r>
    <x v="0"/>
    <x v="1"/>
    <n v="0"/>
  </r>
  <r>
    <x v="4"/>
    <x v="1"/>
    <n v="0"/>
  </r>
  <r>
    <x v="7"/>
    <x v="1"/>
    <n v="0"/>
  </r>
  <r>
    <x v="12"/>
    <x v="1"/>
    <n v="0"/>
  </r>
  <r>
    <x v="0"/>
    <x v="1"/>
    <n v="0"/>
  </r>
  <r>
    <x v="4"/>
    <x v="1"/>
    <n v="0"/>
  </r>
  <r>
    <x v="7"/>
    <x v="1"/>
    <n v="0"/>
  </r>
  <r>
    <x v="12"/>
    <x v="1"/>
    <n v="0"/>
  </r>
  <r>
    <x v="0"/>
    <x v="1"/>
    <n v="0"/>
  </r>
  <r>
    <x v="4"/>
    <x v="1"/>
    <n v="0"/>
  </r>
  <r>
    <x v="7"/>
    <x v="1"/>
    <n v="0"/>
  </r>
  <r>
    <x v="34"/>
    <x v="1"/>
    <n v="0"/>
  </r>
  <r>
    <x v="0"/>
    <x v="1"/>
    <n v="10200585.790308369"/>
  </r>
  <r>
    <x v="1"/>
    <x v="1"/>
    <n v="7796839.0837004408"/>
  </r>
  <r>
    <x v="2"/>
    <x v="1"/>
    <n v="1441031.386784141"/>
  </r>
  <r>
    <x v="3"/>
    <x v="1"/>
    <n v="128270.88634361234"/>
  </r>
  <r>
    <x v="4"/>
    <x v="1"/>
    <n v="0"/>
  </r>
  <r>
    <x v="5"/>
    <x v="1"/>
    <n v="1341957.5471365638"/>
  </r>
  <r>
    <x v="6"/>
    <x v="1"/>
    <n v="32067.721585903084"/>
  </r>
  <r>
    <x v="7"/>
    <x v="1"/>
    <n v="0"/>
  </r>
  <r>
    <x v="35"/>
    <x v="1"/>
    <n v="10200585.790308369"/>
  </r>
  <r>
    <x v="12"/>
    <x v="2"/>
    <m/>
  </r>
  <r>
    <x v="12"/>
    <x v="2"/>
    <m/>
  </r>
  <r>
    <x v="36"/>
    <x v="2"/>
    <m/>
  </r>
  <r>
    <x v="0"/>
    <x v="2"/>
    <n v="0"/>
  </r>
  <r>
    <x v="1"/>
    <x v="2"/>
    <n v="0"/>
  </r>
  <r>
    <x v="3"/>
    <x v="2"/>
    <n v="0"/>
  </r>
  <r>
    <x v="8"/>
    <x v="2"/>
    <n v="0"/>
  </r>
  <r>
    <x v="7"/>
    <x v="2"/>
    <n v="0"/>
  </r>
  <r>
    <x v="37"/>
    <x v="2"/>
    <m/>
  </r>
  <r>
    <x v="0"/>
    <x v="2"/>
    <n v="0"/>
  </r>
  <r>
    <x v="1"/>
    <x v="2"/>
    <n v="0"/>
  </r>
  <r>
    <x v="2"/>
    <x v="2"/>
    <n v="0"/>
  </r>
  <r>
    <x v="3"/>
    <x v="2"/>
    <n v="0"/>
  </r>
  <r>
    <x v="6"/>
    <x v="2"/>
    <n v="0"/>
  </r>
  <r>
    <x v="38"/>
    <x v="2"/>
    <m/>
  </r>
  <r>
    <x v="0"/>
    <x v="2"/>
    <n v="0"/>
  </r>
  <r>
    <x v="1"/>
    <x v="2"/>
    <n v="0"/>
  </r>
  <r>
    <x v="2"/>
    <x v="2"/>
    <n v="0"/>
  </r>
  <r>
    <x v="3"/>
    <x v="2"/>
    <n v="0"/>
  </r>
  <r>
    <x v="5"/>
    <x v="2"/>
    <n v="0"/>
  </r>
  <r>
    <x v="6"/>
    <x v="2"/>
    <n v="0"/>
  </r>
  <r>
    <x v="39"/>
    <x v="2"/>
    <m/>
  </r>
  <r>
    <x v="0"/>
    <x v="2"/>
    <n v="0"/>
  </r>
  <r>
    <x v="1"/>
    <x v="2"/>
    <n v="0"/>
  </r>
  <r>
    <x v="2"/>
    <x v="2"/>
    <n v="0"/>
  </r>
  <r>
    <x v="3"/>
    <x v="2"/>
    <n v="0"/>
  </r>
  <r>
    <x v="5"/>
    <x v="2"/>
    <n v="0"/>
  </r>
  <r>
    <x v="6"/>
    <x v="2"/>
    <n v="0"/>
  </r>
  <r>
    <x v="40"/>
    <x v="2"/>
    <m/>
  </r>
  <r>
    <x v="0"/>
    <x v="2"/>
    <n v="0"/>
  </r>
  <r>
    <x v="1"/>
    <x v="2"/>
    <n v="0"/>
  </r>
  <r>
    <x v="2"/>
    <x v="2"/>
    <n v="0"/>
  </r>
  <r>
    <x v="3"/>
    <x v="2"/>
    <n v="0"/>
  </r>
  <r>
    <x v="5"/>
    <x v="2"/>
    <n v="0"/>
  </r>
  <r>
    <x v="6"/>
    <x v="2"/>
    <n v="0"/>
  </r>
  <r>
    <x v="26"/>
    <x v="2"/>
    <m/>
  </r>
  <r>
    <x v="1"/>
    <x v="2"/>
    <n v="0"/>
  </r>
  <r>
    <x v="27"/>
    <x v="2"/>
    <m/>
  </r>
  <r>
    <x v="1"/>
    <x v="2"/>
    <n v="0"/>
  </r>
  <r>
    <x v="28"/>
    <x v="2"/>
    <m/>
  </r>
  <r>
    <x v="1"/>
    <x v="2"/>
    <n v="0"/>
  </r>
  <r>
    <x v="29"/>
    <x v="2"/>
    <m/>
  </r>
  <r>
    <x v="1"/>
    <x v="2"/>
    <n v="0"/>
  </r>
  <r>
    <x v="30"/>
    <x v="2"/>
    <m/>
  </r>
  <r>
    <x v="1"/>
    <x v="2"/>
    <n v="0"/>
  </r>
  <r>
    <x v="41"/>
    <x v="2"/>
    <m/>
  </r>
  <r>
    <x v="4"/>
    <x v="2"/>
    <n v="0"/>
  </r>
  <r>
    <x v="42"/>
    <x v="2"/>
    <m/>
  </r>
  <r>
    <x v="4"/>
    <x v="2"/>
    <n v="0"/>
  </r>
  <r>
    <x v="43"/>
    <x v="2"/>
    <m/>
  </r>
  <r>
    <x v="4"/>
    <x v="2"/>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F758D95-07DD-49CC-9648-6B2A73AC22F1}"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27" firstHeaderRow="0" firstDataRow="1" firstDataCol="1"/>
  <pivotFields count="9">
    <pivotField dataField="1" showAll="0" defaultSubtotal="0"/>
    <pivotField dataField="1" showAll="0"/>
    <pivotField dataField="1" showAll="0"/>
    <pivotField dataField="1" showAll="0"/>
    <pivotField dataField="1" showAll="0"/>
    <pivotField showAll="0"/>
    <pivotField axis="axisRow" showAll="0">
      <items count="24">
        <item x="12"/>
        <item x="7"/>
        <item x="3"/>
        <item x="6"/>
        <item x="5"/>
        <item x="0"/>
        <item x="1"/>
        <item x="8"/>
        <item x="9"/>
        <item x="4"/>
        <item x="2"/>
        <item x="16"/>
        <item x="10"/>
        <item x="17"/>
        <item x="11"/>
        <item x="13"/>
        <item x="18"/>
        <item x="14"/>
        <item x="19"/>
        <item x="20"/>
        <item x="15"/>
        <item x="21"/>
        <item x="22"/>
        <item t="default"/>
      </items>
    </pivotField>
    <pivotField showAll="0"/>
    <pivotField showAll="0"/>
  </pivotFields>
  <rowFields count="1">
    <field x="6"/>
  </rowFields>
  <rowItems count="24">
    <i>
      <x/>
    </i>
    <i>
      <x v="1"/>
    </i>
    <i>
      <x v="2"/>
    </i>
    <i>
      <x v="3"/>
    </i>
    <i>
      <x v="4"/>
    </i>
    <i>
      <x v="5"/>
    </i>
    <i>
      <x v="6"/>
    </i>
    <i>
      <x v="7"/>
    </i>
    <i>
      <x v="8"/>
    </i>
    <i>
      <x v="9"/>
    </i>
    <i>
      <x v="10"/>
    </i>
    <i>
      <x v="11"/>
    </i>
    <i>
      <x v="12"/>
    </i>
    <i>
      <x v="13"/>
    </i>
    <i>
      <x v="14"/>
    </i>
    <i>
      <x v="15"/>
    </i>
    <i>
      <x v="16"/>
    </i>
    <i>
      <x v="17"/>
    </i>
    <i>
      <x v="18"/>
    </i>
    <i>
      <x v="19"/>
    </i>
    <i>
      <x v="20"/>
    </i>
    <i>
      <x v="21"/>
    </i>
    <i>
      <x v="22"/>
    </i>
    <i t="grand">
      <x/>
    </i>
  </rowItems>
  <colFields count="1">
    <field x="-2"/>
  </colFields>
  <colItems count="5">
    <i>
      <x/>
    </i>
    <i i="1">
      <x v="1"/>
    </i>
    <i i="2">
      <x v="2"/>
    </i>
    <i i="3">
      <x v="3"/>
    </i>
    <i i="4">
      <x v="4"/>
    </i>
  </colItems>
  <dataFields count="5">
    <dataField name="Sum of Engineer" fld="0" baseField="6" baseItem="0"/>
    <dataField name="Sum of Technician" fld="1" baseField="0" baseItem="0"/>
    <dataField name="Sum of Middle Manager  " fld="2" baseField="6" baseItem="0"/>
    <dataField name="Sum of Senior Manager  " fld="3" baseField="6" baseItem="0"/>
    <dataField name="Sum of Lawyer  "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30409C-BF60-4DF7-989E-8B4C128CB9FE}" name="PivotTable2"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W10:Y94" firstHeaderRow="1" firstDataRow="1" firstDataCol="2"/>
  <pivotFields count="3">
    <pivotField axis="axisRow" compact="0" outline="0" showAll="0">
      <items count="37">
        <item x="12"/>
        <item x="7"/>
        <item x="3"/>
        <item x="6"/>
        <item x="5"/>
        <item x="0"/>
        <item x="1"/>
        <item x="8"/>
        <item x="9"/>
        <item x="4"/>
        <item x="2"/>
        <item x="16"/>
        <item x="10"/>
        <item x="24"/>
        <item x="17"/>
        <item x="11"/>
        <item x="13"/>
        <item x="18"/>
        <item x="25"/>
        <item x="14"/>
        <item x="19"/>
        <item x="20"/>
        <item x="15"/>
        <item x="34"/>
        <item x="21"/>
        <item x="32"/>
        <item x="22"/>
        <item x="33"/>
        <item x="23"/>
        <item x="31"/>
        <item x="27"/>
        <item x="30"/>
        <item x="26"/>
        <item x="29"/>
        <item x="28"/>
        <item x="35"/>
        <item t="default"/>
      </items>
      <extLst>
        <ext xmlns:x14="http://schemas.microsoft.com/office/spreadsheetml/2009/9/main" uri="{2946ED86-A175-432a-8AC1-64E0C546D7DE}">
          <x14:pivotField fillDownLabels="1"/>
        </ext>
      </extLst>
    </pivotField>
    <pivotField axis="axisRow" compact="0" outline="0" showAll="0" defaultSubtotal="0">
      <items count="2">
        <item x="0"/>
        <item x="1"/>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2">
    <field x="0"/>
    <field x="1"/>
  </rowFields>
  <rowItems count="84">
    <i>
      <x/>
      <x/>
    </i>
    <i r="1">
      <x v="1"/>
    </i>
    <i t="default">
      <x/>
    </i>
    <i>
      <x v="1"/>
      <x/>
    </i>
    <i r="1">
      <x v="1"/>
    </i>
    <i t="default">
      <x v="1"/>
    </i>
    <i>
      <x v="2"/>
      <x/>
    </i>
    <i r="1">
      <x v="1"/>
    </i>
    <i t="default">
      <x v="2"/>
    </i>
    <i>
      <x v="3"/>
      <x/>
    </i>
    <i r="1">
      <x v="1"/>
    </i>
    <i t="default">
      <x v="3"/>
    </i>
    <i>
      <x v="4"/>
      <x/>
    </i>
    <i r="1">
      <x v="1"/>
    </i>
    <i t="default">
      <x v="4"/>
    </i>
    <i>
      <x v="5"/>
      <x/>
    </i>
    <i r="1">
      <x v="1"/>
    </i>
    <i t="default">
      <x v="5"/>
    </i>
    <i>
      <x v="6"/>
      <x/>
    </i>
    <i r="1">
      <x v="1"/>
    </i>
    <i t="default">
      <x v="6"/>
    </i>
    <i>
      <x v="7"/>
      <x/>
    </i>
    <i r="1">
      <x v="1"/>
    </i>
    <i t="default">
      <x v="7"/>
    </i>
    <i>
      <x v="8"/>
      <x/>
    </i>
    <i r="1">
      <x v="1"/>
    </i>
    <i t="default">
      <x v="8"/>
    </i>
    <i>
      <x v="9"/>
      <x/>
    </i>
    <i r="1">
      <x v="1"/>
    </i>
    <i t="default">
      <x v="9"/>
    </i>
    <i>
      <x v="10"/>
      <x/>
    </i>
    <i r="1">
      <x v="1"/>
    </i>
    <i t="default">
      <x v="10"/>
    </i>
    <i>
      <x v="11"/>
      <x/>
    </i>
    <i t="default">
      <x v="11"/>
    </i>
    <i>
      <x v="12"/>
      <x/>
    </i>
    <i t="default">
      <x v="12"/>
    </i>
    <i>
      <x v="13"/>
      <x v="1"/>
    </i>
    <i t="default">
      <x v="13"/>
    </i>
    <i>
      <x v="14"/>
      <x/>
    </i>
    <i t="default">
      <x v="14"/>
    </i>
    <i>
      <x v="15"/>
      <x/>
    </i>
    <i t="default">
      <x v="15"/>
    </i>
    <i>
      <x v="16"/>
      <x/>
    </i>
    <i t="default">
      <x v="16"/>
    </i>
    <i>
      <x v="17"/>
      <x/>
    </i>
    <i t="default">
      <x v="17"/>
    </i>
    <i>
      <x v="18"/>
      <x v="1"/>
    </i>
    <i t="default">
      <x v="18"/>
    </i>
    <i>
      <x v="19"/>
      <x/>
    </i>
    <i t="default">
      <x v="19"/>
    </i>
    <i>
      <x v="20"/>
      <x/>
    </i>
    <i t="default">
      <x v="20"/>
    </i>
    <i>
      <x v="21"/>
      <x/>
    </i>
    <i t="default">
      <x v="21"/>
    </i>
    <i>
      <x v="22"/>
      <x/>
    </i>
    <i t="default">
      <x v="22"/>
    </i>
    <i>
      <x v="23"/>
      <x v="1"/>
    </i>
    <i t="default">
      <x v="23"/>
    </i>
    <i>
      <x v="24"/>
      <x/>
    </i>
    <i t="default">
      <x v="24"/>
    </i>
    <i>
      <x v="25"/>
      <x v="1"/>
    </i>
    <i t="default">
      <x v="25"/>
    </i>
    <i>
      <x v="26"/>
      <x/>
    </i>
    <i t="default">
      <x v="26"/>
    </i>
    <i>
      <x v="27"/>
      <x v="1"/>
    </i>
    <i t="default">
      <x v="27"/>
    </i>
    <i>
      <x v="28"/>
      <x/>
    </i>
    <i t="default">
      <x v="28"/>
    </i>
    <i>
      <x v="29"/>
      <x v="1"/>
    </i>
    <i t="default">
      <x v="29"/>
    </i>
    <i>
      <x v="30"/>
      <x v="1"/>
    </i>
    <i t="default">
      <x v="30"/>
    </i>
    <i>
      <x v="31"/>
      <x v="1"/>
    </i>
    <i t="default">
      <x v="31"/>
    </i>
    <i>
      <x v="32"/>
      <x v="1"/>
    </i>
    <i t="default">
      <x v="32"/>
    </i>
    <i>
      <x v="33"/>
      <x v="1"/>
    </i>
    <i t="default">
      <x v="33"/>
    </i>
    <i>
      <x v="34"/>
      <x v="1"/>
    </i>
    <i t="default">
      <x v="34"/>
    </i>
    <i>
      <x v="35"/>
      <x v="1"/>
    </i>
    <i t="default">
      <x v="35"/>
    </i>
    <i t="grand">
      <x/>
    </i>
  </rowItems>
  <colItems count="1">
    <i/>
  </colItems>
  <dataFields count="1">
    <dataField name="Sum of Updated Cost/ Year" fld="2" baseField="0" baseItem="0" numFmtId="167"/>
  </dataFields>
  <formats count="2">
    <format dxfId="1">
      <pivotArea outline="0" collapsedLevelsAreSubtotals="1"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22470AE-DE20-4A40-87A9-4B9282F0621A}" name="PivotTable5" cacheId="2" applyNumberFormats="0" applyBorderFormats="0" applyFontFormats="0" applyPatternFormats="0" applyAlignmentFormats="0" applyWidthHeightFormats="1" dataCaption="Values" updatedVersion="8" minRefreshableVersion="3" useAutoFormatting="1" pageOverThenDown="1" itemPrintTitles="1" createdVersion="8" indent="0" compact="0" compactData="0" multipleFieldFilters="0">
  <location ref="AE10:AG94" firstHeaderRow="1" firstDataRow="1" firstDataCol="2"/>
  <pivotFields count="3">
    <pivotField axis="axisRow" compact="0" outline="0" showAll="0">
      <items count="45">
        <item x="12"/>
        <item x="7"/>
        <item x="3"/>
        <item x="6"/>
        <item x="5"/>
        <item x="0"/>
        <item x="1"/>
        <item x="8"/>
        <item x="9"/>
        <item x="4"/>
        <item x="2"/>
        <item x="16"/>
        <item x="10"/>
        <item x="24"/>
        <item x="17"/>
        <item x="11"/>
        <item x="36"/>
        <item x="13"/>
        <item x="18"/>
        <item x="25"/>
        <item x="37"/>
        <item x="14"/>
        <item x="19"/>
        <item x="20"/>
        <item x="15"/>
        <item x="38"/>
        <item x="39"/>
        <item x="34"/>
        <item x="40"/>
        <item x="21"/>
        <item x="32"/>
        <item x="22"/>
        <item x="41"/>
        <item x="33"/>
        <item x="42"/>
        <item x="23"/>
        <item x="31"/>
        <item x="27"/>
        <item x="30"/>
        <item x="26"/>
        <item x="29"/>
        <item x="28"/>
        <item x="43"/>
        <item x="35"/>
        <item t="default"/>
      </items>
    </pivotField>
    <pivotField axis="axisRow" compact="0" outline="0" showAll="0">
      <items count="4">
        <item x="0"/>
        <item x="1"/>
        <item h="1" x="2"/>
        <item t="default"/>
      </items>
    </pivotField>
    <pivotField dataField="1" compact="0" outline="0" showAll="0"/>
  </pivotFields>
  <rowFields count="2">
    <field x="0"/>
    <field x="1"/>
  </rowFields>
  <rowItems count="84">
    <i>
      <x/>
      <x/>
    </i>
    <i r="1">
      <x v="1"/>
    </i>
    <i t="default">
      <x/>
    </i>
    <i>
      <x v="1"/>
      <x/>
    </i>
    <i r="1">
      <x v="1"/>
    </i>
    <i t="default">
      <x v="1"/>
    </i>
    <i>
      <x v="2"/>
      <x/>
    </i>
    <i r="1">
      <x v="1"/>
    </i>
    <i t="default">
      <x v="2"/>
    </i>
    <i>
      <x v="3"/>
      <x/>
    </i>
    <i r="1">
      <x v="1"/>
    </i>
    <i t="default">
      <x v="3"/>
    </i>
    <i>
      <x v="4"/>
      <x/>
    </i>
    <i r="1">
      <x v="1"/>
    </i>
    <i t="default">
      <x v="4"/>
    </i>
    <i>
      <x v="5"/>
      <x/>
    </i>
    <i r="1">
      <x v="1"/>
    </i>
    <i t="default">
      <x v="5"/>
    </i>
    <i>
      <x v="6"/>
      <x/>
    </i>
    <i r="1">
      <x v="1"/>
    </i>
    <i t="default">
      <x v="6"/>
    </i>
    <i>
      <x v="7"/>
      <x/>
    </i>
    <i r="1">
      <x v="1"/>
    </i>
    <i t="default">
      <x v="7"/>
    </i>
    <i>
      <x v="8"/>
      <x/>
    </i>
    <i r="1">
      <x v="1"/>
    </i>
    <i t="default">
      <x v="8"/>
    </i>
    <i>
      <x v="9"/>
      <x/>
    </i>
    <i r="1">
      <x v="1"/>
    </i>
    <i t="default">
      <x v="9"/>
    </i>
    <i>
      <x v="10"/>
      <x/>
    </i>
    <i r="1">
      <x v="1"/>
    </i>
    <i t="default">
      <x v="10"/>
    </i>
    <i>
      <x v="11"/>
      <x/>
    </i>
    <i t="default">
      <x v="11"/>
    </i>
    <i>
      <x v="12"/>
      <x/>
    </i>
    <i t="default">
      <x v="12"/>
    </i>
    <i>
      <x v="13"/>
      <x v="1"/>
    </i>
    <i t="default">
      <x v="13"/>
    </i>
    <i>
      <x v="14"/>
      <x/>
    </i>
    <i t="default">
      <x v="14"/>
    </i>
    <i>
      <x v="15"/>
      <x/>
    </i>
    <i t="default">
      <x v="15"/>
    </i>
    <i>
      <x v="17"/>
      <x/>
    </i>
    <i t="default">
      <x v="17"/>
    </i>
    <i>
      <x v="18"/>
      <x/>
    </i>
    <i t="default">
      <x v="18"/>
    </i>
    <i>
      <x v="19"/>
      <x v="1"/>
    </i>
    <i t="default">
      <x v="19"/>
    </i>
    <i>
      <x v="21"/>
      <x/>
    </i>
    <i t="default">
      <x v="21"/>
    </i>
    <i>
      <x v="22"/>
      <x/>
    </i>
    <i t="default">
      <x v="22"/>
    </i>
    <i>
      <x v="23"/>
      <x/>
    </i>
    <i t="default">
      <x v="23"/>
    </i>
    <i>
      <x v="24"/>
      <x/>
    </i>
    <i t="default">
      <x v="24"/>
    </i>
    <i>
      <x v="27"/>
      <x v="1"/>
    </i>
    <i t="default">
      <x v="27"/>
    </i>
    <i>
      <x v="29"/>
      <x/>
    </i>
    <i t="default">
      <x v="29"/>
    </i>
    <i>
      <x v="30"/>
      <x v="1"/>
    </i>
    <i t="default">
      <x v="30"/>
    </i>
    <i>
      <x v="31"/>
      <x/>
    </i>
    <i t="default">
      <x v="31"/>
    </i>
    <i>
      <x v="33"/>
      <x v="1"/>
    </i>
    <i t="default">
      <x v="33"/>
    </i>
    <i>
      <x v="35"/>
      <x/>
    </i>
    <i t="default">
      <x v="35"/>
    </i>
    <i>
      <x v="36"/>
      <x v="1"/>
    </i>
    <i t="default">
      <x v="36"/>
    </i>
    <i>
      <x v="37"/>
      <x v="1"/>
    </i>
    <i t="default">
      <x v="37"/>
    </i>
    <i>
      <x v="38"/>
      <x v="1"/>
    </i>
    <i t="default">
      <x v="38"/>
    </i>
    <i>
      <x v="39"/>
      <x v="1"/>
    </i>
    <i t="default">
      <x v="39"/>
    </i>
    <i>
      <x v="40"/>
      <x v="1"/>
    </i>
    <i t="default">
      <x v="40"/>
    </i>
    <i>
      <x v="41"/>
      <x v="1"/>
    </i>
    <i t="default">
      <x v="41"/>
    </i>
    <i>
      <x v="43"/>
      <x v="1"/>
    </i>
    <i t="default">
      <x v="43"/>
    </i>
    <i t="grand">
      <x/>
    </i>
  </rowItems>
  <colItems count="1">
    <i/>
  </colItems>
  <dataFields count="1">
    <dataField name="Sum of Updated Cost/ Year" fld="2" baseField="0" baseItem="0" numFmtId="44"/>
  </dataFields>
  <formats count="21">
    <format dxfId="22">
      <pivotArea outline="0" fieldPosition="0">
        <references count="2">
          <reference field="0" count="1" selected="0">
            <x v="1"/>
          </reference>
          <reference field="1" count="1" selected="0">
            <x v="0"/>
          </reference>
        </references>
      </pivotArea>
    </format>
    <format dxfId="21">
      <pivotArea dataOnly="0" labelOnly="1" outline="0" fieldPosition="0">
        <references count="2">
          <reference field="0" count="1" selected="0">
            <x v="1"/>
          </reference>
          <reference field="1" count="1">
            <x v="0"/>
          </reference>
        </references>
      </pivotArea>
    </format>
    <format dxfId="20">
      <pivotArea outline="0" fieldPosition="0">
        <references count="2">
          <reference field="0" count="1" selected="0">
            <x v="2"/>
          </reference>
          <reference field="1" count="1" selected="0">
            <x v="0"/>
          </reference>
        </references>
      </pivotArea>
    </format>
    <format dxfId="19">
      <pivotArea dataOnly="0" labelOnly="1" outline="0" fieldPosition="0">
        <references count="2">
          <reference field="0" count="1" selected="0">
            <x v="2"/>
          </reference>
          <reference field="1" count="1">
            <x v="0"/>
          </reference>
        </references>
      </pivotArea>
    </format>
    <format dxfId="18">
      <pivotArea outline="0" fieldPosition="0">
        <references count="2">
          <reference field="0" count="1" selected="0">
            <x v="3"/>
          </reference>
          <reference field="1" count="1" selected="0">
            <x v="0"/>
          </reference>
        </references>
      </pivotArea>
    </format>
    <format dxfId="17">
      <pivotArea dataOnly="0" labelOnly="1" outline="0" fieldPosition="0">
        <references count="2">
          <reference field="0" count="1" selected="0">
            <x v="3"/>
          </reference>
          <reference field="1" count="1">
            <x v="0"/>
          </reference>
        </references>
      </pivotArea>
    </format>
    <format dxfId="16">
      <pivotArea outline="0" fieldPosition="0">
        <references count="2">
          <reference field="0" count="1" selected="0">
            <x v="4"/>
          </reference>
          <reference field="1" count="1" selected="0">
            <x v="0"/>
          </reference>
        </references>
      </pivotArea>
    </format>
    <format dxfId="15">
      <pivotArea dataOnly="0" labelOnly="1" outline="0" fieldPosition="0">
        <references count="2">
          <reference field="0" count="1" selected="0">
            <x v="4"/>
          </reference>
          <reference field="1" count="1">
            <x v="0"/>
          </reference>
        </references>
      </pivotArea>
    </format>
    <format dxfId="14">
      <pivotArea outline="0" fieldPosition="0">
        <references count="2">
          <reference field="0" count="1" selected="0">
            <x v="5"/>
          </reference>
          <reference field="1" count="1" selected="0">
            <x v="0"/>
          </reference>
        </references>
      </pivotArea>
    </format>
    <format dxfId="13">
      <pivotArea dataOnly="0" labelOnly="1" outline="0" fieldPosition="0">
        <references count="2">
          <reference field="0" count="1" selected="0">
            <x v="5"/>
          </reference>
          <reference field="1" count="1">
            <x v="0"/>
          </reference>
        </references>
      </pivotArea>
    </format>
    <format dxfId="12">
      <pivotArea outline="0" fieldPosition="0">
        <references count="2">
          <reference field="0" count="1" selected="0">
            <x v="6"/>
          </reference>
          <reference field="1" count="1" selected="0">
            <x v="0"/>
          </reference>
        </references>
      </pivotArea>
    </format>
    <format dxfId="11">
      <pivotArea dataOnly="0" labelOnly="1" outline="0" fieldPosition="0">
        <references count="2">
          <reference field="0" count="1" selected="0">
            <x v="6"/>
          </reference>
          <reference field="1" count="1">
            <x v="0"/>
          </reference>
        </references>
      </pivotArea>
    </format>
    <format dxfId="10">
      <pivotArea outline="0" fieldPosition="0">
        <references count="1">
          <reference field="4294967294" count="1">
            <x v="0"/>
          </reference>
        </references>
      </pivotArea>
    </format>
    <format dxfId="9">
      <pivotArea outline="0" fieldPosition="0">
        <references count="2">
          <reference field="0" count="1" selected="0">
            <x v="7"/>
          </reference>
          <reference field="1" count="1" selected="0">
            <x v="0"/>
          </reference>
        </references>
      </pivotArea>
    </format>
    <format dxfId="8">
      <pivotArea dataOnly="0" labelOnly="1" outline="0" fieldPosition="0">
        <references count="2">
          <reference field="0" count="1" selected="0">
            <x v="7"/>
          </reference>
          <reference field="1" count="1">
            <x v="0"/>
          </reference>
        </references>
      </pivotArea>
    </format>
    <format dxfId="7">
      <pivotArea outline="0" fieldPosition="0">
        <references count="2">
          <reference field="0" count="1" selected="0">
            <x v="8"/>
          </reference>
          <reference field="1" count="1" selected="0">
            <x v="0"/>
          </reference>
        </references>
      </pivotArea>
    </format>
    <format dxfId="6">
      <pivotArea dataOnly="0" labelOnly="1" outline="0" fieldPosition="0">
        <references count="2">
          <reference field="0" count="1" selected="0">
            <x v="8"/>
          </reference>
          <reference field="1" count="1">
            <x v="0"/>
          </reference>
        </references>
      </pivotArea>
    </format>
    <format dxfId="5">
      <pivotArea outline="0" fieldPosition="0">
        <references count="2">
          <reference field="0" count="1" selected="0">
            <x v="9"/>
          </reference>
          <reference field="1" count="1" selected="0">
            <x v="0"/>
          </reference>
        </references>
      </pivotArea>
    </format>
    <format dxfId="4">
      <pivotArea dataOnly="0" labelOnly="1" outline="0" fieldPosition="0">
        <references count="2">
          <reference field="0" count="1" selected="0">
            <x v="9"/>
          </reference>
          <reference field="1" count="1">
            <x v="0"/>
          </reference>
        </references>
      </pivotArea>
    </format>
    <format dxfId="3">
      <pivotArea outline="0" fieldPosition="0">
        <references count="2">
          <reference field="0" count="1" selected="0">
            <x v="10"/>
          </reference>
          <reference field="1" count="1" selected="0">
            <x v="0"/>
          </reference>
        </references>
      </pivotArea>
    </format>
    <format dxfId="2">
      <pivotArea dataOnly="0" labelOnly="1" outline="0" fieldPosition="0">
        <references count="2">
          <reference field="0" count="1" selected="0">
            <x v="10"/>
          </reference>
          <reference field="1"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12" dT="2022-12-08T17:00:29.59" personId="{98A38FC4-2D21-47FF-BB81-468127F7D5DA}" id="{C1F18549-4CB7-41F1-A4FB-DE151825A5C4}">
    <text>Changed cell reference from G34 to F 34 for initial year O&amp;M costs.</text>
  </threadedComment>
</ThreadedComments>
</file>

<file path=xl/threadedComments/threadedComment2.xml><?xml version="1.0" encoding="utf-8"?>
<ThreadedComments xmlns="http://schemas.microsoft.com/office/spreadsheetml/2018/threadedcomments" xmlns:x="http://schemas.openxmlformats.org/spreadsheetml/2006/main">
  <threadedComment ref="E330" dT="2022-11-08T17:21:04.47" personId="{98A38FC4-2D21-47FF-BB81-468127F7D5DA}" id="{2DC3B903-E866-4DFA-9CE1-C5CF261CB509}">
    <text>Why is this row here twice?</text>
  </threadedComment>
</ThreadedComment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2.bin"/><Relationship Id="rId4" Type="http://schemas.microsoft.com/office/2017/10/relationships/threadedComment" Target="../threadedComments/threadedComment1.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opm.gov/policy-data-oversight/pay-leave/salaries-wages/salary-tables/pdf/2018/GS_h.pdf" TargetMode="External"/></Relationships>
</file>

<file path=xl/worksheets/_rels/sheet4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1.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32.bin"/><Relationship Id="rId1" Type="http://schemas.openxmlformats.org/officeDocument/2006/relationships/pivotTable" Target="../pivotTables/pivotTable1.xml"/><Relationship Id="rId4" Type="http://schemas.openxmlformats.org/officeDocument/2006/relationships/comments" Target="../comments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microsoft.com/office/2017/10/relationships/threadedComment" Target="../threadedComments/threadedComment2.xm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6FC7A-6860-46C5-A59F-A493C359027D}">
  <sheetPr codeName="Sheet1"/>
  <dimension ref="A1:B8"/>
  <sheetViews>
    <sheetView tabSelected="1" workbookViewId="0">
      <selection activeCell="A22" sqref="A22"/>
    </sheetView>
  </sheetViews>
  <sheetFormatPr defaultRowHeight="15" x14ac:dyDescent="0.25"/>
  <cols>
    <col min="1" max="1" width="39.140625" customWidth="1"/>
  </cols>
  <sheetData>
    <row r="1" spans="1:2" x14ac:dyDescent="0.25">
      <c r="A1" s="158" t="s">
        <v>347</v>
      </c>
      <c r="B1" s="158" t="s">
        <v>350</v>
      </c>
    </row>
    <row r="2" spans="1:2" x14ac:dyDescent="0.25">
      <c r="A2" s="158"/>
    </row>
    <row r="3" spans="1:2" x14ac:dyDescent="0.25">
      <c r="A3" s="347" t="s">
        <v>336</v>
      </c>
      <c r="B3" t="s">
        <v>337</v>
      </c>
    </row>
    <row r="4" spans="1:2" x14ac:dyDescent="0.25">
      <c r="A4" s="347" t="s">
        <v>338</v>
      </c>
      <c r="B4" t="s">
        <v>340</v>
      </c>
    </row>
    <row r="5" spans="1:2" x14ac:dyDescent="0.25">
      <c r="A5" s="347" t="s">
        <v>339</v>
      </c>
      <c r="B5" t="s">
        <v>341</v>
      </c>
    </row>
    <row r="6" spans="1:2" x14ac:dyDescent="0.25">
      <c r="A6" s="346" t="s">
        <v>342</v>
      </c>
      <c r="B6" t="s">
        <v>343</v>
      </c>
    </row>
    <row r="7" spans="1:2" x14ac:dyDescent="0.25">
      <c r="A7" s="346" t="s">
        <v>344</v>
      </c>
      <c r="B7" t="s">
        <v>345</v>
      </c>
    </row>
    <row r="8" spans="1:2" x14ac:dyDescent="0.25">
      <c r="A8" s="346" t="s">
        <v>346</v>
      </c>
      <c r="B8" t="s">
        <v>348</v>
      </c>
    </row>
  </sheetData>
  <hyperlinks>
    <hyperlink ref="A3" location="'Cost Summary'!A1" display="Cost Summary" xr:uid="{B3A28844-A49C-4B8E-BB58-8166AFB6028B}"/>
    <hyperlink ref="A4" location="'2.1 Updates to GWPs '!A1" display="2.1 Updates to GWPs" xr:uid="{9B36F4E5-EA2B-450D-A5F7-81F793D08C8E}"/>
    <hyperlink ref="A5" location="'2.2 New Subparts'!A1" display="2.2 New Subparts" xr:uid="{3A965A11-38FF-4933-904D-5F29C13DAD06}"/>
    <hyperlink ref="A6" location="'2.3 Other Applicability'!A1" display="2.3 Other Applicability" xr:uid="{7B035C88-EFEB-4226-8963-54BFC91D8218}"/>
    <hyperlink ref="A7" location="'2.4 Monitoring and Calculations'!A1" display="2.4 Monitoring and Calculations" xr:uid="{C3960564-2B65-4C6A-8D5C-439808BC2625}"/>
    <hyperlink ref="A8" location="'2.5 Recordkeeping and Reporting'!A1" display="2.5 Recordkeeping and Reporting" xr:uid="{C4A9A33F-8606-4F26-825F-A73DC3E0363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204E2-FF9A-4CB7-9F9B-02A4CAD0CF11}">
  <sheetPr codeName="Sheet10"/>
  <dimension ref="B1:N38"/>
  <sheetViews>
    <sheetView topLeftCell="A31" zoomScale="95" zoomScaleNormal="95" workbookViewId="0">
      <selection activeCell="B34" sqref="B34"/>
    </sheetView>
  </sheetViews>
  <sheetFormatPr defaultRowHeight="15" x14ac:dyDescent="0.25"/>
  <cols>
    <col min="2" max="2" width="12.42578125" customWidth="1"/>
    <col min="5" max="5" width="11.28515625" customWidth="1"/>
    <col min="6" max="6" width="11" customWidth="1"/>
  </cols>
  <sheetData>
    <row r="1" spans="2:14" x14ac:dyDescent="0.25">
      <c r="B1" s="709" t="s">
        <v>977</v>
      </c>
    </row>
    <row r="2" spans="2:14" x14ac:dyDescent="0.25">
      <c r="B2" s="13" t="s">
        <v>255</v>
      </c>
    </row>
    <row r="3" spans="2:14" ht="15.75" thickBot="1" x14ac:dyDescent="0.3">
      <c r="B3" s="13" t="s">
        <v>140</v>
      </c>
    </row>
    <row r="4" spans="2:14" ht="41.25" customHeight="1" thickTop="1" x14ac:dyDescent="0.25">
      <c r="B4" s="993" t="s">
        <v>28</v>
      </c>
      <c r="C4" s="995" t="s">
        <v>29</v>
      </c>
      <c r="D4" s="996"/>
      <c r="E4" s="996"/>
      <c r="F4" s="996"/>
      <c r="G4" s="996"/>
      <c r="H4" s="996"/>
      <c r="I4" s="996"/>
      <c r="J4" s="997"/>
      <c r="K4" s="1001" t="s">
        <v>30</v>
      </c>
      <c r="L4" s="1002"/>
      <c r="N4" s="289" t="s">
        <v>207</v>
      </c>
    </row>
    <row r="5" spans="2:14" ht="30" customHeight="1" x14ac:dyDescent="0.25">
      <c r="B5" s="1000"/>
      <c r="C5" s="1003" t="s">
        <v>31</v>
      </c>
      <c r="D5" s="1004"/>
      <c r="E5" s="1003" t="s">
        <v>32</v>
      </c>
      <c r="F5" s="1004"/>
      <c r="G5" s="1005" t="s">
        <v>33</v>
      </c>
      <c r="H5" s="1006"/>
      <c r="I5" s="1005" t="s">
        <v>34</v>
      </c>
      <c r="J5" s="1006"/>
      <c r="K5" s="1007" t="s">
        <v>132</v>
      </c>
      <c r="L5" s="1008"/>
    </row>
    <row r="6" spans="2:14" x14ac:dyDescent="0.25">
      <c r="B6" s="1000"/>
      <c r="C6" s="1009">
        <f>Lawyer</f>
        <v>114.79721000000001</v>
      </c>
      <c r="D6" s="1010"/>
      <c r="E6" s="1011">
        <f>Manager</f>
        <v>91.328059999999994</v>
      </c>
      <c r="F6" s="1010"/>
      <c r="G6" s="1011">
        <f>Tech</f>
        <v>73.827010000000001</v>
      </c>
      <c r="H6" s="1010"/>
      <c r="I6" s="1011">
        <f>Admin</f>
        <v>34.089750000000002</v>
      </c>
      <c r="J6" s="1010"/>
      <c r="K6" s="1012"/>
      <c r="L6" s="1013"/>
    </row>
    <row r="7" spans="2:14" ht="36" x14ac:dyDescent="0.25">
      <c r="B7" s="994"/>
      <c r="C7" s="306" t="s">
        <v>35</v>
      </c>
      <c r="D7" s="303" t="s">
        <v>36</v>
      </c>
      <c r="E7" s="303" t="s">
        <v>35</v>
      </c>
      <c r="F7" s="303" t="s">
        <v>36</v>
      </c>
      <c r="G7" s="303" t="s">
        <v>35</v>
      </c>
      <c r="H7" s="303" t="s">
        <v>36</v>
      </c>
      <c r="I7" s="303" t="s">
        <v>35</v>
      </c>
      <c r="J7" s="303" t="s">
        <v>36</v>
      </c>
      <c r="K7" s="303" t="s">
        <v>3</v>
      </c>
      <c r="L7" s="15" t="s">
        <v>37</v>
      </c>
    </row>
    <row r="8" spans="2:14" x14ac:dyDescent="0.25">
      <c r="B8" s="323" t="s">
        <v>38</v>
      </c>
      <c r="C8" s="201">
        <v>3</v>
      </c>
      <c r="D8" s="201">
        <v>1</v>
      </c>
      <c r="E8" s="201">
        <v>3</v>
      </c>
      <c r="F8" s="201">
        <v>1</v>
      </c>
      <c r="G8" s="201">
        <v>3</v>
      </c>
      <c r="H8" s="201">
        <v>1</v>
      </c>
      <c r="I8" s="201">
        <v>3</v>
      </c>
      <c r="J8" s="328">
        <v>1</v>
      </c>
      <c r="K8" s="52">
        <f>C8*$C$6+E8*$E$6+G8*$G$6+I8*$I$6</f>
        <v>942.12608999999998</v>
      </c>
      <c r="L8" s="50">
        <f>D8*$C$6+F8*$E$6+H8*$G$6+J8*$I$6</f>
        <v>314.04202999999995</v>
      </c>
      <c r="N8" s="269" t="s">
        <v>231</v>
      </c>
    </row>
    <row r="9" spans="2:14" x14ac:dyDescent="0.25">
      <c r="B9" s="19" t="s">
        <v>39</v>
      </c>
      <c r="C9" s="200">
        <v>0</v>
      </c>
      <c r="D9" s="200">
        <v>0</v>
      </c>
      <c r="E9" s="200">
        <v>2</v>
      </c>
      <c r="F9" s="200">
        <v>1</v>
      </c>
      <c r="G9" s="200">
        <v>1</v>
      </c>
      <c r="H9" s="200">
        <v>1</v>
      </c>
      <c r="I9" s="200">
        <v>2</v>
      </c>
      <c r="J9" s="329">
        <v>1</v>
      </c>
      <c r="K9" s="40">
        <f t="shared" ref="K9:L12" si="0">C9*$C$6+E9*$E$6+G9*$G$6+I9*$I$6</f>
        <v>324.66262999999998</v>
      </c>
      <c r="L9" s="41">
        <f t="shared" si="0"/>
        <v>199.24482</v>
      </c>
      <c r="N9" s="269" t="s">
        <v>212</v>
      </c>
    </row>
    <row r="10" spans="2:14" x14ac:dyDescent="0.25">
      <c r="B10" s="16" t="s">
        <v>40</v>
      </c>
      <c r="C10" s="201">
        <v>0</v>
      </c>
      <c r="D10" s="201">
        <v>0</v>
      </c>
      <c r="E10" s="201">
        <v>1</v>
      </c>
      <c r="F10" s="201">
        <v>1</v>
      </c>
      <c r="G10" s="201">
        <v>13</v>
      </c>
      <c r="H10" s="201">
        <v>13</v>
      </c>
      <c r="I10" s="201">
        <v>1</v>
      </c>
      <c r="J10" s="330">
        <v>1</v>
      </c>
      <c r="K10" s="52">
        <f t="shared" si="0"/>
        <v>1085.16894</v>
      </c>
      <c r="L10" s="50">
        <f t="shared" si="0"/>
        <v>1085.16894</v>
      </c>
      <c r="N10" s="269" t="s">
        <v>204</v>
      </c>
    </row>
    <row r="11" spans="2:14" ht="36" x14ac:dyDescent="0.25">
      <c r="B11" s="19" t="s">
        <v>41</v>
      </c>
      <c r="C11" s="200">
        <v>0</v>
      </c>
      <c r="D11" s="200">
        <v>0</v>
      </c>
      <c r="E11" s="200">
        <v>2</v>
      </c>
      <c r="F11" s="200">
        <v>1</v>
      </c>
      <c r="G11" s="200">
        <v>2</v>
      </c>
      <c r="H11" s="200">
        <v>1</v>
      </c>
      <c r="I11" s="200">
        <v>0</v>
      </c>
      <c r="J11" s="329">
        <v>0</v>
      </c>
      <c r="K11" s="40">
        <f t="shared" si="0"/>
        <v>330.31013999999999</v>
      </c>
      <c r="L11" s="41">
        <f t="shared" si="0"/>
        <v>165.15506999999999</v>
      </c>
      <c r="N11" s="269" t="s">
        <v>230</v>
      </c>
    </row>
    <row r="12" spans="2:14" x14ac:dyDescent="0.25">
      <c r="B12" s="16" t="s">
        <v>42</v>
      </c>
      <c r="C12" s="328">
        <v>0</v>
      </c>
      <c r="D12" s="328">
        <v>0</v>
      </c>
      <c r="E12" s="331">
        <v>2</v>
      </c>
      <c r="F12" s="331">
        <v>2</v>
      </c>
      <c r="G12" s="331">
        <v>26</v>
      </c>
      <c r="H12" s="331">
        <v>26</v>
      </c>
      <c r="I12" s="331">
        <v>2</v>
      </c>
      <c r="J12" s="328">
        <v>2</v>
      </c>
      <c r="K12" s="52">
        <f t="shared" si="0"/>
        <v>2170.33788</v>
      </c>
      <c r="L12" s="50">
        <f t="shared" si="0"/>
        <v>2170.33788</v>
      </c>
      <c r="N12" s="269" t="s">
        <v>220</v>
      </c>
    </row>
    <row r="13" spans="2:14" ht="15.75" thickBot="1" x14ac:dyDescent="0.3">
      <c r="B13" s="44" t="s">
        <v>43</v>
      </c>
      <c r="C13" s="46">
        <f>SUM(C8:C12)</f>
        <v>3</v>
      </c>
      <c r="D13" s="46">
        <f t="shared" ref="D13:J13" si="1">SUM(D8:D12)</f>
        <v>1</v>
      </c>
      <c r="E13" s="46">
        <f t="shared" si="1"/>
        <v>10</v>
      </c>
      <c r="F13" s="46">
        <f t="shared" si="1"/>
        <v>6</v>
      </c>
      <c r="G13" s="46">
        <f t="shared" si="1"/>
        <v>45</v>
      </c>
      <c r="H13" s="46">
        <f>SUM(H8:H12)</f>
        <v>42</v>
      </c>
      <c r="I13" s="46">
        <f t="shared" si="1"/>
        <v>8</v>
      </c>
      <c r="J13" s="46">
        <f t="shared" si="1"/>
        <v>5</v>
      </c>
      <c r="K13" s="47">
        <f>SUM(K8:K12)</f>
        <v>4852.6056800000006</v>
      </c>
      <c r="L13" s="48">
        <f>SUM(L8:L12)</f>
        <v>3933.9487399999998</v>
      </c>
      <c r="M13" s="53"/>
    </row>
    <row r="14" spans="2:14" ht="16.5" thickTop="1" thickBot="1" x14ac:dyDescent="0.3">
      <c r="E14" s="128"/>
      <c r="F14" s="128"/>
      <c r="G14" s="128"/>
      <c r="H14" s="128"/>
      <c r="I14" s="128"/>
      <c r="J14" s="128"/>
      <c r="K14" s="128"/>
      <c r="L14" s="128"/>
    </row>
    <row r="15" spans="2:14" ht="16.5" thickTop="1" thickBot="1" x14ac:dyDescent="0.3">
      <c r="B15" s="30" t="s">
        <v>44</v>
      </c>
      <c r="C15" s="31">
        <f t="shared" ref="C15:L15" si="2">C13</f>
        <v>3</v>
      </c>
      <c r="D15" s="31">
        <f t="shared" si="2"/>
        <v>1</v>
      </c>
      <c r="E15" s="31">
        <f t="shared" si="2"/>
        <v>10</v>
      </c>
      <c r="F15" s="31">
        <f t="shared" si="2"/>
        <v>6</v>
      </c>
      <c r="G15" s="31">
        <f t="shared" si="2"/>
        <v>45</v>
      </c>
      <c r="H15" s="31">
        <f t="shared" si="2"/>
        <v>42</v>
      </c>
      <c r="I15" s="31">
        <f t="shared" si="2"/>
        <v>8</v>
      </c>
      <c r="J15" s="31">
        <f t="shared" si="2"/>
        <v>5</v>
      </c>
      <c r="K15" s="119">
        <f t="shared" si="2"/>
        <v>4852.6056800000006</v>
      </c>
      <c r="L15" s="120">
        <f t="shared" si="2"/>
        <v>3933.9487399999998</v>
      </c>
      <c r="M15" s="121"/>
    </row>
    <row r="16" spans="2:14" ht="15.75" thickTop="1" x14ac:dyDescent="0.25"/>
    <row r="17" spans="2:10" ht="15.75" thickBot="1" x14ac:dyDescent="0.3">
      <c r="B17" s="13" t="s">
        <v>172</v>
      </c>
    </row>
    <row r="18" spans="2:10" ht="42.75" customHeight="1" thickTop="1" x14ac:dyDescent="0.25">
      <c r="B18" s="993" t="s">
        <v>28</v>
      </c>
      <c r="C18" s="995" t="s">
        <v>45</v>
      </c>
      <c r="D18" s="996"/>
      <c r="E18" s="996"/>
      <c r="F18" s="997"/>
      <c r="G18" s="998" t="s">
        <v>133</v>
      </c>
      <c r="H18" s="999"/>
    </row>
    <row r="19" spans="2:10" ht="36" x14ac:dyDescent="0.25">
      <c r="B19" s="994"/>
      <c r="C19" s="14" t="s">
        <v>134</v>
      </c>
      <c r="D19" s="14" t="s">
        <v>46</v>
      </c>
      <c r="E19" s="14" t="s">
        <v>135</v>
      </c>
      <c r="F19" s="14" t="s">
        <v>136</v>
      </c>
      <c r="G19" s="14" t="s">
        <v>3</v>
      </c>
      <c r="H19" s="15" t="s">
        <v>47</v>
      </c>
    </row>
    <row r="20" spans="2:10" ht="48" x14ac:dyDescent="0.25">
      <c r="B20" s="16" t="s">
        <v>48</v>
      </c>
      <c r="C20" s="17" t="s">
        <v>49</v>
      </c>
      <c r="D20" s="17"/>
      <c r="E20" s="17" t="s">
        <v>49</v>
      </c>
      <c r="F20" s="17" t="s">
        <v>49</v>
      </c>
      <c r="G20" s="17" t="s">
        <v>49</v>
      </c>
      <c r="H20" s="18" t="s">
        <v>49</v>
      </c>
    </row>
    <row r="21" spans="2:10" ht="24" x14ac:dyDescent="0.25">
      <c r="B21" s="19" t="s">
        <v>50</v>
      </c>
      <c r="C21" s="20" t="s">
        <v>49</v>
      </c>
      <c r="D21" s="21"/>
      <c r="E21" s="20" t="s">
        <v>49</v>
      </c>
      <c r="F21" s="20" t="s">
        <v>49</v>
      </c>
      <c r="G21" s="20" t="s">
        <v>49</v>
      </c>
      <c r="H21" s="22" t="s">
        <v>49</v>
      </c>
    </row>
    <row r="22" spans="2:10" x14ac:dyDescent="0.25">
      <c r="B22" s="16" t="s">
        <v>40</v>
      </c>
      <c r="C22" s="23">
        <v>0</v>
      </c>
      <c r="D22" s="17"/>
      <c r="E22" s="23">
        <v>0</v>
      </c>
      <c r="F22" s="23">
        <f>G22</f>
        <v>62.378854625550659</v>
      </c>
      <c r="G22" s="23">
        <f>50*Inflation</f>
        <v>62.378854625550659</v>
      </c>
      <c r="H22" s="24">
        <f>50*Inflation</f>
        <v>62.378854625550659</v>
      </c>
      <c r="I22" s="326" t="s">
        <v>216</v>
      </c>
    </row>
    <row r="23" spans="2:10" x14ac:dyDescent="0.25">
      <c r="B23" s="19" t="s">
        <v>51</v>
      </c>
      <c r="C23" s="20" t="s">
        <v>49</v>
      </c>
      <c r="D23" s="21"/>
      <c r="E23" s="20" t="s">
        <v>49</v>
      </c>
      <c r="F23" s="20" t="s">
        <v>49</v>
      </c>
      <c r="G23" s="20" t="s">
        <v>49</v>
      </c>
      <c r="H23" s="22" t="s">
        <v>49</v>
      </c>
    </row>
    <row r="24" spans="2:10" ht="24" x14ac:dyDescent="0.25">
      <c r="B24" s="16" t="s">
        <v>52</v>
      </c>
      <c r="C24" s="17" t="s">
        <v>49</v>
      </c>
      <c r="D24" s="17"/>
      <c r="E24" s="17" t="s">
        <v>49</v>
      </c>
      <c r="F24" s="17" t="s">
        <v>49</v>
      </c>
      <c r="G24" s="17" t="s">
        <v>49</v>
      </c>
      <c r="H24" s="18" t="s">
        <v>49</v>
      </c>
    </row>
    <row r="25" spans="2:10" ht="15.75" thickBot="1" x14ac:dyDescent="0.3">
      <c r="B25" s="25" t="s">
        <v>43</v>
      </c>
      <c r="C25" s="26">
        <v>0</v>
      </c>
      <c r="D25" s="27"/>
      <c r="E25" s="26">
        <v>0</v>
      </c>
      <c r="F25" s="26">
        <f>50*Inflation</f>
        <v>62.378854625550659</v>
      </c>
      <c r="G25" s="26">
        <f>50*Inflation</f>
        <v>62.378854625550659</v>
      </c>
      <c r="H25" s="28">
        <f>50*Inflation</f>
        <v>62.378854625550659</v>
      </c>
    </row>
    <row r="26" spans="2:10" ht="16.5" thickTop="1" thickBot="1" x14ac:dyDescent="0.3">
      <c r="B26" s="29"/>
    </row>
    <row r="27" spans="2:10" ht="16.5" thickTop="1" thickBot="1" x14ac:dyDescent="0.3">
      <c r="B27" s="30" t="s">
        <v>53</v>
      </c>
      <c r="C27" s="31"/>
      <c r="D27" s="31"/>
      <c r="E27" s="31"/>
      <c r="F27" s="31"/>
      <c r="G27" s="32">
        <f>G25</f>
        <v>62.378854625550659</v>
      </c>
      <c r="H27" s="33">
        <f>H25</f>
        <v>62.378854625550659</v>
      </c>
    </row>
    <row r="28" spans="2:10" ht="16.5" thickTop="1" thickBot="1" x14ac:dyDescent="0.3"/>
    <row r="29" spans="2:10" ht="49.5" thickTop="1" thickBot="1" x14ac:dyDescent="0.3">
      <c r="B29" s="34" t="s">
        <v>54</v>
      </c>
      <c r="C29" s="31"/>
      <c r="D29" s="31"/>
      <c r="E29" s="31"/>
      <c r="F29" s="31"/>
      <c r="G29" s="32">
        <f>K15+G27</f>
        <v>4914.9845346255515</v>
      </c>
      <c r="H29" s="33">
        <f>L15+H27</f>
        <v>3996.3275946255503</v>
      </c>
      <c r="J29" s="122"/>
    </row>
    <row r="30" spans="2:10" ht="15.75" thickTop="1" x14ac:dyDescent="0.25">
      <c r="B30" s="35" t="s">
        <v>55</v>
      </c>
    </row>
    <row r="31" spans="2:10" ht="15.75" thickBot="1" x14ac:dyDescent="0.3"/>
    <row r="32" spans="2:10" ht="15.75" thickTop="1" x14ac:dyDescent="0.25">
      <c r="B32" s="989" t="s">
        <v>152</v>
      </c>
      <c r="C32" s="990"/>
      <c r="D32" s="991"/>
      <c r="E32" s="167"/>
      <c r="F32" s="989" t="s">
        <v>154</v>
      </c>
      <c r="G32" s="991"/>
    </row>
    <row r="33" spans="2:9" ht="24" x14ac:dyDescent="0.25">
      <c r="B33" s="164" t="s">
        <v>57</v>
      </c>
      <c r="C33" s="325" t="s">
        <v>3</v>
      </c>
      <c r="D33" s="15" t="s">
        <v>47</v>
      </c>
      <c r="F33" s="168" t="s">
        <v>3</v>
      </c>
      <c r="G33" s="169" t="s">
        <v>47</v>
      </c>
    </row>
    <row r="34" spans="2:9" ht="15.75" thickBot="1" x14ac:dyDescent="0.3">
      <c r="B34" s="979">
        <v>1</v>
      </c>
      <c r="C34" s="284">
        <f>K15*$B$34</f>
        <v>4852.6056800000006</v>
      </c>
      <c r="D34" s="300">
        <f t="shared" ref="D34" si="3">L15*$B$34</f>
        <v>3933.9487399999998</v>
      </c>
      <c r="F34" s="287">
        <f>B34*G27</f>
        <v>62.378854625550659</v>
      </c>
      <c r="G34" s="288">
        <f>B34*H27</f>
        <v>62.378854625550659</v>
      </c>
      <c r="I34" s="275"/>
    </row>
    <row r="35" spans="2:9" ht="15.75" thickTop="1" x14ac:dyDescent="0.25">
      <c r="B35" s="165" t="s">
        <v>58</v>
      </c>
      <c r="C35" s="166"/>
      <c r="D35" s="166"/>
      <c r="E35" s="166"/>
      <c r="I35" s="275" t="s">
        <v>169</v>
      </c>
    </row>
    <row r="36" spans="2:9" x14ac:dyDescent="0.25">
      <c r="B36" s="992" t="s">
        <v>153</v>
      </c>
      <c r="C36" s="992"/>
      <c r="D36" s="992"/>
      <c r="E36" s="992"/>
    </row>
    <row r="38" spans="2:9" x14ac:dyDescent="0.25">
      <c r="B38" s="346" t="s">
        <v>349</v>
      </c>
    </row>
  </sheetData>
  <mergeCells count="19">
    <mergeCell ref="K6:L6"/>
    <mergeCell ref="B18:B19"/>
    <mergeCell ref="C18:F18"/>
    <mergeCell ref="G18:H18"/>
    <mergeCell ref="B4:B7"/>
    <mergeCell ref="C4:J4"/>
    <mergeCell ref="K4:L4"/>
    <mergeCell ref="C5:D5"/>
    <mergeCell ref="E5:F5"/>
    <mergeCell ref="G5:H5"/>
    <mergeCell ref="I5:J5"/>
    <mergeCell ref="K5:L5"/>
    <mergeCell ref="C6:D6"/>
    <mergeCell ref="E6:F6"/>
    <mergeCell ref="B32:D32"/>
    <mergeCell ref="B36:E36"/>
    <mergeCell ref="F32:G32"/>
    <mergeCell ref="G6:H6"/>
    <mergeCell ref="I6:J6"/>
  </mergeCells>
  <hyperlinks>
    <hyperlink ref="B38" location="'Table of Contents'!A1" display="Table of Contents" xr:uid="{562D5A08-9175-4FC5-9F27-D1895E50045D}"/>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A2715-E86B-4F95-BB0B-79FEBE1381F3}">
  <sheetPr codeName="Sheet11"/>
  <dimension ref="A1:G9"/>
  <sheetViews>
    <sheetView workbookViewId="0">
      <selection activeCell="A2" sqref="A2"/>
    </sheetView>
  </sheetViews>
  <sheetFormatPr defaultRowHeight="15" x14ac:dyDescent="0.25"/>
  <cols>
    <col min="3" max="3" width="10.5703125" customWidth="1"/>
    <col min="5" max="5" width="11.85546875" customWidth="1"/>
    <col min="6" max="6" width="17" customWidth="1"/>
    <col min="7" max="7" width="17.140625" customWidth="1"/>
  </cols>
  <sheetData>
    <row r="1" spans="1:7" x14ac:dyDescent="0.25">
      <c r="A1" s="158" t="s">
        <v>317</v>
      </c>
    </row>
    <row r="2" spans="1:7" x14ac:dyDescent="0.25">
      <c r="A2" s="347" t="s">
        <v>311</v>
      </c>
      <c r="D2" t="s">
        <v>1172</v>
      </c>
    </row>
    <row r="3" spans="1:7" x14ac:dyDescent="0.25">
      <c r="A3" s="347" t="s">
        <v>312</v>
      </c>
      <c r="D3" s="905"/>
      <c r="E3" s="906"/>
      <c r="F3" s="906" t="s">
        <v>3</v>
      </c>
      <c r="G3" s="907" t="s">
        <v>4</v>
      </c>
    </row>
    <row r="4" spans="1:7" x14ac:dyDescent="0.25">
      <c r="A4" s="347" t="s">
        <v>313</v>
      </c>
      <c r="D4" s="908"/>
      <c r="E4" s="364" t="s">
        <v>1142</v>
      </c>
      <c r="F4" s="53">
        <f>'B (New Subpart)'!C33+'WW (New subpart)'!C33+'XX (New subpart)'!C34+'YY (New subpart)'!C33+'ZZ (New Subpart)'!C33</f>
        <v>8901307.6805160008</v>
      </c>
      <c r="G4" s="909">
        <f>'B (New Subpart)'!D33+'WW (New subpart)'!D33+'XX (New subpart)'!D34+'YY (New subpart)'!D33+'ZZ (New Subpart)'!D33</f>
        <v>4821180.9558740007</v>
      </c>
    </row>
    <row r="5" spans="1:7" x14ac:dyDescent="0.25">
      <c r="A5" s="346" t="s">
        <v>314</v>
      </c>
      <c r="D5" s="908"/>
      <c r="E5" s="364" t="s">
        <v>1143</v>
      </c>
      <c r="F5" s="53">
        <f>'B (New Subpart)'!F33+'WW (New subpart)'!F33+'XX (New subpart)'!F34+'YY (New subpart)'!F33+'ZZ (New Subpart)'!F33</f>
        <v>511257.09251101321</v>
      </c>
      <c r="G5" s="909">
        <f>'B (New Subpart)'!G33+'WW (New subpart)'!G33+'XX (New subpart)'!G34+'YY (New subpart)'!G33+'ZZ (New Subpart)'!G33</f>
        <v>511257.09251101321</v>
      </c>
    </row>
    <row r="6" spans="1:7" x14ac:dyDescent="0.25">
      <c r="A6" s="346" t="s">
        <v>315</v>
      </c>
      <c r="D6" s="910"/>
      <c r="E6" s="911" t="s">
        <v>1145</v>
      </c>
      <c r="F6" s="912">
        <f>SUM(F4:F5)</f>
        <v>9412564.773027014</v>
      </c>
      <c r="G6" s="913">
        <f>SUM(G4:G5)</f>
        <v>5332438.0483850138</v>
      </c>
    </row>
    <row r="7" spans="1:7" x14ac:dyDescent="0.25">
      <c r="A7" s="346"/>
    </row>
    <row r="8" spans="1:7" x14ac:dyDescent="0.25">
      <c r="A8" s="346" t="s">
        <v>349</v>
      </c>
    </row>
    <row r="9" spans="1:7" x14ac:dyDescent="0.25">
      <c r="A9" s="158"/>
    </row>
  </sheetData>
  <hyperlinks>
    <hyperlink ref="A6" location="'ZZ (New Subpart)'!A1" display="ZZ (New Subpart)" xr:uid="{ADFAF192-9525-46FF-8FF0-6009C7688AE4}"/>
    <hyperlink ref="A5" location="'YY (New subpart)'!A1" display="YY (New subpart)" xr:uid="{6453AD95-2CDB-44E6-BEF2-26AECB6763EA}"/>
    <hyperlink ref="A4" location="'XX (New subpart)'!A1" display="XX (New subpart)" xr:uid="{EC32FA3D-CA62-4D5D-9E4A-2D9AA7B122C0}"/>
    <hyperlink ref="A3" location="'WW (New subpart)'!A1" display="WW (New subpart)" xr:uid="{861271C3-DF75-4A0A-8CD6-4301FBE2C87E}"/>
    <hyperlink ref="A2" location="'B (New Subpart)'!A1" display="B (New Subpart)" xr:uid="{9E78AE2C-567B-41AF-975B-341E10137F5F}"/>
    <hyperlink ref="A8" location="'Table of Contents'!A1" display="Table of Contents" xr:uid="{6678636E-0190-4EFB-93BE-5292EE65E856}"/>
  </hyperlinks>
  <pageMargins left="0.7" right="0.7" top="0.75" bottom="0.75" header="0.3" footer="0.3"/>
  <pageSetup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ABF0E-2A96-4D1C-A7C8-A94F544EAA4A}">
  <sheetPr codeName="Sheet12"/>
  <dimension ref="B1:AD38"/>
  <sheetViews>
    <sheetView topLeftCell="A28" zoomScale="95" zoomScaleNormal="95" workbookViewId="0">
      <selection activeCell="I33" sqref="I33"/>
    </sheetView>
  </sheetViews>
  <sheetFormatPr defaultRowHeight="15" x14ac:dyDescent="0.25"/>
  <cols>
    <col min="2" max="2" width="12.42578125" customWidth="1"/>
    <col min="3" max="3" width="11.140625" customWidth="1"/>
    <col min="4" max="4" width="10.140625" bestFit="1" customWidth="1"/>
    <col min="10" max="10" width="11.28515625" bestFit="1" customWidth="1"/>
    <col min="13" max="13" width="2.7109375" customWidth="1"/>
  </cols>
  <sheetData>
    <row r="1" spans="2:30" x14ac:dyDescent="0.25">
      <c r="B1" s="709" t="s">
        <v>978</v>
      </c>
    </row>
    <row r="2" spans="2:30" ht="15.75" thickBot="1" x14ac:dyDescent="0.3">
      <c r="B2" s="13" t="s">
        <v>300</v>
      </c>
    </row>
    <row r="3" spans="2:30" ht="33" customHeight="1" thickTop="1" x14ac:dyDescent="0.25">
      <c r="B3" s="993" t="s">
        <v>28</v>
      </c>
      <c r="C3" s="995" t="s">
        <v>29</v>
      </c>
      <c r="D3" s="996"/>
      <c r="E3" s="996"/>
      <c r="F3" s="996"/>
      <c r="G3" s="996"/>
      <c r="H3" s="996"/>
      <c r="I3" s="996"/>
      <c r="J3" s="997"/>
      <c r="K3" s="1001" t="s">
        <v>30</v>
      </c>
      <c r="L3" s="1002"/>
      <c r="M3" s="263"/>
      <c r="N3" s="264" t="s">
        <v>207</v>
      </c>
      <c r="O3" s="134"/>
      <c r="P3" s="134"/>
    </row>
    <row r="4" spans="2:30" ht="30.75" customHeight="1" x14ac:dyDescent="0.25">
      <c r="B4" s="1000"/>
      <c r="C4" s="1003" t="s">
        <v>31</v>
      </c>
      <c r="D4" s="1004"/>
      <c r="E4" s="1003" t="s">
        <v>32</v>
      </c>
      <c r="F4" s="1004"/>
      <c r="G4" s="1005" t="s">
        <v>33</v>
      </c>
      <c r="H4" s="1006"/>
      <c r="I4" s="1005" t="s">
        <v>34</v>
      </c>
      <c r="J4" s="1006"/>
      <c r="K4" s="1007" t="s">
        <v>132</v>
      </c>
      <c r="L4" s="1008"/>
      <c r="M4" s="263"/>
      <c r="N4" s="134"/>
      <c r="O4" s="134"/>
      <c r="P4" s="134"/>
      <c r="R4" s="410"/>
      <c r="S4" s="410"/>
    </row>
    <row r="5" spans="2:30" x14ac:dyDescent="0.25">
      <c r="B5" s="1000"/>
      <c r="C5" s="1009">
        <f>Lawyer</f>
        <v>114.79721000000001</v>
      </c>
      <c r="D5" s="1010"/>
      <c r="E5" s="1011">
        <f>Manager</f>
        <v>91.328059999999994</v>
      </c>
      <c r="F5" s="1010"/>
      <c r="G5" s="1011">
        <f>Tech</f>
        <v>73.827010000000001</v>
      </c>
      <c r="H5" s="1010"/>
      <c r="I5" s="1011">
        <f>Admin</f>
        <v>34.089750000000002</v>
      </c>
      <c r="J5" s="1010"/>
      <c r="K5" s="1012"/>
      <c r="L5" s="1013"/>
      <c r="M5" s="265"/>
      <c r="N5" s="134"/>
      <c r="O5" s="134"/>
      <c r="P5" s="134"/>
    </row>
    <row r="6" spans="2:30" ht="36" x14ac:dyDescent="0.25">
      <c r="B6" s="994"/>
      <c r="C6" s="14" t="s">
        <v>35</v>
      </c>
      <c r="D6" s="14" t="s">
        <v>36</v>
      </c>
      <c r="E6" s="14" t="s">
        <v>35</v>
      </c>
      <c r="F6" s="14" t="s">
        <v>36</v>
      </c>
      <c r="G6" s="14" t="s">
        <v>35</v>
      </c>
      <c r="H6" s="14" t="s">
        <v>36</v>
      </c>
      <c r="I6" s="14" t="s">
        <v>35</v>
      </c>
      <c r="J6" s="14" t="s">
        <v>36</v>
      </c>
      <c r="K6" s="14" t="s">
        <v>3</v>
      </c>
      <c r="L6" s="15" t="s">
        <v>37</v>
      </c>
      <c r="M6" s="266"/>
      <c r="N6" s="134"/>
      <c r="O6" s="134"/>
      <c r="P6" s="134"/>
    </row>
    <row r="7" spans="2:30" ht="20.25" customHeight="1" x14ac:dyDescent="0.25">
      <c r="B7" s="16" t="s">
        <v>38</v>
      </c>
      <c r="C7" s="38">
        <v>0.5</v>
      </c>
      <c r="D7" s="38">
        <v>0.1</v>
      </c>
      <c r="E7" s="38">
        <v>0.4</v>
      </c>
      <c r="F7" s="38">
        <v>0.1</v>
      </c>
      <c r="G7" s="196">
        <v>6</v>
      </c>
      <c r="H7" s="196">
        <v>2</v>
      </c>
      <c r="I7" s="38">
        <v>0.8</v>
      </c>
      <c r="J7" s="38">
        <v>0.2</v>
      </c>
      <c r="K7" s="52">
        <f t="shared" ref="K7:L11" si="0">C7*$C$5+E7*$E$5+G7*$G$5+I7*$I$5</f>
        <v>564.16368899999998</v>
      </c>
      <c r="L7" s="50">
        <f t="shared" si="0"/>
        <v>175.084497</v>
      </c>
      <c r="M7" s="267"/>
      <c r="N7" s="1024" t="s">
        <v>279</v>
      </c>
      <c r="O7" s="1024"/>
      <c r="P7" s="1024"/>
      <c r="Q7" s="1024"/>
      <c r="R7" s="1024"/>
      <c r="S7" s="1024"/>
      <c r="T7" s="1024"/>
      <c r="U7" s="1024"/>
      <c r="V7" s="1024"/>
      <c r="W7" s="1024"/>
      <c r="X7" s="1024"/>
      <c r="Y7" s="1024"/>
      <c r="Z7" s="1024"/>
      <c r="AA7" s="1024"/>
      <c r="AB7" s="1024"/>
      <c r="AC7" s="1024"/>
      <c r="AD7" s="1024"/>
    </row>
    <row r="8" spans="2:30" x14ac:dyDescent="0.25">
      <c r="B8" s="19" t="s">
        <v>39</v>
      </c>
      <c r="C8" s="39">
        <v>0</v>
      </c>
      <c r="D8" s="39">
        <v>0</v>
      </c>
      <c r="E8" s="39">
        <v>0.1</v>
      </c>
      <c r="F8" s="39">
        <v>0.1</v>
      </c>
      <c r="G8" s="237">
        <v>2</v>
      </c>
      <c r="H8" s="237">
        <v>0.5</v>
      </c>
      <c r="I8" s="39">
        <v>0.2</v>
      </c>
      <c r="J8" s="39">
        <v>0.1</v>
      </c>
      <c r="K8" s="40">
        <f t="shared" si="0"/>
        <v>163.60477599999999</v>
      </c>
      <c r="L8" s="41">
        <f t="shared" si="0"/>
        <v>49.455286000000001</v>
      </c>
      <c r="M8" s="268"/>
      <c r="N8" s="269" t="s">
        <v>258</v>
      </c>
      <c r="O8" s="269"/>
      <c r="P8" s="134"/>
    </row>
    <row r="9" spans="2:30" ht="31.5" customHeight="1" x14ac:dyDescent="0.25">
      <c r="B9" s="16" t="s">
        <v>40</v>
      </c>
      <c r="C9" s="38">
        <v>0</v>
      </c>
      <c r="D9" s="38">
        <v>0</v>
      </c>
      <c r="E9" s="38">
        <v>0.4</v>
      </c>
      <c r="F9" s="38">
        <v>0.3</v>
      </c>
      <c r="G9" s="196">
        <v>2</v>
      </c>
      <c r="H9" s="196">
        <v>2</v>
      </c>
      <c r="I9" s="38">
        <v>0.8</v>
      </c>
      <c r="J9" s="38">
        <v>0.6</v>
      </c>
      <c r="K9" s="52">
        <f t="shared" si="0"/>
        <v>211.45704400000002</v>
      </c>
      <c r="L9" s="50">
        <f t="shared" si="0"/>
        <v>195.50628799999998</v>
      </c>
      <c r="M9" s="267"/>
      <c r="N9" s="1024" t="s">
        <v>412</v>
      </c>
      <c r="O9" s="1024"/>
      <c r="P9" s="1024"/>
      <c r="Q9" s="1024"/>
      <c r="R9" s="1024"/>
      <c r="S9" s="1024"/>
      <c r="T9" s="1024"/>
      <c r="U9" s="1024"/>
      <c r="V9" s="1024"/>
      <c r="W9" s="1024"/>
      <c r="X9" s="1024"/>
      <c r="Y9" s="1024"/>
      <c r="Z9" s="1024"/>
      <c r="AA9" s="1024"/>
      <c r="AB9" s="1024"/>
      <c r="AC9" s="1024"/>
      <c r="AD9" s="1024"/>
    </row>
    <row r="10" spans="2:30" ht="47.25" customHeight="1" x14ac:dyDescent="0.25">
      <c r="B10" s="19" t="s">
        <v>41</v>
      </c>
      <c r="C10" s="39">
        <v>0</v>
      </c>
      <c r="D10" s="39">
        <v>0</v>
      </c>
      <c r="E10" s="241">
        <v>0.1</v>
      </c>
      <c r="F10" s="241">
        <v>0.1</v>
      </c>
      <c r="G10" s="242">
        <v>1</v>
      </c>
      <c r="H10" s="242">
        <v>1</v>
      </c>
      <c r="I10" s="241">
        <v>0.3</v>
      </c>
      <c r="J10" s="241">
        <v>0.3</v>
      </c>
      <c r="K10" s="40">
        <f t="shared" si="0"/>
        <v>93.186740999999998</v>
      </c>
      <c r="L10" s="41">
        <f t="shared" si="0"/>
        <v>93.186740999999998</v>
      </c>
      <c r="M10" s="268"/>
      <c r="N10" s="1024" t="s">
        <v>411</v>
      </c>
      <c r="O10" s="1024"/>
      <c r="P10" s="1024"/>
      <c r="Q10" s="1024"/>
      <c r="R10" s="1024"/>
      <c r="S10" s="1024"/>
      <c r="T10" s="1024"/>
      <c r="U10" s="1024"/>
      <c r="V10" s="1024"/>
      <c r="W10" s="1024"/>
      <c r="X10" s="1024"/>
      <c r="Y10" s="1024"/>
      <c r="Z10" s="1024"/>
      <c r="AA10" s="1024"/>
      <c r="AB10" s="1024"/>
      <c r="AC10" s="1024"/>
      <c r="AD10" s="1024"/>
    </row>
    <row r="11" spans="2:30" x14ac:dyDescent="0.25">
      <c r="B11" s="16" t="s">
        <v>42</v>
      </c>
      <c r="C11" s="38">
        <v>0</v>
      </c>
      <c r="D11" s="38">
        <v>0</v>
      </c>
      <c r="E11" s="38">
        <v>0.1</v>
      </c>
      <c r="F11" s="38">
        <v>0.1</v>
      </c>
      <c r="G11" s="196">
        <v>1</v>
      </c>
      <c r="H11" s="196">
        <v>1</v>
      </c>
      <c r="I11" s="38">
        <v>0.1</v>
      </c>
      <c r="J11" s="38">
        <v>0.1</v>
      </c>
      <c r="K11" s="52">
        <f t="shared" si="0"/>
        <v>86.368791000000002</v>
      </c>
      <c r="L11" s="50">
        <f t="shared" si="0"/>
        <v>86.368791000000002</v>
      </c>
      <c r="M11" s="267"/>
      <c r="N11" s="269" t="s">
        <v>280</v>
      </c>
      <c r="O11" s="269"/>
      <c r="P11" s="134"/>
    </row>
    <row r="12" spans="2:30" ht="15.75" thickBot="1" x14ac:dyDescent="0.3">
      <c r="B12" s="44" t="s">
        <v>43</v>
      </c>
      <c r="C12" s="46">
        <f t="shared" ref="C12:L12" si="1">SUM(C7:C11)</f>
        <v>0.5</v>
      </c>
      <c r="D12" s="46">
        <f t="shared" si="1"/>
        <v>0.1</v>
      </c>
      <c r="E12" s="46">
        <f>SUM(E7:E11)</f>
        <v>1.1000000000000001</v>
      </c>
      <c r="F12" s="46">
        <f t="shared" si="1"/>
        <v>0.7</v>
      </c>
      <c r="G12" s="46">
        <f t="shared" si="1"/>
        <v>12</v>
      </c>
      <c r="H12" s="46">
        <f t="shared" si="1"/>
        <v>6.5</v>
      </c>
      <c r="I12" s="46">
        <f t="shared" si="1"/>
        <v>2.2000000000000002</v>
      </c>
      <c r="J12" s="46">
        <f t="shared" si="1"/>
        <v>1.3</v>
      </c>
      <c r="K12" s="47">
        <f t="shared" si="1"/>
        <v>1118.7810410000002</v>
      </c>
      <c r="L12" s="48">
        <f t="shared" si="1"/>
        <v>599.60160299999995</v>
      </c>
      <c r="M12" s="270"/>
      <c r="N12" s="134"/>
      <c r="O12" s="269" t="s">
        <v>197</v>
      </c>
      <c r="P12" s="134"/>
    </row>
    <row r="13" spans="2:30" ht="16.5" thickTop="1" thickBot="1" x14ac:dyDescent="0.3">
      <c r="E13" s="128"/>
      <c r="F13" s="128"/>
      <c r="G13" s="128"/>
      <c r="H13" s="128"/>
      <c r="I13" s="128"/>
      <c r="J13" s="128"/>
      <c r="K13" s="128"/>
      <c r="L13" s="128"/>
      <c r="M13" s="128"/>
      <c r="N13" s="134"/>
      <c r="O13" s="269" t="s">
        <v>240</v>
      </c>
      <c r="P13" s="134"/>
    </row>
    <row r="14" spans="2:30" ht="25.5" thickTop="1" thickBot="1" x14ac:dyDescent="0.3">
      <c r="B14" s="159" t="s">
        <v>44</v>
      </c>
      <c r="C14" s="31">
        <f t="shared" ref="C14:L14" si="2">C12</f>
        <v>0.5</v>
      </c>
      <c r="D14" s="31">
        <f t="shared" si="2"/>
        <v>0.1</v>
      </c>
      <c r="E14" s="31">
        <f t="shared" si="2"/>
        <v>1.1000000000000001</v>
      </c>
      <c r="F14" s="31">
        <f t="shared" si="2"/>
        <v>0.7</v>
      </c>
      <c r="G14" s="31">
        <f t="shared" si="2"/>
        <v>12</v>
      </c>
      <c r="H14" s="31">
        <f t="shared" si="2"/>
        <v>6.5</v>
      </c>
      <c r="I14" s="31">
        <f t="shared" si="2"/>
        <v>2.2000000000000002</v>
      </c>
      <c r="J14" s="31">
        <f t="shared" si="2"/>
        <v>1.3</v>
      </c>
      <c r="K14" s="119">
        <f t="shared" si="2"/>
        <v>1118.7810410000002</v>
      </c>
      <c r="L14" s="120">
        <f t="shared" si="2"/>
        <v>599.60160299999995</v>
      </c>
      <c r="M14" s="270"/>
      <c r="N14" s="269"/>
      <c r="O14" s="269" t="s">
        <v>241</v>
      </c>
      <c r="P14" s="134"/>
    </row>
    <row r="15" spans="2:30" ht="15.75" thickTop="1" x14ac:dyDescent="0.25">
      <c r="N15" s="269"/>
      <c r="O15" s="269" t="s">
        <v>242</v>
      </c>
      <c r="P15" s="134"/>
    </row>
    <row r="16" spans="2:30" ht="15.75" thickBot="1" x14ac:dyDescent="0.3">
      <c r="B16" s="13" t="s">
        <v>251</v>
      </c>
      <c r="N16" s="269"/>
      <c r="O16" s="269" t="s">
        <v>250</v>
      </c>
      <c r="P16" s="134"/>
    </row>
    <row r="17" spans="2:10" ht="40.5" customHeight="1" thickTop="1" x14ac:dyDescent="0.25">
      <c r="B17" s="993" t="s">
        <v>28</v>
      </c>
      <c r="C17" s="995" t="s">
        <v>45</v>
      </c>
      <c r="D17" s="996"/>
      <c r="E17" s="996"/>
      <c r="F17" s="997"/>
      <c r="G17" s="998" t="s">
        <v>133</v>
      </c>
      <c r="H17" s="999"/>
    </row>
    <row r="18" spans="2:10" ht="60" x14ac:dyDescent="0.25">
      <c r="B18" s="994"/>
      <c r="C18" s="14" t="s">
        <v>134</v>
      </c>
      <c r="D18" s="14" t="s">
        <v>46</v>
      </c>
      <c r="E18" s="14" t="s">
        <v>135</v>
      </c>
      <c r="F18" s="14" t="s">
        <v>136</v>
      </c>
      <c r="G18" s="14" t="s">
        <v>3</v>
      </c>
      <c r="H18" s="15" t="s">
        <v>47</v>
      </c>
    </row>
    <row r="19" spans="2:10" ht="48" x14ac:dyDescent="0.25">
      <c r="B19" s="16" t="s">
        <v>48</v>
      </c>
      <c r="C19" s="17" t="s">
        <v>49</v>
      </c>
      <c r="D19" s="17"/>
      <c r="E19" s="17" t="s">
        <v>49</v>
      </c>
      <c r="F19" s="17" t="s">
        <v>49</v>
      </c>
      <c r="G19" s="17" t="s">
        <v>49</v>
      </c>
      <c r="H19" s="18" t="s">
        <v>49</v>
      </c>
    </row>
    <row r="20" spans="2:10" ht="24" x14ac:dyDescent="0.25">
      <c r="B20" s="19" t="s">
        <v>50</v>
      </c>
      <c r="C20" s="20" t="s">
        <v>49</v>
      </c>
      <c r="D20" s="21"/>
      <c r="E20" s="20" t="s">
        <v>49</v>
      </c>
      <c r="F20" s="20" t="s">
        <v>49</v>
      </c>
      <c r="G20" s="20" t="s">
        <v>49</v>
      </c>
      <c r="H20" s="22" t="s">
        <v>49</v>
      </c>
    </row>
    <row r="21" spans="2:10" x14ac:dyDescent="0.25">
      <c r="B21" s="16" t="s">
        <v>40</v>
      </c>
      <c r="C21" s="23">
        <v>0</v>
      </c>
      <c r="D21" s="17"/>
      <c r="E21" s="23">
        <v>0</v>
      </c>
      <c r="F21" s="23">
        <f>50*Inflation</f>
        <v>62.378854625550659</v>
      </c>
      <c r="G21" s="23">
        <f>50*Inflation</f>
        <v>62.378854625550659</v>
      </c>
      <c r="H21" s="24">
        <f>50*Inflation</f>
        <v>62.378854625550659</v>
      </c>
      <c r="I21" s="269" t="s">
        <v>216</v>
      </c>
    </row>
    <row r="22" spans="2:10" x14ac:dyDescent="0.25">
      <c r="B22" s="19" t="s">
        <v>51</v>
      </c>
      <c r="C22" s="20" t="s">
        <v>49</v>
      </c>
      <c r="D22" s="21"/>
      <c r="E22" s="20" t="s">
        <v>49</v>
      </c>
      <c r="F22" s="20" t="s">
        <v>49</v>
      </c>
      <c r="G22" s="20" t="s">
        <v>49</v>
      </c>
      <c r="H22" s="22" t="s">
        <v>49</v>
      </c>
    </row>
    <row r="23" spans="2:10" ht="24" x14ac:dyDescent="0.25">
      <c r="B23" s="16" t="s">
        <v>52</v>
      </c>
      <c r="C23" s="17" t="s">
        <v>49</v>
      </c>
      <c r="D23" s="17"/>
      <c r="E23" s="17" t="s">
        <v>49</v>
      </c>
      <c r="F23" s="17" t="s">
        <v>49</v>
      </c>
      <c r="G23" s="17" t="s">
        <v>49</v>
      </c>
      <c r="H23" s="18" t="s">
        <v>49</v>
      </c>
    </row>
    <row r="24" spans="2:10" ht="15.75" thickBot="1" x14ac:dyDescent="0.3">
      <c r="B24" s="25" t="s">
        <v>43</v>
      </c>
      <c r="C24" s="26">
        <v>0</v>
      </c>
      <c r="D24" s="27"/>
      <c r="E24" s="26">
        <v>0</v>
      </c>
      <c r="F24" s="26">
        <f>50*Inflation</f>
        <v>62.378854625550659</v>
      </c>
      <c r="G24" s="26">
        <f>50*Inflation</f>
        <v>62.378854625550659</v>
      </c>
      <c r="H24" s="28">
        <f>50*Inflation</f>
        <v>62.378854625550659</v>
      </c>
    </row>
    <row r="25" spans="2:10" ht="16.5" thickTop="1" thickBot="1" x14ac:dyDescent="0.3">
      <c r="B25" s="29"/>
    </row>
    <row r="26" spans="2:10" ht="16.5" thickTop="1" thickBot="1" x14ac:dyDescent="0.3">
      <c r="B26" s="30" t="s">
        <v>53</v>
      </c>
      <c r="C26" s="31"/>
      <c r="D26" s="31"/>
      <c r="E26" s="31"/>
      <c r="F26" s="31"/>
      <c r="G26" s="32">
        <f>G24</f>
        <v>62.378854625550659</v>
      </c>
      <c r="H26" s="33">
        <f>H24</f>
        <v>62.378854625550659</v>
      </c>
    </row>
    <row r="27" spans="2:10" ht="16.5" thickTop="1" thickBot="1" x14ac:dyDescent="0.3"/>
    <row r="28" spans="2:10" ht="49.5" thickTop="1" thickBot="1" x14ac:dyDescent="0.3">
      <c r="B28" s="34" t="s">
        <v>54</v>
      </c>
      <c r="C28" s="31"/>
      <c r="D28" s="31"/>
      <c r="E28" s="31"/>
      <c r="F28" s="31"/>
      <c r="G28" s="32">
        <f>K14+G26</f>
        <v>1181.1598956255509</v>
      </c>
      <c r="H28" s="33">
        <f>L14+H26</f>
        <v>661.98045762555057</v>
      </c>
      <c r="J28" s="122"/>
    </row>
    <row r="29" spans="2:10" ht="15.75" thickTop="1" x14ac:dyDescent="0.25">
      <c r="B29" s="35" t="s">
        <v>191</v>
      </c>
    </row>
    <row r="30" spans="2:10" ht="15.75" thickBot="1" x14ac:dyDescent="0.3"/>
    <row r="31" spans="2:10" ht="15.75" thickTop="1" x14ac:dyDescent="0.25">
      <c r="B31" s="989" t="s">
        <v>152</v>
      </c>
      <c r="C31" s="990"/>
      <c r="D31" s="991"/>
      <c r="E31" s="167"/>
      <c r="F31" s="989" t="s">
        <v>154</v>
      </c>
      <c r="G31" s="991"/>
      <c r="J31" s="961">
        <f>C33+F33</f>
        <v>9260293.5817043185</v>
      </c>
    </row>
    <row r="32" spans="2:10" ht="24" x14ac:dyDescent="0.25">
      <c r="B32" s="164" t="s">
        <v>57</v>
      </c>
      <c r="C32" s="14" t="s">
        <v>3</v>
      </c>
      <c r="D32" s="15" t="s">
        <v>47</v>
      </c>
      <c r="F32" s="168" t="s">
        <v>3</v>
      </c>
      <c r="G32" s="169" t="s">
        <v>47</v>
      </c>
      <c r="I32" s="271"/>
    </row>
    <row r="33" spans="2:17" ht="15.75" thickBot="1" x14ac:dyDescent="0.3">
      <c r="B33" s="340">
        <v>7840</v>
      </c>
      <c r="C33" s="284">
        <f>K14*$B$33</f>
        <v>8771243.3614400011</v>
      </c>
      <c r="D33" s="300">
        <f>L14*$B$33</f>
        <v>4700876.56752</v>
      </c>
      <c r="F33" s="287">
        <f>B33*G26</f>
        <v>489050.22026431718</v>
      </c>
      <c r="G33" s="288">
        <f>B33*H26</f>
        <v>489050.22026431718</v>
      </c>
      <c r="I33" s="269" t="s">
        <v>1187</v>
      </c>
    </row>
    <row r="34" spans="2:17" ht="15.75" thickTop="1" x14ac:dyDescent="0.25">
      <c r="B34" s="165" t="s">
        <v>58</v>
      </c>
      <c r="C34" s="166"/>
      <c r="D34" s="166"/>
      <c r="E34" s="166"/>
    </row>
    <row r="35" spans="2:17" x14ac:dyDescent="0.25">
      <c r="B35" s="992" t="s">
        <v>153</v>
      </c>
      <c r="C35" s="992"/>
      <c r="D35" s="992"/>
      <c r="E35" s="992"/>
      <c r="N35" s="958">
        <v>7582</v>
      </c>
      <c r="O35" s="958" t="s">
        <v>992</v>
      </c>
      <c r="P35" s="958"/>
      <c r="Q35" s="958"/>
    </row>
    <row r="36" spans="2:17" x14ac:dyDescent="0.25">
      <c r="N36" s="958">
        <f>5</f>
        <v>5</v>
      </c>
      <c r="O36" s="958" t="s">
        <v>993</v>
      </c>
      <c r="P36" s="958"/>
      <c r="Q36" s="960">
        <f>N35+N36+N37+N38</f>
        <v>7840</v>
      </c>
    </row>
    <row r="37" spans="2:17" x14ac:dyDescent="0.25">
      <c r="B37" s="346" t="s">
        <v>349</v>
      </c>
      <c r="N37" s="960">
        <f>'Subpart W (Applicability)'!D17+'Subpart DD (Applicability)'!B35+'Subpart HH (Applicability)'!B35+'Subpart II (Applicability)'!B34+'Subpart OO (Applicability)'!B35+'Subpart TT (Applicability)'!B34</f>
        <v>200</v>
      </c>
      <c r="O37" s="958" t="s">
        <v>989</v>
      </c>
      <c r="P37" s="958"/>
      <c r="Q37" s="960"/>
    </row>
    <row r="38" spans="2:17" x14ac:dyDescent="0.25">
      <c r="N38" s="958">
        <f>+'WW (New subpart)'!B33+'XX (New subpart)'!B34+'YY (New subpart)'!B33+'ZZ (New Subpart)'!B33+'Subpart Y (Applicability)'!B34</f>
        <v>53</v>
      </c>
      <c r="O38" s="958" t="s">
        <v>990</v>
      </c>
      <c r="P38" s="958"/>
      <c r="Q38" s="958"/>
    </row>
  </sheetData>
  <mergeCells count="22">
    <mergeCell ref="I5:J5"/>
    <mergeCell ref="E5:F5"/>
    <mergeCell ref="B31:D31"/>
    <mergeCell ref="F31:G31"/>
    <mergeCell ref="B35:E35"/>
    <mergeCell ref="G5:H5"/>
    <mergeCell ref="N7:AD7"/>
    <mergeCell ref="N9:AD9"/>
    <mergeCell ref="N10:AD10"/>
    <mergeCell ref="K5:L5"/>
    <mergeCell ref="B17:B18"/>
    <mergeCell ref="C17:F17"/>
    <mergeCell ref="G17:H17"/>
    <mergeCell ref="B3:B6"/>
    <mergeCell ref="C3:J3"/>
    <mergeCell ref="K3:L3"/>
    <mergeCell ref="C4:D4"/>
    <mergeCell ref="E4:F4"/>
    <mergeCell ref="G4:H4"/>
    <mergeCell ref="I4:J4"/>
    <mergeCell ref="K4:L4"/>
    <mergeCell ref="C5:D5"/>
  </mergeCells>
  <hyperlinks>
    <hyperlink ref="B37" location="'Table of Contents'!A1" display="Table of Contents" xr:uid="{ED5832DF-B390-4871-92C0-19772A799163}"/>
  </hyperlinks>
  <pageMargins left="0.7" right="0.7" top="0.75" bottom="0.75" header="0.3" footer="0.3"/>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39555-2C99-47ED-A0AD-23831F124C16}">
  <sheetPr codeName="Sheet13"/>
  <dimension ref="B1:AA37"/>
  <sheetViews>
    <sheetView topLeftCell="A28" zoomScale="95" zoomScaleNormal="95" workbookViewId="0">
      <selection activeCell="N4" sqref="N4:AA5"/>
    </sheetView>
  </sheetViews>
  <sheetFormatPr defaultRowHeight="15" x14ac:dyDescent="0.25"/>
  <cols>
    <col min="5" max="5" width="11" customWidth="1"/>
    <col min="6" max="6" width="12.140625" customWidth="1"/>
    <col min="7" max="7" width="11.28515625" customWidth="1"/>
    <col min="8" max="8" width="11" customWidth="1"/>
  </cols>
  <sheetData>
    <row r="1" spans="2:27" x14ac:dyDescent="0.25">
      <c r="B1" s="709" t="s">
        <v>978</v>
      </c>
      <c r="N1" s="274" t="s">
        <v>207</v>
      </c>
      <c r="O1" s="134"/>
      <c r="P1" s="134"/>
      <c r="Q1" s="134"/>
      <c r="R1" s="134"/>
      <c r="S1" s="134"/>
      <c r="T1" s="134"/>
      <c r="U1" s="134"/>
      <c r="V1" s="134"/>
      <c r="W1" s="134"/>
      <c r="X1" s="134"/>
      <c r="Y1" s="134"/>
      <c r="Z1" s="134"/>
      <c r="AA1" s="134"/>
    </row>
    <row r="2" spans="2:27" ht="15.75" thickBot="1" x14ac:dyDescent="0.3">
      <c r="B2" s="13" t="s">
        <v>357</v>
      </c>
      <c r="M2" s="250"/>
      <c r="N2" s="269" t="s">
        <v>277</v>
      </c>
      <c r="O2" s="134"/>
      <c r="P2" s="134"/>
      <c r="Q2" s="134"/>
      <c r="R2" s="134"/>
      <c r="S2" s="134"/>
      <c r="T2" s="134"/>
      <c r="U2" s="134"/>
      <c r="V2" s="134"/>
      <c r="W2" s="134"/>
      <c r="X2" s="134"/>
      <c r="Y2" s="134"/>
      <c r="Z2" s="134"/>
      <c r="AA2" s="134"/>
    </row>
    <row r="3" spans="2:27" ht="15.75" thickTop="1" x14ac:dyDescent="0.25">
      <c r="B3" s="993" t="s">
        <v>28</v>
      </c>
      <c r="C3" s="995" t="s">
        <v>29</v>
      </c>
      <c r="D3" s="996"/>
      <c r="E3" s="996"/>
      <c r="F3" s="996"/>
      <c r="G3" s="996"/>
      <c r="H3" s="996"/>
      <c r="I3" s="996"/>
      <c r="J3" s="997"/>
      <c r="K3" s="1001" t="s">
        <v>137</v>
      </c>
      <c r="L3" s="1002"/>
      <c r="M3" s="263"/>
      <c r="N3" s="269" t="s">
        <v>414</v>
      </c>
      <c r="O3" s="134"/>
      <c r="P3" s="134"/>
      <c r="Q3" s="134"/>
      <c r="R3" s="134"/>
      <c r="S3" s="134"/>
      <c r="T3" s="134"/>
      <c r="U3" s="134"/>
      <c r="V3" s="134"/>
      <c r="W3" s="134"/>
      <c r="X3" s="134"/>
      <c r="Y3" s="134"/>
      <c r="Z3" s="134"/>
      <c r="AA3" s="134"/>
    </row>
    <row r="4" spans="2:27" ht="31.5" customHeight="1" x14ac:dyDescent="0.25">
      <c r="B4" s="1000"/>
      <c r="C4" s="1003" t="s">
        <v>31</v>
      </c>
      <c r="D4" s="1004"/>
      <c r="E4" s="1003" t="s">
        <v>32</v>
      </c>
      <c r="F4" s="1004"/>
      <c r="G4" s="1005" t="s">
        <v>33</v>
      </c>
      <c r="H4" s="1006"/>
      <c r="I4" s="1005" t="s">
        <v>34</v>
      </c>
      <c r="J4" s="1006"/>
      <c r="K4" s="1007"/>
      <c r="L4" s="1008"/>
      <c r="M4" s="263"/>
      <c r="N4" s="1024" t="s">
        <v>278</v>
      </c>
      <c r="O4" s="1024"/>
      <c r="P4" s="1024"/>
      <c r="Q4" s="1024"/>
      <c r="R4" s="1024"/>
      <c r="S4" s="1024"/>
      <c r="T4" s="1024"/>
      <c r="U4" s="1024"/>
      <c r="V4" s="1024"/>
      <c r="W4" s="1024"/>
      <c r="X4" s="1024"/>
      <c r="Y4" s="1024"/>
      <c r="Z4" s="1024"/>
      <c r="AA4" s="1024"/>
    </row>
    <row r="5" spans="2:27" x14ac:dyDescent="0.25">
      <c r="B5" s="1000"/>
      <c r="C5" s="1011">
        <f>Lawyer</f>
        <v>114.79721000000001</v>
      </c>
      <c r="D5" s="1010"/>
      <c r="E5" s="1011">
        <f>Manager</f>
        <v>91.328059999999994</v>
      </c>
      <c r="F5" s="1010"/>
      <c r="G5" s="1011">
        <f>Tech</f>
        <v>73.827010000000001</v>
      </c>
      <c r="H5" s="1010"/>
      <c r="I5" s="1011">
        <f>Admin</f>
        <v>34.089750000000002</v>
      </c>
      <c r="J5" s="1010"/>
      <c r="K5" s="1028"/>
      <c r="L5" s="1029"/>
      <c r="M5" s="263"/>
      <c r="N5" s="1024"/>
      <c r="O5" s="1024"/>
      <c r="P5" s="1024"/>
      <c r="Q5" s="1024"/>
      <c r="R5" s="1024"/>
      <c r="S5" s="1024"/>
      <c r="T5" s="1024"/>
      <c r="U5" s="1024"/>
      <c r="V5" s="1024"/>
      <c r="W5" s="1024"/>
      <c r="X5" s="1024"/>
      <c r="Y5" s="1024"/>
      <c r="Z5" s="1024"/>
      <c r="AA5" s="1024"/>
    </row>
    <row r="6" spans="2:27" ht="36" x14ac:dyDescent="0.25">
      <c r="B6" s="994"/>
      <c r="C6" s="14" t="s">
        <v>35</v>
      </c>
      <c r="D6" s="14" t="s">
        <v>36</v>
      </c>
      <c r="E6" s="14" t="s">
        <v>35</v>
      </c>
      <c r="F6" s="14" t="s">
        <v>36</v>
      </c>
      <c r="G6" s="14" t="s">
        <v>35</v>
      </c>
      <c r="H6" s="14" t="s">
        <v>36</v>
      </c>
      <c r="I6" s="14" t="s">
        <v>35</v>
      </c>
      <c r="J6" s="14" t="s">
        <v>36</v>
      </c>
      <c r="K6" s="14" t="s">
        <v>3</v>
      </c>
      <c r="L6" s="278" t="s">
        <v>37</v>
      </c>
      <c r="M6" s="266"/>
      <c r="N6" s="134"/>
      <c r="O6" s="134"/>
      <c r="P6" s="134"/>
      <c r="Q6" s="134"/>
      <c r="R6" s="134"/>
      <c r="S6" s="134"/>
      <c r="T6" s="134"/>
      <c r="U6" s="134"/>
      <c r="V6" s="134"/>
      <c r="W6" s="134"/>
      <c r="X6" s="134"/>
      <c r="Y6" s="134"/>
      <c r="Z6" s="134"/>
      <c r="AA6" s="134"/>
    </row>
    <row r="7" spans="2:27" x14ac:dyDescent="0.25">
      <c r="B7" s="16" t="s">
        <v>38</v>
      </c>
      <c r="C7" s="38">
        <v>1</v>
      </c>
      <c r="D7" s="38">
        <v>1</v>
      </c>
      <c r="E7" s="38">
        <v>0.3</v>
      </c>
      <c r="F7" s="38">
        <v>0.3</v>
      </c>
      <c r="G7" s="38">
        <v>6</v>
      </c>
      <c r="H7" s="38">
        <v>3</v>
      </c>
      <c r="I7" s="38">
        <v>0.2</v>
      </c>
      <c r="J7" s="38">
        <v>0.2</v>
      </c>
      <c r="K7" s="52">
        <f t="shared" ref="K7:L11" si="0">C7*$C$5+E7*$E$5+G7*$G$5+I7*$I$5</f>
        <v>591.975638</v>
      </c>
      <c r="L7" s="208">
        <f t="shared" si="0"/>
        <v>370.49460799999997</v>
      </c>
      <c r="M7" s="267"/>
      <c r="N7" s="269" t="s">
        <v>289</v>
      </c>
      <c r="O7" s="134"/>
      <c r="P7" s="134"/>
      <c r="Q7" s="134"/>
      <c r="R7" s="134"/>
      <c r="S7" s="134"/>
      <c r="T7" s="134"/>
      <c r="U7" s="134"/>
      <c r="V7" s="134"/>
      <c r="W7" s="134"/>
      <c r="X7" s="134"/>
      <c r="Y7" s="134"/>
      <c r="Z7" s="134"/>
      <c r="AA7" s="134"/>
    </row>
    <row r="8" spans="2:27" x14ac:dyDescent="0.25">
      <c r="B8" s="19" t="s">
        <v>39</v>
      </c>
      <c r="C8" s="39">
        <v>1</v>
      </c>
      <c r="D8" s="39">
        <v>1</v>
      </c>
      <c r="E8" s="241">
        <v>0.2</v>
      </c>
      <c r="F8" s="241">
        <v>0.2</v>
      </c>
      <c r="G8" s="241">
        <v>2</v>
      </c>
      <c r="H8" s="241">
        <v>2</v>
      </c>
      <c r="I8" s="241">
        <v>0.1</v>
      </c>
      <c r="J8" s="241">
        <v>0.1</v>
      </c>
      <c r="K8" s="40">
        <f t="shared" si="0"/>
        <v>284.12581700000004</v>
      </c>
      <c r="L8" s="279">
        <f t="shared" si="0"/>
        <v>284.12581700000004</v>
      </c>
      <c r="M8" s="268"/>
      <c r="N8" s="269" t="s">
        <v>284</v>
      </c>
      <c r="O8" s="134"/>
      <c r="P8" s="134"/>
      <c r="Q8" s="134"/>
      <c r="R8" s="134"/>
      <c r="S8" s="134"/>
      <c r="T8" s="134"/>
      <c r="U8" s="134"/>
      <c r="V8" s="134"/>
      <c r="W8" s="134"/>
      <c r="X8" s="134"/>
      <c r="Y8" s="134"/>
      <c r="Z8" s="134"/>
      <c r="AA8" s="134"/>
    </row>
    <row r="9" spans="2:27" ht="24" x14ac:dyDescent="0.25">
      <c r="B9" s="16" t="s">
        <v>40</v>
      </c>
      <c r="C9" s="38">
        <v>0</v>
      </c>
      <c r="D9" s="38">
        <v>0</v>
      </c>
      <c r="E9" s="38">
        <v>0.5</v>
      </c>
      <c r="F9" s="38">
        <v>0.5</v>
      </c>
      <c r="G9" s="38">
        <v>2</v>
      </c>
      <c r="H9" s="38">
        <v>2</v>
      </c>
      <c r="I9" s="38">
        <v>0.5</v>
      </c>
      <c r="J9" s="38">
        <v>0.5</v>
      </c>
      <c r="K9" s="52">
        <f t="shared" si="0"/>
        <v>210.36292499999999</v>
      </c>
      <c r="L9" s="208">
        <f t="shared" si="0"/>
        <v>210.36292499999999</v>
      </c>
      <c r="M9" s="267"/>
      <c r="N9" s="269" t="s">
        <v>285</v>
      </c>
      <c r="O9" s="134"/>
      <c r="P9" s="134"/>
      <c r="Q9" s="134"/>
      <c r="R9" s="134"/>
      <c r="S9" s="134"/>
      <c r="T9" s="134"/>
      <c r="U9" s="134"/>
      <c r="V9" s="134"/>
      <c r="W9" s="134"/>
      <c r="X9" s="134"/>
      <c r="Y9" s="134"/>
      <c r="Z9" s="134"/>
      <c r="AA9" s="134"/>
    </row>
    <row r="10" spans="2:27" ht="60" x14ac:dyDescent="0.25">
      <c r="B10" s="19" t="s">
        <v>41</v>
      </c>
      <c r="C10" s="39">
        <v>0</v>
      </c>
      <c r="D10" s="39">
        <v>0</v>
      </c>
      <c r="E10" s="241">
        <v>1.2</v>
      </c>
      <c r="F10" s="241">
        <v>1.2</v>
      </c>
      <c r="G10" s="241">
        <v>12</v>
      </c>
      <c r="H10" s="241">
        <v>12</v>
      </c>
      <c r="I10" s="241">
        <v>0.6</v>
      </c>
      <c r="J10" s="241">
        <v>0.6</v>
      </c>
      <c r="K10" s="40">
        <f t="shared" si="0"/>
        <v>1015.971642</v>
      </c>
      <c r="L10" s="279">
        <f t="shared" si="0"/>
        <v>1015.971642</v>
      </c>
      <c r="M10" s="268"/>
      <c r="N10" s="269" t="s">
        <v>294</v>
      </c>
      <c r="O10" s="134"/>
      <c r="P10" s="134"/>
      <c r="Q10" s="134"/>
      <c r="R10" s="134"/>
      <c r="S10" s="134"/>
      <c r="T10" s="134"/>
      <c r="U10" s="134"/>
      <c r="V10" s="134"/>
      <c r="W10" s="134"/>
      <c r="X10" s="134"/>
      <c r="Y10" s="134"/>
      <c r="Z10" s="134"/>
      <c r="AA10" s="134"/>
    </row>
    <row r="11" spans="2:27" x14ac:dyDescent="0.25">
      <c r="B11" s="16" t="s">
        <v>42</v>
      </c>
      <c r="C11" s="38">
        <v>0</v>
      </c>
      <c r="D11" s="38">
        <v>0</v>
      </c>
      <c r="E11" s="38">
        <v>1</v>
      </c>
      <c r="F11" s="38">
        <v>1</v>
      </c>
      <c r="G11" s="38">
        <v>4</v>
      </c>
      <c r="H11" s="38">
        <v>4</v>
      </c>
      <c r="I11" s="38">
        <v>1</v>
      </c>
      <c r="J11" s="38">
        <v>1</v>
      </c>
      <c r="K11" s="52">
        <f t="shared" si="0"/>
        <v>420.72584999999998</v>
      </c>
      <c r="L11" s="208">
        <f t="shared" si="0"/>
        <v>420.72584999999998</v>
      </c>
      <c r="M11" s="267"/>
      <c r="N11" s="269" t="s">
        <v>287</v>
      </c>
      <c r="O11" s="134"/>
      <c r="P11" s="134"/>
      <c r="Q11" s="134"/>
      <c r="R11" s="134"/>
      <c r="S11" s="134"/>
      <c r="T11" s="134"/>
      <c r="U11" s="134"/>
      <c r="V11" s="134"/>
      <c r="W11" s="134"/>
      <c r="X11" s="134"/>
      <c r="Y11" s="134"/>
      <c r="Z11" s="134"/>
      <c r="AA11" s="134"/>
    </row>
    <row r="12" spans="2:27" ht="15.75" thickBot="1" x14ac:dyDescent="0.3">
      <c r="B12" s="44" t="s">
        <v>43</v>
      </c>
      <c r="C12" s="46">
        <f t="shared" ref="C12:L12" si="1">SUM(C7:C11)</f>
        <v>2</v>
      </c>
      <c r="D12" s="46">
        <f t="shared" si="1"/>
        <v>2</v>
      </c>
      <c r="E12" s="46">
        <f t="shared" si="1"/>
        <v>3.2</v>
      </c>
      <c r="F12" s="46">
        <f t="shared" si="1"/>
        <v>3.2</v>
      </c>
      <c r="G12" s="46">
        <f t="shared" si="1"/>
        <v>26</v>
      </c>
      <c r="H12" s="46">
        <f t="shared" si="1"/>
        <v>23</v>
      </c>
      <c r="I12" s="46">
        <f t="shared" si="1"/>
        <v>2.4</v>
      </c>
      <c r="J12" s="46">
        <f t="shared" si="1"/>
        <v>2.4</v>
      </c>
      <c r="K12" s="47">
        <f t="shared" si="1"/>
        <v>2523.1618719999997</v>
      </c>
      <c r="L12" s="48">
        <f t="shared" si="1"/>
        <v>2301.6808419999998</v>
      </c>
      <c r="M12" s="270"/>
      <c r="N12" s="134"/>
      <c r="O12" s="134"/>
      <c r="P12" s="134"/>
      <c r="Q12" s="134"/>
      <c r="R12" s="134"/>
      <c r="S12" s="134"/>
      <c r="T12" s="134"/>
      <c r="U12" s="134"/>
      <c r="V12" s="134"/>
      <c r="W12" s="134"/>
      <c r="X12" s="134"/>
      <c r="Y12" s="134"/>
      <c r="Z12" s="134"/>
      <c r="AA12" s="134"/>
    </row>
    <row r="13" spans="2:27" ht="16.5" thickTop="1" thickBot="1" x14ac:dyDescent="0.3"/>
    <row r="14" spans="2:27" ht="16.5" thickTop="1" thickBot="1" x14ac:dyDescent="0.3">
      <c r="B14" s="30" t="s">
        <v>44</v>
      </c>
      <c r="C14" s="31">
        <f t="shared" ref="C14:J14" si="2">C12</f>
        <v>2</v>
      </c>
      <c r="D14" s="31">
        <f t="shared" si="2"/>
        <v>2</v>
      </c>
      <c r="E14" s="31">
        <f t="shared" si="2"/>
        <v>3.2</v>
      </c>
      <c r="F14" s="31">
        <f t="shared" si="2"/>
        <v>3.2</v>
      </c>
      <c r="G14" s="31">
        <f t="shared" si="2"/>
        <v>26</v>
      </c>
      <c r="H14" s="31">
        <f t="shared" si="2"/>
        <v>23</v>
      </c>
      <c r="I14" s="31">
        <f t="shared" si="2"/>
        <v>2.4</v>
      </c>
      <c r="J14" s="280">
        <f t="shared" si="2"/>
        <v>2.4</v>
      </c>
      <c r="K14" s="281"/>
    </row>
    <row r="15" spans="2:27" ht="15.75" thickTop="1" x14ac:dyDescent="0.25"/>
    <row r="16" spans="2:27" ht="15.75" thickBot="1" x14ac:dyDescent="0.3">
      <c r="B16" s="13" t="s">
        <v>358</v>
      </c>
    </row>
    <row r="17" spans="2:10" ht="24.75" customHeight="1" thickTop="1" x14ac:dyDescent="0.25">
      <c r="B17" s="993" t="s">
        <v>28</v>
      </c>
      <c r="C17" s="995" t="s">
        <v>45</v>
      </c>
      <c r="D17" s="996"/>
      <c r="E17" s="996"/>
      <c r="F17" s="997"/>
      <c r="G17" s="998" t="s">
        <v>133</v>
      </c>
      <c r="H17" s="999"/>
    </row>
    <row r="18" spans="2:10" ht="36" x14ac:dyDescent="0.25">
      <c r="B18" s="994"/>
      <c r="C18" s="14" t="s">
        <v>134</v>
      </c>
      <c r="D18" s="14" t="s">
        <v>46</v>
      </c>
      <c r="E18" s="14" t="s">
        <v>135</v>
      </c>
      <c r="F18" s="14" t="s">
        <v>136</v>
      </c>
      <c r="G18" s="14" t="s">
        <v>3</v>
      </c>
      <c r="H18" s="15" t="s">
        <v>47</v>
      </c>
    </row>
    <row r="19" spans="2:10" ht="48" x14ac:dyDescent="0.25">
      <c r="B19" s="16" t="s">
        <v>48</v>
      </c>
      <c r="C19" s="17" t="s">
        <v>49</v>
      </c>
      <c r="D19" s="17"/>
      <c r="E19" s="17" t="s">
        <v>49</v>
      </c>
      <c r="F19" s="17" t="s">
        <v>49</v>
      </c>
      <c r="G19" s="17" t="s">
        <v>49</v>
      </c>
      <c r="H19" s="18" t="s">
        <v>49</v>
      </c>
    </row>
    <row r="20" spans="2:10" ht="24" x14ac:dyDescent="0.25">
      <c r="B20" s="19" t="s">
        <v>50</v>
      </c>
      <c r="C20" s="20" t="s">
        <v>49</v>
      </c>
      <c r="D20" s="21"/>
      <c r="E20" s="20" t="s">
        <v>49</v>
      </c>
      <c r="F20" s="20" t="s">
        <v>49</v>
      </c>
      <c r="G20" s="20" t="s">
        <v>49</v>
      </c>
      <c r="H20" s="22" t="s">
        <v>49</v>
      </c>
    </row>
    <row r="21" spans="2:10" ht="24" x14ac:dyDescent="0.25">
      <c r="B21" s="16" t="s">
        <v>40</v>
      </c>
      <c r="C21" s="23">
        <v>0</v>
      </c>
      <c r="D21" s="17"/>
      <c r="E21" s="23">
        <v>0</v>
      </c>
      <c r="F21" s="23">
        <f>50*Inflation</f>
        <v>62.378854625550659</v>
      </c>
      <c r="G21" s="23">
        <f>50*Inflation</f>
        <v>62.378854625550659</v>
      </c>
      <c r="H21" s="24">
        <f>50*Inflation</f>
        <v>62.378854625550659</v>
      </c>
      <c r="I21" s="282" t="s">
        <v>216</v>
      </c>
    </row>
    <row r="22" spans="2:10" x14ac:dyDescent="0.25">
      <c r="B22" s="19" t="s">
        <v>51</v>
      </c>
      <c r="C22" s="20" t="s">
        <v>49</v>
      </c>
      <c r="D22" s="21"/>
      <c r="E22" s="20" t="s">
        <v>49</v>
      </c>
      <c r="F22" s="20" t="s">
        <v>49</v>
      </c>
      <c r="G22" s="20" t="s">
        <v>49</v>
      </c>
      <c r="H22" s="22" t="s">
        <v>49</v>
      </c>
      <c r="I22" s="134"/>
    </row>
    <row r="23" spans="2:10" ht="48" x14ac:dyDescent="0.25">
      <c r="B23" s="16" t="s">
        <v>52</v>
      </c>
      <c r="C23" s="23">
        <v>0</v>
      </c>
      <c r="D23" s="17"/>
      <c r="E23" s="23">
        <v>0</v>
      </c>
      <c r="F23" s="23">
        <f>1000*Inflation</f>
        <v>1247.5770925110132</v>
      </c>
      <c r="G23" s="23">
        <f>1000*Inflation</f>
        <v>1247.5770925110132</v>
      </c>
      <c r="H23" s="24">
        <f>1000*Inflation</f>
        <v>1247.5770925110132</v>
      </c>
      <c r="I23" s="282" t="s">
        <v>248</v>
      </c>
    </row>
    <row r="24" spans="2:10" ht="15.75" thickBot="1" x14ac:dyDescent="0.3">
      <c r="B24" s="25" t="s">
        <v>43</v>
      </c>
      <c r="C24" s="26">
        <v>0</v>
      </c>
      <c r="D24" s="27"/>
      <c r="E24" s="26">
        <v>0</v>
      </c>
      <c r="F24" s="26">
        <f>SUM(F23,F21)</f>
        <v>1309.955947136564</v>
      </c>
      <c r="G24" s="26">
        <f>SUM(G23,G21)</f>
        <v>1309.955947136564</v>
      </c>
      <c r="H24" s="28">
        <f>SUM(H23,H21)</f>
        <v>1309.955947136564</v>
      </c>
    </row>
    <row r="25" spans="2:10" ht="16.5" thickTop="1" thickBot="1" x14ac:dyDescent="0.3">
      <c r="B25" s="29"/>
    </row>
    <row r="26" spans="2:10" ht="16.5" thickTop="1" thickBot="1" x14ac:dyDescent="0.3">
      <c r="B26" s="30" t="s">
        <v>53</v>
      </c>
      <c r="C26" s="31"/>
      <c r="D26" s="31"/>
      <c r="E26" s="31"/>
      <c r="F26" s="31"/>
      <c r="G26" s="32">
        <f>G24</f>
        <v>1309.955947136564</v>
      </c>
      <c r="H26" s="33">
        <f>H24</f>
        <v>1309.955947136564</v>
      </c>
    </row>
    <row r="27" spans="2:10" ht="16.5" thickTop="1" thickBot="1" x14ac:dyDescent="0.3"/>
    <row r="28" spans="2:10" ht="73.5" thickTop="1" thickBot="1" x14ac:dyDescent="0.3">
      <c r="B28" s="34" t="s">
        <v>54</v>
      </c>
      <c r="C28" s="31"/>
      <c r="D28" s="31"/>
      <c r="E28" s="31"/>
      <c r="F28" s="31"/>
      <c r="G28" s="32">
        <f>K12+G26</f>
        <v>3833.1178191365634</v>
      </c>
      <c r="H28" s="33">
        <f>L12+H26</f>
        <v>3611.6367891365635</v>
      </c>
      <c r="J28" s="122"/>
    </row>
    <row r="29" spans="2:10" ht="15.75" thickTop="1" x14ac:dyDescent="0.25">
      <c r="B29" s="35" t="s">
        <v>191</v>
      </c>
    </row>
    <row r="30" spans="2:10" ht="15.75" thickBot="1" x14ac:dyDescent="0.3"/>
    <row r="31" spans="2:10" ht="15.75" thickTop="1" x14ac:dyDescent="0.25">
      <c r="B31" s="989" t="s">
        <v>152</v>
      </c>
      <c r="C31" s="990"/>
      <c r="D31" s="991"/>
      <c r="E31" s="167"/>
      <c r="F31" s="989" t="s">
        <v>154</v>
      </c>
      <c r="G31" s="991"/>
    </row>
    <row r="32" spans="2:10" ht="24" x14ac:dyDescent="0.25">
      <c r="B32" s="164" t="s">
        <v>57</v>
      </c>
      <c r="C32" s="14" t="s">
        <v>3</v>
      </c>
      <c r="D32" s="15" t="s">
        <v>47</v>
      </c>
      <c r="F32" s="168" t="s">
        <v>3</v>
      </c>
      <c r="G32" s="169" t="s">
        <v>47</v>
      </c>
      <c r="I32" s="271"/>
    </row>
    <row r="33" spans="2:9" ht="15.75" thickBot="1" x14ac:dyDescent="0.3">
      <c r="B33" s="283">
        <v>15</v>
      </c>
      <c r="C33" s="284">
        <f>K12*$B$33</f>
        <v>37847.428079999998</v>
      </c>
      <c r="D33" s="285">
        <f>L12*$B$33</f>
        <v>34525.212629999995</v>
      </c>
      <c r="E33" s="286"/>
      <c r="F33" s="287">
        <f>B33*G26</f>
        <v>19649.339207048459</v>
      </c>
      <c r="G33" s="288">
        <f>B33*H26</f>
        <v>19649.339207048459</v>
      </c>
      <c r="I33" s="269"/>
    </row>
    <row r="34" spans="2:9" ht="15.75" thickTop="1" x14ac:dyDescent="0.25">
      <c r="B34" s="165" t="s">
        <v>58</v>
      </c>
      <c r="C34" s="166"/>
      <c r="D34" s="166"/>
      <c r="E34" s="166"/>
      <c r="I34" s="269"/>
    </row>
    <row r="35" spans="2:9" x14ac:dyDescent="0.25">
      <c r="B35" s="992" t="s">
        <v>153</v>
      </c>
      <c r="C35" s="992"/>
      <c r="D35" s="992"/>
      <c r="E35" s="992"/>
      <c r="I35" s="269"/>
    </row>
    <row r="37" spans="2:9" x14ac:dyDescent="0.25">
      <c r="B37" s="346" t="s">
        <v>349</v>
      </c>
    </row>
  </sheetData>
  <mergeCells count="18">
    <mergeCell ref="G5:H5"/>
    <mergeCell ref="I5:J5"/>
    <mergeCell ref="N4:AA5"/>
    <mergeCell ref="B31:D31"/>
    <mergeCell ref="F31:G31"/>
    <mergeCell ref="K3:L5"/>
    <mergeCell ref="B35:E35"/>
    <mergeCell ref="B3:B6"/>
    <mergeCell ref="C3:J3"/>
    <mergeCell ref="B17:B18"/>
    <mergeCell ref="C17:F17"/>
    <mergeCell ref="G17:H17"/>
    <mergeCell ref="C4:D4"/>
    <mergeCell ref="E4:F4"/>
    <mergeCell ref="G4:H4"/>
    <mergeCell ref="I4:J4"/>
    <mergeCell ref="C5:D5"/>
    <mergeCell ref="E5:F5"/>
  </mergeCells>
  <hyperlinks>
    <hyperlink ref="B37" location="'Table of Contents'!A1" display="Table of Contents" xr:uid="{5E3EB088-A833-46C8-8D5C-7B93D8385ADF}"/>
  </hyperlinks>
  <pageMargins left="0.7" right="0.7" top="0.75" bottom="0.75" header="0.3" footer="0.3"/>
  <pageSetup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7D051-F31B-4578-8419-26367BEC9713}">
  <sheetPr codeName="Sheet14"/>
  <dimension ref="B1:AD38"/>
  <sheetViews>
    <sheetView topLeftCell="A24" zoomScale="95" zoomScaleNormal="95" workbookViewId="0">
      <selection activeCell="O7" sqref="O7"/>
    </sheetView>
  </sheetViews>
  <sheetFormatPr defaultRowHeight="15" x14ac:dyDescent="0.25"/>
  <cols>
    <col min="5" max="5" width="9.85546875" customWidth="1"/>
    <col min="6" max="6" width="8.5703125" customWidth="1"/>
  </cols>
  <sheetData>
    <row r="1" spans="2:30" x14ac:dyDescent="0.25">
      <c r="B1" s="709" t="s">
        <v>978</v>
      </c>
      <c r="N1" s="272" t="s">
        <v>281</v>
      </c>
      <c r="O1" s="134"/>
      <c r="P1" s="134"/>
      <c r="Q1" s="134"/>
      <c r="R1" s="134"/>
      <c r="S1" s="134"/>
      <c r="T1" s="134"/>
      <c r="U1" s="134"/>
      <c r="V1" s="134"/>
      <c r="W1" s="134"/>
      <c r="X1" s="134"/>
      <c r="Y1" s="134"/>
      <c r="Z1" s="134"/>
      <c r="AA1" s="134"/>
      <c r="AB1" s="134"/>
      <c r="AC1" s="134"/>
      <c r="AD1" s="134"/>
    </row>
    <row r="2" spans="2:30" ht="38.25" customHeight="1" x14ac:dyDescent="0.25">
      <c r="N2" s="1024" t="s">
        <v>282</v>
      </c>
      <c r="O2" s="1024"/>
      <c r="P2" s="1024"/>
      <c r="Q2" s="1024"/>
      <c r="R2" s="1024"/>
      <c r="S2" s="1024"/>
      <c r="T2" s="1024"/>
      <c r="U2" s="1024"/>
      <c r="V2" s="1024"/>
      <c r="W2" s="1024"/>
      <c r="X2" s="1024"/>
      <c r="Y2" s="1024"/>
      <c r="Z2" s="1024"/>
      <c r="AA2" s="1024"/>
      <c r="AB2" s="1024"/>
      <c r="AC2" s="1024"/>
      <c r="AD2" s="1024"/>
    </row>
    <row r="3" spans="2:30" ht="10.5" customHeight="1" thickBot="1" x14ac:dyDescent="0.3">
      <c r="B3" s="13" t="s">
        <v>299</v>
      </c>
      <c r="N3" s="1024" t="s">
        <v>243</v>
      </c>
      <c r="O3" s="1024"/>
      <c r="P3" s="1024"/>
      <c r="Q3" s="1024"/>
      <c r="R3" s="1024"/>
      <c r="S3" s="1024"/>
      <c r="T3" s="1024"/>
      <c r="U3" s="1024"/>
      <c r="V3" s="1024"/>
      <c r="W3" s="1024"/>
      <c r="X3" s="1024"/>
      <c r="Y3" s="1024"/>
      <c r="Z3" s="1024"/>
      <c r="AA3" s="1024"/>
      <c r="AB3" s="1024"/>
      <c r="AC3" s="1024"/>
      <c r="AD3" s="1024"/>
    </row>
    <row r="4" spans="2:30" ht="34.5" customHeight="1" thickTop="1" x14ac:dyDescent="0.25">
      <c r="B4" s="993" t="s">
        <v>28</v>
      </c>
      <c r="C4" s="995" t="s">
        <v>29</v>
      </c>
      <c r="D4" s="996"/>
      <c r="E4" s="996"/>
      <c r="F4" s="996"/>
      <c r="G4" s="996"/>
      <c r="H4" s="996"/>
      <c r="I4" s="996"/>
      <c r="J4" s="997"/>
      <c r="K4" s="1001" t="s">
        <v>30</v>
      </c>
      <c r="L4" s="1002"/>
      <c r="N4" s="1024" t="s">
        <v>276</v>
      </c>
      <c r="O4" s="1024"/>
      <c r="P4" s="1024"/>
      <c r="Q4" s="1024"/>
      <c r="R4" s="1024"/>
      <c r="S4" s="1024"/>
      <c r="T4" s="1024"/>
      <c r="U4" s="1024"/>
      <c r="V4" s="1024"/>
      <c r="W4" s="1024"/>
      <c r="X4" s="1024"/>
      <c r="Y4" s="1024"/>
      <c r="Z4" s="1024"/>
      <c r="AA4" s="1024"/>
      <c r="AB4" s="1024"/>
      <c r="AC4" s="1024"/>
      <c r="AD4" s="1024"/>
    </row>
    <row r="5" spans="2:30" ht="28.5" customHeight="1" x14ac:dyDescent="0.25">
      <c r="B5" s="1000"/>
      <c r="C5" s="1003" t="s">
        <v>31</v>
      </c>
      <c r="D5" s="1004"/>
      <c r="E5" s="1003" t="s">
        <v>32</v>
      </c>
      <c r="F5" s="1004"/>
      <c r="G5" s="1005" t="s">
        <v>33</v>
      </c>
      <c r="H5" s="1006"/>
      <c r="I5" s="1005" t="s">
        <v>34</v>
      </c>
      <c r="J5" s="1006"/>
      <c r="K5" s="1007" t="s">
        <v>132</v>
      </c>
      <c r="L5" s="1008"/>
      <c r="N5" s="269" t="s">
        <v>413</v>
      </c>
      <c r="O5" s="134"/>
      <c r="P5" s="134"/>
      <c r="Q5" s="134"/>
      <c r="R5" s="134"/>
      <c r="S5" s="134"/>
      <c r="T5" s="134"/>
      <c r="U5" s="134"/>
      <c r="V5" s="134"/>
      <c r="W5" s="134"/>
      <c r="X5" s="134"/>
      <c r="Y5" s="134"/>
      <c r="Z5" s="134"/>
      <c r="AA5" s="134"/>
      <c r="AB5" s="134"/>
      <c r="AC5" s="134"/>
      <c r="AD5" s="134"/>
    </row>
    <row r="6" spans="2:30" x14ac:dyDescent="0.25">
      <c r="B6" s="1000"/>
      <c r="C6" s="1009">
        <f>Lawyer</f>
        <v>114.79721000000001</v>
      </c>
      <c r="D6" s="1010"/>
      <c r="E6" s="1011">
        <f>Manager</f>
        <v>91.328059999999994</v>
      </c>
      <c r="F6" s="1010"/>
      <c r="G6" s="1011">
        <f>Tech</f>
        <v>73.827010000000001</v>
      </c>
      <c r="H6" s="1010"/>
      <c r="I6" s="1011">
        <f>Admin</f>
        <v>34.089750000000002</v>
      </c>
      <c r="J6" s="1010"/>
      <c r="K6" s="1012"/>
      <c r="L6" s="1013"/>
      <c r="N6" s="134"/>
      <c r="O6" s="134"/>
      <c r="P6" s="134"/>
      <c r="Q6" s="134"/>
      <c r="R6" s="134"/>
      <c r="S6" s="134"/>
      <c r="T6" s="134"/>
      <c r="U6" s="134"/>
      <c r="V6" s="134"/>
      <c r="W6" s="134"/>
      <c r="X6" s="134"/>
      <c r="Y6" s="134"/>
      <c r="Z6" s="134"/>
      <c r="AA6" s="134"/>
      <c r="AB6" s="134"/>
      <c r="AC6" s="134"/>
      <c r="AD6" s="134"/>
    </row>
    <row r="7" spans="2:30" ht="36" x14ac:dyDescent="0.25">
      <c r="B7" s="994"/>
      <c r="C7" s="306" t="s">
        <v>35</v>
      </c>
      <c r="D7" s="303" t="s">
        <v>36</v>
      </c>
      <c r="E7" s="303" t="s">
        <v>35</v>
      </c>
      <c r="F7" s="303" t="s">
        <v>36</v>
      </c>
      <c r="G7" s="303" t="s">
        <v>35</v>
      </c>
      <c r="H7" s="303" t="s">
        <v>36</v>
      </c>
      <c r="I7" s="303" t="s">
        <v>35</v>
      </c>
      <c r="J7" s="303" t="s">
        <v>36</v>
      </c>
      <c r="K7" s="14" t="s">
        <v>3</v>
      </c>
      <c r="L7" s="15" t="s">
        <v>37</v>
      </c>
      <c r="N7" s="134"/>
      <c r="O7" s="134"/>
      <c r="P7" s="134"/>
      <c r="Q7" s="134"/>
      <c r="R7" s="134"/>
      <c r="S7" s="134"/>
      <c r="T7" s="134"/>
      <c r="U7" s="134"/>
      <c r="V7" s="134"/>
      <c r="W7" s="134"/>
      <c r="X7" s="134"/>
      <c r="Y7" s="134"/>
      <c r="Z7" s="134"/>
      <c r="AA7" s="134"/>
      <c r="AB7" s="134"/>
      <c r="AC7" s="134"/>
      <c r="AD7" s="134"/>
    </row>
    <row r="8" spans="2:30" x14ac:dyDescent="0.25">
      <c r="B8" s="307" t="s">
        <v>38</v>
      </c>
      <c r="C8" s="315">
        <v>1</v>
      </c>
      <c r="D8" s="17">
        <v>1</v>
      </c>
      <c r="E8" s="17">
        <v>0.3</v>
      </c>
      <c r="F8" s="17">
        <v>0.3</v>
      </c>
      <c r="G8" s="17">
        <v>6</v>
      </c>
      <c r="H8" s="17">
        <v>3</v>
      </c>
      <c r="I8" s="17">
        <v>0.2</v>
      </c>
      <c r="J8" s="315">
        <v>0.2</v>
      </c>
      <c r="K8" s="52">
        <f t="shared" ref="K8:L12" si="0">C8*$C$6+E8*$E$6+G8*$G$6+I8*$I$6</f>
        <v>591.975638</v>
      </c>
      <c r="L8" s="50">
        <f t="shared" si="0"/>
        <v>370.49460799999997</v>
      </c>
      <c r="N8" s="269" t="s">
        <v>283</v>
      </c>
      <c r="O8" s="134"/>
      <c r="P8" s="134"/>
      <c r="Q8" s="134"/>
      <c r="R8" s="134"/>
      <c r="S8" s="134"/>
      <c r="T8" s="134"/>
      <c r="U8" s="134"/>
      <c r="V8" s="134"/>
      <c r="W8" s="134"/>
      <c r="X8" s="134"/>
      <c r="Y8" s="134"/>
      <c r="Z8" s="134"/>
      <c r="AA8" s="134"/>
      <c r="AB8" s="134"/>
      <c r="AC8" s="134"/>
      <c r="AD8" s="134"/>
    </row>
    <row r="9" spans="2:30" x14ac:dyDescent="0.25">
      <c r="B9" s="308" t="s">
        <v>39</v>
      </c>
      <c r="C9" s="317">
        <v>1</v>
      </c>
      <c r="D9" s="20">
        <v>1</v>
      </c>
      <c r="E9" s="20">
        <v>0.2</v>
      </c>
      <c r="F9" s="20">
        <v>0.2</v>
      </c>
      <c r="G9" s="20">
        <v>2</v>
      </c>
      <c r="H9" s="20">
        <v>2</v>
      </c>
      <c r="I9" s="20">
        <v>0.1</v>
      </c>
      <c r="J9" s="317">
        <v>0.1</v>
      </c>
      <c r="K9" s="40">
        <f t="shared" si="0"/>
        <v>284.12581700000004</v>
      </c>
      <c r="L9" s="41">
        <f t="shared" si="0"/>
        <v>284.12581700000004</v>
      </c>
      <c r="N9" s="269" t="s">
        <v>284</v>
      </c>
      <c r="O9" s="134"/>
      <c r="P9" s="134"/>
      <c r="Q9" s="134"/>
      <c r="R9" s="134"/>
      <c r="S9" s="134"/>
      <c r="T9" s="134"/>
      <c r="U9" s="134"/>
      <c r="V9" s="134"/>
      <c r="W9" s="134"/>
      <c r="X9" s="134"/>
      <c r="Y9" s="134"/>
      <c r="Z9" s="134"/>
      <c r="AA9" s="134"/>
      <c r="AB9" s="134"/>
      <c r="AC9" s="134"/>
      <c r="AD9" s="134"/>
    </row>
    <row r="10" spans="2:30" ht="24" x14ac:dyDescent="0.25">
      <c r="B10" s="307" t="s">
        <v>40</v>
      </c>
      <c r="C10" s="318">
        <v>0</v>
      </c>
      <c r="D10" s="17">
        <v>0</v>
      </c>
      <c r="E10" s="17">
        <v>0.5</v>
      </c>
      <c r="F10" s="17">
        <v>0.5</v>
      </c>
      <c r="G10" s="17">
        <v>5</v>
      </c>
      <c r="H10" s="17">
        <v>5</v>
      </c>
      <c r="I10" s="17">
        <v>0.5</v>
      </c>
      <c r="J10" s="318">
        <v>0.5</v>
      </c>
      <c r="K10" s="52">
        <f t="shared" si="0"/>
        <v>431.84395499999999</v>
      </c>
      <c r="L10" s="50">
        <f t="shared" si="0"/>
        <v>431.84395499999999</v>
      </c>
      <c r="N10" s="269" t="s">
        <v>285</v>
      </c>
      <c r="O10" s="134"/>
      <c r="P10" s="134"/>
      <c r="Q10" s="134"/>
      <c r="R10" s="134"/>
      <c r="S10" s="134"/>
      <c r="T10" s="134"/>
      <c r="U10" s="134"/>
      <c r="V10" s="134"/>
      <c r="W10" s="134"/>
      <c r="X10" s="134"/>
      <c r="Y10" s="134"/>
      <c r="Z10" s="134"/>
      <c r="AA10" s="134"/>
      <c r="AB10" s="134"/>
      <c r="AC10" s="134"/>
      <c r="AD10" s="134"/>
    </row>
    <row r="11" spans="2:30" ht="60" x14ac:dyDescent="0.25">
      <c r="B11" s="308" t="s">
        <v>41</v>
      </c>
      <c r="C11" s="317">
        <v>0</v>
      </c>
      <c r="D11" s="20">
        <v>0</v>
      </c>
      <c r="E11" s="238">
        <v>0.8</v>
      </c>
      <c r="F11" s="238">
        <v>0.8</v>
      </c>
      <c r="G11" s="238">
        <v>8</v>
      </c>
      <c r="H11" s="238">
        <v>8</v>
      </c>
      <c r="I11" s="238">
        <v>0.4</v>
      </c>
      <c r="J11" s="342">
        <v>0.4</v>
      </c>
      <c r="K11" s="239">
        <f t="shared" si="0"/>
        <v>677.31442800000002</v>
      </c>
      <c r="L11" s="51">
        <f t="shared" si="0"/>
        <v>677.31442800000002</v>
      </c>
      <c r="N11" s="269" t="s">
        <v>286</v>
      </c>
      <c r="O11" s="134"/>
      <c r="P11" s="134"/>
      <c r="Q11" s="134"/>
      <c r="R11" s="134"/>
      <c r="S11" s="134"/>
      <c r="T11" s="134"/>
      <c r="U11" s="134"/>
      <c r="V11" s="134"/>
      <c r="W11" s="134"/>
      <c r="X11" s="134"/>
      <c r="Y11" s="134"/>
      <c r="Z11" s="134"/>
      <c r="AA11" s="134"/>
      <c r="AB11" s="134"/>
      <c r="AC11" s="134"/>
      <c r="AD11" s="134"/>
    </row>
    <row r="12" spans="2:30" x14ac:dyDescent="0.25">
      <c r="B12" s="307" t="s">
        <v>42</v>
      </c>
      <c r="C12" s="315">
        <v>0</v>
      </c>
      <c r="D12" s="316">
        <v>0</v>
      </c>
      <c r="E12" s="316">
        <v>1</v>
      </c>
      <c r="F12" s="316">
        <v>1</v>
      </c>
      <c r="G12" s="316">
        <v>10</v>
      </c>
      <c r="H12" s="316">
        <v>10</v>
      </c>
      <c r="I12" s="316">
        <v>1</v>
      </c>
      <c r="J12" s="316">
        <v>1</v>
      </c>
      <c r="K12" s="52">
        <f t="shared" si="0"/>
        <v>863.68790999999999</v>
      </c>
      <c r="L12" s="51">
        <f t="shared" si="0"/>
        <v>863.68790999999999</v>
      </c>
      <c r="N12" s="269" t="s">
        <v>287</v>
      </c>
      <c r="O12" s="134"/>
      <c r="P12" s="134"/>
      <c r="Q12" s="134"/>
      <c r="R12" s="134"/>
      <c r="S12" s="134"/>
      <c r="T12" s="134"/>
      <c r="U12" s="134"/>
      <c r="V12" s="134"/>
      <c r="W12" s="134"/>
      <c r="X12" s="134"/>
      <c r="Y12" s="134"/>
      <c r="Z12" s="134"/>
      <c r="AA12" s="134"/>
      <c r="AB12" s="134"/>
      <c r="AC12" s="134"/>
      <c r="AD12" s="134"/>
    </row>
    <row r="13" spans="2:30" ht="15.75" thickBot="1" x14ac:dyDescent="0.3">
      <c r="B13" s="44" t="s">
        <v>43</v>
      </c>
      <c r="C13" s="46">
        <f t="shared" ref="C13:L13" si="1">SUM(C8:C12)</f>
        <v>2</v>
      </c>
      <c r="D13" s="46">
        <f t="shared" si="1"/>
        <v>2</v>
      </c>
      <c r="E13" s="46">
        <f t="shared" si="1"/>
        <v>2.8</v>
      </c>
      <c r="F13" s="46">
        <f t="shared" si="1"/>
        <v>2.8</v>
      </c>
      <c r="G13" s="46">
        <f t="shared" si="1"/>
        <v>31</v>
      </c>
      <c r="H13" s="46">
        <f t="shared" si="1"/>
        <v>28</v>
      </c>
      <c r="I13" s="46">
        <f t="shared" si="1"/>
        <v>2.2000000000000002</v>
      </c>
      <c r="J13" s="46">
        <f t="shared" si="1"/>
        <v>2.2000000000000002</v>
      </c>
      <c r="K13" s="47">
        <f t="shared" si="1"/>
        <v>2848.947748</v>
      </c>
      <c r="L13" s="48">
        <f t="shared" si="1"/>
        <v>2627.4667180000001</v>
      </c>
      <c r="M13" s="53"/>
      <c r="P13" s="5"/>
    </row>
    <row r="14" spans="2:30" ht="16.5" thickTop="1" thickBot="1" x14ac:dyDescent="0.3">
      <c r="E14" s="128"/>
      <c r="F14" s="128"/>
      <c r="G14" s="128"/>
      <c r="H14" s="128"/>
      <c r="I14" s="128"/>
      <c r="J14" s="128"/>
      <c r="K14" s="128"/>
      <c r="L14" s="128"/>
    </row>
    <row r="15" spans="2:30" ht="16.5" thickTop="1" thickBot="1" x14ac:dyDescent="0.3">
      <c r="B15" s="30" t="s">
        <v>44</v>
      </c>
      <c r="C15" s="31">
        <f t="shared" ref="C15:L15" si="2">C13</f>
        <v>2</v>
      </c>
      <c r="D15" s="31">
        <f t="shared" si="2"/>
        <v>2</v>
      </c>
      <c r="E15" s="31">
        <f t="shared" si="2"/>
        <v>2.8</v>
      </c>
      <c r="F15" s="31">
        <f t="shared" si="2"/>
        <v>2.8</v>
      </c>
      <c r="G15" s="31">
        <f t="shared" si="2"/>
        <v>31</v>
      </c>
      <c r="H15" s="31">
        <f t="shared" si="2"/>
        <v>28</v>
      </c>
      <c r="I15" s="31">
        <f t="shared" si="2"/>
        <v>2.2000000000000002</v>
      </c>
      <c r="J15" s="31">
        <f t="shared" si="2"/>
        <v>2.2000000000000002</v>
      </c>
      <c r="K15" s="119">
        <f t="shared" si="2"/>
        <v>2848.947748</v>
      </c>
      <c r="L15" s="120">
        <f t="shared" si="2"/>
        <v>2627.4667180000001</v>
      </c>
      <c r="M15" s="273"/>
    </row>
    <row r="16" spans="2:30" ht="15.75" thickTop="1" x14ac:dyDescent="0.25"/>
    <row r="17" spans="2:10" ht="15.75" thickBot="1" x14ac:dyDescent="0.3">
      <c r="B17" s="13" t="s">
        <v>189</v>
      </c>
    </row>
    <row r="18" spans="2:10" ht="42" customHeight="1" thickTop="1" x14ac:dyDescent="0.25">
      <c r="B18" s="993" t="s">
        <v>28</v>
      </c>
      <c r="C18" s="995" t="s">
        <v>45</v>
      </c>
      <c r="D18" s="996"/>
      <c r="E18" s="996"/>
      <c r="F18" s="997"/>
      <c r="G18" s="998" t="s">
        <v>133</v>
      </c>
      <c r="H18" s="999"/>
    </row>
    <row r="19" spans="2:10" ht="60" x14ac:dyDescent="0.25">
      <c r="B19" s="994"/>
      <c r="C19" s="14" t="s">
        <v>134</v>
      </c>
      <c r="D19" s="14" t="s">
        <v>46</v>
      </c>
      <c r="E19" s="14" t="s">
        <v>135</v>
      </c>
      <c r="F19" s="14" t="s">
        <v>136</v>
      </c>
      <c r="G19" s="14" t="s">
        <v>3</v>
      </c>
      <c r="H19" s="15" t="s">
        <v>47</v>
      </c>
    </row>
    <row r="20" spans="2:10" ht="48" x14ac:dyDescent="0.25">
      <c r="B20" s="16" t="s">
        <v>48</v>
      </c>
      <c r="C20" s="17" t="s">
        <v>49</v>
      </c>
      <c r="D20" s="17"/>
      <c r="E20" s="17" t="s">
        <v>49</v>
      </c>
      <c r="F20" s="17" t="s">
        <v>49</v>
      </c>
      <c r="G20" s="17" t="s">
        <v>49</v>
      </c>
      <c r="H20" s="18" t="s">
        <v>49</v>
      </c>
    </row>
    <row r="21" spans="2:10" ht="24" x14ac:dyDescent="0.25">
      <c r="B21" s="19" t="s">
        <v>50</v>
      </c>
      <c r="C21" s="20" t="s">
        <v>49</v>
      </c>
      <c r="D21" s="21"/>
      <c r="E21" s="20" t="s">
        <v>49</v>
      </c>
      <c r="F21" s="20" t="s">
        <v>49</v>
      </c>
      <c r="G21" s="20" t="s">
        <v>49</v>
      </c>
      <c r="H21" s="22" t="s">
        <v>49</v>
      </c>
    </row>
    <row r="22" spans="2:10" ht="24" x14ac:dyDescent="0.25">
      <c r="B22" s="16" t="s">
        <v>40</v>
      </c>
      <c r="C22" s="23">
        <v>0</v>
      </c>
      <c r="D22" s="17"/>
      <c r="E22" s="23">
        <v>0</v>
      </c>
      <c r="F22" s="23">
        <f>50*Inflation</f>
        <v>62.378854625550659</v>
      </c>
      <c r="G22" s="23">
        <f>F22</f>
        <v>62.378854625550659</v>
      </c>
      <c r="H22" s="24">
        <f>F22</f>
        <v>62.378854625550659</v>
      </c>
      <c r="I22" s="269" t="s">
        <v>216</v>
      </c>
    </row>
    <row r="23" spans="2:10" x14ac:dyDescent="0.25">
      <c r="B23" s="19" t="s">
        <v>51</v>
      </c>
      <c r="C23" s="20" t="s">
        <v>49</v>
      </c>
      <c r="D23" s="21"/>
      <c r="E23" s="20" t="s">
        <v>49</v>
      </c>
      <c r="F23" s="20" t="s">
        <v>49</v>
      </c>
      <c r="G23" s="20" t="s">
        <v>49</v>
      </c>
      <c r="H23" s="22" t="s">
        <v>49</v>
      </c>
    </row>
    <row r="24" spans="2:10" ht="48" x14ac:dyDescent="0.25">
      <c r="B24" s="16" t="s">
        <v>52</v>
      </c>
      <c r="C24" s="17" t="s">
        <v>49</v>
      </c>
      <c r="D24" s="17"/>
      <c r="E24" s="17" t="s">
        <v>49</v>
      </c>
      <c r="F24" s="17" t="s">
        <v>49</v>
      </c>
      <c r="G24" s="17" t="s">
        <v>49</v>
      </c>
      <c r="H24" s="18" t="s">
        <v>49</v>
      </c>
    </row>
    <row r="25" spans="2:10" ht="15.75" thickBot="1" x14ac:dyDescent="0.3">
      <c r="B25" s="25" t="s">
        <v>43</v>
      </c>
      <c r="C25" s="26">
        <v>0</v>
      </c>
      <c r="D25" s="27"/>
      <c r="E25" s="26">
        <v>0</v>
      </c>
      <c r="F25" s="26">
        <f>F22</f>
        <v>62.378854625550659</v>
      </c>
      <c r="G25" s="26">
        <f>F25</f>
        <v>62.378854625550659</v>
      </c>
      <c r="H25" s="28">
        <f>H22</f>
        <v>62.378854625550659</v>
      </c>
    </row>
    <row r="26" spans="2:10" ht="16.5" thickTop="1" thickBot="1" x14ac:dyDescent="0.3">
      <c r="B26" s="29"/>
    </row>
    <row r="27" spans="2:10" ht="16.5" thickTop="1" thickBot="1" x14ac:dyDescent="0.3">
      <c r="B27" s="30" t="s">
        <v>53</v>
      </c>
      <c r="C27" s="31"/>
      <c r="D27" s="31"/>
      <c r="E27" s="31"/>
      <c r="F27" s="31"/>
      <c r="G27" s="32">
        <f>G25</f>
        <v>62.378854625550659</v>
      </c>
      <c r="H27" s="33">
        <f>H25</f>
        <v>62.378854625550659</v>
      </c>
    </row>
    <row r="28" spans="2:10" ht="16.5" thickTop="1" thickBot="1" x14ac:dyDescent="0.3"/>
    <row r="29" spans="2:10" ht="73.5" thickTop="1" thickBot="1" x14ac:dyDescent="0.3">
      <c r="B29" s="34" t="s">
        <v>54</v>
      </c>
      <c r="C29" s="31"/>
      <c r="D29" s="31"/>
      <c r="E29" s="31"/>
      <c r="F29" s="31"/>
      <c r="G29" s="32">
        <f>K15+G27</f>
        <v>2911.3266026255505</v>
      </c>
      <c r="H29" s="33">
        <f>L15+H27</f>
        <v>2689.8455726255506</v>
      </c>
      <c r="J29" s="122"/>
    </row>
    <row r="30" spans="2:10" ht="15.75" thickTop="1" x14ac:dyDescent="0.25">
      <c r="B30" s="35" t="s">
        <v>191</v>
      </c>
    </row>
    <row r="31" spans="2:10" ht="15.75" thickBot="1" x14ac:dyDescent="0.3"/>
    <row r="32" spans="2:10" ht="15.75" thickTop="1" x14ac:dyDescent="0.25">
      <c r="B32" s="989" t="s">
        <v>152</v>
      </c>
      <c r="C32" s="990"/>
      <c r="D32" s="991"/>
      <c r="E32" s="167"/>
      <c r="F32" s="989" t="s">
        <v>154</v>
      </c>
      <c r="G32" s="991"/>
    </row>
    <row r="33" spans="2:7" ht="24" x14ac:dyDescent="0.25">
      <c r="B33" s="164" t="s">
        <v>57</v>
      </c>
      <c r="C33" s="14" t="s">
        <v>3</v>
      </c>
      <c r="D33" s="15" t="s">
        <v>47</v>
      </c>
      <c r="F33" s="168" t="s">
        <v>3</v>
      </c>
      <c r="G33" s="169" t="s">
        <v>47</v>
      </c>
    </row>
    <row r="34" spans="2:7" ht="15.75" thickBot="1" x14ac:dyDescent="0.3">
      <c r="B34" s="283">
        <v>1</v>
      </c>
      <c r="C34" s="284">
        <f>K15*$B$34</f>
        <v>2848.947748</v>
      </c>
      <c r="D34" s="300">
        <f>L15*$B$34</f>
        <v>2627.4667180000001</v>
      </c>
      <c r="F34" s="287">
        <f>B34*G27</f>
        <v>62.378854625550659</v>
      </c>
      <c r="G34" s="288">
        <f>B34*H27</f>
        <v>62.378854625550659</v>
      </c>
    </row>
    <row r="35" spans="2:7" ht="15.75" thickTop="1" x14ac:dyDescent="0.25">
      <c r="B35" s="165" t="s">
        <v>58</v>
      </c>
      <c r="C35" s="166"/>
      <c r="D35" s="166"/>
      <c r="E35" s="166"/>
    </row>
    <row r="36" spans="2:7" x14ac:dyDescent="0.25">
      <c r="B36" s="231" t="s">
        <v>153</v>
      </c>
      <c r="C36" s="230"/>
      <c r="D36" s="230"/>
      <c r="E36" s="230"/>
    </row>
    <row r="38" spans="2:7" x14ac:dyDescent="0.25">
      <c r="B38" s="346" t="s">
        <v>349</v>
      </c>
    </row>
  </sheetData>
  <mergeCells count="21">
    <mergeCell ref="C5:D5"/>
    <mergeCell ref="E5:F5"/>
    <mergeCell ref="N2:AD2"/>
    <mergeCell ref="N3:AD3"/>
    <mergeCell ref="B4:B7"/>
    <mergeCell ref="C4:J4"/>
    <mergeCell ref="N4:AD4"/>
    <mergeCell ref="C6:D6"/>
    <mergeCell ref="E6:F6"/>
    <mergeCell ref="G6:H6"/>
    <mergeCell ref="I6:J6"/>
    <mergeCell ref="K6:L6"/>
    <mergeCell ref="G5:H5"/>
    <mergeCell ref="I5:J5"/>
    <mergeCell ref="K5:L5"/>
    <mergeCell ref="K4:L4"/>
    <mergeCell ref="B18:B19"/>
    <mergeCell ref="C18:F18"/>
    <mergeCell ref="G18:H18"/>
    <mergeCell ref="B32:D32"/>
    <mergeCell ref="F32:G32"/>
  </mergeCells>
  <hyperlinks>
    <hyperlink ref="B38" location="'Table of Contents'!A1" display="Table of Contents" xr:uid="{CCEEAC5A-E28B-4323-AF84-3E18AFF8AA30}"/>
  </hyperlinks>
  <pageMargins left="0.7" right="0.7" top="0.75" bottom="0.75" header="0.3" footer="0.3"/>
  <pageSetup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BF53A-1805-41E2-B6E7-2B59721BBC53}">
  <sheetPr codeName="Sheet15"/>
  <dimension ref="B1:AD37"/>
  <sheetViews>
    <sheetView topLeftCell="A26" zoomScale="95" zoomScaleNormal="95" workbookViewId="0">
      <selection activeCell="I35" sqref="I35"/>
    </sheetView>
  </sheetViews>
  <sheetFormatPr defaultRowHeight="15" x14ac:dyDescent="0.25"/>
  <sheetData>
    <row r="1" spans="2:30" x14ac:dyDescent="0.25">
      <c r="B1" s="709" t="s">
        <v>978</v>
      </c>
      <c r="N1" s="274" t="s">
        <v>207</v>
      </c>
      <c r="O1" s="134"/>
      <c r="P1" s="134"/>
      <c r="Q1" s="134"/>
      <c r="R1" s="134"/>
      <c r="S1" s="134"/>
      <c r="T1" s="134"/>
      <c r="U1" s="134"/>
      <c r="V1" s="134"/>
      <c r="W1" s="134"/>
      <c r="X1" s="134"/>
      <c r="Y1" s="134"/>
      <c r="Z1" s="134"/>
      <c r="AA1" s="134"/>
      <c r="AB1" s="134"/>
      <c r="AC1" s="134"/>
      <c r="AD1" s="134"/>
    </row>
    <row r="2" spans="2:30" ht="15.75" thickBot="1" x14ac:dyDescent="0.3">
      <c r="B2" s="13" t="s">
        <v>201</v>
      </c>
      <c r="N2" s="134"/>
      <c r="O2" s="134"/>
      <c r="P2" s="134"/>
      <c r="Q2" s="134"/>
      <c r="R2" s="134"/>
      <c r="S2" s="134"/>
      <c r="T2" s="134"/>
      <c r="U2" s="134"/>
      <c r="V2" s="134"/>
      <c r="W2" s="134"/>
      <c r="X2" s="134"/>
      <c r="Y2" s="134"/>
      <c r="Z2" s="134"/>
      <c r="AA2" s="134"/>
      <c r="AB2" s="134"/>
      <c r="AC2" s="134"/>
      <c r="AD2" s="134"/>
    </row>
    <row r="3" spans="2:30" ht="22.5" customHeight="1" thickTop="1" x14ac:dyDescent="0.25">
      <c r="B3" s="993" t="s">
        <v>28</v>
      </c>
      <c r="C3" s="995" t="s">
        <v>29</v>
      </c>
      <c r="D3" s="996"/>
      <c r="E3" s="996"/>
      <c r="F3" s="996"/>
      <c r="G3" s="996"/>
      <c r="H3" s="996"/>
      <c r="I3" s="996"/>
      <c r="J3" s="997"/>
      <c r="K3" s="1001" t="s">
        <v>30</v>
      </c>
      <c r="L3" s="1002"/>
      <c r="N3" s="1024" t="s">
        <v>288</v>
      </c>
      <c r="O3" s="1024"/>
      <c r="P3" s="1024"/>
      <c r="Q3" s="1024"/>
      <c r="R3" s="1024"/>
      <c r="S3" s="1024"/>
      <c r="T3" s="1024"/>
      <c r="U3" s="1024"/>
      <c r="V3" s="1024"/>
      <c r="W3" s="1024"/>
      <c r="X3" s="1024"/>
      <c r="Y3" s="1024"/>
      <c r="Z3" s="1024"/>
      <c r="AA3" s="1024"/>
      <c r="AB3" s="1024"/>
      <c r="AC3" s="1024"/>
      <c r="AD3" s="1024"/>
    </row>
    <row r="4" spans="2:30" ht="25.5" customHeight="1" x14ac:dyDescent="0.25">
      <c r="B4" s="1000"/>
      <c r="C4" s="1003" t="s">
        <v>31</v>
      </c>
      <c r="D4" s="1004"/>
      <c r="E4" s="1003" t="s">
        <v>32</v>
      </c>
      <c r="F4" s="1004"/>
      <c r="G4" s="1005" t="s">
        <v>33</v>
      </c>
      <c r="H4" s="1006"/>
      <c r="I4" s="1005" t="s">
        <v>34</v>
      </c>
      <c r="J4" s="1006"/>
      <c r="K4" s="1007" t="s">
        <v>132</v>
      </c>
      <c r="L4" s="1008"/>
      <c r="M4" s="240"/>
      <c r="N4" s="269" t="s">
        <v>413</v>
      </c>
      <c r="O4" s="134"/>
      <c r="P4" s="134"/>
      <c r="Q4" s="134"/>
      <c r="R4" s="134"/>
      <c r="S4" s="134"/>
      <c r="T4" s="134"/>
      <c r="U4" s="134"/>
      <c r="V4" s="134"/>
      <c r="W4" s="134"/>
      <c r="X4" s="134"/>
      <c r="Y4" s="134"/>
      <c r="Z4" s="134"/>
      <c r="AA4" s="134"/>
      <c r="AB4" s="134"/>
      <c r="AC4" s="134"/>
      <c r="AD4" s="134"/>
    </row>
    <row r="5" spans="2:30" x14ac:dyDescent="0.25">
      <c r="B5" s="1000"/>
      <c r="C5" s="1009">
        <f>Lawyer</f>
        <v>114.79721000000001</v>
      </c>
      <c r="D5" s="1010"/>
      <c r="E5" s="1011">
        <f>Manager</f>
        <v>91.328059999999994</v>
      </c>
      <c r="F5" s="1010"/>
      <c r="G5" s="1011">
        <f>Tech</f>
        <v>73.827010000000001</v>
      </c>
      <c r="H5" s="1010"/>
      <c r="I5" s="1011">
        <f>Admin</f>
        <v>34.089750000000002</v>
      </c>
      <c r="J5" s="1010"/>
      <c r="K5" s="1012"/>
      <c r="L5" s="1013"/>
      <c r="M5" s="240"/>
      <c r="N5" s="134"/>
      <c r="O5" s="134"/>
      <c r="P5" s="134"/>
      <c r="Q5" s="134"/>
      <c r="R5" s="134"/>
      <c r="S5" s="134"/>
      <c r="T5" s="134"/>
      <c r="U5" s="134"/>
      <c r="V5" s="134"/>
      <c r="W5" s="134"/>
      <c r="X5" s="134"/>
      <c r="Y5" s="134"/>
      <c r="Z5" s="134"/>
      <c r="AA5" s="134"/>
      <c r="AB5" s="134"/>
      <c r="AC5" s="134"/>
      <c r="AD5" s="134"/>
    </row>
    <row r="6" spans="2:30" ht="36" x14ac:dyDescent="0.25">
      <c r="B6" s="994"/>
      <c r="C6" s="306" t="s">
        <v>35</v>
      </c>
      <c r="D6" s="303" t="s">
        <v>36</v>
      </c>
      <c r="E6" s="303" t="s">
        <v>35</v>
      </c>
      <c r="F6" s="303" t="s">
        <v>36</v>
      </c>
      <c r="G6" s="303" t="s">
        <v>35</v>
      </c>
      <c r="H6" s="303" t="s">
        <v>36</v>
      </c>
      <c r="I6" s="303" t="s">
        <v>35</v>
      </c>
      <c r="J6" s="303" t="s">
        <v>36</v>
      </c>
      <c r="K6" s="14" t="s">
        <v>3</v>
      </c>
      <c r="L6" s="15" t="s">
        <v>37</v>
      </c>
      <c r="M6" s="240"/>
      <c r="N6" s="134"/>
      <c r="O6" s="134"/>
      <c r="P6" s="134"/>
      <c r="Q6" s="134"/>
      <c r="R6" s="134"/>
      <c r="S6" s="134"/>
      <c r="T6" s="134"/>
      <c r="U6" s="134"/>
      <c r="V6" s="134"/>
      <c r="W6" s="134"/>
      <c r="X6" s="134"/>
      <c r="Y6" s="134"/>
      <c r="Z6" s="134"/>
      <c r="AA6" s="134"/>
      <c r="AB6" s="134"/>
      <c r="AC6" s="134"/>
      <c r="AD6" s="134"/>
    </row>
    <row r="7" spans="2:30" x14ac:dyDescent="0.25">
      <c r="B7" s="323" t="s">
        <v>38</v>
      </c>
      <c r="C7" s="17">
        <v>1</v>
      </c>
      <c r="D7" s="17">
        <v>1</v>
      </c>
      <c r="E7" s="17">
        <v>0.3</v>
      </c>
      <c r="F7" s="17">
        <v>0.3</v>
      </c>
      <c r="G7" s="17">
        <v>6</v>
      </c>
      <c r="H7" s="17">
        <v>3.3</v>
      </c>
      <c r="I7" s="17">
        <v>0.2</v>
      </c>
      <c r="J7" s="315">
        <v>0.2</v>
      </c>
      <c r="K7" s="52">
        <f t="shared" ref="K7:L11" si="0">C7*$C$5+E7*$E$5+G7*$G$5+I7*$I$5</f>
        <v>591.975638</v>
      </c>
      <c r="L7" s="50">
        <f t="shared" si="0"/>
        <v>392.64271099999996</v>
      </c>
      <c r="N7" s="269" t="s">
        <v>289</v>
      </c>
      <c r="O7" s="134"/>
      <c r="P7" s="134"/>
      <c r="Q7" s="134"/>
      <c r="R7" s="134"/>
      <c r="S7" s="134"/>
      <c r="T7" s="134"/>
      <c r="U7" s="134"/>
      <c r="V7" s="134"/>
      <c r="W7" s="134"/>
      <c r="X7" s="134"/>
      <c r="Y7" s="134"/>
      <c r="Z7" s="134"/>
      <c r="AA7" s="134"/>
      <c r="AB7" s="134"/>
      <c r="AC7" s="134"/>
      <c r="AD7" s="134"/>
    </row>
    <row r="8" spans="2:30" x14ac:dyDescent="0.25">
      <c r="B8" s="19" t="s">
        <v>39</v>
      </c>
      <c r="C8" s="20">
        <v>0</v>
      </c>
      <c r="D8" s="20">
        <v>0</v>
      </c>
      <c r="E8" s="20">
        <v>0.8</v>
      </c>
      <c r="F8" s="20">
        <v>0.8</v>
      </c>
      <c r="G8" s="20">
        <v>8.1</v>
      </c>
      <c r="H8" s="20">
        <v>8.1</v>
      </c>
      <c r="I8" s="20">
        <v>0.4</v>
      </c>
      <c r="J8" s="317">
        <v>0.4</v>
      </c>
      <c r="K8" s="40">
        <f t="shared" si="0"/>
        <v>684.69712900000002</v>
      </c>
      <c r="L8" s="41">
        <f t="shared" si="0"/>
        <v>684.69712900000002</v>
      </c>
      <c r="N8" s="269" t="s">
        <v>290</v>
      </c>
      <c r="O8" s="134"/>
      <c r="P8" s="134"/>
      <c r="Q8" s="134"/>
      <c r="R8" s="134"/>
      <c r="S8" s="134"/>
      <c r="T8" s="134"/>
      <c r="U8" s="134"/>
      <c r="V8" s="134"/>
      <c r="W8" s="134"/>
      <c r="X8" s="134"/>
      <c r="Y8" s="134"/>
      <c r="Z8" s="134"/>
      <c r="AA8" s="134"/>
      <c r="AB8" s="134"/>
      <c r="AC8" s="134"/>
      <c r="AD8" s="134"/>
    </row>
    <row r="9" spans="2:30" ht="24" x14ac:dyDescent="0.25">
      <c r="B9" s="16" t="s">
        <v>40</v>
      </c>
      <c r="C9" s="17">
        <v>0</v>
      </c>
      <c r="D9" s="17">
        <v>0</v>
      </c>
      <c r="E9" s="17">
        <v>0.5</v>
      </c>
      <c r="F9" s="17">
        <v>0.5</v>
      </c>
      <c r="G9" s="17">
        <v>2</v>
      </c>
      <c r="H9" s="17">
        <v>2</v>
      </c>
      <c r="I9" s="17">
        <v>0.5</v>
      </c>
      <c r="J9" s="318">
        <v>0.5</v>
      </c>
      <c r="K9" s="52">
        <f t="shared" si="0"/>
        <v>210.36292499999999</v>
      </c>
      <c r="L9" s="50">
        <f t="shared" si="0"/>
        <v>210.36292499999999</v>
      </c>
      <c r="N9" s="269" t="s">
        <v>285</v>
      </c>
      <c r="O9" s="134"/>
      <c r="P9" s="134"/>
      <c r="Q9" s="134"/>
      <c r="R9" s="134"/>
      <c r="S9" s="134"/>
      <c r="T9" s="134"/>
      <c r="U9" s="134"/>
      <c r="V9" s="134"/>
      <c r="W9" s="134"/>
      <c r="X9" s="134"/>
      <c r="Y9" s="134"/>
      <c r="Z9" s="134"/>
      <c r="AA9" s="134"/>
      <c r="AB9" s="134"/>
      <c r="AC9" s="134"/>
      <c r="AD9" s="134"/>
    </row>
    <row r="10" spans="2:30" ht="60" x14ac:dyDescent="0.25">
      <c r="B10" s="19" t="s">
        <v>41</v>
      </c>
      <c r="C10" s="20">
        <v>0</v>
      </c>
      <c r="D10" s="20">
        <v>0</v>
      </c>
      <c r="E10" s="20">
        <v>0.2</v>
      </c>
      <c r="F10" s="20">
        <v>0.2</v>
      </c>
      <c r="G10" s="20">
        <v>1.6</v>
      </c>
      <c r="H10" s="20">
        <v>1.6</v>
      </c>
      <c r="I10" s="20">
        <v>0.1</v>
      </c>
      <c r="J10" s="317">
        <v>0.1</v>
      </c>
      <c r="K10" s="40">
        <f t="shared" si="0"/>
        <v>139.79780300000002</v>
      </c>
      <c r="L10" s="41">
        <f t="shared" si="0"/>
        <v>139.79780300000002</v>
      </c>
      <c r="N10" s="269" t="s">
        <v>291</v>
      </c>
      <c r="O10" s="134"/>
      <c r="P10" s="134"/>
      <c r="Q10" s="134"/>
      <c r="R10" s="134"/>
      <c r="S10" s="134"/>
      <c r="T10" s="134"/>
      <c r="U10" s="134"/>
      <c r="V10" s="134"/>
      <c r="W10" s="134"/>
      <c r="X10" s="134"/>
      <c r="Y10" s="134"/>
      <c r="Z10" s="134"/>
      <c r="AA10" s="134"/>
      <c r="AB10" s="134"/>
      <c r="AC10" s="134"/>
      <c r="AD10" s="134"/>
    </row>
    <row r="11" spans="2:30" x14ac:dyDescent="0.25">
      <c r="B11" s="307" t="s">
        <v>42</v>
      </c>
      <c r="C11" s="315">
        <v>0</v>
      </c>
      <c r="D11" s="316">
        <v>0</v>
      </c>
      <c r="E11" s="316">
        <v>1</v>
      </c>
      <c r="F11" s="316">
        <v>1</v>
      </c>
      <c r="G11" s="316">
        <v>4</v>
      </c>
      <c r="H11" s="316">
        <v>4</v>
      </c>
      <c r="I11" s="316">
        <v>1</v>
      </c>
      <c r="J11" s="316">
        <v>1</v>
      </c>
      <c r="K11" s="52">
        <f t="shared" si="0"/>
        <v>420.72584999999998</v>
      </c>
      <c r="L11" s="50">
        <f t="shared" si="0"/>
        <v>420.72584999999998</v>
      </c>
      <c r="N11" s="269" t="s">
        <v>292</v>
      </c>
      <c r="O11" s="134"/>
      <c r="P11" s="134"/>
      <c r="Q11" s="134"/>
      <c r="R11" s="134"/>
      <c r="S11" s="134"/>
      <c r="T11" s="134"/>
      <c r="U11" s="134"/>
      <c r="V11" s="134"/>
      <c r="W11" s="134"/>
      <c r="X11" s="134"/>
      <c r="Y11" s="134"/>
      <c r="Z11" s="134"/>
      <c r="AA11" s="134"/>
      <c r="AB11" s="134"/>
      <c r="AC11" s="134"/>
      <c r="AD11" s="134"/>
    </row>
    <row r="12" spans="2:30" ht="15.75" thickBot="1" x14ac:dyDescent="0.3">
      <c r="B12" s="44" t="s">
        <v>43</v>
      </c>
      <c r="C12" s="46">
        <f t="shared" ref="C12:L12" si="1">SUM(C7:C11)</f>
        <v>1</v>
      </c>
      <c r="D12" s="46">
        <f t="shared" si="1"/>
        <v>1</v>
      </c>
      <c r="E12" s="46">
        <f t="shared" si="1"/>
        <v>2.8</v>
      </c>
      <c r="F12" s="46">
        <f t="shared" si="1"/>
        <v>2.8</v>
      </c>
      <c r="G12" s="46">
        <f t="shared" si="1"/>
        <v>21.700000000000003</v>
      </c>
      <c r="H12" s="46">
        <f t="shared" si="1"/>
        <v>19</v>
      </c>
      <c r="I12" s="46">
        <f t="shared" si="1"/>
        <v>2.2000000000000002</v>
      </c>
      <c r="J12" s="46">
        <f t="shared" si="1"/>
        <v>2.2000000000000002</v>
      </c>
      <c r="K12" s="47">
        <f t="shared" si="1"/>
        <v>2047.5593449999999</v>
      </c>
      <c r="L12" s="48">
        <f t="shared" si="1"/>
        <v>1848.226418</v>
      </c>
      <c r="M12" s="53"/>
    </row>
    <row r="13" spans="2:30" ht="16.5" thickTop="1" thickBot="1" x14ac:dyDescent="0.3">
      <c r="E13" s="128"/>
      <c r="F13" s="128"/>
      <c r="G13" s="128"/>
      <c r="H13" s="128"/>
      <c r="I13" s="128"/>
      <c r="J13" s="128"/>
      <c r="K13" s="128"/>
      <c r="L13" s="128"/>
    </row>
    <row r="14" spans="2:30" ht="16.5" thickTop="1" thickBot="1" x14ac:dyDescent="0.3">
      <c r="B14" s="30" t="s">
        <v>44</v>
      </c>
      <c r="C14" s="31">
        <f t="shared" ref="C14:L14" si="2">C12</f>
        <v>1</v>
      </c>
      <c r="D14" s="31">
        <f t="shared" si="2"/>
        <v>1</v>
      </c>
      <c r="E14" s="31">
        <f t="shared" si="2"/>
        <v>2.8</v>
      </c>
      <c r="F14" s="31">
        <f t="shared" si="2"/>
        <v>2.8</v>
      </c>
      <c r="G14" s="31">
        <f t="shared" si="2"/>
        <v>21.700000000000003</v>
      </c>
      <c r="H14" s="31">
        <f t="shared" si="2"/>
        <v>19</v>
      </c>
      <c r="I14" s="31">
        <f t="shared" si="2"/>
        <v>2.2000000000000002</v>
      </c>
      <c r="J14" s="31">
        <f t="shared" si="2"/>
        <v>2.2000000000000002</v>
      </c>
      <c r="K14" s="119">
        <f t="shared" si="2"/>
        <v>2047.5593449999999</v>
      </c>
      <c r="L14" s="120">
        <f t="shared" si="2"/>
        <v>1848.226418</v>
      </c>
      <c r="M14" s="121"/>
    </row>
    <row r="15" spans="2:30" ht="15.75" thickTop="1" x14ac:dyDescent="0.25"/>
    <row r="16" spans="2:30" ht="15.75" thickBot="1" x14ac:dyDescent="0.3">
      <c r="B16" s="13" t="s">
        <v>202</v>
      </c>
    </row>
    <row r="17" spans="2:10" ht="39.75" customHeight="1" thickTop="1" x14ac:dyDescent="0.25">
      <c r="B17" s="993" t="s">
        <v>28</v>
      </c>
      <c r="C17" s="995" t="s">
        <v>45</v>
      </c>
      <c r="D17" s="996"/>
      <c r="E17" s="996"/>
      <c r="F17" s="997"/>
      <c r="G17" s="998" t="s">
        <v>133</v>
      </c>
      <c r="H17" s="999"/>
    </row>
    <row r="18" spans="2:10" ht="60" x14ac:dyDescent="0.25">
      <c r="B18" s="994"/>
      <c r="C18" s="14" t="s">
        <v>134</v>
      </c>
      <c r="D18" s="14" t="s">
        <v>46</v>
      </c>
      <c r="E18" s="14" t="s">
        <v>135</v>
      </c>
      <c r="F18" s="14" t="s">
        <v>136</v>
      </c>
      <c r="G18" s="14" t="s">
        <v>3</v>
      </c>
      <c r="H18" s="15" t="s">
        <v>47</v>
      </c>
    </row>
    <row r="19" spans="2:10" ht="48" x14ac:dyDescent="0.25">
      <c r="B19" s="16" t="s">
        <v>48</v>
      </c>
      <c r="C19" s="17" t="s">
        <v>49</v>
      </c>
      <c r="D19" s="17"/>
      <c r="E19" s="17" t="s">
        <v>49</v>
      </c>
      <c r="F19" s="17" t="s">
        <v>49</v>
      </c>
      <c r="G19" s="17" t="s">
        <v>49</v>
      </c>
      <c r="H19" s="18" t="s">
        <v>49</v>
      </c>
    </row>
    <row r="20" spans="2:10" ht="24" x14ac:dyDescent="0.25">
      <c r="B20" s="19" t="s">
        <v>50</v>
      </c>
      <c r="C20" s="20" t="s">
        <v>49</v>
      </c>
      <c r="D20" s="21"/>
      <c r="E20" s="20" t="s">
        <v>49</v>
      </c>
      <c r="F20" s="20" t="s">
        <v>49</v>
      </c>
      <c r="G20" s="20" t="s">
        <v>49</v>
      </c>
      <c r="H20" s="22" t="s">
        <v>49</v>
      </c>
    </row>
    <row r="21" spans="2:10" ht="24" x14ac:dyDescent="0.25">
      <c r="B21" s="16" t="s">
        <v>40</v>
      </c>
      <c r="C21" s="23">
        <v>0</v>
      </c>
      <c r="D21" s="17"/>
      <c r="E21" s="23">
        <v>0</v>
      </c>
      <c r="F21" s="23">
        <f>50*Inflation</f>
        <v>62.378854625550659</v>
      </c>
      <c r="G21" s="23">
        <f>50*Inflation</f>
        <v>62.378854625550659</v>
      </c>
      <c r="H21" s="24">
        <f>50*Inflation</f>
        <v>62.378854625550659</v>
      </c>
      <c r="I21" s="269" t="s">
        <v>216</v>
      </c>
    </row>
    <row r="22" spans="2:10" x14ac:dyDescent="0.25">
      <c r="B22" s="19" t="s">
        <v>51</v>
      </c>
      <c r="C22" s="20" t="s">
        <v>49</v>
      </c>
      <c r="D22" s="21"/>
      <c r="E22" s="20" t="s">
        <v>49</v>
      </c>
      <c r="F22" s="20" t="s">
        <v>49</v>
      </c>
      <c r="G22" s="20" t="s">
        <v>49</v>
      </c>
      <c r="H22" s="22" t="s">
        <v>49</v>
      </c>
    </row>
    <row r="23" spans="2:10" ht="48" x14ac:dyDescent="0.25">
      <c r="B23" s="16" t="s">
        <v>52</v>
      </c>
      <c r="C23" s="17" t="s">
        <v>49</v>
      </c>
      <c r="D23" s="17"/>
      <c r="E23" s="17" t="s">
        <v>49</v>
      </c>
      <c r="F23" s="17" t="s">
        <v>49</v>
      </c>
      <c r="G23" s="17" t="s">
        <v>49</v>
      </c>
      <c r="H23" s="18" t="s">
        <v>49</v>
      </c>
    </row>
    <row r="24" spans="2:10" ht="15.75" thickBot="1" x14ac:dyDescent="0.3">
      <c r="B24" s="25" t="s">
        <v>43</v>
      </c>
      <c r="C24" s="26">
        <v>0</v>
      </c>
      <c r="D24" s="27"/>
      <c r="E24" s="26">
        <v>0</v>
      </c>
      <c r="F24" s="26">
        <f>50*Inflation</f>
        <v>62.378854625550659</v>
      </c>
      <c r="G24" s="26">
        <f>50*Inflation</f>
        <v>62.378854625550659</v>
      </c>
      <c r="H24" s="28">
        <f>50*Inflation</f>
        <v>62.378854625550659</v>
      </c>
    </row>
    <row r="25" spans="2:10" ht="16.5" thickTop="1" thickBot="1" x14ac:dyDescent="0.3">
      <c r="B25" s="29"/>
    </row>
    <row r="26" spans="2:10" ht="16.5" thickTop="1" thickBot="1" x14ac:dyDescent="0.3">
      <c r="B26" s="30" t="s">
        <v>53</v>
      </c>
      <c r="C26" s="31"/>
      <c r="D26" s="31"/>
      <c r="E26" s="31"/>
      <c r="F26" s="31"/>
      <c r="G26" s="32">
        <f>G24</f>
        <v>62.378854625550659</v>
      </c>
      <c r="H26" s="33">
        <f>H24</f>
        <v>62.378854625550659</v>
      </c>
    </row>
    <row r="27" spans="2:10" ht="16.5" thickTop="1" thickBot="1" x14ac:dyDescent="0.3"/>
    <row r="28" spans="2:10" ht="73.5" thickTop="1" thickBot="1" x14ac:dyDescent="0.3">
      <c r="B28" s="34" t="s">
        <v>54</v>
      </c>
      <c r="C28" s="31"/>
      <c r="D28" s="31"/>
      <c r="E28" s="31"/>
      <c r="F28" s="31"/>
      <c r="G28" s="32">
        <f>K14+G26</f>
        <v>2109.9381996255506</v>
      </c>
      <c r="H28" s="33">
        <f>L14+H26</f>
        <v>1910.6052726255507</v>
      </c>
      <c r="J28" s="122"/>
    </row>
    <row r="29" spans="2:10" ht="15.75" thickTop="1" x14ac:dyDescent="0.25">
      <c r="B29" s="35" t="s">
        <v>191</v>
      </c>
    </row>
    <row r="30" spans="2:10" ht="15.75" thickBot="1" x14ac:dyDescent="0.3"/>
    <row r="31" spans="2:10" ht="15.75" thickTop="1" x14ac:dyDescent="0.25">
      <c r="B31" s="989" t="s">
        <v>152</v>
      </c>
      <c r="C31" s="990"/>
      <c r="D31" s="991"/>
      <c r="E31" s="167"/>
      <c r="F31" s="989" t="s">
        <v>154</v>
      </c>
      <c r="G31" s="991"/>
    </row>
    <row r="32" spans="2:10" ht="24" x14ac:dyDescent="0.25">
      <c r="B32" s="164" t="s">
        <v>57</v>
      </c>
      <c r="C32" s="14" t="s">
        <v>3</v>
      </c>
      <c r="D32" s="15" t="s">
        <v>47</v>
      </c>
      <c r="F32" s="168" t="s">
        <v>3</v>
      </c>
      <c r="G32" s="169" t="s">
        <v>47</v>
      </c>
      <c r="I32" s="271"/>
    </row>
    <row r="33" spans="2:9" ht="15.75" thickBot="1" x14ac:dyDescent="0.3">
      <c r="B33" s="283">
        <v>6</v>
      </c>
      <c r="C33" s="284">
        <f>K14*$B$33</f>
        <v>12285.35607</v>
      </c>
      <c r="D33" s="300">
        <f>L14*$B$33</f>
        <v>11089.358507999999</v>
      </c>
      <c r="F33" s="287">
        <f>B33*G26</f>
        <v>374.27312775330392</v>
      </c>
      <c r="G33" s="288">
        <f>B33*H26</f>
        <v>374.27312775330392</v>
      </c>
      <c r="I33" s="275" t="s">
        <v>1180</v>
      </c>
    </row>
    <row r="34" spans="2:9" ht="15.75" thickTop="1" x14ac:dyDescent="0.25">
      <c r="B34" s="165" t="s">
        <v>58</v>
      </c>
      <c r="C34" s="166"/>
      <c r="D34" s="166"/>
      <c r="E34" s="166"/>
      <c r="I34" s="275"/>
    </row>
    <row r="35" spans="2:9" x14ac:dyDescent="0.25">
      <c r="B35" s="992" t="s">
        <v>153</v>
      </c>
      <c r="C35" s="992"/>
      <c r="D35" s="992"/>
      <c r="E35" s="992"/>
      <c r="I35" s="275"/>
    </row>
    <row r="37" spans="2:9" x14ac:dyDescent="0.25">
      <c r="B37" s="346" t="s">
        <v>349</v>
      </c>
    </row>
  </sheetData>
  <mergeCells count="20">
    <mergeCell ref="B31:D31"/>
    <mergeCell ref="F31:G31"/>
    <mergeCell ref="B35:E35"/>
    <mergeCell ref="G5:H5"/>
    <mergeCell ref="I5:J5"/>
    <mergeCell ref="N3:AD3"/>
    <mergeCell ref="K5:L5"/>
    <mergeCell ref="B17:B18"/>
    <mergeCell ref="C17:F17"/>
    <mergeCell ref="G17:H17"/>
    <mergeCell ref="B3:B6"/>
    <mergeCell ref="C3:J3"/>
    <mergeCell ref="K3:L3"/>
    <mergeCell ref="C4:D4"/>
    <mergeCell ref="E4:F4"/>
    <mergeCell ref="G4:H4"/>
    <mergeCell ref="I4:J4"/>
    <mergeCell ref="K4:L4"/>
    <mergeCell ref="C5:D5"/>
    <mergeCell ref="E5:F5"/>
  </mergeCells>
  <hyperlinks>
    <hyperlink ref="B37" location="'Table of Contents'!A1" display="Table of Contents" xr:uid="{6D60F191-D516-4069-88FF-B6AC3653CC6D}"/>
  </hyperlinks>
  <pageMargins left="0.7" right="0.7" top="0.75" bottom="0.75" header="0.3" footer="0.3"/>
  <pageSetup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53CBB-D672-4D1F-A104-C92DEC1CD140}">
  <sheetPr codeName="Sheet16"/>
  <dimension ref="B1:AD37"/>
  <sheetViews>
    <sheetView topLeftCell="A21" zoomScale="95" zoomScaleNormal="95" workbookViewId="0">
      <selection activeCell="R6" sqref="R6"/>
    </sheetView>
  </sheetViews>
  <sheetFormatPr defaultRowHeight="15" x14ac:dyDescent="0.25"/>
  <cols>
    <col min="5" max="5" width="11.140625" customWidth="1"/>
    <col min="6" max="6" width="11.28515625" customWidth="1"/>
  </cols>
  <sheetData>
    <row r="1" spans="2:30" x14ac:dyDescent="0.25">
      <c r="B1" s="709" t="s">
        <v>978</v>
      </c>
      <c r="N1" s="276" t="s">
        <v>281</v>
      </c>
      <c r="O1" s="134"/>
      <c r="P1" s="134"/>
      <c r="Q1" s="134"/>
      <c r="R1" s="134"/>
      <c r="S1" s="134"/>
      <c r="T1" s="134"/>
      <c r="U1" s="134"/>
      <c r="V1" s="134"/>
      <c r="W1" s="134"/>
      <c r="X1" s="134"/>
      <c r="Y1" s="134"/>
      <c r="Z1" s="134"/>
      <c r="AA1" s="134"/>
      <c r="AB1" s="134"/>
      <c r="AC1" s="134"/>
      <c r="AD1" s="134"/>
    </row>
    <row r="2" spans="2:30" ht="28.5" customHeight="1" thickBot="1" x14ac:dyDescent="0.3">
      <c r="B2" s="13" t="s">
        <v>199</v>
      </c>
      <c r="M2" s="250"/>
      <c r="N2" s="1024" t="s">
        <v>1156</v>
      </c>
      <c r="O2" s="1024"/>
      <c r="P2" s="1024"/>
      <c r="Q2" s="1024"/>
      <c r="R2" s="1024"/>
      <c r="S2" s="1024"/>
      <c r="T2" s="1024"/>
      <c r="U2" s="1024"/>
      <c r="V2" s="1024"/>
      <c r="W2" s="1024"/>
      <c r="X2" s="1024"/>
      <c r="Y2" s="1024"/>
      <c r="Z2" s="1024"/>
      <c r="AA2" s="1024"/>
      <c r="AB2" s="1024"/>
      <c r="AC2" s="1024"/>
      <c r="AD2" s="1024"/>
    </row>
    <row r="3" spans="2:30" ht="29.25" customHeight="1" thickTop="1" x14ac:dyDescent="0.25">
      <c r="B3" s="993" t="s">
        <v>28</v>
      </c>
      <c r="C3" s="995" t="s">
        <v>29</v>
      </c>
      <c r="D3" s="996"/>
      <c r="E3" s="996"/>
      <c r="F3" s="996"/>
      <c r="G3" s="996"/>
      <c r="H3" s="996"/>
      <c r="I3" s="996"/>
      <c r="J3" s="997"/>
      <c r="K3" s="1001" t="s">
        <v>30</v>
      </c>
      <c r="L3" s="1002"/>
      <c r="M3" s="263"/>
      <c r="N3" s="1024" t="s">
        <v>1155</v>
      </c>
      <c r="O3" s="1024"/>
      <c r="P3" s="1024"/>
      <c r="Q3" s="1024"/>
      <c r="R3" s="1024"/>
      <c r="S3" s="1024"/>
      <c r="T3" s="1024"/>
      <c r="U3" s="1024"/>
      <c r="V3" s="1024"/>
      <c r="W3" s="1024"/>
      <c r="X3" s="1024"/>
      <c r="Y3" s="1024"/>
      <c r="Z3" s="1024"/>
      <c r="AA3" s="1024"/>
      <c r="AB3" s="1024"/>
      <c r="AC3" s="1024"/>
      <c r="AD3" s="1024"/>
    </row>
    <row r="4" spans="2:30" ht="26.25" customHeight="1" x14ac:dyDescent="0.25">
      <c r="B4" s="1000"/>
      <c r="C4" s="1003" t="s">
        <v>31</v>
      </c>
      <c r="D4" s="1004"/>
      <c r="E4" s="1003" t="s">
        <v>32</v>
      </c>
      <c r="F4" s="1004"/>
      <c r="G4" s="1005" t="s">
        <v>33</v>
      </c>
      <c r="H4" s="1006"/>
      <c r="I4" s="1005" t="s">
        <v>34</v>
      </c>
      <c r="J4" s="1006"/>
      <c r="K4" s="1007" t="s">
        <v>132</v>
      </c>
      <c r="L4" s="1008"/>
      <c r="M4" s="263"/>
      <c r="N4" s="1024"/>
      <c r="O4" s="1024"/>
      <c r="P4" s="1024"/>
      <c r="Q4" s="1024"/>
      <c r="R4" s="1024"/>
      <c r="S4" s="1024"/>
      <c r="T4" s="1024"/>
      <c r="U4" s="1024"/>
      <c r="V4" s="1024"/>
      <c r="W4" s="1024"/>
      <c r="X4" s="1024"/>
      <c r="Y4" s="1024"/>
      <c r="Z4" s="1024"/>
      <c r="AA4" s="1024"/>
      <c r="AB4" s="1024"/>
      <c r="AC4" s="1024"/>
      <c r="AD4" s="1024"/>
    </row>
    <row r="5" spans="2:30" x14ac:dyDescent="0.25">
      <c r="B5" s="1000"/>
      <c r="C5" s="1009">
        <f>Lawyer</f>
        <v>114.79721000000001</v>
      </c>
      <c r="D5" s="1010"/>
      <c r="E5" s="1011">
        <f>Manager</f>
        <v>91.328059999999994</v>
      </c>
      <c r="F5" s="1010"/>
      <c r="G5" s="1011">
        <f>Tech</f>
        <v>73.827010000000001</v>
      </c>
      <c r="H5" s="1010"/>
      <c r="I5" s="1011">
        <f>Admin</f>
        <v>34.089750000000002</v>
      </c>
      <c r="J5" s="1010"/>
      <c r="K5" s="1012"/>
      <c r="L5" s="1013"/>
      <c r="M5" s="265"/>
      <c r="N5" s="134"/>
      <c r="O5" s="134"/>
      <c r="P5" s="134"/>
      <c r="Q5" s="134"/>
      <c r="R5" s="134"/>
      <c r="S5" s="134"/>
      <c r="T5" s="134"/>
      <c r="U5" s="134"/>
      <c r="V5" s="134"/>
      <c r="W5" s="134"/>
      <c r="X5" s="134"/>
      <c r="Y5" s="134"/>
      <c r="Z5" s="134"/>
      <c r="AA5" s="134"/>
      <c r="AB5" s="134"/>
      <c r="AC5" s="134"/>
      <c r="AD5" s="134"/>
    </row>
    <row r="6" spans="2:30" ht="36" x14ac:dyDescent="0.25">
      <c r="B6" s="994"/>
      <c r="C6" s="306" t="s">
        <v>35</v>
      </c>
      <c r="D6" s="303" t="s">
        <v>36</v>
      </c>
      <c r="E6" s="303" t="s">
        <v>35</v>
      </c>
      <c r="F6" s="303" t="s">
        <v>36</v>
      </c>
      <c r="G6" s="303" t="s">
        <v>35</v>
      </c>
      <c r="H6" s="303" t="s">
        <v>36</v>
      </c>
      <c r="I6" s="303" t="s">
        <v>35</v>
      </c>
      <c r="J6" s="303" t="s">
        <v>36</v>
      </c>
      <c r="K6" s="14" t="s">
        <v>3</v>
      </c>
      <c r="L6" s="15" t="s">
        <v>37</v>
      </c>
      <c r="M6" s="266"/>
      <c r="N6" s="134"/>
      <c r="O6" s="134"/>
      <c r="P6" s="134"/>
      <c r="Q6" s="134"/>
      <c r="R6" s="134"/>
      <c r="S6" s="134"/>
      <c r="T6" s="134"/>
      <c r="U6" s="134"/>
      <c r="V6" s="134"/>
      <c r="W6" s="134"/>
      <c r="X6" s="134"/>
      <c r="Y6" s="134"/>
      <c r="Z6" s="134"/>
      <c r="AA6" s="134"/>
      <c r="AB6" s="134"/>
      <c r="AC6" s="134"/>
      <c r="AD6" s="134"/>
    </row>
    <row r="7" spans="2:30" x14ac:dyDescent="0.25">
      <c r="B7" s="323" t="s">
        <v>38</v>
      </c>
      <c r="C7" s="17">
        <v>1</v>
      </c>
      <c r="D7" s="17">
        <v>1</v>
      </c>
      <c r="E7" s="17">
        <v>0.4</v>
      </c>
      <c r="F7" s="17">
        <v>0.4</v>
      </c>
      <c r="G7" s="17">
        <v>6</v>
      </c>
      <c r="H7" s="17">
        <v>4</v>
      </c>
      <c r="I7" s="17">
        <v>0.2</v>
      </c>
      <c r="J7" s="315">
        <v>0.2</v>
      </c>
      <c r="K7" s="52">
        <f t="shared" ref="K7:L11" si="0">C7*$C$5+E7*$E$5+G7*$G$5+I7*$I$5</f>
        <v>601.10844400000008</v>
      </c>
      <c r="L7" s="50">
        <f t="shared" si="0"/>
        <v>453.45442400000002</v>
      </c>
      <c r="M7" s="233"/>
      <c r="N7" s="269" t="s">
        <v>283</v>
      </c>
      <c r="O7" s="134"/>
      <c r="P7" s="134"/>
      <c r="Q7" s="134"/>
      <c r="R7" s="134"/>
      <c r="S7" s="134"/>
      <c r="T7" s="134"/>
      <c r="U7" s="134"/>
      <c r="V7" s="134"/>
      <c r="W7" s="134"/>
      <c r="X7" s="134"/>
      <c r="Y7" s="134"/>
      <c r="Z7" s="134"/>
      <c r="AA7" s="134"/>
      <c r="AB7" s="134"/>
      <c r="AC7" s="134"/>
      <c r="AD7" s="134"/>
    </row>
    <row r="8" spans="2:30" x14ac:dyDescent="0.25">
      <c r="B8" s="19" t="s">
        <v>39</v>
      </c>
      <c r="C8" s="20">
        <v>1</v>
      </c>
      <c r="D8" s="20">
        <v>1</v>
      </c>
      <c r="E8" s="20">
        <v>0.2</v>
      </c>
      <c r="F8" s="20">
        <v>0.2</v>
      </c>
      <c r="G8" s="20">
        <v>2</v>
      </c>
      <c r="H8" s="20">
        <v>2</v>
      </c>
      <c r="I8" s="20">
        <v>0.1</v>
      </c>
      <c r="J8" s="317">
        <v>0.1</v>
      </c>
      <c r="K8" s="40">
        <f t="shared" si="0"/>
        <v>284.12581700000004</v>
      </c>
      <c r="L8" s="41">
        <f t="shared" si="0"/>
        <v>284.12581700000004</v>
      </c>
      <c r="M8" s="277"/>
      <c r="N8" s="269" t="s">
        <v>284</v>
      </c>
      <c r="O8" s="134"/>
      <c r="P8" s="134"/>
      <c r="Q8" s="134"/>
      <c r="R8" s="134"/>
      <c r="S8" s="134"/>
      <c r="T8" s="134"/>
      <c r="U8" s="134"/>
      <c r="V8" s="134"/>
      <c r="W8" s="134"/>
      <c r="X8" s="134"/>
      <c r="Y8" s="134"/>
      <c r="Z8" s="134"/>
      <c r="AA8" s="134"/>
      <c r="AB8" s="134"/>
      <c r="AC8" s="134"/>
      <c r="AD8" s="134"/>
    </row>
    <row r="9" spans="2:30" ht="24" x14ac:dyDescent="0.25">
      <c r="B9" s="16" t="s">
        <v>40</v>
      </c>
      <c r="C9" s="17">
        <v>0</v>
      </c>
      <c r="D9" s="17">
        <v>0</v>
      </c>
      <c r="E9" s="17">
        <v>0.5</v>
      </c>
      <c r="F9" s="17">
        <v>0.5</v>
      </c>
      <c r="G9" s="17">
        <v>5</v>
      </c>
      <c r="H9" s="17">
        <v>5</v>
      </c>
      <c r="I9" s="17">
        <v>0.5</v>
      </c>
      <c r="J9" s="318">
        <v>0.5</v>
      </c>
      <c r="K9" s="52">
        <f t="shared" si="0"/>
        <v>431.84395499999999</v>
      </c>
      <c r="L9" s="50">
        <f t="shared" si="0"/>
        <v>431.84395499999999</v>
      </c>
      <c r="M9" s="233"/>
      <c r="N9" s="269" t="s">
        <v>285</v>
      </c>
      <c r="O9" s="134"/>
      <c r="P9" s="134"/>
      <c r="Q9" s="134"/>
      <c r="R9" s="134"/>
      <c r="S9" s="134"/>
      <c r="T9" s="134"/>
      <c r="U9" s="134"/>
      <c r="V9" s="134"/>
      <c r="W9" s="134"/>
      <c r="X9" s="134"/>
      <c r="Y9" s="134"/>
      <c r="Z9" s="134"/>
      <c r="AA9" s="134"/>
      <c r="AB9" s="134"/>
      <c r="AC9" s="134"/>
      <c r="AD9" s="134"/>
    </row>
    <row r="10" spans="2:30" ht="60" x14ac:dyDescent="0.25">
      <c r="B10" s="19" t="s">
        <v>41</v>
      </c>
      <c r="C10" s="334">
        <v>0</v>
      </c>
      <c r="D10" s="341">
        <v>0</v>
      </c>
      <c r="E10" s="341">
        <v>0.1</v>
      </c>
      <c r="F10" s="341">
        <v>0.1</v>
      </c>
      <c r="G10" s="341">
        <v>1</v>
      </c>
      <c r="H10" s="341">
        <v>1</v>
      </c>
      <c r="I10" s="341">
        <v>0.1</v>
      </c>
      <c r="J10" s="341">
        <v>0.1</v>
      </c>
      <c r="K10" s="40">
        <f t="shared" si="0"/>
        <v>86.368791000000002</v>
      </c>
      <c r="L10" s="41">
        <f t="shared" si="0"/>
        <v>86.368791000000002</v>
      </c>
      <c r="M10" s="268"/>
      <c r="N10" s="269" t="s">
        <v>293</v>
      </c>
      <c r="O10" s="134"/>
      <c r="P10" s="134"/>
      <c r="Q10" s="134"/>
      <c r="R10" s="134"/>
      <c r="S10" s="134"/>
      <c r="T10" s="134"/>
      <c r="U10" s="134"/>
      <c r="V10" s="134"/>
      <c r="W10" s="134"/>
      <c r="X10" s="134"/>
      <c r="Y10" s="134"/>
      <c r="Z10" s="134"/>
      <c r="AA10" s="134"/>
      <c r="AB10" s="134"/>
      <c r="AC10" s="134"/>
      <c r="AD10" s="134"/>
    </row>
    <row r="11" spans="2:30" x14ac:dyDescent="0.25">
      <c r="B11" s="16" t="s">
        <v>42</v>
      </c>
      <c r="C11" s="318">
        <v>0</v>
      </c>
      <c r="D11" s="17">
        <v>0</v>
      </c>
      <c r="E11" s="17">
        <v>1</v>
      </c>
      <c r="F11" s="17">
        <v>1</v>
      </c>
      <c r="G11" s="17">
        <v>10</v>
      </c>
      <c r="H11" s="17">
        <v>10</v>
      </c>
      <c r="I11" s="17">
        <v>1</v>
      </c>
      <c r="J11" s="17">
        <v>1</v>
      </c>
      <c r="K11" s="52">
        <f t="shared" si="0"/>
        <v>863.68790999999999</v>
      </c>
      <c r="L11" s="50">
        <f t="shared" si="0"/>
        <v>863.68790999999999</v>
      </c>
      <c r="M11" s="267"/>
      <c r="N11" s="269" t="s">
        <v>287</v>
      </c>
      <c r="O11" s="134"/>
      <c r="P11" s="134"/>
      <c r="Q11" s="134"/>
      <c r="R11" s="134"/>
      <c r="S11" s="134"/>
      <c r="T11" s="134"/>
      <c r="U11" s="134"/>
      <c r="V11" s="134"/>
      <c r="W11" s="134"/>
      <c r="X11" s="134"/>
      <c r="Y11" s="134"/>
      <c r="Z11" s="134"/>
      <c r="AA11" s="134"/>
      <c r="AB11" s="134"/>
      <c r="AC11" s="134"/>
      <c r="AD11" s="134"/>
    </row>
    <row r="12" spans="2:30" ht="15.75" thickBot="1" x14ac:dyDescent="0.3">
      <c r="B12" s="44" t="s">
        <v>43</v>
      </c>
      <c r="C12" s="46">
        <f t="shared" ref="C12:L12" si="1">SUM(C7:C11)</f>
        <v>2</v>
      </c>
      <c r="D12" s="46">
        <f t="shared" si="1"/>
        <v>2</v>
      </c>
      <c r="E12" s="46">
        <f t="shared" si="1"/>
        <v>2.2000000000000002</v>
      </c>
      <c r="F12" s="46">
        <f t="shared" si="1"/>
        <v>2.2000000000000002</v>
      </c>
      <c r="G12" s="46">
        <f t="shared" si="1"/>
        <v>24</v>
      </c>
      <c r="H12" s="46">
        <f t="shared" si="1"/>
        <v>22</v>
      </c>
      <c r="I12" s="46">
        <f t="shared" si="1"/>
        <v>1.9</v>
      </c>
      <c r="J12" s="46">
        <f t="shared" si="1"/>
        <v>1.9</v>
      </c>
      <c r="K12" s="47">
        <f t="shared" si="1"/>
        <v>2267.1349170000003</v>
      </c>
      <c r="L12" s="48">
        <f t="shared" si="1"/>
        <v>2119.4808970000004</v>
      </c>
      <c r="M12" s="270"/>
      <c r="N12" s="53"/>
    </row>
    <row r="13" spans="2:30" ht="16.5" thickTop="1" thickBot="1" x14ac:dyDescent="0.3">
      <c r="E13" s="128"/>
      <c r="F13" s="128"/>
      <c r="G13" s="128"/>
      <c r="H13" s="128"/>
      <c r="I13" s="128"/>
      <c r="J13" s="128"/>
      <c r="K13" s="128"/>
      <c r="L13" s="128"/>
      <c r="M13" s="128"/>
    </row>
    <row r="14" spans="2:30" ht="16.5" thickTop="1" thickBot="1" x14ac:dyDescent="0.3">
      <c r="B14" s="30" t="s">
        <v>44</v>
      </c>
      <c r="C14" s="31">
        <f t="shared" ref="C14:L14" si="2">C12</f>
        <v>2</v>
      </c>
      <c r="D14" s="31">
        <f t="shared" si="2"/>
        <v>2</v>
      </c>
      <c r="E14" s="31">
        <f t="shared" si="2"/>
        <v>2.2000000000000002</v>
      </c>
      <c r="F14" s="31">
        <f t="shared" si="2"/>
        <v>2.2000000000000002</v>
      </c>
      <c r="G14" s="31">
        <f t="shared" si="2"/>
        <v>24</v>
      </c>
      <c r="H14" s="31">
        <f t="shared" si="2"/>
        <v>22</v>
      </c>
      <c r="I14" s="31">
        <f t="shared" si="2"/>
        <v>1.9</v>
      </c>
      <c r="J14" s="31">
        <f t="shared" si="2"/>
        <v>1.9</v>
      </c>
      <c r="K14" s="119">
        <f t="shared" si="2"/>
        <v>2267.1349170000003</v>
      </c>
      <c r="L14" s="120">
        <f t="shared" si="2"/>
        <v>2119.4808970000004</v>
      </c>
      <c r="M14" s="270"/>
      <c r="N14" s="273"/>
    </row>
    <row r="15" spans="2:30" ht="15.75" thickTop="1" x14ac:dyDescent="0.25"/>
    <row r="16" spans="2:30" ht="15.75" thickBot="1" x14ac:dyDescent="0.3">
      <c r="B16" s="13" t="s">
        <v>190</v>
      </c>
    </row>
    <row r="17" spans="2:10" ht="15.75" customHeight="1" thickTop="1" x14ac:dyDescent="0.25">
      <c r="B17" s="993" t="s">
        <v>28</v>
      </c>
      <c r="C17" s="995" t="s">
        <v>45</v>
      </c>
      <c r="D17" s="996"/>
      <c r="E17" s="996"/>
      <c r="F17" s="997"/>
      <c r="G17" s="998" t="s">
        <v>133</v>
      </c>
      <c r="H17" s="999"/>
    </row>
    <row r="18" spans="2:10" ht="36" x14ac:dyDescent="0.25">
      <c r="B18" s="994"/>
      <c r="C18" s="14" t="s">
        <v>134</v>
      </c>
      <c r="D18" s="14" t="s">
        <v>46</v>
      </c>
      <c r="E18" s="14" t="s">
        <v>135</v>
      </c>
      <c r="F18" s="14" t="s">
        <v>136</v>
      </c>
      <c r="G18" s="14" t="s">
        <v>3</v>
      </c>
      <c r="H18" s="15" t="s">
        <v>47</v>
      </c>
    </row>
    <row r="19" spans="2:10" ht="48" x14ac:dyDescent="0.25">
      <c r="B19" s="16" t="s">
        <v>48</v>
      </c>
      <c r="C19" s="17" t="s">
        <v>49</v>
      </c>
      <c r="D19" s="17"/>
      <c r="E19" s="17" t="s">
        <v>49</v>
      </c>
      <c r="F19" s="17" t="s">
        <v>49</v>
      </c>
      <c r="G19" s="17" t="s">
        <v>49</v>
      </c>
      <c r="H19" s="18" t="s">
        <v>49</v>
      </c>
    </row>
    <row r="20" spans="2:10" ht="24" x14ac:dyDescent="0.25">
      <c r="B20" s="19" t="s">
        <v>50</v>
      </c>
      <c r="C20" s="20" t="s">
        <v>49</v>
      </c>
      <c r="D20" s="21"/>
      <c r="E20" s="20" t="s">
        <v>49</v>
      </c>
      <c r="F20" s="20" t="s">
        <v>49</v>
      </c>
      <c r="G20" s="20" t="s">
        <v>49</v>
      </c>
      <c r="H20" s="246" t="s">
        <v>49</v>
      </c>
    </row>
    <row r="21" spans="2:10" ht="24" x14ac:dyDescent="0.25">
      <c r="B21" s="16" t="s">
        <v>40</v>
      </c>
      <c r="C21" s="23">
        <v>0</v>
      </c>
      <c r="D21" s="17"/>
      <c r="E21" s="23">
        <v>0</v>
      </c>
      <c r="F21" s="23">
        <f>50*Inflation</f>
        <v>62.378854625550659</v>
      </c>
      <c r="G21" s="243">
        <f>50*Inflation</f>
        <v>62.378854625550659</v>
      </c>
      <c r="H21" s="247">
        <f>50*Inflation</f>
        <v>62.378854625550659</v>
      </c>
      <c r="I21" s="269" t="s">
        <v>216</v>
      </c>
    </row>
    <row r="22" spans="2:10" x14ac:dyDescent="0.25">
      <c r="B22" s="19" t="s">
        <v>51</v>
      </c>
      <c r="C22" s="20" t="s">
        <v>49</v>
      </c>
      <c r="D22" s="21"/>
      <c r="E22" s="20" t="s">
        <v>49</v>
      </c>
      <c r="F22" s="20" t="s">
        <v>49</v>
      </c>
      <c r="G22" s="244" t="s">
        <v>49</v>
      </c>
      <c r="H22" s="248" t="s">
        <v>49</v>
      </c>
    </row>
    <row r="23" spans="2:10" ht="48" x14ac:dyDescent="0.25">
      <c r="B23" s="16" t="s">
        <v>52</v>
      </c>
      <c r="C23" s="17" t="s">
        <v>49</v>
      </c>
      <c r="D23" s="17"/>
      <c r="E23" s="17" t="s">
        <v>49</v>
      </c>
      <c r="F23" s="17" t="s">
        <v>49</v>
      </c>
      <c r="G23" s="245" t="s">
        <v>49</v>
      </c>
      <c r="H23" s="249" t="s">
        <v>49</v>
      </c>
      <c r="I23" s="240"/>
    </row>
    <row r="24" spans="2:10" ht="15.75" thickBot="1" x14ac:dyDescent="0.3">
      <c r="B24" s="25" t="s">
        <v>43</v>
      </c>
      <c r="C24" s="26">
        <v>0</v>
      </c>
      <c r="D24" s="27"/>
      <c r="E24" s="26">
        <v>0</v>
      </c>
      <c r="F24" s="26">
        <f>50*Inflation</f>
        <v>62.378854625550659</v>
      </c>
      <c r="G24" s="26">
        <f>50*Inflation</f>
        <v>62.378854625550659</v>
      </c>
      <c r="H24" s="28">
        <f>50*Inflation</f>
        <v>62.378854625550659</v>
      </c>
    </row>
    <row r="25" spans="2:10" ht="16.5" thickTop="1" thickBot="1" x14ac:dyDescent="0.3">
      <c r="B25" s="29"/>
    </row>
    <row r="26" spans="2:10" ht="16.5" thickTop="1" thickBot="1" x14ac:dyDescent="0.3">
      <c r="B26" s="30" t="s">
        <v>53</v>
      </c>
      <c r="C26" s="31"/>
      <c r="D26" s="31"/>
      <c r="E26" s="31"/>
      <c r="F26" s="31"/>
      <c r="G26" s="32">
        <f>G24</f>
        <v>62.378854625550659</v>
      </c>
      <c r="H26" s="33">
        <f>H24</f>
        <v>62.378854625550659</v>
      </c>
    </row>
    <row r="27" spans="2:10" ht="16.5" thickTop="1" thickBot="1" x14ac:dyDescent="0.3"/>
    <row r="28" spans="2:10" ht="73.5" thickTop="1" thickBot="1" x14ac:dyDescent="0.3">
      <c r="B28" s="34" t="s">
        <v>54</v>
      </c>
      <c r="C28" s="31"/>
      <c r="D28" s="31"/>
      <c r="E28" s="31"/>
      <c r="F28" s="31"/>
      <c r="G28" s="32">
        <f>K14+G26</f>
        <v>2329.5137716255508</v>
      </c>
      <c r="H28" s="33">
        <f>L14+H26</f>
        <v>2181.8597516255509</v>
      </c>
      <c r="J28" s="122"/>
    </row>
    <row r="29" spans="2:10" ht="15.75" thickTop="1" x14ac:dyDescent="0.25">
      <c r="B29" s="35" t="s">
        <v>191</v>
      </c>
    </row>
    <row r="30" spans="2:10" ht="15.75" thickBot="1" x14ac:dyDescent="0.3"/>
    <row r="31" spans="2:10" ht="15.75" thickTop="1" x14ac:dyDescent="0.25">
      <c r="B31" s="989" t="s">
        <v>152</v>
      </c>
      <c r="C31" s="990"/>
      <c r="D31" s="991"/>
      <c r="E31" s="167"/>
      <c r="F31" s="989" t="s">
        <v>154</v>
      </c>
      <c r="G31" s="991"/>
    </row>
    <row r="32" spans="2:10" ht="24" x14ac:dyDescent="0.25">
      <c r="B32" s="164" t="s">
        <v>57</v>
      </c>
      <c r="C32" s="14" t="s">
        <v>3</v>
      </c>
      <c r="D32" s="15" t="s">
        <v>47</v>
      </c>
      <c r="F32" s="168" t="s">
        <v>3</v>
      </c>
      <c r="G32" s="169" t="s">
        <v>47</v>
      </c>
      <c r="I32" s="271"/>
    </row>
    <row r="33" spans="2:9" ht="15.75" thickBot="1" x14ac:dyDescent="0.3">
      <c r="B33" s="283">
        <v>34</v>
      </c>
      <c r="C33" s="284">
        <f>K14*$B$33</f>
        <v>77082.587178000016</v>
      </c>
      <c r="D33" s="300">
        <f>L14*$B$33</f>
        <v>72062.350498000014</v>
      </c>
      <c r="F33" s="287">
        <f>B33*G26</f>
        <v>2120.8810572687225</v>
      </c>
      <c r="G33" s="288">
        <f>B33*H26</f>
        <v>2120.8810572687225</v>
      </c>
      <c r="I33" s="269"/>
    </row>
    <row r="34" spans="2:9" ht="15.75" thickTop="1" x14ac:dyDescent="0.25">
      <c r="B34" s="165" t="s">
        <v>58</v>
      </c>
      <c r="C34" s="166"/>
      <c r="D34" s="166"/>
      <c r="E34" s="166"/>
      <c r="I34" s="269"/>
    </row>
    <row r="35" spans="2:9" x14ac:dyDescent="0.25">
      <c r="B35" s="992" t="s">
        <v>153</v>
      </c>
      <c r="C35" s="992"/>
      <c r="D35" s="992"/>
      <c r="E35" s="992"/>
    </row>
    <row r="37" spans="2:9" x14ac:dyDescent="0.25">
      <c r="B37" s="346" t="s">
        <v>349</v>
      </c>
    </row>
  </sheetData>
  <mergeCells count="21">
    <mergeCell ref="B31:D31"/>
    <mergeCell ref="F31:G31"/>
    <mergeCell ref="B35:E35"/>
    <mergeCell ref="G5:H5"/>
    <mergeCell ref="I5:J5"/>
    <mergeCell ref="N2:AD2"/>
    <mergeCell ref="N3:AD4"/>
    <mergeCell ref="K5:L5"/>
    <mergeCell ref="B17:B18"/>
    <mergeCell ref="C17:F17"/>
    <mergeCell ref="G17:H17"/>
    <mergeCell ref="B3:B6"/>
    <mergeCell ref="C3:J3"/>
    <mergeCell ref="K3:L3"/>
    <mergeCell ref="C4:D4"/>
    <mergeCell ref="E4:F4"/>
    <mergeCell ref="G4:H4"/>
    <mergeCell ref="I4:J4"/>
    <mergeCell ref="K4:L4"/>
    <mergeCell ref="C5:D5"/>
    <mergeCell ref="E5:F5"/>
  </mergeCells>
  <hyperlinks>
    <hyperlink ref="B37" location="'Table of Contents'!A1" display="Table of Contents" xr:uid="{85E35642-7EDE-499A-944B-BE19C61F55BC}"/>
  </hyperlinks>
  <pageMargins left="0.7" right="0.7" top="0.75" bottom="0.75" header="0.3" footer="0.3"/>
  <pageSetup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431A9-DE25-4657-B4ED-DB191107B9DC}">
  <sheetPr codeName="Sheet17"/>
  <dimension ref="A1:G6"/>
  <sheetViews>
    <sheetView workbookViewId="0">
      <selection activeCell="A3" sqref="A3"/>
    </sheetView>
  </sheetViews>
  <sheetFormatPr defaultRowHeight="15" x14ac:dyDescent="0.25"/>
  <cols>
    <col min="3" max="3" width="9.140625" customWidth="1"/>
    <col min="4" max="4" width="11" customWidth="1"/>
    <col min="6" max="6" width="12" customWidth="1"/>
    <col min="7" max="7" width="16.42578125" customWidth="1"/>
  </cols>
  <sheetData>
    <row r="1" spans="1:7" x14ac:dyDescent="0.25">
      <c r="A1" s="158" t="s">
        <v>316</v>
      </c>
    </row>
    <row r="2" spans="1:7" x14ac:dyDescent="0.25">
      <c r="A2" s="347" t="s">
        <v>318</v>
      </c>
      <c r="D2" t="s">
        <v>1173</v>
      </c>
    </row>
    <row r="3" spans="1:7" x14ac:dyDescent="0.25">
      <c r="A3" s="346" t="s">
        <v>319</v>
      </c>
      <c r="D3" s="905"/>
      <c r="E3" s="906"/>
      <c r="F3" s="906" t="s">
        <v>3</v>
      </c>
      <c r="G3" s="907" t="s">
        <v>4</v>
      </c>
    </row>
    <row r="4" spans="1:7" x14ac:dyDescent="0.25">
      <c r="D4" s="908"/>
      <c r="E4" s="364" t="s">
        <v>1142</v>
      </c>
      <c r="F4" s="53">
        <f>'Subpart P (Applicability)'!C35+'Subpart Y (Applicability)'!C34</f>
        <v>-3072.0957219999996</v>
      </c>
      <c r="G4" s="909">
        <f>'Subpart P (Applicability)'!D35+'Subpart Y (Applicability)'!D34</f>
        <v>-3072.0957219999996</v>
      </c>
    </row>
    <row r="5" spans="1:7" x14ac:dyDescent="0.25">
      <c r="A5" s="346" t="s">
        <v>349</v>
      </c>
      <c r="D5" s="908"/>
      <c r="E5" s="364" t="s">
        <v>1143</v>
      </c>
      <c r="F5" s="53">
        <f>'Subpart P (Applicability)'!F35+'Subpart Y (Applicability)'!F34</f>
        <v>-1689.2193832599123</v>
      </c>
      <c r="G5" s="909">
        <f>'Subpart P (Applicability)'!G35+'Subpart Y (Applicability)'!G34</f>
        <v>551.42907488986748</v>
      </c>
    </row>
    <row r="6" spans="1:7" x14ac:dyDescent="0.25">
      <c r="D6" s="910"/>
      <c r="E6" s="911" t="s">
        <v>1146</v>
      </c>
      <c r="F6" s="912">
        <f>SUM(F4:F5)</f>
        <v>-4761.3151052599114</v>
      </c>
      <c r="G6" s="913">
        <f>SUM(G4:G5)</f>
        <v>-2520.6666471101321</v>
      </c>
    </row>
  </sheetData>
  <hyperlinks>
    <hyperlink ref="A2" location="'Subpart P (Applicability)'!A1" display="Subpart P (Applicability)" xr:uid="{3F900BAD-7359-4825-B9F2-757B352687F6}"/>
    <hyperlink ref="A3" location="'Subpart Y (Applicability)'!A1" display="Subpart Y (Applicability)" xr:uid="{B3FF0591-F9B4-4CEF-B85B-EC747EC1E383}"/>
    <hyperlink ref="A5" location="'Table of Contents'!A1" display="Table of Contents" xr:uid="{82745BEC-1D97-4472-AC27-8594D9DF278A}"/>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88B8C-200B-4733-A39C-6B7AC0079156}">
  <sheetPr codeName="Sheet18"/>
  <dimension ref="B1:R39"/>
  <sheetViews>
    <sheetView topLeftCell="A26" zoomScale="95" zoomScaleNormal="95" workbookViewId="0">
      <selection activeCell="B35" sqref="B35"/>
    </sheetView>
  </sheetViews>
  <sheetFormatPr defaultRowHeight="15" x14ac:dyDescent="0.25"/>
  <cols>
    <col min="2" max="2" width="12.42578125" customWidth="1"/>
    <col min="5" max="5" width="10.7109375" customWidth="1"/>
    <col min="6" max="6" width="10.42578125" customWidth="1"/>
  </cols>
  <sheetData>
    <row r="1" spans="2:18" x14ac:dyDescent="0.25">
      <c r="B1" s="709" t="s">
        <v>979</v>
      </c>
    </row>
    <row r="2" spans="2:18" x14ac:dyDescent="0.25">
      <c r="B2" s="13" t="s">
        <v>245</v>
      </c>
    </row>
    <row r="3" spans="2:18" ht="15.75" thickBot="1" x14ac:dyDescent="0.3">
      <c r="B3" s="13" t="s">
        <v>236</v>
      </c>
    </row>
    <row r="4" spans="2:18" ht="41.25" customHeight="1" thickTop="1" x14ac:dyDescent="0.25">
      <c r="B4" s="993" t="s">
        <v>28</v>
      </c>
      <c r="C4" s="995" t="s">
        <v>29</v>
      </c>
      <c r="D4" s="996"/>
      <c r="E4" s="996"/>
      <c r="F4" s="996"/>
      <c r="G4" s="996"/>
      <c r="H4" s="996"/>
      <c r="I4" s="996"/>
      <c r="J4" s="997"/>
      <c r="K4" s="1001" t="s">
        <v>30</v>
      </c>
      <c r="L4" s="1002"/>
      <c r="N4" s="176"/>
    </row>
    <row r="5" spans="2:18" ht="30" customHeight="1" x14ac:dyDescent="0.25">
      <c r="B5" s="1000"/>
      <c r="C5" s="1003" t="s">
        <v>31</v>
      </c>
      <c r="D5" s="1004"/>
      <c r="E5" s="1003" t="s">
        <v>32</v>
      </c>
      <c r="F5" s="1004"/>
      <c r="G5" s="1005" t="s">
        <v>33</v>
      </c>
      <c r="H5" s="1006"/>
      <c r="I5" s="1005" t="s">
        <v>34</v>
      </c>
      <c r="J5" s="1006"/>
      <c r="K5" s="1007" t="s">
        <v>132</v>
      </c>
      <c r="L5" s="1008"/>
      <c r="N5" s="301" t="s">
        <v>207</v>
      </c>
    </row>
    <row r="6" spans="2:18" x14ac:dyDescent="0.25">
      <c r="B6" s="1000"/>
      <c r="C6" s="1009">
        <f>Lawyer</f>
        <v>114.79721000000001</v>
      </c>
      <c r="D6" s="1010"/>
      <c r="E6" s="1011">
        <f>Manager</f>
        <v>91.328059999999994</v>
      </c>
      <c r="F6" s="1010"/>
      <c r="G6" s="1011">
        <f>Tech</f>
        <v>73.827010000000001</v>
      </c>
      <c r="H6" s="1010"/>
      <c r="I6" s="1011">
        <f>Admin</f>
        <v>34.089750000000002</v>
      </c>
      <c r="J6" s="1010"/>
      <c r="K6" s="1012"/>
      <c r="L6" s="1013"/>
    </row>
    <row r="7" spans="2:18" ht="36" x14ac:dyDescent="0.25">
      <c r="B7" s="994"/>
      <c r="C7" s="14" t="s">
        <v>35</v>
      </c>
      <c r="D7" s="14" t="s">
        <v>36</v>
      </c>
      <c r="E7" s="14" t="s">
        <v>35</v>
      </c>
      <c r="F7" s="14" t="s">
        <v>36</v>
      </c>
      <c r="G7" s="14" t="s">
        <v>35</v>
      </c>
      <c r="H7" s="14" t="s">
        <v>36</v>
      </c>
      <c r="I7" s="14" t="s">
        <v>35</v>
      </c>
      <c r="J7" s="14" t="s">
        <v>36</v>
      </c>
      <c r="K7" s="14" t="s">
        <v>3</v>
      </c>
      <c r="L7" s="15" t="s">
        <v>37</v>
      </c>
    </row>
    <row r="8" spans="2:18" x14ac:dyDescent="0.25">
      <c r="B8" s="16" t="s">
        <v>38</v>
      </c>
      <c r="C8" s="38">
        <v>0</v>
      </c>
      <c r="D8" s="38">
        <v>0</v>
      </c>
      <c r="E8" s="38">
        <v>0.4</v>
      </c>
      <c r="F8" s="38">
        <v>0.4</v>
      </c>
      <c r="G8" s="38">
        <v>4</v>
      </c>
      <c r="H8" s="38">
        <v>4</v>
      </c>
      <c r="I8" s="38">
        <v>0.4</v>
      </c>
      <c r="J8" s="38">
        <v>0.4</v>
      </c>
      <c r="K8" s="52">
        <f>C8*$C$6+E8*$E$6+G8*$G$6+I8*$I$6</f>
        <v>345.47516400000001</v>
      </c>
      <c r="L8" s="207">
        <f>D8*$C$6+F8*$E$6+H8*$G$6+J8*$I$6</f>
        <v>345.47516400000001</v>
      </c>
      <c r="N8" s="269" t="s">
        <v>210</v>
      </c>
    </row>
    <row r="9" spans="2:18" x14ac:dyDescent="0.25">
      <c r="B9" s="19" t="s">
        <v>39</v>
      </c>
      <c r="C9" s="39">
        <v>0</v>
      </c>
      <c r="D9" s="39">
        <v>0</v>
      </c>
      <c r="E9" s="39">
        <v>0.2</v>
      </c>
      <c r="F9" s="39">
        <v>0.2</v>
      </c>
      <c r="G9" s="39">
        <v>2</v>
      </c>
      <c r="H9" s="39">
        <v>2</v>
      </c>
      <c r="I9" s="39">
        <v>0.2</v>
      </c>
      <c r="J9" s="39">
        <v>0.2</v>
      </c>
      <c r="K9" s="52">
        <f t="shared" ref="K9:L12" si="0">C9*$C$6+E9*$E$6+G9*$G$6+I9*$I$6</f>
        <v>172.737582</v>
      </c>
      <c r="L9" s="208">
        <f t="shared" si="0"/>
        <v>172.737582</v>
      </c>
      <c r="N9" s="269" t="s">
        <v>209</v>
      </c>
    </row>
    <row r="10" spans="2:18" x14ac:dyDescent="0.25">
      <c r="B10" s="16" t="s">
        <v>40</v>
      </c>
      <c r="C10" s="38">
        <v>0</v>
      </c>
      <c r="D10" s="38">
        <v>0</v>
      </c>
      <c r="E10" s="38">
        <v>0.5</v>
      </c>
      <c r="F10" s="38">
        <v>0.5</v>
      </c>
      <c r="G10" s="38">
        <v>5</v>
      </c>
      <c r="H10" s="38">
        <v>5</v>
      </c>
      <c r="I10" s="38">
        <v>0.5</v>
      </c>
      <c r="J10" s="38">
        <v>0.5</v>
      </c>
      <c r="K10" s="52">
        <f t="shared" si="0"/>
        <v>431.84395499999999</v>
      </c>
      <c r="L10" s="208">
        <f t="shared" si="0"/>
        <v>431.84395499999999</v>
      </c>
      <c r="N10" s="269" t="s">
        <v>204</v>
      </c>
    </row>
    <row r="11" spans="2:18" ht="36" x14ac:dyDescent="0.25">
      <c r="B11" s="19" t="s">
        <v>41</v>
      </c>
      <c r="C11" s="39">
        <v>0</v>
      </c>
      <c r="D11" s="39">
        <v>0</v>
      </c>
      <c r="E11" s="39">
        <v>0.1</v>
      </c>
      <c r="F11" s="39">
        <v>0.1</v>
      </c>
      <c r="G11" s="39">
        <v>1</v>
      </c>
      <c r="H11" s="39">
        <v>1</v>
      </c>
      <c r="I11" s="39">
        <v>0.1</v>
      </c>
      <c r="J11" s="39">
        <v>0.1</v>
      </c>
      <c r="K11" s="52">
        <f t="shared" si="0"/>
        <v>86.368791000000002</v>
      </c>
      <c r="L11" s="208">
        <f t="shared" si="0"/>
        <v>86.368791000000002</v>
      </c>
      <c r="N11" s="269" t="s">
        <v>208</v>
      </c>
    </row>
    <row r="12" spans="2:18" x14ac:dyDescent="0.25">
      <c r="B12" s="16" t="s">
        <v>42</v>
      </c>
      <c r="C12" s="38">
        <v>0</v>
      </c>
      <c r="D12" s="38">
        <v>0</v>
      </c>
      <c r="E12" s="38">
        <v>1</v>
      </c>
      <c r="F12" s="38">
        <v>1</v>
      </c>
      <c r="G12" s="38">
        <v>10</v>
      </c>
      <c r="H12" s="38">
        <v>10</v>
      </c>
      <c r="I12" s="38">
        <v>1</v>
      </c>
      <c r="J12" s="38">
        <v>1</v>
      </c>
      <c r="K12" s="52">
        <f t="shared" si="0"/>
        <v>863.68790999999999</v>
      </c>
      <c r="L12" s="208">
        <f t="shared" si="0"/>
        <v>863.68790999999999</v>
      </c>
      <c r="N12" s="269" t="s">
        <v>213</v>
      </c>
    </row>
    <row r="13" spans="2:18" ht="15.75" thickBot="1" x14ac:dyDescent="0.3">
      <c r="B13" s="44" t="s">
        <v>43</v>
      </c>
      <c r="C13" s="46">
        <f>SUM(C8:C12)</f>
        <v>0</v>
      </c>
      <c r="D13" s="46">
        <f t="shared" ref="D13:J13" si="1">SUM(D8:D12)</f>
        <v>0</v>
      </c>
      <c r="E13" s="46">
        <f t="shared" si="1"/>
        <v>2.2000000000000002</v>
      </c>
      <c r="F13" s="46">
        <f t="shared" si="1"/>
        <v>2.2000000000000002</v>
      </c>
      <c r="G13" s="46">
        <f t="shared" si="1"/>
        <v>22</v>
      </c>
      <c r="H13" s="46">
        <f>SUM(H8:H12)</f>
        <v>22</v>
      </c>
      <c r="I13" s="46">
        <f t="shared" si="1"/>
        <v>2.2000000000000002</v>
      </c>
      <c r="J13" s="46">
        <f t="shared" si="1"/>
        <v>2.2000000000000002</v>
      </c>
      <c r="K13" s="47">
        <f>SUM(K8:K12)</f>
        <v>1900.113402</v>
      </c>
      <c r="L13" s="209">
        <f>SUM(L8:L12)</f>
        <v>1900.113402</v>
      </c>
      <c r="M13" s="53"/>
    </row>
    <row r="14" spans="2:18" ht="16.5" thickTop="1" thickBot="1" x14ac:dyDescent="0.3">
      <c r="E14" s="128"/>
      <c r="F14" s="128"/>
      <c r="G14" s="128"/>
      <c r="H14" s="128"/>
      <c r="I14" s="128"/>
      <c r="J14" s="128"/>
      <c r="K14" s="128"/>
      <c r="L14" s="128"/>
      <c r="Q14" s="364" t="s">
        <v>354</v>
      </c>
      <c r="R14" s="49">
        <f>0.2*G6+0.02*I6+0.01*E6</f>
        <v>16.360477599999999</v>
      </c>
    </row>
    <row r="15" spans="2:18" ht="25.5" thickTop="1" thickBot="1" x14ac:dyDescent="0.3">
      <c r="B15" s="159" t="s">
        <v>44</v>
      </c>
      <c r="C15" s="31">
        <f t="shared" ref="C15:L15" si="2">C13</f>
        <v>0</v>
      </c>
      <c r="D15" s="31">
        <f t="shared" si="2"/>
        <v>0</v>
      </c>
      <c r="E15" s="31">
        <f t="shared" si="2"/>
        <v>2.2000000000000002</v>
      </c>
      <c r="F15" s="31">
        <f t="shared" si="2"/>
        <v>2.2000000000000002</v>
      </c>
      <c r="G15" s="31">
        <f t="shared" si="2"/>
        <v>22</v>
      </c>
      <c r="H15" s="31">
        <f t="shared" si="2"/>
        <v>22</v>
      </c>
      <c r="I15" s="31">
        <f t="shared" si="2"/>
        <v>2.2000000000000002</v>
      </c>
      <c r="J15" s="31">
        <f t="shared" si="2"/>
        <v>2.2000000000000002</v>
      </c>
      <c r="K15" s="119">
        <f t="shared" si="2"/>
        <v>1900.113402</v>
      </c>
      <c r="L15" s="120">
        <f t="shared" si="2"/>
        <v>1900.113402</v>
      </c>
      <c r="M15" s="121"/>
    </row>
    <row r="16" spans="2:18" ht="15.75" thickTop="1" x14ac:dyDescent="0.25"/>
    <row r="17" spans="2:10" ht="15.75" thickBot="1" x14ac:dyDescent="0.3">
      <c r="B17" s="13" t="s">
        <v>235</v>
      </c>
    </row>
    <row r="18" spans="2:10" ht="48.75" customHeight="1" thickTop="1" x14ac:dyDescent="0.25">
      <c r="B18" s="993" t="s">
        <v>28</v>
      </c>
      <c r="C18" s="995" t="s">
        <v>45</v>
      </c>
      <c r="D18" s="996"/>
      <c r="E18" s="996"/>
      <c r="F18" s="997"/>
      <c r="G18" s="998" t="s">
        <v>133</v>
      </c>
      <c r="H18" s="999"/>
    </row>
    <row r="19" spans="2:10" ht="36" x14ac:dyDescent="0.25">
      <c r="B19" s="994"/>
      <c r="C19" s="14" t="s">
        <v>134</v>
      </c>
      <c r="D19" s="14" t="s">
        <v>46</v>
      </c>
      <c r="E19" s="14" t="s">
        <v>135</v>
      </c>
      <c r="F19" s="14" t="s">
        <v>136</v>
      </c>
      <c r="G19" s="14" t="s">
        <v>3</v>
      </c>
      <c r="H19" s="15" t="s">
        <v>47</v>
      </c>
    </row>
    <row r="20" spans="2:10" ht="48" x14ac:dyDescent="0.25">
      <c r="B20" s="16" t="s">
        <v>48</v>
      </c>
      <c r="C20" s="17" t="s">
        <v>49</v>
      </c>
      <c r="D20" s="17"/>
      <c r="E20" s="17" t="s">
        <v>49</v>
      </c>
      <c r="F20" s="17" t="s">
        <v>49</v>
      </c>
      <c r="G20" s="17" t="s">
        <v>49</v>
      </c>
      <c r="H20" s="18" t="s">
        <v>49</v>
      </c>
    </row>
    <row r="21" spans="2:10" ht="24" x14ac:dyDescent="0.25">
      <c r="B21" s="19" t="s">
        <v>50</v>
      </c>
      <c r="C21" s="20" t="s">
        <v>49</v>
      </c>
      <c r="D21" s="21"/>
      <c r="E21" s="20" t="s">
        <v>49</v>
      </c>
      <c r="F21" s="20" t="s">
        <v>49</v>
      </c>
      <c r="G21" s="20" t="s">
        <v>49</v>
      </c>
      <c r="H21" s="22" t="s">
        <v>49</v>
      </c>
    </row>
    <row r="22" spans="2:10" x14ac:dyDescent="0.25">
      <c r="B22" s="16" t="s">
        <v>40</v>
      </c>
      <c r="C22" s="23"/>
      <c r="D22" s="17"/>
      <c r="E22" s="23"/>
      <c r="F22" s="203">
        <f>50*Inflation</f>
        <v>62.378854625550659</v>
      </c>
      <c r="G22" s="203">
        <f>50*Inflation</f>
        <v>62.378854625550659</v>
      </c>
      <c r="H22" s="183">
        <f>50*Inflation</f>
        <v>62.378854625550659</v>
      </c>
      <c r="I22" s="326" t="s">
        <v>216</v>
      </c>
    </row>
    <row r="23" spans="2:10" x14ac:dyDescent="0.25">
      <c r="B23" s="19" t="s">
        <v>51</v>
      </c>
      <c r="C23" s="20" t="s">
        <v>49</v>
      </c>
      <c r="D23" s="21"/>
      <c r="E23" s="20" t="s">
        <v>49</v>
      </c>
      <c r="F23" s="204" t="s">
        <v>49</v>
      </c>
      <c r="G23" s="204" t="s">
        <v>49</v>
      </c>
      <c r="H23" s="184" t="s">
        <v>49</v>
      </c>
      <c r="I23" s="134"/>
    </row>
    <row r="24" spans="2:10" ht="24" x14ac:dyDescent="0.25">
      <c r="B24" s="16" t="s">
        <v>52</v>
      </c>
      <c r="C24" s="17" t="s">
        <v>49</v>
      </c>
      <c r="D24" s="17"/>
      <c r="E24" s="17" t="s">
        <v>49</v>
      </c>
      <c r="F24" s="202">
        <f>1746*Inflation</f>
        <v>2178.2696035242293</v>
      </c>
      <c r="G24" s="202">
        <f>1746*Inflation</f>
        <v>2178.2696035242293</v>
      </c>
      <c r="H24" s="202">
        <f>1746*Inflation</f>
        <v>2178.2696035242293</v>
      </c>
      <c r="I24" s="326" t="s">
        <v>215</v>
      </c>
    </row>
    <row r="25" spans="2:10" ht="15.75" thickBot="1" x14ac:dyDescent="0.3">
      <c r="B25" s="25" t="s">
        <v>43</v>
      </c>
      <c r="C25" s="26">
        <f>SUM(C20:C24)</f>
        <v>0</v>
      </c>
      <c r="D25" s="26">
        <f t="shared" ref="D25:E25" si="3">SUM(D20:D24)</f>
        <v>0</v>
      </c>
      <c r="E25" s="26">
        <f t="shared" si="3"/>
        <v>0</v>
      </c>
      <c r="F25" s="186">
        <f>SUM(F22,F24)</f>
        <v>2240.6484581497798</v>
      </c>
      <c r="G25" s="205">
        <f>SUM(G22,G24)</f>
        <v>2240.6484581497798</v>
      </c>
      <c r="H25" s="206">
        <f>SUM(H22,H24)</f>
        <v>2240.6484581497798</v>
      </c>
      <c r="I25" s="327"/>
    </row>
    <row r="26" spans="2:10" ht="16.5" thickTop="1" thickBot="1" x14ac:dyDescent="0.3">
      <c r="B26" s="29"/>
    </row>
    <row r="27" spans="2:10" ht="16.5" thickTop="1" thickBot="1" x14ac:dyDescent="0.3">
      <c r="B27" s="30" t="s">
        <v>53</v>
      </c>
      <c r="C27" s="31"/>
      <c r="D27" s="31"/>
      <c r="E27" s="31"/>
      <c r="F27" s="31"/>
      <c r="G27" s="32">
        <f>G25</f>
        <v>2240.6484581497798</v>
      </c>
      <c r="H27" s="33">
        <f>H25</f>
        <v>2240.6484581497798</v>
      </c>
    </row>
    <row r="28" spans="2:10" ht="16.5" thickTop="1" thickBot="1" x14ac:dyDescent="0.3"/>
    <row r="29" spans="2:10" ht="48.75" thickTop="1" x14ac:dyDescent="0.25">
      <c r="B29" s="350" t="s">
        <v>54</v>
      </c>
      <c r="C29" s="361"/>
      <c r="D29" s="361"/>
      <c r="E29" s="361"/>
      <c r="F29" s="361"/>
      <c r="G29" s="348">
        <f>K15+G27</f>
        <v>4140.7618601497797</v>
      </c>
      <c r="H29" s="349">
        <f>L15+H27</f>
        <v>4140.7618601497797</v>
      </c>
      <c r="J29" s="122"/>
    </row>
    <row r="30" spans="2:10" ht="60.75" thickBot="1" x14ac:dyDescent="0.3">
      <c r="B30" s="356" t="s">
        <v>352</v>
      </c>
      <c r="C30" s="357"/>
      <c r="D30" s="357"/>
      <c r="E30" s="357"/>
      <c r="F30" s="358"/>
      <c r="G30" s="363">
        <f>16.36</f>
        <v>16.36</v>
      </c>
      <c r="H30" s="360">
        <f>16.36</f>
        <v>16.36</v>
      </c>
      <c r="J30" s="122"/>
    </row>
    <row r="31" spans="2:10" ht="15.75" thickTop="1" x14ac:dyDescent="0.25">
      <c r="B31" s="35" t="s">
        <v>198</v>
      </c>
    </row>
    <row r="32" spans="2:10" ht="15.75" thickBot="1" x14ac:dyDescent="0.3"/>
    <row r="33" spans="2:7" ht="15.75" thickTop="1" x14ac:dyDescent="0.25">
      <c r="B33" s="989" t="s">
        <v>152</v>
      </c>
      <c r="C33" s="990"/>
      <c r="D33" s="991"/>
      <c r="E33" s="167"/>
      <c r="F33" s="989" t="s">
        <v>154</v>
      </c>
      <c r="G33" s="991"/>
    </row>
    <row r="34" spans="2:7" ht="24" x14ac:dyDescent="0.25">
      <c r="B34" s="164" t="s">
        <v>57</v>
      </c>
      <c r="C34" s="324" t="s">
        <v>3</v>
      </c>
      <c r="D34" s="169" t="s">
        <v>47</v>
      </c>
      <c r="F34" s="168" t="s">
        <v>3</v>
      </c>
      <c r="G34" s="169" t="s">
        <v>47</v>
      </c>
    </row>
    <row r="35" spans="2:7" ht="15.75" thickBot="1" x14ac:dyDescent="0.3">
      <c r="B35" s="979">
        <v>2</v>
      </c>
      <c r="C35" s="284">
        <f>K15*$B$35+$B$35*G30</f>
        <v>3832.9468039999997</v>
      </c>
      <c r="D35" s="300">
        <f>L15*$B$35+$B$35*H30</f>
        <v>3832.9468039999997</v>
      </c>
      <c r="F35" s="287">
        <f>B35*0.5*G27</f>
        <v>2240.6484581497798</v>
      </c>
      <c r="G35" s="288">
        <f>B35*H27</f>
        <v>4481.2969162995596</v>
      </c>
    </row>
    <row r="36" spans="2:7" ht="15.75" thickTop="1" x14ac:dyDescent="0.25">
      <c r="B36" s="165" t="s">
        <v>58</v>
      </c>
      <c r="C36" s="166"/>
      <c r="D36" s="166"/>
      <c r="E36" s="166"/>
    </row>
    <row r="37" spans="2:7" ht="39" customHeight="1" x14ac:dyDescent="0.25">
      <c r="B37" s="992" t="s">
        <v>355</v>
      </c>
      <c r="C37" s="992"/>
      <c r="D37" s="992"/>
      <c r="E37" s="992"/>
    </row>
    <row r="39" spans="2:7" x14ac:dyDescent="0.25">
      <c r="B39" s="346" t="s">
        <v>349</v>
      </c>
    </row>
  </sheetData>
  <mergeCells count="19">
    <mergeCell ref="K6:L6"/>
    <mergeCell ref="B18:B19"/>
    <mergeCell ref="C18:F18"/>
    <mergeCell ref="G18:H18"/>
    <mergeCell ref="B4:B7"/>
    <mergeCell ref="C4:J4"/>
    <mergeCell ref="K4:L4"/>
    <mergeCell ref="C5:D5"/>
    <mergeCell ref="E5:F5"/>
    <mergeCell ref="G5:H5"/>
    <mergeCell ref="I5:J5"/>
    <mergeCell ref="K5:L5"/>
    <mergeCell ref="C6:D6"/>
    <mergeCell ref="E6:F6"/>
    <mergeCell ref="B37:E37"/>
    <mergeCell ref="B33:D33"/>
    <mergeCell ref="F33:G33"/>
    <mergeCell ref="G6:H6"/>
    <mergeCell ref="I6:J6"/>
  </mergeCells>
  <hyperlinks>
    <hyperlink ref="B39" location="'Table of Contents'!A1" display="Table of Contents" xr:uid="{3604B9D8-419E-4CA6-8591-4BBE21FB2D2C}"/>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0D09E-FEA7-43E1-9937-33A7AFA89A41}">
  <sheetPr codeName="Sheet19"/>
  <dimension ref="B1:N38"/>
  <sheetViews>
    <sheetView topLeftCell="A20" zoomScale="95" zoomScaleNormal="95" workbookViewId="0">
      <selection activeCell="P15" sqref="P15"/>
    </sheetView>
  </sheetViews>
  <sheetFormatPr defaultRowHeight="15" x14ac:dyDescent="0.25"/>
  <cols>
    <col min="2" max="2" width="12.42578125" customWidth="1"/>
    <col min="5" max="5" width="10.7109375" customWidth="1"/>
    <col min="6" max="6" width="11.42578125" customWidth="1"/>
  </cols>
  <sheetData>
    <row r="1" spans="2:14" x14ac:dyDescent="0.25">
      <c r="B1" s="709" t="s">
        <v>979</v>
      </c>
    </row>
    <row r="2" spans="2:14" x14ac:dyDescent="0.25">
      <c r="B2" s="13" t="s">
        <v>244</v>
      </c>
    </row>
    <row r="3" spans="2:14" ht="15.75" thickBot="1" x14ac:dyDescent="0.3">
      <c r="B3" s="13" t="s">
        <v>252</v>
      </c>
    </row>
    <row r="4" spans="2:14" ht="41.25" customHeight="1" thickTop="1" x14ac:dyDescent="0.25">
      <c r="B4" s="993" t="s">
        <v>28</v>
      </c>
      <c r="C4" s="995" t="s">
        <v>29</v>
      </c>
      <c r="D4" s="996"/>
      <c r="E4" s="996"/>
      <c r="F4" s="996"/>
      <c r="G4" s="996"/>
      <c r="H4" s="996"/>
      <c r="I4" s="996"/>
      <c r="J4" s="997"/>
      <c r="K4" s="1001" t="s">
        <v>30</v>
      </c>
      <c r="L4" s="1002"/>
      <c r="N4" s="176"/>
    </row>
    <row r="5" spans="2:14" ht="30" customHeight="1" x14ac:dyDescent="0.25">
      <c r="B5" s="1000"/>
      <c r="C5" s="1003" t="s">
        <v>31</v>
      </c>
      <c r="D5" s="1004"/>
      <c r="E5" s="1003" t="s">
        <v>32</v>
      </c>
      <c r="F5" s="1004"/>
      <c r="G5" s="1005" t="s">
        <v>33</v>
      </c>
      <c r="H5" s="1006"/>
      <c r="I5" s="1005" t="s">
        <v>34</v>
      </c>
      <c r="J5" s="1006"/>
      <c r="K5" s="1007" t="s">
        <v>132</v>
      </c>
      <c r="L5" s="1008"/>
      <c r="N5" s="291" t="s">
        <v>207</v>
      </c>
    </row>
    <row r="6" spans="2:14" x14ac:dyDescent="0.25">
      <c r="B6" s="1000"/>
      <c r="C6" s="1009">
        <f>Lawyer</f>
        <v>114.79721000000001</v>
      </c>
      <c r="D6" s="1010"/>
      <c r="E6" s="1011">
        <f>Manager</f>
        <v>91.328059999999994</v>
      </c>
      <c r="F6" s="1010"/>
      <c r="G6" s="1011">
        <f>Tech</f>
        <v>73.827010000000001</v>
      </c>
      <c r="H6" s="1010"/>
      <c r="I6" s="1011">
        <f>Admin</f>
        <v>34.089750000000002</v>
      </c>
      <c r="J6" s="1010"/>
      <c r="K6" s="1012"/>
      <c r="L6" s="1013"/>
      <c r="N6" s="292" t="s">
        <v>253</v>
      </c>
    </row>
    <row r="7" spans="2:14" ht="36" x14ac:dyDescent="0.25">
      <c r="B7" s="994"/>
      <c r="C7" s="14" t="s">
        <v>35</v>
      </c>
      <c r="D7" s="14" t="s">
        <v>36</v>
      </c>
      <c r="E7" s="14" t="s">
        <v>35</v>
      </c>
      <c r="F7" s="14" t="s">
        <v>36</v>
      </c>
      <c r="G7" s="14" t="s">
        <v>35</v>
      </c>
      <c r="H7" s="14" t="s">
        <v>36</v>
      </c>
      <c r="I7" s="14" t="s">
        <v>35</v>
      </c>
      <c r="J7" s="14" t="s">
        <v>36</v>
      </c>
      <c r="K7" s="14" t="s">
        <v>3</v>
      </c>
      <c r="L7" s="235" t="s">
        <v>37</v>
      </c>
    </row>
    <row r="8" spans="2:14" x14ac:dyDescent="0.25">
      <c r="B8" s="16" t="s">
        <v>38</v>
      </c>
      <c r="C8" s="38">
        <v>1</v>
      </c>
      <c r="D8" s="38">
        <v>1</v>
      </c>
      <c r="E8" s="38">
        <v>0.3</v>
      </c>
      <c r="F8" s="38">
        <v>0.3</v>
      </c>
      <c r="G8" s="38">
        <v>3</v>
      </c>
      <c r="H8" s="38">
        <v>3</v>
      </c>
      <c r="I8" s="38">
        <v>0.2</v>
      </c>
      <c r="J8" s="38">
        <v>0.2</v>
      </c>
      <c r="K8" s="233">
        <f>C8*$C$6+E8*$E$6+G8*$G$6+I8*$I$6</f>
        <v>370.49460799999997</v>
      </c>
      <c r="L8" s="207">
        <f>D8*$C$6+F8*$E$6+H8*$G$6+J8*$I$6</f>
        <v>370.49460799999997</v>
      </c>
      <c r="N8" s="269" t="s">
        <v>210</v>
      </c>
    </row>
    <row r="9" spans="2:14" x14ac:dyDescent="0.25">
      <c r="B9" s="19" t="s">
        <v>39</v>
      </c>
      <c r="C9" s="39">
        <v>1</v>
      </c>
      <c r="D9" s="39">
        <v>1</v>
      </c>
      <c r="E9" s="39">
        <v>0.2</v>
      </c>
      <c r="F9" s="39">
        <v>0.2</v>
      </c>
      <c r="G9" s="241">
        <v>2</v>
      </c>
      <c r="H9" s="241">
        <v>2</v>
      </c>
      <c r="I9" s="39">
        <v>0.1</v>
      </c>
      <c r="J9" s="39">
        <v>0.1</v>
      </c>
      <c r="K9" s="233">
        <f t="shared" ref="K9:L12" si="0">C9*$C$6+E9*$E$6+G9*$G$6+I9*$I$6</f>
        <v>284.12581700000004</v>
      </c>
      <c r="L9" s="208">
        <f t="shared" si="0"/>
        <v>284.12581700000004</v>
      </c>
      <c r="N9" s="269" t="s">
        <v>209</v>
      </c>
    </row>
    <row r="10" spans="2:14" x14ac:dyDescent="0.25">
      <c r="B10" s="16" t="s">
        <v>40</v>
      </c>
      <c r="C10" s="38">
        <v>0</v>
      </c>
      <c r="D10" s="38">
        <v>0</v>
      </c>
      <c r="E10" s="38">
        <v>0.5</v>
      </c>
      <c r="F10" s="38">
        <v>0.5</v>
      </c>
      <c r="G10" s="38">
        <v>2</v>
      </c>
      <c r="H10" s="38">
        <v>2</v>
      </c>
      <c r="I10" s="38">
        <v>0.5</v>
      </c>
      <c r="J10" s="38">
        <v>0.5</v>
      </c>
      <c r="K10" s="233">
        <f t="shared" si="0"/>
        <v>210.36292499999999</v>
      </c>
      <c r="L10" s="208">
        <f t="shared" si="0"/>
        <v>210.36292499999999</v>
      </c>
      <c r="N10" s="269" t="s">
        <v>204</v>
      </c>
    </row>
    <row r="11" spans="2:14" ht="36" x14ac:dyDescent="0.25">
      <c r="B11" s="19" t="s">
        <v>41</v>
      </c>
      <c r="C11" s="39">
        <v>0</v>
      </c>
      <c r="D11" s="39">
        <v>0</v>
      </c>
      <c r="E11" s="241">
        <v>1.2</v>
      </c>
      <c r="F11" s="241">
        <v>1.2</v>
      </c>
      <c r="G11" s="241">
        <v>12</v>
      </c>
      <c r="H11" s="241">
        <v>12</v>
      </c>
      <c r="I11" s="241">
        <v>0.6</v>
      </c>
      <c r="J11" s="241">
        <v>0.6</v>
      </c>
      <c r="K11" s="233">
        <f t="shared" si="0"/>
        <v>1015.971642</v>
      </c>
      <c r="L11" s="208">
        <f t="shared" si="0"/>
        <v>1015.971642</v>
      </c>
      <c r="N11" s="269" t="s">
        <v>249</v>
      </c>
    </row>
    <row r="12" spans="2:14" x14ac:dyDescent="0.25">
      <c r="B12" s="16" t="s">
        <v>42</v>
      </c>
      <c r="C12" s="38">
        <v>0</v>
      </c>
      <c r="D12" s="38">
        <v>0</v>
      </c>
      <c r="E12" s="38">
        <v>1</v>
      </c>
      <c r="F12" s="38">
        <v>1</v>
      </c>
      <c r="G12" s="38">
        <v>4</v>
      </c>
      <c r="H12" s="38">
        <v>4</v>
      </c>
      <c r="I12" s="38">
        <v>1</v>
      </c>
      <c r="J12" s="38">
        <v>1</v>
      </c>
      <c r="K12" s="233">
        <f t="shared" si="0"/>
        <v>420.72584999999998</v>
      </c>
      <c r="L12" s="208">
        <f t="shared" si="0"/>
        <v>420.72584999999998</v>
      </c>
      <c r="N12" s="269" t="s">
        <v>213</v>
      </c>
    </row>
    <row r="13" spans="2:14" ht="15.75" thickBot="1" x14ac:dyDescent="0.3">
      <c r="B13" s="44" t="s">
        <v>43</v>
      </c>
      <c r="C13" s="46">
        <f>SUM(C8:C12)</f>
        <v>2</v>
      </c>
      <c r="D13" s="46">
        <f t="shared" ref="D13:J13" si="1">SUM(D8:D12)</f>
        <v>2</v>
      </c>
      <c r="E13" s="46">
        <f t="shared" si="1"/>
        <v>3.2</v>
      </c>
      <c r="F13" s="46">
        <f t="shared" si="1"/>
        <v>3.2</v>
      </c>
      <c r="G13" s="46">
        <f t="shared" si="1"/>
        <v>23</v>
      </c>
      <c r="H13" s="46">
        <f>SUM(H8:H12)</f>
        <v>23</v>
      </c>
      <c r="I13" s="46">
        <f t="shared" si="1"/>
        <v>2.4</v>
      </c>
      <c r="J13" s="46">
        <f t="shared" si="1"/>
        <v>2.4</v>
      </c>
      <c r="K13" s="234">
        <f>SUM(K8:K12)</f>
        <v>2301.6808419999998</v>
      </c>
      <c r="L13" s="209">
        <f>SUM(L8:L12)</f>
        <v>2301.6808419999998</v>
      </c>
      <c r="M13" s="53"/>
    </row>
    <row r="14" spans="2:14" ht="16.5" thickTop="1" thickBot="1" x14ac:dyDescent="0.3">
      <c r="E14" s="128"/>
      <c r="F14" s="128"/>
      <c r="G14" s="128"/>
      <c r="H14" s="128"/>
      <c r="I14" s="128"/>
      <c r="J14" s="128"/>
      <c r="K14" s="128"/>
      <c r="L14" s="128"/>
    </row>
    <row r="15" spans="2:14" ht="25.5" thickTop="1" thickBot="1" x14ac:dyDescent="0.3">
      <c r="B15" s="159" t="s">
        <v>44</v>
      </c>
      <c r="C15" s="31">
        <f t="shared" ref="C15:L15" si="2">C13</f>
        <v>2</v>
      </c>
      <c r="D15" s="31">
        <f t="shared" si="2"/>
        <v>2</v>
      </c>
      <c r="E15" s="31">
        <f t="shared" si="2"/>
        <v>3.2</v>
      </c>
      <c r="F15" s="31">
        <f t="shared" si="2"/>
        <v>3.2</v>
      </c>
      <c r="G15" s="31">
        <f t="shared" si="2"/>
        <v>23</v>
      </c>
      <c r="H15" s="31">
        <f t="shared" si="2"/>
        <v>23</v>
      </c>
      <c r="I15" s="31">
        <f t="shared" si="2"/>
        <v>2.4</v>
      </c>
      <c r="J15" s="31">
        <f t="shared" si="2"/>
        <v>2.4</v>
      </c>
      <c r="K15" s="119">
        <f t="shared" si="2"/>
        <v>2301.6808419999998</v>
      </c>
      <c r="L15" s="120">
        <f t="shared" si="2"/>
        <v>2301.6808419999998</v>
      </c>
      <c r="M15" s="121"/>
    </row>
    <row r="16" spans="2:14" ht="15.75" thickTop="1" x14ac:dyDescent="0.25"/>
    <row r="17" spans="2:10" ht="15.75" thickBot="1" x14ac:dyDescent="0.3">
      <c r="B17" s="13" t="s">
        <v>226</v>
      </c>
    </row>
    <row r="18" spans="2:10" ht="48.75" customHeight="1" thickTop="1" x14ac:dyDescent="0.25">
      <c r="B18" s="993" t="s">
        <v>28</v>
      </c>
      <c r="C18" s="995" t="s">
        <v>45</v>
      </c>
      <c r="D18" s="996"/>
      <c r="E18" s="996"/>
      <c r="F18" s="997"/>
      <c r="G18" s="998" t="s">
        <v>133</v>
      </c>
      <c r="H18" s="999"/>
    </row>
    <row r="19" spans="2:10" ht="36" x14ac:dyDescent="0.25">
      <c r="B19" s="994"/>
      <c r="C19" s="14" t="s">
        <v>134</v>
      </c>
      <c r="D19" s="14" t="s">
        <v>46</v>
      </c>
      <c r="E19" s="14" t="s">
        <v>135</v>
      </c>
      <c r="F19" s="14" t="s">
        <v>136</v>
      </c>
      <c r="G19" s="14" t="s">
        <v>3</v>
      </c>
      <c r="H19" s="15" t="s">
        <v>47</v>
      </c>
    </row>
    <row r="20" spans="2:10" ht="48" x14ac:dyDescent="0.25">
      <c r="B20" s="16" t="s">
        <v>48</v>
      </c>
      <c r="C20" s="17" t="s">
        <v>49</v>
      </c>
      <c r="D20" s="17"/>
      <c r="E20" s="17" t="s">
        <v>49</v>
      </c>
      <c r="F20" s="17" t="s">
        <v>49</v>
      </c>
      <c r="G20" s="17" t="s">
        <v>49</v>
      </c>
      <c r="H20" s="18" t="s">
        <v>49</v>
      </c>
    </row>
    <row r="21" spans="2:10" ht="24" x14ac:dyDescent="0.25">
      <c r="B21" s="19" t="s">
        <v>50</v>
      </c>
      <c r="C21" s="20" t="s">
        <v>49</v>
      </c>
      <c r="D21" s="21"/>
      <c r="E21" s="20" t="s">
        <v>49</v>
      </c>
      <c r="F21" s="20" t="s">
        <v>49</v>
      </c>
      <c r="G21" s="20" t="s">
        <v>49</v>
      </c>
      <c r="H21" s="22" t="s">
        <v>49</v>
      </c>
    </row>
    <row r="22" spans="2:10" x14ac:dyDescent="0.25">
      <c r="B22" s="16" t="s">
        <v>40</v>
      </c>
      <c r="C22" s="23">
        <v>0</v>
      </c>
      <c r="D22" s="17"/>
      <c r="E22" s="23">
        <v>0</v>
      </c>
      <c r="F22" s="23">
        <f>50*Inflation</f>
        <v>62.378854625550659</v>
      </c>
      <c r="G22" s="23">
        <f>50*Inflation</f>
        <v>62.378854625550659</v>
      </c>
      <c r="H22" s="24">
        <f>50*Inflation</f>
        <v>62.378854625550659</v>
      </c>
      <c r="I22" s="326" t="s">
        <v>216</v>
      </c>
    </row>
    <row r="23" spans="2:10" x14ac:dyDescent="0.25">
      <c r="B23" s="19" t="s">
        <v>51</v>
      </c>
      <c r="C23" s="20" t="s">
        <v>49</v>
      </c>
      <c r="D23" s="21"/>
      <c r="E23" s="20" t="s">
        <v>49</v>
      </c>
      <c r="F23" s="20" t="s">
        <v>49</v>
      </c>
      <c r="G23" s="20" t="s">
        <v>49</v>
      </c>
      <c r="H23" s="22" t="s">
        <v>49</v>
      </c>
      <c r="I23" s="327"/>
    </row>
    <row r="24" spans="2:10" ht="24" x14ac:dyDescent="0.25">
      <c r="B24" s="16" t="s">
        <v>52</v>
      </c>
      <c r="C24" s="17" t="s">
        <v>49</v>
      </c>
      <c r="D24" s="17"/>
      <c r="E24" s="17" t="s">
        <v>49</v>
      </c>
      <c r="F24" s="23">
        <f>1000*Inflation</f>
        <v>1247.5770925110132</v>
      </c>
      <c r="G24" s="23">
        <f>1000*Inflation</f>
        <v>1247.5770925110132</v>
      </c>
      <c r="H24" s="24">
        <f>1000*Inflation</f>
        <v>1247.5770925110132</v>
      </c>
      <c r="I24" s="326" t="s">
        <v>248</v>
      </c>
    </row>
    <row r="25" spans="2:10" ht="15.75" thickBot="1" x14ac:dyDescent="0.3">
      <c r="B25" s="25" t="s">
        <v>43</v>
      </c>
      <c r="C25" s="26">
        <f>SUM(C20:C24)</f>
        <v>0</v>
      </c>
      <c r="D25" s="26">
        <f t="shared" ref="D25:E25" si="3">SUM(D20:D24)</f>
        <v>0</v>
      </c>
      <c r="E25" s="26">
        <f t="shared" si="3"/>
        <v>0</v>
      </c>
      <c r="F25" s="26">
        <f>SUM(F24,F22)</f>
        <v>1309.955947136564</v>
      </c>
      <c r="G25" s="26">
        <f>SUM(G24,G22)</f>
        <v>1309.955947136564</v>
      </c>
      <c r="H25" s="28">
        <f>SUM(H24,H22)</f>
        <v>1309.955947136564</v>
      </c>
    </row>
    <row r="26" spans="2:10" ht="16.5" thickTop="1" thickBot="1" x14ac:dyDescent="0.3">
      <c r="B26" s="29"/>
    </row>
    <row r="27" spans="2:10" ht="16.5" thickTop="1" thickBot="1" x14ac:dyDescent="0.3">
      <c r="B27" s="30" t="s">
        <v>53</v>
      </c>
      <c r="C27" s="31"/>
      <c r="D27" s="31"/>
      <c r="E27" s="31"/>
      <c r="F27" s="31"/>
      <c r="G27" s="32">
        <f>G25</f>
        <v>1309.955947136564</v>
      </c>
      <c r="H27" s="33">
        <f>H25</f>
        <v>1309.955947136564</v>
      </c>
    </row>
    <row r="28" spans="2:10" ht="16.5" thickTop="1" thickBot="1" x14ac:dyDescent="0.3"/>
    <row r="29" spans="2:10" ht="49.5" thickTop="1" thickBot="1" x14ac:dyDescent="0.3">
      <c r="B29" s="34" t="s">
        <v>54</v>
      </c>
      <c r="C29" s="31"/>
      <c r="D29" s="31"/>
      <c r="E29" s="31"/>
      <c r="F29" s="31"/>
      <c r="G29" s="32">
        <f>K15+G27</f>
        <v>3611.6367891365635</v>
      </c>
      <c r="H29" s="33">
        <f>L15+H27</f>
        <v>3611.6367891365635</v>
      </c>
      <c r="J29" s="122"/>
    </row>
    <row r="30" spans="2:10" ht="15.75" thickTop="1" x14ac:dyDescent="0.25">
      <c r="B30" s="35" t="s">
        <v>191</v>
      </c>
    </row>
    <row r="31" spans="2:10" ht="15.75" thickBot="1" x14ac:dyDescent="0.3"/>
    <row r="32" spans="2:10" ht="15.75" thickTop="1" x14ac:dyDescent="0.25">
      <c r="B32" s="989" t="s">
        <v>152</v>
      </c>
      <c r="C32" s="990"/>
      <c r="D32" s="991"/>
      <c r="E32" s="167"/>
      <c r="F32" s="989" t="s">
        <v>154</v>
      </c>
      <c r="G32" s="991"/>
    </row>
    <row r="33" spans="2:9" ht="24" x14ac:dyDescent="0.25">
      <c r="B33" s="164" t="s">
        <v>57</v>
      </c>
      <c r="C33" s="324" t="s">
        <v>3</v>
      </c>
      <c r="D33" s="169" t="s">
        <v>47</v>
      </c>
      <c r="F33" s="168" t="s">
        <v>3</v>
      </c>
      <c r="G33" s="169" t="s">
        <v>47</v>
      </c>
    </row>
    <row r="34" spans="2:9" ht="15.75" thickBot="1" x14ac:dyDescent="0.3">
      <c r="B34" s="283">
        <v>-3</v>
      </c>
      <c r="C34" s="284">
        <f>K15*$B$34</f>
        <v>-6905.0425259999993</v>
      </c>
      <c r="D34" s="300">
        <f t="shared" ref="D34" si="4">L15*$B$34</f>
        <v>-6905.0425259999993</v>
      </c>
      <c r="F34" s="287">
        <f>B34*G27</f>
        <v>-3929.8678414096921</v>
      </c>
      <c r="G34" s="288">
        <f>B34*H27</f>
        <v>-3929.8678414096921</v>
      </c>
      <c r="I34" s="269" t="s">
        <v>1178</v>
      </c>
    </row>
    <row r="35" spans="2:9" ht="15.75" thickTop="1" x14ac:dyDescent="0.25">
      <c r="B35" s="165" t="s">
        <v>58</v>
      </c>
      <c r="C35" s="166"/>
      <c r="D35" s="166"/>
      <c r="E35" s="166"/>
    </row>
    <row r="36" spans="2:9" x14ac:dyDescent="0.25">
      <c r="B36" s="992" t="s">
        <v>153</v>
      </c>
      <c r="C36" s="992"/>
      <c r="D36" s="992"/>
      <c r="E36" s="992"/>
    </row>
    <row r="38" spans="2:9" x14ac:dyDescent="0.25">
      <c r="B38" s="346" t="s">
        <v>349</v>
      </c>
    </row>
  </sheetData>
  <mergeCells count="19">
    <mergeCell ref="K6:L6"/>
    <mergeCell ref="B18:B19"/>
    <mergeCell ref="C18:F18"/>
    <mergeCell ref="G18:H18"/>
    <mergeCell ref="B4:B7"/>
    <mergeCell ref="C4:J4"/>
    <mergeCell ref="K4:L4"/>
    <mergeCell ref="C5:D5"/>
    <mergeCell ref="E5:F5"/>
    <mergeCell ref="G5:H5"/>
    <mergeCell ref="I5:J5"/>
    <mergeCell ref="K5:L5"/>
    <mergeCell ref="C6:D6"/>
    <mergeCell ref="E6:F6"/>
    <mergeCell ref="B32:D32"/>
    <mergeCell ref="B36:E36"/>
    <mergeCell ref="F32:G32"/>
    <mergeCell ref="G6:H6"/>
    <mergeCell ref="I6:J6"/>
  </mergeCells>
  <hyperlinks>
    <hyperlink ref="B38" location="'Table of Contents'!A1" display="Table of Contents" xr:uid="{D475A9FE-E1DF-4D2C-B611-E2D9EE57C53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D65EB-25DB-4F3A-855A-18D4DED9EF16}">
  <sheetPr codeName="Sheet2"/>
  <dimension ref="B2:L63"/>
  <sheetViews>
    <sheetView zoomScaleNormal="100" workbookViewId="0">
      <selection activeCell="J15" sqref="J15"/>
    </sheetView>
  </sheetViews>
  <sheetFormatPr defaultRowHeight="15" x14ac:dyDescent="0.25"/>
  <cols>
    <col min="2" max="2" width="83.28515625" customWidth="1"/>
    <col min="3" max="3" width="10.85546875" customWidth="1"/>
    <col min="4" max="4" width="15" customWidth="1"/>
    <col min="5" max="5" width="18.5703125" customWidth="1"/>
    <col min="6" max="6" width="13.42578125" customWidth="1"/>
    <col min="7" max="7" width="3" customWidth="1"/>
    <col min="8" max="8" width="14" customWidth="1"/>
    <col min="9" max="9" width="16.5703125" customWidth="1"/>
    <col min="10" max="10" width="11.85546875" customWidth="1"/>
  </cols>
  <sheetData>
    <row r="2" spans="2:11" ht="15.75" thickBot="1" x14ac:dyDescent="0.3">
      <c r="B2" s="1" t="s">
        <v>151</v>
      </c>
      <c r="C2" s="1"/>
    </row>
    <row r="3" spans="2:11" ht="15.75" thickBot="1" x14ac:dyDescent="0.3">
      <c r="B3" s="984" t="s">
        <v>0</v>
      </c>
      <c r="C3" s="981" t="s">
        <v>367</v>
      </c>
      <c r="D3" s="987" t="s">
        <v>1</v>
      </c>
      <c r="E3" s="988"/>
      <c r="F3" s="981" t="s">
        <v>2</v>
      </c>
      <c r="G3" s="375"/>
      <c r="H3" s="981" t="s">
        <v>363</v>
      </c>
      <c r="I3" s="981" t="s">
        <v>364</v>
      </c>
    </row>
    <row r="4" spans="2:11" x14ac:dyDescent="0.25">
      <c r="B4" s="985"/>
      <c r="C4" s="982" t="s">
        <v>367</v>
      </c>
      <c r="D4" s="984" t="s">
        <v>3</v>
      </c>
      <c r="E4" s="981" t="s">
        <v>4</v>
      </c>
      <c r="F4" s="982"/>
      <c r="G4" s="368"/>
      <c r="H4" s="982"/>
      <c r="I4" s="982"/>
    </row>
    <row r="5" spans="2:11" ht="34.5" customHeight="1" thickBot="1" x14ac:dyDescent="0.3">
      <c r="B5" s="986"/>
      <c r="C5" s="983"/>
      <c r="D5" s="986"/>
      <c r="E5" s="983"/>
      <c r="F5" s="983"/>
      <c r="G5" s="369"/>
      <c r="H5" s="983"/>
      <c r="I5" s="983"/>
    </row>
    <row r="6" spans="2:11" ht="15.75" thickBot="1" x14ac:dyDescent="0.3">
      <c r="B6" s="116" t="s">
        <v>1170</v>
      </c>
      <c r="C6" s="376">
        <f>'Reporting Cost Summary'!C6</f>
        <v>7840</v>
      </c>
      <c r="D6" s="170">
        <f>+'Reporting Cost Summary'!D6</f>
        <v>64133.072192000014</v>
      </c>
      <c r="E6" s="2">
        <f>+'Reporting Cost Summary'!D6</f>
        <v>64133.072192000014</v>
      </c>
      <c r="F6" s="171">
        <v>0</v>
      </c>
      <c r="G6" s="370"/>
      <c r="H6" s="170">
        <f>D6+F6</f>
        <v>64133.072192000014</v>
      </c>
      <c r="I6" s="170">
        <f>E6+F6</f>
        <v>64133.072192000014</v>
      </c>
      <c r="J6" s="5"/>
    </row>
    <row r="7" spans="2:11" ht="15.75" thickBot="1" x14ac:dyDescent="0.3">
      <c r="B7" s="117" t="s">
        <v>15</v>
      </c>
      <c r="C7" s="376">
        <f>'Reporting Cost Summary'!C6</f>
        <v>7840</v>
      </c>
      <c r="D7" s="170">
        <f>'B (New Subpart)'!C33</f>
        <v>8771243.3614400011</v>
      </c>
      <c r="E7" s="170">
        <f>'B (New Subpart)'!D33</f>
        <v>4700876.56752</v>
      </c>
      <c r="F7" s="170">
        <f>'B (New Subpart)'!G33</f>
        <v>489050.22026431718</v>
      </c>
      <c r="G7" s="370"/>
      <c r="H7" s="170">
        <f t="shared" ref="H7:H30" si="0">D7+F7</f>
        <v>9260293.5817043185</v>
      </c>
      <c r="I7" s="170">
        <f t="shared" ref="I7:I30" si="1">E7+F7</f>
        <v>5189926.7877843175</v>
      </c>
    </row>
    <row r="8" spans="2:11" ht="15.75" thickBot="1" x14ac:dyDescent="0.3">
      <c r="B8" s="116" t="s">
        <v>1169</v>
      </c>
      <c r="C8" s="376">
        <f>'Reporting Cost Summary'!C7</f>
        <v>346</v>
      </c>
      <c r="D8" s="170">
        <f>+'Reporting Cost Summary'!D7</f>
        <v>9906.2691868000002</v>
      </c>
      <c r="E8" s="2">
        <f>+'Reporting Cost Summary'!D7</f>
        <v>9906.2691868000002</v>
      </c>
      <c r="F8" s="903"/>
      <c r="G8" s="371"/>
      <c r="H8" s="170">
        <f t="shared" si="0"/>
        <v>9906.2691868000002</v>
      </c>
      <c r="I8" s="170">
        <f t="shared" si="1"/>
        <v>9906.2691868000002</v>
      </c>
      <c r="J8" s="5"/>
      <c r="K8" s="305"/>
    </row>
    <row r="9" spans="2:11" ht="15.75" thickBot="1" x14ac:dyDescent="0.3">
      <c r="B9" s="116" t="s">
        <v>5</v>
      </c>
      <c r="C9" s="376">
        <f>'Reporting Cost Summary'!C8</f>
        <v>7</v>
      </c>
      <c r="D9" s="170">
        <f>+'Reporting Cost Summary'!D8</f>
        <v>57.261671600000014</v>
      </c>
      <c r="E9" s="170">
        <f>+'Reporting Cost Summary'!D8</f>
        <v>57.261671600000014</v>
      </c>
      <c r="F9" s="171"/>
      <c r="G9" s="370"/>
      <c r="H9" s="170">
        <f t="shared" si="0"/>
        <v>57.261671600000014</v>
      </c>
      <c r="I9" s="170">
        <f t="shared" si="1"/>
        <v>57.261671600000014</v>
      </c>
    </row>
    <row r="10" spans="2:11" ht="15.75" thickBot="1" x14ac:dyDescent="0.3">
      <c r="B10" s="117" t="s">
        <v>6</v>
      </c>
      <c r="C10" s="376">
        <f>'Reporting Cost Summary'!C9</f>
        <v>29</v>
      </c>
      <c r="D10" s="170">
        <f>+'Reporting Cost Summary'!D9</f>
        <v>118.61346260000002</v>
      </c>
      <c r="E10" s="170">
        <f>+'Reporting Cost Summary'!D9</f>
        <v>118.61346260000002</v>
      </c>
      <c r="F10" s="171"/>
      <c r="G10" s="370"/>
      <c r="H10" s="170">
        <f t="shared" si="0"/>
        <v>118.61346260000002</v>
      </c>
      <c r="I10" s="170">
        <f t="shared" si="1"/>
        <v>118.61346260000002</v>
      </c>
    </row>
    <row r="11" spans="2:11" ht="15.75" thickBot="1" x14ac:dyDescent="0.3">
      <c r="B11" s="117" t="s">
        <v>272</v>
      </c>
      <c r="C11" s="376">
        <v>46</v>
      </c>
      <c r="D11" s="170">
        <v>0</v>
      </c>
      <c r="E11" s="170">
        <v>0</v>
      </c>
      <c r="F11" s="171">
        <v>0</v>
      </c>
      <c r="G11" s="370"/>
      <c r="H11" s="170">
        <f t="shared" si="0"/>
        <v>0</v>
      </c>
      <c r="I11" s="170">
        <f t="shared" si="1"/>
        <v>0</v>
      </c>
    </row>
    <row r="12" spans="2:11" ht="15.75" thickBot="1" x14ac:dyDescent="0.3">
      <c r="B12" s="117" t="s">
        <v>7</v>
      </c>
      <c r="C12" s="376">
        <f>'Reporting Cost Summary'!C10</f>
        <v>100</v>
      </c>
      <c r="D12" s="170">
        <f>+'Reporting Cost Summary'!D10</f>
        <v>1227.0358200000001</v>
      </c>
      <c r="E12" s="170">
        <f>+'Reporting Cost Summary'!D10</f>
        <v>1227.0358200000001</v>
      </c>
      <c r="F12" s="171"/>
      <c r="G12" s="370"/>
      <c r="H12" s="170">
        <f t="shared" si="0"/>
        <v>1227.0358200000001</v>
      </c>
      <c r="I12" s="170">
        <f t="shared" si="1"/>
        <v>1227.0358200000001</v>
      </c>
    </row>
    <row r="13" spans="2:11" ht="15.75" thickBot="1" x14ac:dyDescent="0.3">
      <c r="B13" s="117" t="s">
        <v>8</v>
      </c>
      <c r="C13" s="376">
        <f>'Reporting Cost Summary'!C11</f>
        <v>116</v>
      </c>
      <c r="D13" s="170">
        <f>'Subpart P (Applicability)'!C35+'Reporting Cost Summary'!D11</f>
        <v>7178.6644731999995</v>
      </c>
      <c r="E13" s="170">
        <f>'Subpart P (Applicability)'!D35+'Reporting Cost Summary'!D11</f>
        <v>7178.6644731999995</v>
      </c>
      <c r="F13" s="171">
        <f>'Subpart P (Applicability)'!G35</f>
        <v>4481.2969162995596</v>
      </c>
      <c r="G13" s="370"/>
      <c r="H13" s="170">
        <f t="shared" si="0"/>
        <v>11659.96138949956</v>
      </c>
      <c r="I13" s="170">
        <f t="shared" si="1"/>
        <v>11659.96138949956</v>
      </c>
    </row>
    <row r="14" spans="2:11" ht="15.75" thickBot="1" x14ac:dyDescent="0.3">
      <c r="B14" s="117" t="s">
        <v>1168</v>
      </c>
      <c r="C14" s="376">
        <f>1</f>
        <v>1</v>
      </c>
      <c r="D14" s="172">
        <f>'Subpart V (Applicability)'!C34</f>
        <v>-2680.1040509999998</v>
      </c>
      <c r="E14" s="170">
        <f>'Subpart V (Applicability)'!D34</f>
        <v>-2680.1040509999998</v>
      </c>
      <c r="F14" s="170">
        <f>'Subpart V (Applicability)'!G34</f>
        <v>-11084.722466960353</v>
      </c>
      <c r="G14" s="370"/>
      <c r="H14" s="170">
        <f t="shared" si="0"/>
        <v>-13764.826517960353</v>
      </c>
      <c r="I14" s="170">
        <f t="shared" si="1"/>
        <v>-13764.826517960353</v>
      </c>
    </row>
    <row r="15" spans="2:11" ht="15.75" thickBot="1" x14ac:dyDescent="0.3">
      <c r="B15" s="117" t="s">
        <v>9</v>
      </c>
      <c r="C15" s="376">
        <f>'Subpart W (Applicability)'!D17</f>
        <v>188</v>
      </c>
      <c r="D15" s="172">
        <f>'Subpart W (Applicability)'!U17</f>
        <v>2620418.1941540604</v>
      </c>
      <c r="E15" s="172">
        <f>'Subpart W (Applicability)'!U17</f>
        <v>2620418.1941540604</v>
      </c>
      <c r="F15" s="172">
        <f>'Subpart W (Applicability)'!V17</f>
        <v>2717863.5788032156</v>
      </c>
      <c r="G15" s="372"/>
      <c r="H15" s="172">
        <f>D15+F15</f>
        <v>5338281.7729572766</v>
      </c>
      <c r="I15" s="172">
        <f>E15+F15</f>
        <v>5338281.7729572766</v>
      </c>
      <c r="J15" s="731"/>
    </row>
    <row r="16" spans="2:11" ht="15.75" thickBot="1" x14ac:dyDescent="0.3">
      <c r="B16" s="117" t="s">
        <v>10</v>
      </c>
      <c r="C16" s="377">
        <f>'Reporting Cost Summary'!C12</f>
        <v>6</v>
      </c>
      <c r="D16" s="170">
        <f>'Subpart Y (Applicability)'!C34+'Reporting Cost Summary'!D12</f>
        <v>-6880.5018095999994</v>
      </c>
      <c r="E16" s="170">
        <f>'Subpart Y (Applicability)'!D34+'Reporting Cost Summary'!D12</f>
        <v>-6880.5018095999994</v>
      </c>
      <c r="F16" s="170">
        <f>'Subpart Y (Applicability)'!G34</f>
        <v>-3929.8678414096921</v>
      </c>
      <c r="G16" s="370"/>
      <c r="H16" s="170">
        <f t="shared" si="0"/>
        <v>-10810.369651009692</v>
      </c>
      <c r="I16" s="170">
        <f t="shared" si="1"/>
        <v>-10810.369651009692</v>
      </c>
    </row>
    <row r="17" spans="2:9" ht="15.75" thickBot="1" x14ac:dyDescent="0.3">
      <c r="B17" s="117" t="s">
        <v>11</v>
      </c>
      <c r="C17" s="376">
        <f>'Reporting Cost Summary'!C13</f>
        <v>1</v>
      </c>
      <c r="D17" s="170">
        <f>'Subpart AA (Calculations)'!C19+'Reporting Cost Summary'!D13</f>
        <v>104.15535180000001</v>
      </c>
      <c r="E17" s="170">
        <f>'Subpart AA (Calculations)'!D19+'Reporting Cost Summary'!D13</f>
        <v>104.15535180000001</v>
      </c>
      <c r="F17" s="170"/>
      <c r="G17" s="370"/>
      <c r="H17" s="170">
        <f t="shared" si="0"/>
        <v>104.15535180000001</v>
      </c>
      <c r="I17" s="170">
        <f t="shared" si="1"/>
        <v>104.15535180000001</v>
      </c>
    </row>
    <row r="18" spans="2:9" ht="15.75" thickBot="1" x14ac:dyDescent="0.3">
      <c r="B18" s="117" t="s">
        <v>12</v>
      </c>
      <c r="C18" s="376">
        <f>'Subpart DD (Applicability)'!B35</f>
        <v>2</v>
      </c>
      <c r="D18" s="172">
        <f>'Subpart DD (Applicability)'!C35</f>
        <v>6200.1288299999997</v>
      </c>
      <c r="E18" s="172">
        <f>'Subpart DD (Applicability)'!D35</f>
        <v>6200.1288299999997</v>
      </c>
      <c r="F18" s="172">
        <f>'Subpart DD (Applicability)'!G35</f>
        <v>3118.9427312775333</v>
      </c>
      <c r="G18" s="372"/>
      <c r="H18" s="170">
        <f t="shared" si="0"/>
        <v>9319.071561277533</v>
      </c>
      <c r="I18" s="170">
        <f t="shared" si="1"/>
        <v>9319.071561277533</v>
      </c>
    </row>
    <row r="19" spans="2:9" ht="15.75" thickBot="1" x14ac:dyDescent="0.3">
      <c r="B19" s="117" t="s">
        <v>13</v>
      </c>
      <c r="C19" s="376">
        <f>'Reporting Cost Summary'!C14</f>
        <v>1126</v>
      </c>
      <c r="D19" s="170">
        <f>'Subpart HH (Applicability)'!C35+'Subpart HH (Calculations)'!C19+'HH (Data Elements)'!C23</f>
        <v>130188.34609539999</v>
      </c>
      <c r="E19" s="170">
        <f>'Subpart HH (Applicability)'!D35+'Subpart HH (Calculations)'!D19+'HH (Data Elements)'!C23</f>
        <v>127330.09597540001</v>
      </c>
      <c r="F19" s="170">
        <f>'Subpart HH (Applicability)'!G35</f>
        <v>374.27312775330392</v>
      </c>
      <c r="G19" s="370"/>
      <c r="H19" s="170">
        <f>D19+F19</f>
        <v>130562.61922315329</v>
      </c>
      <c r="I19" s="170">
        <f>E19+F19</f>
        <v>127704.36910315331</v>
      </c>
    </row>
    <row r="20" spans="2:9" ht="15.75" thickBot="1" x14ac:dyDescent="0.3">
      <c r="B20" s="117" t="s">
        <v>1167</v>
      </c>
      <c r="C20" s="376">
        <f>'Subpart II (Applicability)'!B34</f>
        <v>2</v>
      </c>
      <c r="D20" s="170">
        <f>'Subpart II (Applicability)'!C34</f>
        <v>5287.7472980000002</v>
      </c>
      <c r="E20" s="170">
        <f>'Subpart II (Applicability)'!D34</f>
        <v>4712.6777140000004</v>
      </c>
      <c r="F20" s="170">
        <f>'Subpart II (Applicability)'!G34</f>
        <v>3076.5251101321587</v>
      </c>
      <c r="G20" s="370"/>
      <c r="H20" s="170">
        <f t="shared" si="0"/>
        <v>8364.2724081321594</v>
      </c>
      <c r="I20" s="170">
        <f t="shared" si="1"/>
        <v>7789.2028241321586</v>
      </c>
    </row>
    <row r="21" spans="2:9" ht="15.75" thickBot="1" x14ac:dyDescent="0.3">
      <c r="B21" s="117" t="s">
        <v>196</v>
      </c>
      <c r="C21" s="376">
        <f>'Reporting Cost Summary'!C15</f>
        <v>104</v>
      </c>
      <c r="D21" s="170">
        <f>'Subpart OO (Applicability)'!C35+'Reporting Cost Summary'!D15</f>
        <v>6679.9813544000008</v>
      </c>
      <c r="E21" s="170">
        <f>'Subpart OO (Applicability)'!D35+'Reporting Cost Summary'!D15</f>
        <v>6679.9813544000008</v>
      </c>
      <c r="F21" s="170">
        <f>'Subpart OO (Applicability)'!G35</f>
        <v>62.378854625550659</v>
      </c>
      <c r="G21" s="370"/>
      <c r="H21" s="170">
        <f t="shared" si="0"/>
        <v>6742.3602090255517</v>
      </c>
      <c r="I21" s="170">
        <f t="shared" si="1"/>
        <v>6742.3602090255517</v>
      </c>
    </row>
    <row r="22" spans="2:9" ht="15.75" thickBot="1" x14ac:dyDescent="0.3">
      <c r="B22" s="117" t="s">
        <v>1182</v>
      </c>
      <c r="C22" s="376">
        <f>'Reporting Cost Summary'!C16</f>
        <v>11</v>
      </c>
      <c r="D22" s="170">
        <f>'PP (Data Elements)'!C23</f>
        <v>134.97394020000002</v>
      </c>
      <c r="E22" s="170">
        <f>'PP (Data Elements)'!C23</f>
        <v>134.97394020000002</v>
      </c>
      <c r="F22" s="170"/>
      <c r="G22" s="370"/>
      <c r="H22" s="170">
        <f t="shared" si="0"/>
        <v>134.97394020000002</v>
      </c>
      <c r="I22" s="170">
        <f t="shared" si="1"/>
        <v>134.97394020000002</v>
      </c>
    </row>
    <row r="23" spans="2:9" ht="30.75" thickBot="1" x14ac:dyDescent="0.3">
      <c r="B23" s="117" t="s">
        <v>1158</v>
      </c>
      <c r="C23" s="376">
        <f>'Reporting Cost Summary'!C17</f>
        <v>33</v>
      </c>
      <c r="D23" s="170">
        <f>+'Reporting Cost Summary'!D17</f>
        <v>384.47122360000003</v>
      </c>
      <c r="E23" s="170">
        <f>+'Reporting Cost Summary'!D17</f>
        <v>384.47122360000003</v>
      </c>
      <c r="F23" s="170"/>
      <c r="G23" s="370"/>
      <c r="H23" s="170">
        <f t="shared" si="0"/>
        <v>384.47122360000003</v>
      </c>
      <c r="I23" s="170">
        <f t="shared" si="1"/>
        <v>384.47122360000003</v>
      </c>
    </row>
    <row r="24" spans="2:9" ht="15.75" thickBot="1" x14ac:dyDescent="0.3">
      <c r="B24" s="117" t="s">
        <v>1159</v>
      </c>
      <c r="C24" s="376">
        <v>9</v>
      </c>
      <c r="D24" s="170">
        <v>0</v>
      </c>
      <c r="E24" s="170">
        <v>0</v>
      </c>
      <c r="F24" s="904">
        <v>0</v>
      </c>
      <c r="G24" s="373"/>
      <c r="H24" s="170">
        <f t="shared" si="0"/>
        <v>0</v>
      </c>
      <c r="I24" s="170">
        <f t="shared" si="1"/>
        <v>0</v>
      </c>
    </row>
    <row r="25" spans="2:9" ht="15.75" thickBot="1" x14ac:dyDescent="0.3">
      <c r="B25" s="117" t="s">
        <v>1160</v>
      </c>
      <c r="C25" s="376">
        <f>'Subpart TT (Applicability)'!B34</f>
        <v>1</v>
      </c>
      <c r="D25" s="170">
        <f>'Subpart TT (Applicability)'!C34</f>
        <v>4852.6056800000006</v>
      </c>
      <c r="E25" s="170">
        <f>'Subpart TT (Applicability)'!D34</f>
        <v>3933.9487399999998</v>
      </c>
      <c r="F25" s="170">
        <f>'Subpart TT (Applicability)'!G34</f>
        <v>62.378854625550659</v>
      </c>
      <c r="G25" s="370"/>
      <c r="H25" s="170">
        <f t="shared" si="0"/>
        <v>4914.9845346255515</v>
      </c>
      <c r="I25" s="170">
        <f t="shared" si="1"/>
        <v>3996.3275946255503</v>
      </c>
    </row>
    <row r="26" spans="2:9" ht="15.75" thickBot="1" x14ac:dyDescent="0.3">
      <c r="B26" s="407" t="s">
        <v>1161</v>
      </c>
      <c r="C26" s="376"/>
      <c r="D26" s="170"/>
      <c r="E26" s="170"/>
      <c r="F26" s="170"/>
      <c r="G26" s="370"/>
      <c r="H26" s="170"/>
      <c r="I26" s="170"/>
    </row>
    <row r="27" spans="2:9" ht="30.75" thickBot="1" x14ac:dyDescent="0.3">
      <c r="B27" s="407" t="s">
        <v>1162</v>
      </c>
      <c r="C27" s="376">
        <v>2</v>
      </c>
      <c r="D27" s="170">
        <v>0</v>
      </c>
      <c r="E27" s="170">
        <v>0</v>
      </c>
      <c r="F27" s="904">
        <v>0</v>
      </c>
      <c r="G27" s="370"/>
      <c r="H27" s="170">
        <f t="shared" ref="H27" si="2">D27+F27</f>
        <v>0</v>
      </c>
      <c r="I27" s="170">
        <f t="shared" ref="I27" si="3">E27+F27</f>
        <v>0</v>
      </c>
    </row>
    <row r="28" spans="2:9" ht="15.75" thickBot="1" x14ac:dyDescent="0.3">
      <c r="B28" s="118" t="s">
        <v>1163</v>
      </c>
      <c r="C28" s="376">
        <f>'WW (New subpart)'!B33</f>
        <v>15</v>
      </c>
      <c r="D28" s="170">
        <f>'WW (New subpart)'!C33</f>
        <v>37847.428079999998</v>
      </c>
      <c r="E28" s="170">
        <f>'WW (New subpart)'!D33</f>
        <v>34525.212629999995</v>
      </c>
      <c r="F28" s="170">
        <f>'WW (New subpart)'!G33</f>
        <v>19649.339207048459</v>
      </c>
      <c r="G28" s="370"/>
      <c r="H28" s="170">
        <f t="shared" si="0"/>
        <v>57496.767287048453</v>
      </c>
      <c r="I28" s="170">
        <f t="shared" si="1"/>
        <v>54174.55183704845</v>
      </c>
    </row>
    <row r="29" spans="2:9" ht="15.75" thickBot="1" x14ac:dyDescent="0.3">
      <c r="B29" s="117" t="s">
        <v>1164</v>
      </c>
      <c r="C29" s="376">
        <f>'XX (New subpart)'!B34</f>
        <v>1</v>
      </c>
      <c r="D29" s="170">
        <f>'XX (New subpart)'!C34</f>
        <v>2848.947748</v>
      </c>
      <c r="E29" s="170">
        <f>'XX (New subpart)'!D34</f>
        <v>2627.4667180000001</v>
      </c>
      <c r="F29" s="170">
        <f>'XX (New subpart)'!G34</f>
        <v>62.378854625550659</v>
      </c>
      <c r="G29" s="370"/>
      <c r="H29" s="170">
        <f>D29+F29</f>
        <v>2911.3266026255505</v>
      </c>
      <c r="I29" s="170">
        <f>E29+F29</f>
        <v>2689.8455726255506</v>
      </c>
    </row>
    <row r="30" spans="2:9" ht="15.75" thickBot="1" x14ac:dyDescent="0.3">
      <c r="B30" s="117" t="s">
        <v>1165</v>
      </c>
      <c r="C30" s="376">
        <f>'YY (New subpart)'!B33</f>
        <v>6</v>
      </c>
      <c r="D30" s="170">
        <f>'YY (New subpart)'!C33</f>
        <v>12285.35607</v>
      </c>
      <c r="E30" s="170">
        <f>'YY (New subpart)'!D33</f>
        <v>11089.358507999999</v>
      </c>
      <c r="F30" s="170">
        <f>'YY (New subpart)'!G33</f>
        <v>374.27312775330392</v>
      </c>
      <c r="G30" s="370"/>
      <c r="H30" s="170">
        <f t="shared" si="0"/>
        <v>12659.629197753304</v>
      </c>
      <c r="I30" s="170">
        <f t="shared" si="1"/>
        <v>11463.631635753303</v>
      </c>
    </row>
    <row r="31" spans="2:9" ht="15.75" thickBot="1" x14ac:dyDescent="0.3">
      <c r="B31" s="117" t="s">
        <v>1166</v>
      </c>
      <c r="C31" s="376">
        <f>'ZZ (New Subpart)'!B33</f>
        <v>34</v>
      </c>
      <c r="D31" s="170">
        <f>'ZZ (New Subpart)'!C33</f>
        <v>77082.587178000016</v>
      </c>
      <c r="E31" s="170">
        <f>'ZZ (New Subpart)'!D33</f>
        <v>72062.350498000014</v>
      </c>
      <c r="F31" s="170">
        <f>'ZZ (New Subpart)'!G33</f>
        <v>2120.8810572687225</v>
      </c>
      <c r="G31" s="370"/>
      <c r="H31" s="170">
        <f>D31+F31</f>
        <v>79203.468235268738</v>
      </c>
      <c r="I31" s="170">
        <f>E31+F31</f>
        <v>74183.231555268736</v>
      </c>
    </row>
    <row r="32" spans="2:9" ht="15.75" thickBot="1" x14ac:dyDescent="0.3">
      <c r="B32" s="4" t="s">
        <v>43</v>
      </c>
      <c r="C32" s="376">
        <f>C6+C21+C22+C23+C27</f>
        <v>7990</v>
      </c>
      <c r="D32" s="367">
        <f>SUM(D6:D31)</f>
        <v>11748618.595389066</v>
      </c>
      <c r="E32" s="262">
        <f>SUM(E6:E31)</f>
        <v>7664139.8941030614</v>
      </c>
      <c r="F32" s="262">
        <f>SUM(F6:F31)</f>
        <v>3225281.8766005724</v>
      </c>
      <c r="G32" s="374"/>
      <c r="H32" s="262">
        <f>SUM(H6:H31)</f>
        <v>14973900.471989634</v>
      </c>
      <c r="I32" s="262">
        <f>SUM(I6:I31)</f>
        <v>10889421.770703634</v>
      </c>
    </row>
    <row r="33" spans="2:10" x14ac:dyDescent="0.25">
      <c r="B33" s="366"/>
      <c r="C33" s="366"/>
    </row>
    <row r="34" spans="2:10" ht="15.75" hidden="1" thickBot="1" x14ac:dyDescent="0.3">
      <c r="B34" s="1" t="s">
        <v>362</v>
      </c>
      <c r="C34" s="1"/>
    </row>
    <row r="35" spans="2:10" ht="15.75" hidden="1" thickBot="1" x14ac:dyDescent="0.3">
      <c r="B35" s="984" t="s">
        <v>0</v>
      </c>
      <c r="C35" s="981" t="s">
        <v>367</v>
      </c>
      <c r="D35" s="987" t="s">
        <v>360</v>
      </c>
      <c r="E35" s="988"/>
      <c r="F35" s="981" t="s">
        <v>361</v>
      </c>
      <c r="G35" s="375"/>
      <c r="H35" s="981" t="s">
        <v>365</v>
      </c>
      <c r="I35" s="981" t="s">
        <v>366</v>
      </c>
    </row>
    <row r="36" spans="2:10" ht="15" hidden="1" customHeight="1" x14ac:dyDescent="0.25">
      <c r="B36" s="985"/>
      <c r="C36" s="982" t="s">
        <v>367</v>
      </c>
      <c r="D36" s="984" t="s">
        <v>3</v>
      </c>
      <c r="E36" s="981" t="s">
        <v>4</v>
      </c>
      <c r="F36" s="982"/>
      <c r="G36" s="368"/>
      <c r="H36" s="982"/>
      <c r="I36" s="982"/>
    </row>
    <row r="37" spans="2:10" ht="36.75" hidden="1" customHeight="1" thickBot="1" x14ac:dyDescent="0.3">
      <c r="B37" s="986"/>
      <c r="C37" s="983"/>
      <c r="D37" s="986"/>
      <c r="E37" s="983"/>
      <c r="F37" s="983"/>
      <c r="G37" s="369"/>
      <c r="H37" s="983"/>
      <c r="I37" s="983"/>
    </row>
    <row r="38" spans="2:10" ht="15.75" hidden="1" thickBot="1" x14ac:dyDescent="0.3">
      <c r="B38" s="116" t="s">
        <v>195</v>
      </c>
      <c r="C38" s="376">
        <f t="shared" ref="C38:C54" si="4">C6</f>
        <v>7840</v>
      </c>
      <c r="D38" s="170">
        <f>'A (Data Elements)'!C24</f>
        <v>8.1802388000000015</v>
      </c>
      <c r="E38" s="2">
        <f>'A (Data Elements)'!C24</f>
        <v>8.1802388000000015</v>
      </c>
      <c r="F38" s="171">
        <v>0</v>
      </c>
      <c r="G38" s="370"/>
      <c r="H38" s="170">
        <f>D38+F38</f>
        <v>8.1802388000000015</v>
      </c>
      <c r="I38" s="170">
        <f>E38+F38</f>
        <v>8.1802388000000015</v>
      </c>
      <c r="J38" s="5"/>
    </row>
    <row r="39" spans="2:10" ht="15.75" hidden="1" thickBot="1" x14ac:dyDescent="0.3">
      <c r="B39" s="117" t="s">
        <v>15</v>
      </c>
      <c r="C39" s="376">
        <f t="shared" si="4"/>
        <v>7840</v>
      </c>
      <c r="D39" s="715">
        <f>'B (New Subpart)'!K14</f>
        <v>1118.7810410000002</v>
      </c>
      <c r="E39" s="715">
        <f>'B (New Subpart)'!L14</f>
        <v>599.60160299999995</v>
      </c>
      <c r="F39" s="170">
        <f>'B (New Subpart)'!G26</f>
        <v>62.378854625550659</v>
      </c>
      <c r="G39" s="370"/>
      <c r="H39" s="715">
        <f>D39+F39</f>
        <v>1181.1598956255509</v>
      </c>
      <c r="I39" s="715">
        <f>E39+F39</f>
        <v>661.98045762555057</v>
      </c>
    </row>
    <row r="40" spans="2:10" ht="15.75" hidden="1" thickBot="1" x14ac:dyDescent="0.3">
      <c r="B40" s="116" t="s">
        <v>269</v>
      </c>
      <c r="C40" s="376">
        <f t="shared" si="4"/>
        <v>346</v>
      </c>
      <c r="D40" s="170">
        <f>'C (Data Elements)'!C24</f>
        <v>28.6308358</v>
      </c>
      <c r="E40" s="2">
        <f>'C (Data Elements)'!C24</f>
        <v>28.6308358</v>
      </c>
      <c r="F40" s="171">
        <v>0</v>
      </c>
      <c r="G40" s="370"/>
      <c r="H40" s="170">
        <f t="shared" ref="H40:H57" si="5">D40+F40</f>
        <v>28.6308358</v>
      </c>
      <c r="I40" s="170">
        <f t="shared" ref="I40:I57" si="6">E40+F40</f>
        <v>28.6308358</v>
      </c>
    </row>
    <row r="41" spans="2:10" ht="15.75" hidden="1" thickBot="1" x14ac:dyDescent="0.3">
      <c r="B41" s="116" t="s">
        <v>5</v>
      </c>
      <c r="C41" s="376">
        <f t="shared" si="4"/>
        <v>7</v>
      </c>
      <c r="D41" s="170">
        <f>'F (Data Elements)'!C24</f>
        <v>8.1802388000000015</v>
      </c>
      <c r="E41" s="170">
        <f>'F (Data Elements)'!C24</f>
        <v>8.1802388000000015</v>
      </c>
      <c r="F41" s="171">
        <v>0</v>
      </c>
      <c r="G41" s="370"/>
      <c r="H41" s="170">
        <f t="shared" si="5"/>
        <v>8.1802388000000015</v>
      </c>
      <c r="I41" s="170">
        <f t="shared" si="6"/>
        <v>8.1802388000000015</v>
      </c>
    </row>
    <row r="42" spans="2:10" ht="15.75" hidden="1" thickBot="1" x14ac:dyDescent="0.3">
      <c r="B42" s="117" t="s">
        <v>6</v>
      </c>
      <c r="C42" s="376">
        <f t="shared" si="4"/>
        <v>29</v>
      </c>
      <c r="D42" s="170">
        <f>'G (Data Elements)'!C24</f>
        <v>4.0901194000000007</v>
      </c>
      <c r="E42" s="170">
        <f>'G (Data Elements)'!C24</f>
        <v>4.0901194000000007</v>
      </c>
      <c r="F42" s="171">
        <v>0</v>
      </c>
      <c r="G42" s="370"/>
      <c r="H42" s="170">
        <f t="shared" si="5"/>
        <v>4.0901194000000007</v>
      </c>
      <c r="I42" s="170">
        <f t="shared" si="6"/>
        <v>4.0901194000000007</v>
      </c>
    </row>
    <row r="43" spans="2:10" ht="15.75" hidden="1" thickBot="1" x14ac:dyDescent="0.3">
      <c r="B43" s="117" t="s">
        <v>272</v>
      </c>
      <c r="C43" s="376">
        <f t="shared" si="4"/>
        <v>46</v>
      </c>
      <c r="D43" s="170">
        <v>0</v>
      </c>
      <c r="E43" s="170">
        <v>0</v>
      </c>
      <c r="F43" s="171">
        <v>0</v>
      </c>
      <c r="G43" s="370"/>
      <c r="H43" s="170">
        <f t="shared" si="5"/>
        <v>0</v>
      </c>
      <c r="I43" s="170">
        <f t="shared" si="6"/>
        <v>0</v>
      </c>
    </row>
    <row r="44" spans="2:10" ht="15.75" hidden="1" thickBot="1" x14ac:dyDescent="0.3">
      <c r="B44" s="117" t="s">
        <v>7</v>
      </c>
      <c r="C44" s="376">
        <f t="shared" si="4"/>
        <v>100</v>
      </c>
      <c r="D44" s="170">
        <f>'N (Data Elements)'!C24</f>
        <v>12.2703582</v>
      </c>
      <c r="E44" s="170">
        <f>'N (Data Elements)'!C24</f>
        <v>12.2703582</v>
      </c>
      <c r="F44" s="171">
        <v>0</v>
      </c>
      <c r="G44" s="370"/>
      <c r="H44" s="170">
        <f t="shared" si="5"/>
        <v>12.2703582</v>
      </c>
      <c r="I44" s="170">
        <f t="shared" si="6"/>
        <v>12.2703582</v>
      </c>
    </row>
    <row r="45" spans="2:10" ht="15.75" hidden="1" thickBot="1" x14ac:dyDescent="0.3">
      <c r="B45" s="117" t="s">
        <v>8</v>
      </c>
      <c r="C45" s="376">
        <f t="shared" si="4"/>
        <v>116</v>
      </c>
      <c r="D45" s="715">
        <f>'Subpart P (Applicability)'!K15+'Subpart P (Applicability)'!G30+'P (Data Elements)'!C24</f>
        <v>1945.3157956999999</v>
      </c>
      <c r="E45" s="715">
        <f>'Subpart P (Applicability)'!L15+'Subpart P (Applicability)'!H30+'P (Data Elements)'!C24</f>
        <v>1945.3157956999999</v>
      </c>
      <c r="F45" s="171">
        <f>'Subpart P (Applicability)'!G27</f>
        <v>2240.6484581497798</v>
      </c>
      <c r="G45" s="370"/>
      <c r="H45" s="170">
        <f t="shared" si="5"/>
        <v>4185.9642538497792</v>
      </c>
      <c r="I45" s="170">
        <f t="shared" si="6"/>
        <v>4185.9642538497792</v>
      </c>
    </row>
    <row r="46" spans="2:10" ht="15.75" hidden="1" thickBot="1" x14ac:dyDescent="0.3">
      <c r="B46" s="117" t="s">
        <v>155</v>
      </c>
      <c r="C46" s="376">
        <f t="shared" si="4"/>
        <v>1</v>
      </c>
      <c r="D46" s="172">
        <f>'Subpart V (Applicability)'!L15*-1</f>
        <v>-2680.1040509999998</v>
      </c>
      <c r="E46" s="170">
        <f>'Subpart V (Applicability)'!L15*-1</f>
        <v>-2680.1040509999998</v>
      </c>
      <c r="F46" s="170">
        <f>'Subpart V (Applicability)'!H27*-1</f>
        <v>-11084.722466960353</v>
      </c>
      <c r="G46" s="370"/>
      <c r="H46" s="170">
        <f t="shared" si="5"/>
        <v>-13764.826517960353</v>
      </c>
      <c r="I46" s="170">
        <f t="shared" si="6"/>
        <v>-13764.826517960353</v>
      </c>
    </row>
    <row r="47" spans="2:10" ht="15.75" hidden="1" thickBot="1" x14ac:dyDescent="0.3">
      <c r="B47" s="117" t="s">
        <v>9</v>
      </c>
      <c r="C47" s="376">
        <f t="shared" si="4"/>
        <v>188</v>
      </c>
      <c r="D47" s="976">
        <f>'Subpart W (Applicability)'!Y19</f>
        <v>13938.394649755641</v>
      </c>
      <c r="E47" s="976">
        <f>'Subpart W (Applicability)'!Y19</f>
        <v>13938.394649755641</v>
      </c>
      <c r="F47" s="976">
        <f>'Subpart W (Applicability)'!Z19</f>
        <v>14456.721163846894</v>
      </c>
      <c r="G47" s="372"/>
      <c r="H47" s="976">
        <f>D47+F47</f>
        <v>28395.115813602533</v>
      </c>
      <c r="I47" s="976">
        <f>E47+F47</f>
        <v>28395.115813602533</v>
      </c>
      <c r="J47" s="731" t="s">
        <v>1181</v>
      </c>
    </row>
    <row r="48" spans="2:10" ht="15.75" hidden="1" thickBot="1" x14ac:dyDescent="0.3">
      <c r="B48" s="117" t="s">
        <v>10</v>
      </c>
      <c r="C48" s="376">
        <f t="shared" si="4"/>
        <v>6</v>
      </c>
      <c r="D48" s="170">
        <f>'Subpart Y (Applicability)'!K15*-1+'Y (Data Elements)'!C24</f>
        <v>-2297.5907225999999</v>
      </c>
      <c r="E48" s="170">
        <f>'Subpart Y (Applicability)'!L15*-1+'Y (Data Elements)'!C24</f>
        <v>-2297.5907225999999</v>
      </c>
      <c r="F48" s="170">
        <f>'Subpart Y (Applicability)'!G27*-1</f>
        <v>-1309.955947136564</v>
      </c>
      <c r="G48" s="370"/>
      <c r="H48" s="170">
        <f t="shared" si="5"/>
        <v>-3607.5466697365637</v>
      </c>
      <c r="I48" s="170">
        <f t="shared" si="6"/>
        <v>-3607.5466697365637</v>
      </c>
    </row>
    <row r="49" spans="2:12" ht="15.75" hidden="1" thickBot="1" x14ac:dyDescent="0.3">
      <c r="B49" s="117" t="s">
        <v>11</v>
      </c>
      <c r="C49" s="376">
        <f t="shared" si="4"/>
        <v>1</v>
      </c>
      <c r="D49" s="170">
        <f>'Subpart AA (Calculations)'!K14+'AA (Data Elements)'!C24</f>
        <v>104.15535180000001</v>
      </c>
      <c r="E49" s="170">
        <f>'Subpart AA (Calculations)'!L14+'AA (Data Elements)'!C24</f>
        <v>104.15535180000001</v>
      </c>
      <c r="F49" s="170">
        <v>0</v>
      </c>
      <c r="G49" s="370"/>
      <c r="H49" s="170">
        <f t="shared" si="5"/>
        <v>104.15535180000001</v>
      </c>
      <c r="I49" s="170">
        <f t="shared" si="6"/>
        <v>104.15535180000001</v>
      </c>
    </row>
    <row r="50" spans="2:12" ht="15.75" hidden="1" thickBot="1" x14ac:dyDescent="0.3">
      <c r="B50" s="117" t="s">
        <v>12</v>
      </c>
      <c r="C50" s="376">
        <f t="shared" si="4"/>
        <v>2</v>
      </c>
      <c r="D50" s="172">
        <f>'Subpart DD (Applicability)'!K15+'Subpart DD (Applicability)'!G30</f>
        <v>3100.0644149999998</v>
      </c>
      <c r="E50" s="172">
        <f>'Subpart DD (Applicability)'!L15+'Subpart DD (Applicability)'!H30</f>
        <v>3100.0644149999998</v>
      </c>
      <c r="F50" s="172">
        <f>'Subpart DD (Applicability)'!G27</f>
        <v>1559.4713656387667</v>
      </c>
      <c r="G50" s="372"/>
      <c r="H50" s="170">
        <f t="shared" si="5"/>
        <v>4659.5357806387665</v>
      </c>
      <c r="I50" s="170">
        <f t="shared" si="6"/>
        <v>4659.5357806387665</v>
      </c>
    </row>
    <row r="51" spans="2:12" ht="15.75" hidden="1" thickBot="1" x14ac:dyDescent="0.3">
      <c r="B51" s="117" t="s">
        <v>13</v>
      </c>
      <c r="C51" s="376">
        <f t="shared" si="4"/>
        <v>1126</v>
      </c>
      <c r="D51" s="715">
        <f>'Subpart HH (Applicability)'!K15+'Subpart HH (Applicability)'!G30+'Subpart HH (Calculations)'!K14+'HH (Data Elements)'!C24</f>
        <v>7722.4630577534645</v>
      </c>
      <c r="E51" s="715">
        <f>'Subpart HH (Applicability)'!L15+'Subpart HH (Applicability)'!H30+'Subpart HH (Calculations)'!L14+'HH (Data Elements)'!C24</f>
        <v>4864.2129377534638</v>
      </c>
      <c r="F51" s="170">
        <f>'Subpart HH (Applicability)'!G27</f>
        <v>62.378854625550659</v>
      </c>
      <c r="G51" s="370"/>
      <c r="H51" s="715">
        <f>D51+F51</f>
        <v>7784.8419123790154</v>
      </c>
      <c r="I51" s="715">
        <f>E51+F51</f>
        <v>4926.5917923790148</v>
      </c>
      <c r="L51" s="408"/>
    </row>
    <row r="52" spans="2:12" ht="15.75" hidden="1" thickBot="1" x14ac:dyDescent="0.3">
      <c r="B52" s="117" t="s">
        <v>156</v>
      </c>
      <c r="C52" s="376">
        <f t="shared" si="4"/>
        <v>2</v>
      </c>
      <c r="D52" s="170">
        <f>'Subpart II (Applicability)'!K15</f>
        <v>2643.8736490000001</v>
      </c>
      <c r="E52" s="170">
        <f>'Subpart II (Applicability)'!L15</f>
        <v>2356.3388570000002</v>
      </c>
      <c r="F52" s="170">
        <f>'Subpart II (Applicability)'!G27</f>
        <v>1538.2625550660794</v>
      </c>
      <c r="G52" s="370"/>
      <c r="H52" s="170">
        <f t="shared" si="5"/>
        <v>4182.1362040660797</v>
      </c>
      <c r="I52" s="170">
        <f t="shared" si="6"/>
        <v>3894.6014120660793</v>
      </c>
    </row>
    <row r="53" spans="2:12" ht="15.75" hidden="1" thickBot="1" x14ac:dyDescent="0.3">
      <c r="B53" s="117" t="s">
        <v>196</v>
      </c>
      <c r="C53" s="376">
        <f t="shared" si="4"/>
        <v>104</v>
      </c>
      <c r="D53" s="170">
        <f>'Subpart OO (Applicability)'!K15+'Subpart OO (Applicability)'!G30+'OO (Data Elements)'!C24</f>
        <v>5602.4708609269228</v>
      </c>
      <c r="E53" s="170">
        <f>'Subpart OO (Applicability)'!L15+'Subpart OO (Applicability)'!H30+'OO (Data Elements)'!C24</f>
        <v>5602.4708609269228</v>
      </c>
      <c r="F53" s="170">
        <f>'Subpart OO (Applicability)'!G27</f>
        <v>62.378854625550659</v>
      </c>
      <c r="G53" s="370"/>
      <c r="H53" s="170">
        <f t="shared" si="5"/>
        <v>5664.8497155524738</v>
      </c>
      <c r="I53" s="170">
        <f t="shared" si="6"/>
        <v>5664.8497155524738</v>
      </c>
    </row>
    <row r="54" spans="2:12" ht="15.75" hidden="1" thickBot="1" x14ac:dyDescent="0.3">
      <c r="B54" s="975" t="str">
        <f>B22</f>
        <v>PP  – Suppliers of Carbon Dioxide</v>
      </c>
      <c r="C54" s="376">
        <f t="shared" si="4"/>
        <v>11</v>
      </c>
      <c r="D54" s="170">
        <f>'PP (Data Elements)'!C24</f>
        <v>12.270358200000002</v>
      </c>
      <c r="E54" s="170">
        <f>'PP (Data Elements)'!C24</f>
        <v>12.270358200000002</v>
      </c>
      <c r="F54" s="170">
        <v>0</v>
      </c>
      <c r="G54" s="370"/>
      <c r="H54" s="170">
        <f t="shared" si="5"/>
        <v>12.270358200000002</v>
      </c>
      <c r="I54" s="170">
        <f t="shared" si="6"/>
        <v>12.270358200000002</v>
      </c>
    </row>
    <row r="55" spans="2:12" ht="30.75" hidden="1" thickBot="1" x14ac:dyDescent="0.3">
      <c r="B55" s="117" t="s">
        <v>14</v>
      </c>
      <c r="C55" s="376">
        <f>C23</f>
        <v>33</v>
      </c>
      <c r="D55" s="170">
        <f>'QQ (Data Elements)'!C24</f>
        <v>11.65064313939394</v>
      </c>
      <c r="E55" s="170">
        <f>'QQ (Data Elements)'!C24</f>
        <v>11.65064313939394</v>
      </c>
      <c r="F55" s="170">
        <v>0</v>
      </c>
      <c r="G55" s="370"/>
      <c r="H55" s="170">
        <f t="shared" si="5"/>
        <v>11.65064313939394</v>
      </c>
      <c r="I55" s="170">
        <f t="shared" si="6"/>
        <v>11.65064313939394</v>
      </c>
    </row>
    <row r="56" spans="2:12" ht="15.75" hidden="1" thickBot="1" x14ac:dyDescent="0.3">
      <c r="B56" s="117" t="s">
        <v>303</v>
      </c>
      <c r="C56" s="376">
        <f>C24</f>
        <v>9</v>
      </c>
      <c r="D56" s="170">
        <v>0</v>
      </c>
      <c r="E56" s="170">
        <v>0</v>
      </c>
      <c r="F56" s="173">
        <v>0</v>
      </c>
      <c r="G56" s="373"/>
      <c r="H56" s="170">
        <f t="shared" si="5"/>
        <v>0</v>
      </c>
      <c r="I56" s="170">
        <f t="shared" si="6"/>
        <v>0</v>
      </c>
    </row>
    <row r="57" spans="2:12" ht="15.75" hidden="1" thickBot="1" x14ac:dyDescent="0.3">
      <c r="B57" s="117" t="s">
        <v>157</v>
      </c>
      <c r="C57" s="376">
        <f>C25</f>
        <v>1</v>
      </c>
      <c r="D57" s="170">
        <f>'Subpart TT (Applicability)'!K15</f>
        <v>4852.6056800000006</v>
      </c>
      <c r="E57" s="170">
        <f>'Subpart TT (Applicability)'!L15</f>
        <v>3933.9487399999998</v>
      </c>
      <c r="F57" s="170">
        <f>'Subpart TT (Applicability)'!G27</f>
        <v>62.378854625550659</v>
      </c>
      <c r="G57" s="370"/>
      <c r="H57" s="170">
        <f t="shared" si="5"/>
        <v>4914.9845346255515</v>
      </c>
      <c r="I57" s="170">
        <f t="shared" si="6"/>
        <v>3996.3275946255503</v>
      </c>
    </row>
    <row r="58" spans="2:12" ht="15.75" hidden="1" thickBot="1" x14ac:dyDescent="0.3">
      <c r="B58" s="407" t="s">
        <v>410</v>
      </c>
      <c r="C58" s="376">
        <v>2</v>
      </c>
      <c r="D58" s="170">
        <v>0</v>
      </c>
      <c r="E58" s="170">
        <v>0</v>
      </c>
      <c r="F58" s="170">
        <v>0</v>
      </c>
      <c r="G58" s="370">
        <v>0</v>
      </c>
      <c r="H58" s="170">
        <v>0</v>
      </c>
      <c r="I58" s="170">
        <v>0</v>
      </c>
    </row>
    <row r="59" spans="2:12" ht="15.75" hidden="1" thickBot="1" x14ac:dyDescent="0.3">
      <c r="B59" s="118" t="s">
        <v>359</v>
      </c>
      <c r="C59" s="376">
        <f>C28</f>
        <v>15</v>
      </c>
      <c r="D59" s="715">
        <f>'WW (New subpart)'!K12</f>
        <v>2523.1618719999997</v>
      </c>
      <c r="E59" s="715">
        <f>'WW (New subpart)'!L12</f>
        <v>2301.6808419999998</v>
      </c>
      <c r="F59" s="170">
        <f>'WW (New subpart)'!G26</f>
        <v>1309.955947136564</v>
      </c>
      <c r="G59" s="370"/>
      <c r="H59" s="715">
        <f>D59+F59</f>
        <v>3833.1178191365634</v>
      </c>
      <c r="I59" s="715">
        <f>E59+F59</f>
        <v>3611.6367891365635</v>
      </c>
    </row>
    <row r="60" spans="2:12" ht="15.75" hidden="1" thickBot="1" x14ac:dyDescent="0.3">
      <c r="B60" s="117" t="s">
        <v>16</v>
      </c>
      <c r="C60" s="376">
        <f>C29</f>
        <v>1</v>
      </c>
      <c r="D60" s="715">
        <f>'XX (New subpart)'!K15</f>
        <v>2848.947748</v>
      </c>
      <c r="E60" s="715">
        <f>'XX (New subpart)'!L15</f>
        <v>2627.4667180000001</v>
      </c>
      <c r="F60" s="170">
        <f>'XX (New subpart)'!G27</f>
        <v>62.378854625550659</v>
      </c>
      <c r="G60" s="370"/>
      <c r="H60" s="715">
        <f>D60+F60</f>
        <v>2911.3266026255505</v>
      </c>
      <c r="I60" s="715">
        <f>E60+F60</f>
        <v>2689.8455726255506</v>
      </c>
    </row>
    <row r="61" spans="2:12" ht="15.75" hidden="1" thickBot="1" x14ac:dyDescent="0.3">
      <c r="B61" s="117" t="s">
        <v>302</v>
      </c>
      <c r="C61" s="376">
        <f>C30</f>
        <v>6</v>
      </c>
      <c r="D61" s="715">
        <f>'YY (New subpart)'!K14</f>
        <v>2047.5593449999999</v>
      </c>
      <c r="E61" s="715">
        <f>'YY (New subpart)'!L14</f>
        <v>1848.226418</v>
      </c>
      <c r="F61" s="170">
        <f>'YY (New subpart)'!G26</f>
        <v>62.378854625550659</v>
      </c>
      <c r="G61" s="370"/>
      <c r="H61" s="715">
        <f>D61+F61</f>
        <v>2109.9381996255506</v>
      </c>
      <c r="I61" s="715">
        <f>E61+F61</f>
        <v>1910.6052726255507</v>
      </c>
    </row>
    <row r="62" spans="2:12" ht="15.75" hidden="1" thickBot="1" x14ac:dyDescent="0.3">
      <c r="B62" s="117" t="s">
        <v>17</v>
      </c>
      <c r="C62" s="376">
        <f>C31</f>
        <v>34</v>
      </c>
      <c r="D62" s="715">
        <f>'ZZ (New Subpart)'!K14</f>
        <v>2267.1349170000003</v>
      </c>
      <c r="E62" s="715">
        <f>'ZZ (New Subpart)'!L14</f>
        <v>2119.4808970000004</v>
      </c>
      <c r="F62" s="170">
        <f>'ZZ (New Subpart)'!G26</f>
        <v>62.378854625550659</v>
      </c>
      <c r="G62" s="370"/>
      <c r="H62" s="715">
        <f>D62+F62</f>
        <v>2329.5137716255508</v>
      </c>
      <c r="I62" s="715">
        <f>E62+F62</f>
        <v>2181.8597516255509</v>
      </c>
    </row>
    <row r="63" spans="2:12" ht="15.75" hidden="1" thickBot="1" x14ac:dyDescent="0.3">
      <c r="B63" s="4" t="s">
        <v>43</v>
      </c>
      <c r="C63" s="376">
        <f>C32</f>
        <v>7990</v>
      </c>
      <c r="D63" s="262">
        <f>SUM(D38:D62)</f>
        <v>45822.506401675426</v>
      </c>
      <c r="E63" s="262">
        <f>SUM(E38:E62)</f>
        <v>40448.93610467542</v>
      </c>
      <c r="F63" s="262">
        <f>SUM(F38:F62)</f>
        <v>9147.0330581200233</v>
      </c>
      <c r="G63" s="374"/>
      <c r="H63" s="262">
        <f t="shared" ref="H63:I63" si="7">SUM(H38:H62)</f>
        <v>54969.539459795451</v>
      </c>
      <c r="I63" s="262">
        <f t="shared" si="7"/>
        <v>49595.969162795453</v>
      </c>
    </row>
  </sheetData>
  <mergeCells count="16">
    <mergeCell ref="B3:B5"/>
    <mergeCell ref="D3:E3"/>
    <mergeCell ref="F3:F5"/>
    <mergeCell ref="D4:D5"/>
    <mergeCell ref="E4:E5"/>
    <mergeCell ref="B35:B37"/>
    <mergeCell ref="D35:E35"/>
    <mergeCell ref="F35:F37"/>
    <mergeCell ref="D36:D37"/>
    <mergeCell ref="E36:E37"/>
    <mergeCell ref="H3:H5"/>
    <mergeCell ref="I3:I5"/>
    <mergeCell ref="H35:H37"/>
    <mergeCell ref="I35:I37"/>
    <mergeCell ref="C3:C5"/>
    <mergeCell ref="C35:C37"/>
  </mergeCells>
  <pageMargins left="0.7" right="0.7" top="0.75" bottom="0.75" header="0.3" footer="0.3"/>
  <pageSetup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C6A7E-B4D1-4F07-B797-03A5ABC961C8}">
  <sheetPr codeName="Sheet20"/>
  <dimension ref="A1:G6"/>
  <sheetViews>
    <sheetView workbookViewId="0">
      <selection activeCell="D2" sqref="D2"/>
    </sheetView>
  </sheetViews>
  <sheetFormatPr defaultRowHeight="15" x14ac:dyDescent="0.25"/>
  <cols>
    <col min="4" max="4" width="12.5703125" customWidth="1"/>
    <col min="6" max="6" width="10.85546875" customWidth="1"/>
    <col min="7" max="7" width="16.7109375" customWidth="1"/>
  </cols>
  <sheetData>
    <row r="1" spans="1:7" x14ac:dyDescent="0.25">
      <c r="A1" s="158" t="s">
        <v>320</v>
      </c>
    </row>
    <row r="2" spans="1:7" x14ac:dyDescent="0.25">
      <c r="A2" s="347" t="s">
        <v>321</v>
      </c>
      <c r="D2" t="s">
        <v>1174</v>
      </c>
    </row>
    <row r="3" spans="1:7" x14ac:dyDescent="0.25">
      <c r="A3" s="346" t="s">
        <v>322</v>
      </c>
      <c r="D3" s="905"/>
      <c r="E3" s="906"/>
      <c r="F3" s="906" t="s">
        <v>3</v>
      </c>
      <c r="G3" s="907" t="s">
        <v>4</v>
      </c>
    </row>
    <row r="4" spans="1:7" x14ac:dyDescent="0.25">
      <c r="D4" s="908"/>
      <c r="E4" s="364" t="s">
        <v>1142</v>
      </c>
      <c r="F4" s="53">
        <f>'Subpart AA (Calculations)'!C19+'Subpart HH (Calculations)'!C19</f>
        <v>31066.405808</v>
      </c>
      <c r="G4" s="909">
        <f>'Subpart AA (Calculations)'!D19+'Subpart HH (Calculations)'!D19</f>
        <v>31066.405808</v>
      </c>
    </row>
    <row r="5" spans="1:7" x14ac:dyDescent="0.25">
      <c r="A5" s="346" t="s">
        <v>349</v>
      </c>
      <c r="D5" s="908"/>
      <c r="E5" s="364" t="s">
        <v>1143</v>
      </c>
      <c r="F5" s="53">
        <f>0</f>
        <v>0</v>
      </c>
      <c r="G5" s="909">
        <f>0</f>
        <v>0</v>
      </c>
    </row>
    <row r="6" spans="1:7" x14ac:dyDescent="0.25">
      <c r="D6" s="910"/>
      <c r="E6" s="911" t="s">
        <v>1147</v>
      </c>
      <c r="F6" s="912">
        <f>SUM(F4:F5)</f>
        <v>31066.405808</v>
      </c>
      <c r="G6" s="913">
        <f>SUM(G4:G5)</f>
        <v>31066.405808</v>
      </c>
    </row>
  </sheetData>
  <hyperlinks>
    <hyperlink ref="A2" location="'Subpart AA (Calculations)'!A1" display="Subpart AA (Calculations)" xr:uid="{2252F529-2B95-42D4-85F5-686CEBC76AF1}"/>
    <hyperlink ref="A3" location="'Subpart HH (Calculations)'!A1" display="Subpart HH (Calculations)" xr:uid="{6A6478EC-9069-40B8-B581-216ED24B5CE4}"/>
    <hyperlink ref="A5" location="'Table of Contents'!A1" display="Table of Contents" xr:uid="{1D6A11D7-6E5B-4BC5-B696-85A1306C580A}"/>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1DCC9-A7AC-42C9-8D39-726C7D68291D}">
  <sheetPr codeName="Sheet21"/>
  <dimension ref="A2:R23"/>
  <sheetViews>
    <sheetView topLeftCell="A12" workbookViewId="0">
      <selection activeCell="B19" sqref="B19"/>
    </sheetView>
  </sheetViews>
  <sheetFormatPr defaultRowHeight="15" x14ac:dyDescent="0.25"/>
  <cols>
    <col min="2" max="2" width="12.140625" customWidth="1"/>
  </cols>
  <sheetData>
    <row r="2" spans="1:18" x14ac:dyDescent="0.25">
      <c r="B2" s="710" t="s">
        <v>980</v>
      </c>
    </row>
    <row r="3" spans="1:18" x14ac:dyDescent="0.25">
      <c r="A3" s="1"/>
    </row>
    <row r="4" spans="1:18" ht="15.75" thickBot="1" x14ac:dyDescent="0.3">
      <c r="B4" s="13" t="s">
        <v>139</v>
      </c>
    </row>
    <row r="5" spans="1:18" ht="15.75" thickTop="1" x14ac:dyDescent="0.25">
      <c r="B5" s="993" t="s">
        <v>28</v>
      </c>
      <c r="C5" s="995" t="s">
        <v>29</v>
      </c>
      <c r="D5" s="996"/>
      <c r="E5" s="996"/>
      <c r="F5" s="996"/>
      <c r="G5" s="996"/>
      <c r="H5" s="996"/>
      <c r="I5" s="996"/>
      <c r="J5" s="997"/>
      <c r="K5" s="1001" t="s">
        <v>137</v>
      </c>
      <c r="L5" s="1002"/>
      <c r="N5" s="1030" t="s">
        <v>238</v>
      </c>
      <c r="O5" s="1030"/>
      <c r="P5" s="1030"/>
      <c r="Q5" s="1030"/>
      <c r="R5" s="36"/>
    </row>
    <row r="6" spans="1:18" ht="46.5" customHeight="1" x14ac:dyDescent="0.25">
      <c r="B6" s="1000"/>
      <c r="C6" s="1003" t="s">
        <v>31</v>
      </c>
      <c r="D6" s="1004"/>
      <c r="E6" s="1003" t="s">
        <v>32</v>
      </c>
      <c r="F6" s="1004"/>
      <c r="G6" s="1005" t="s">
        <v>33</v>
      </c>
      <c r="H6" s="1006"/>
      <c r="I6" s="1005" t="s">
        <v>34</v>
      </c>
      <c r="J6" s="1006"/>
      <c r="K6" s="1007"/>
      <c r="L6" s="1008"/>
      <c r="N6" s="1030"/>
      <c r="O6" s="1030"/>
      <c r="P6" s="1030"/>
      <c r="Q6" s="1030"/>
      <c r="R6" s="36"/>
    </row>
    <row r="7" spans="1:18" x14ac:dyDescent="0.25">
      <c r="B7" s="1000"/>
      <c r="C7" s="1009">
        <f>Lawyer</f>
        <v>114.79721000000001</v>
      </c>
      <c r="D7" s="1010"/>
      <c r="E7" s="1011">
        <f>Manager</f>
        <v>91.328059999999994</v>
      </c>
      <c r="F7" s="1010"/>
      <c r="G7" s="1011">
        <f>Tech</f>
        <v>73.827010000000001</v>
      </c>
      <c r="H7" s="1010"/>
      <c r="I7" s="1011">
        <f>Admin</f>
        <v>34.089750000000002</v>
      </c>
      <c r="J7" s="1010"/>
      <c r="K7" s="1028"/>
      <c r="L7" s="1029"/>
      <c r="N7" s="1030"/>
      <c r="O7" s="1030"/>
      <c r="P7" s="1030"/>
      <c r="Q7" s="1030"/>
      <c r="R7" s="36"/>
    </row>
    <row r="8" spans="1:18" ht="36" x14ac:dyDescent="0.25">
      <c r="B8" s="994"/>
      <c r="C8" s="14" t="s">
        <v>35</v>
      </c>
      <c r="D8" s="14" t="s">
        <v>36</v>
      </c>
      <c r="E8" s="14" t="s">
        <v>35</v>
      </c>
      <c r="F8" s="14" t="s">
        <v>36</v>
      </c>
      <c r="G8" s="14" t="s">
        <v>35</v>
      </c>
      <c r="H8" s="14" t="s">
        <v>36</v>
      </c>
      <c r="I8" s="14" t="s">
        <v>35</v>
      </c>
      <c r="J8" s="14" t="s">
        <v>36</v>
      </c>
      <c r="K8" s="14" t="s">
        <v>3</v>
      </c>
      <c r="L8" s="15" t="s">
        <v>37</v>
      </c>
      <c r="N8" s="37"/>
      <c r="O8" s="37"/>
      <c r="P8" s="37"/>
      <c r="Q8" s="37"/>
      <c r="R8" s="37"/>
    </row>
    <row r="9" spans="1:18" x14ac:dyDescent="0.25">
      <c r="B9" s="16" t="s">
        <v>38</v>
      </c>
      <c r="C9" s="17">
        <v>0</v>
      </c>
      <c r="D9" s="17">
        <v>0</v>
      </c>
      <c r="E9" s="17">
        <v>0</v>
      </c>
      <c r="F9" s="17">
        <v>0</v>
      </c>
      <c r="G9" s="17">
        <v>0</v>
      </c>
      <c r="H9" s="17">
        <v>0</v>
      </c>
      <c r="I9" s="17">
        <v>0</v>
      </c>
      <c r="J9" s="17">
        <v>0</v>
      </c>
      <c r="K9" s="160">
        <f>C9*$C$7+E9*$E$7+G9*$G$7+I9*$I$7</f>
        <v>0</v>
      </c>
      <c r="L9" s="161">
        <f>D9*$C$7+F9*$E$7+H9*$G$7+J9*$I$7</f>
        <v>0</v>
      </c>
      <c r="N9" s="1030" t="s">
        <v>56</v>
      </c>
      <c r="O9" s="1030"/>
      <c r="P9" s="1030"/>
      <c r="Q9" s="1030"/>
      <c r="R9" s="36"/>
    </row>
    <row r="10" spans="1:18" x14ac:dyDescent="0.25">
      <c r="B10" s="19" t="s">
        <v>39</v>
      </c>
      <c r="C10" s="20">
        <v>0</v>
      </c>
      <c r="D10" s="20">
        <v>0</v>
      </c>
      <c r="E10" s="20">
        <v>0</v>
      </c>
      <c r="F10" s="20">
        <v>0</v>
      </c>
      <c r="G10" s="20">
        <v>0</v>
      </c>
      <c r="H10" s="20">
        <v>0</v>
      </c>
      <c r="I10" s="20">
        <v>0</v>
      </c>
      <c r="J10" s="20">
        <v>0</v>
      </c>
      <c r="K10" s="162">
        <f t="shared" ref="K10:K13" si="0">C10*$C$7+E10*$E$7+G10*$G$7+I10*$I$7</f>
        <v>0</v>
      </c>
      <c r="L10" s="163">
        <f t="shared" ref="L10:L13" si="1">D10*$C$7+F10*$E$7+H10*$G$7+J10*$I$7</f>
        <v>0</v>
      </c>
      <c r="N10" s="1030"/>
      <c r="O10" s="1030"/>
      <c r="P10" s="1030"/>
      <c r="Q10" s="1030"/>
      <c r="R10" s="36"/>
    </row>
    <row r="11" spans="1:18" ht="32.25" customHeight="1" x14ac:dyDescent="0.25">
      <c r="B11" s="16" t="s">
        <v>40</v>
      </c>
      <c r="C11" s="17">
        <v>0</v>
      </c>
      <c r="D11" s="17">
        <v>0</v>
      </c>
      <c r="E11" s="17">
        <v>0</v>
      </c>
      <c r="F11" s="17">
        <v>0</v>
      </c>
      <c r="G11" s="17">
        <v>0</v>
      </c>
      <c r="H11" s="17">
        <v>0</v>
      </c>
      <c r="I11" s="17">
        <v>0</v>
      </c>
      <c r="J11" s="17">
        <v>0</v>
      </c>
      <c r="K11" s="160">
        <f t="shared" si="0"/>
        <v>0</v>
      </c>
      <c r="L11" s="161">
        <f t="shared" si="1"/>
        <v>0</v>
      </c>
      <c r="N11" s="1030"/>
      <c r="O11" s="1030"/>
      <c r="P11" s="1030"/>
      <c r="Q11" s="1030"/>
      <c r="R11" s="36"/>
    </row>
    <row r="12" spans="1:18" ht="36" x14ac:dyDescent="0.25">
      <c r="B12" s="19" t="s">
        <v>41</v>
      </c>
      <c r="C12" s="20">
        <v>0</v>
      </c>
      <c r="D12" s="20">
        <v>0</v>
      </c>
      <c r="E12" s="20">
        <v>0</v>
      </c>
      <c r="F12" s="20">
        <v>0</v>
      </c>
      <c r="G12" s="20">
        <v>1.3</v>
      </c>
      <c r="H12" s="20">
        <v>1.3</v>
      </c>
      <c r="I12" s="20">
        <v>0</v>
      </c>
      <c r="J12" s="20">
        <v>0</v>
      </c>
      <c r="K12" s="313">
        <f t="shared" si="0"/>
        <v>95.975113000000007</v>
      </c>
      <c r="L12" s="185">
        <f t="shared" si="1"/>
        <v>95.975113000000007</v>
      </c>
      <c r="N12" s="42"/>
      <c r="O12" s="43"/>
      <c r="P12" s="43"/>
      <c r="Q12" s="43"/>
      <c r="R12" s="43"/>
    </row>
    <row r="13" spans="1:18" x14ac:dyDescent="0.25">
      <c r="B13" s="16" t="s">
        <v>42</v>
      </c>
      <c r="C13" s="17">
        <v>0</v>
      </c>
      <c r="D13" s="17">
        <v>0</v>
      </c>
      <c r="E13" s="17">
        <v>0</v>
      </c>
      <c r="F13" s="17">
        <v>0</v>
      </c>
      <c r="G13" s="17">
        <v>0</v>
      </c>
      <c r="H13" s="17">
        <v>0</v>
      </c>
      <c r="I13" s="17">
        <v>0</v>
      </c>
      <c r="J13" s="17">
        <v>0</v>
      </c>
      <c r="K13" s="160">
        <f t="shared" si="0"/>
        <v>0</v>
      </c>
      <c r="L13" s="161">
        <f t="shared" si="1"/>
        <v>0</v>
      </c>
      <c r="R13" s="43"/>
    </row>
    <row r="14" spans="1:18" ht="15.75" thickBot="1" x14ac:dyDescent="0.3">
      <c r="B14" s="44" t="s">
        <v>43</v>
      </c>
      <c r="C14" s="45">
        <f>SUM(C9:C13)</f>
        <v>0</v>
      </c>
      <c r="D14" s="45">
        <f t="shared" ref="D14:J14" si="2">SUM(D9:D13)</f>
        <v>0</v>
      </c>
      <c r="E14" s="45">
        <f t="shared" si="2"/>
        <v>0</v>
      </c>
      <c r="F14" s="45">
        <f t="shared" si="2"/>
        <v>0</v>
      </c>
      <c r="G14" s="888">
        <f t="shared" si="2"/>
        <v>1.3</v>
      </c>
      <c r="H14" s="45">
        <f>SUM(H9:H13)</f>
        <v>1.3</v>
      </c>
      <c r="I14" s="45">
        <f t="shared" si="2"/>
        <v>0</v>
      </c>
      <c r="J14" s="45">
        <f t="shared" si="2"/>
        <v>0</v>
      </c>
      <c r="K14" s="343">
        <f>SUM(K9:K13)</f>
        <v>95.975113000000007</v>
      </c>
      <c r="L14" s="344">
        <f>SUM(L9:L13)</f>
        <v>95.975113000000007</v>
      </c>
    </row>
    <row r="15" spans="1:18" ht="43.5" customHeight="1" thickTop="1" x14ac:dyDescent="0.25">
      <c r="B15" s="1031" t="s">
        <v>239</v>
      </c>
      <c r="C15" s="1031"/>
      <c r="D15" s="1031"/>
      <c r="E15" s="1031"/>
      <c r="F15" s="1031"/>
      <c r="G15" s="1031"/>
      <c r="H15" s="1031"/>
      <c r="I15" s="1031"/>
      <c r="J15" s="1031"/>
      <c r="K15" s="1031"/>
      <c r="L15" s="1031"/>
    </row>
    <row r="16" spans="1:18" ht="15.75" thickBot="1" x14ac:dyDescent="0.3">
      <c r="B16" s="29"/>
    </row>
    <row r="17" spans="2:7" ht="15.75" thickTop="1" x14ac:dyDescent="0.25">
      <c r="B17" s="989" t="s">
        <v>152</v>
      </c>
      <c r="C17" s="990"/>
      <c r="D17" s="991"/>
      <c r="E17" s="167"/>
    </row>
    <row r="18" spans="2:7" ht="24" x14ac:dyDescent="0.25">
      <c r="B18" s="164" t="s">
        <v>57</v>
      </c>
      <c r="C18" s="336" t="s">
        <v>3</v>
      </c>
      <c r="D18" s="169" t="s">
        <v>47</v>
      </c>
      <c r="G18" s="275" t="s">
        <v>295</v>
      </c>
    </row>
    <row r="19" spans="2:7" ht="15.75" thickBot="1" x14ac:dyDescent="0.3">
      <c r="B19" s="980">
        <v>1</v>
      </c>
      <c r="C19" s="335">
        <f>K14*$B$19</f>
        <v>95.975113000000007</v>
      </c>
      <c r="D19" s="337">
        <f>L14*$B$19</f>
        <v>95.975113000000007</v>
      </c>
      <c r="G19" s="275"/>
    </row>
    <row r="20" spans="2:7" ht="15.75" thickTop="1" x14ac:dyDescent="0.25">
      <c r="B20" s="165" t="s">
        <v>58</v>
      </c>
      <c r="C20" s="166"/>
      <c r="D20" s="166"/>
      <c r="E20" s="166"/>
      <c r="G20" s="275" t="s">
        <v>173</v>
      </c>
    </row>
    <row r="21" spans="2:7" x14ac:dyDescent="0.25">
      <c r="B21" s="992" t="s">
        <v>153</v>
      </c>
      <c r="C21" s="992"/>
      <c r="D21" s="992"/>
      <c r="E21" s="992"/>
      <c r="G21" s="275" t="s">
        <v>1157</v>
      </c>
    </row>
    <row r="23" spans="2:7" x14ac:dyDescent="0.25">
      <c r="B23" s="346" t="s">
        <v>349</v>
      </c>
    </row>
  </sheetData>
  <mergeCells count="16">
    <mergeCell ref="N9:Q11"/>
    <mergeCell ref="B15:L15"/>
    <mergeCell ref="B17:D17"/>
    <mergeCell ref="B21:E21"/>
    <mergeCell ref="B5:B8"/>
    <mergeCell ref="C5:J5"/>
    <mergeCell ref="K5:L7"/>
    <mergeCell ref="N5:Q7"/>
    <mergeCell ref="C6:D6"/>
    <mergeCell ref="E6:F6"/>
    <mergeCell ref="G6:H6"/>
    <mergeCell ref="I6:J6"/>
    <mergeCell ref="C7:D7"/>
    <mergeCell ref="E7:F7"/>
    <mergeCell ref="G7:H7"/>
    <mergeCell ref="I7:J7"/>
  </mergeCells>
  <hyperlinks>
    <hyperlink ref="B23" location="'Table of Contents'!A1" display="Table of Contents" xr:uid="{C6B82737-C6A8-4527-9F5F-EA985147128A}"/>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8B057-5C4A-4D98-91ED-6E8FBBC32B98}">
  <sheetPr codeName="Sheet22"/>
  <dimension ref="A2:R23"/>
  <sheetViews>
    <sheetView topLeftCell="A9" workbookViewId="0">
      <selection activeCell="H20" sqref="H20"/>
    </sheetView>
  </sheetViews>
  <sheetFormatPr defaultRowHeight="15" x14ac:dyDescent="0.25"/>
  <cols>
    <col min="2" max="2" width="12.140625" customWidth="1"/>
  </cols>
  <sheetData>
    <row r="2" spans="1:18" x14ac:dyDescent="0.25">
      <c r="B2" s="710" t="s">
        <v>981</v>
      </c>
    </row>
    <row r="3" spans="1:18" x14ac:dyDescent="0.25">
      <c r="A3" s="1"/>
    </row>
    <row r="4" spans="1:18" ht="15.75" thickBot="1" x14ac:dyDescent="0.3">
      <c r="B4" s="13" t="s">
        <v>271</v>
      </c>
    </row>
    <row r="5" spans="1:18" ht="83.25" customHeight="1" thickTop="1" x14ac:dyDescent="0.25">
      <c r="B5" s="993" t="s">
        <v>28</v>
      </c>
      <c r="C5" s="995" t="s">
        <v>29</v>
      </c>
      <c r="D5" s="996"/>
      <c r="E5" s="996"/>
      <c r="F5" s="996"/>
      <c r="G5" s="996"/>
      <c r="H5" s="996"/>
      <c r="I5" s="996"/>
      <c r="J5" s="997"/>
      <c r="K5" s="1001" t="s">
        <v>137</v>
      </c>
      <c r="L5" s="1002"/>
      <c r="N5" s="1030" t="s">
        <v>984</v>
      </c>
      <c r="O5" s="1030"/>
      <c r="P5" s="1030"/>
      <c r="Q5" s="1030"/>
      <c r="R5" s="36"/>
    </row>
    <row r="6" spans="1:18" ht="46.5" customHeight="1" x14ac:dyDescent="0.25">
      <c r="B6" s="1000"/>
      <c r="C6" s="1003" t="s">
        <v>31</v>
      </c>
      <c r="D6" s="1004"/>
      <c r="E6" s="1003" t="s">
        <v>32</v>
      </c>
      <c r="F6" s="1004"/>
      <c r="G6" s="1005" t="s">
        <v>33</v>
      </c>
      <c r="H6" s="1006"/>
      <c r="I6" s="1005" t="s">
        <v>34</v>
      </c>
      <c r="J6" s="1006"/>
      <c r="K6" s="1007"/>
      <c r="L6" s="1008"/>
      <c r="N6" s="1030"/>
      <c r="O6" s="1030"/>
      <c r="P6" s="1030"/>
      <c r="Q6" s="1030"/>
      <c r="R6" s="36"/>
    </row>
    <row r="7" spans="1:18" x14ac:dyDescent="0.25">
      <c r="B7" s="1000"/>
      <c r="C7" s="1009">
        <f>Lawyer</f>
        <v>114.79721000000001</v>
      </c>
      <c r="D7" s="1010"/>
      <c r="E7" s="1011">
        <f>Manager</f>
        <v>91.328059999999994</v>
      </c>
      <c r="F7" s="1010"/>
      <c r="G7" s="1011">
        <f>Tech</f>
        <v>73.827010000000001</v>
      </c>
      <c r="H7" s="1010"/>
      <c r="I7" s="1011">
        <f>Admin</f>
        <v>34.089750000000002</v>
      </c>
      <c r="J7" s="1010"/>
      <c r="K7" s="1028"/>
      <c r="L7" s="1029"/>
      <c r="N7" s="1030"/>
      <c r="O7" s="1030"/>
      <c r="P7" s="1030"/>
      <c r="Q7" s="1030"/>
      <c r="R7" s="36"/>
    </row>
    <row r="8" spans="1:18" ht="36" x14ac:dyDescent="0.25">
      <c r="B8" s="994"/>
      <c r="C8" s="14" t="s">
        <v>35</v>
      </c>
      <c r="D8" s="14" t="s">
        <v>36</v>
      </c>
      <c r="E8" s="14" t="s">
        <v>35</v>
      </c>
      <c r="F8" s="14" t="s">
        <v>36</v>
      </c>
      <c r="G8" s="14" t="s">
        <v>35</v>
      </c>
      <c r="H8" s="14" t="s">
        <v>36</v>
      </c>
      <c r="I8" s="14" t="s">
        <v>35</v>
      </c>
      <c r="J8" s="14" t="s">
        <v>36</v>
      </c>
      <c r="K8" s="14" t="s">
        <v>3</v>
      </c>
      <c r="L8" s="15" t="s">
        <v>37</v>
      </c>
      <c r="N8" s="1030"/>
      <c r="O8" s="1030"/>
      <c r="P8" s="1030"/>
      <c r="Q8" s="1030"/>
      <c r="R8" s="37"/>
    </row>
    <row r="9" spans="1:18" x14ac:dyDescent="0.25">
      <c r="B9" s="16" t="s">
        <v>38</v>
      </c>
      <c r="C9" s="17">
        <v>0</v>
      </c>
      <c r="D9" s="17">
        <v>0</v>
      </c>
      <c r="E9" s="17">
        <v>0</v>
      </c>
      <c r="F9" s="17">
        <v>0</v>
      </c>
      <c r="G9" s="17">
        <v>0</v>
      </c>
      <c r="H9" s="17">
        <v>0</v>
      </c>
      <c r="I9" s="17">
        <v>0</v>
      </c>
      <c r="J9" s="17">
        <v>0</v>
      </c>
      <c r="K9" s="160">
        <f t="shared" ref="K9:L13" si="0">C9*$C$7+E9*$E$7+G9*$G$7+I9*$I$7</f>
        <v>0</v>
      </c>
      <c r="L9" s="161">
        <f t="shared" si="0"/>
        <v>0</v>
      </c>
      <c r="N9" s="1030"/>
      <c r="O9" s="1030"/>
      <c r="P9" s="1030"/>
      <c r="Q9" s="1030"/>
      <c r="R9" s="36"/>
    </row>
    <row r="10" spans="1:18" x14ac:dyDescent="0.25">
      <c r="B10" s="19" t="s">
        <v>39</v>
      </c>
      <c r="C10" s="20">
        <v>0</v>
      </c>
      <c r="D10" s="20">
        <v>0</v>
      </c>
      <c r="E10" s="20">
        <v>0</v>
      </c>
      <c r="F10" s="20">
        <v>0</v>
      </c>
      <c r="G10" s="20">
        <v>0</v>
      </c>
      <c r="H10" s="20">
        <v>0</v>
      </c>
      <c r="I10" s="20">
        <v>0</v>
      </c>
      <c r="J10" s="20">
        <v>0</v>
      </c>
      <c r="K10" s="162">
        <f t="shared" si="0"/>
        <v>0</v>
      </c>
      <c r="L10" s="163">
        <f t="shared" si="0"/>
        <v>0</v>
      </c>
      <c r="N10" s="1030"/>
      <c r="O10" s="1030"/>
      <c r="P10" s="1030"/>
      <c r="Q10" s="1030"/>
      <c r="R10" s="36"/>
    </row>
    <row r="11" spans="1:18" ht="32.25" customHeight="1" x14ac:dyDescent="0.25">
      <c r="B11" s="16" t="s">
        <v>40</v>
      </c>
      <c r="C11" s="17">
        <v>0</v>
      </c>
      <c r="D11" s="17">
        <v>0</v>
      </c>
      <c r="E11" s="17">
        <v>0</v>
      </c>
      <c r="F11" s="17">
        <v>0</v>
      </c>
      <c r="G11" s="17">
        <v>0</v>
      </c>
      <c r="H11" s="17">
        <v>0</v>
      </c>
      <c r="I11" s="17">
        <v>0</v>
      </c>
      <c r="J11" s="17">
        <v>0</v>
      </c>
      <c r="K11" s="160">
        <f t="shared" si="0"/>
        <v>0</v>
      </c>
      <c r="L11" s="161">
        <f t="shared" si="0"/>
        <v>0</v>
      </c>
      <c r="N11" s="1030"/>
      <c r="O11" s="1030"/>
      <c r="P11" s="1030"/>
      <c r="Q11" s="1030"/>
      <c r="R11" s="36"/>
    </row>
    <row r="12" spans="1:18" ht="36" x14ac:dyDescent="0.25">
      <c r="B12" s="19" t="s">
        <v>41</v>
      </c>
      <c r="C12" s="20">
        <v>0</v>
      </c>
      <c r="D12" s="20">
        <v>0</v>
      </c>
      <c r="E12" s="20">
        <v>0</v>
      </c>
      <c r="F12" s="20">
        <v>0</v>
      </c>
      <c r="G12" s="20">
        <v>0.5</v>
      </c>
      <c r="H12" s="20">
        <v>0.5</v>
      </c>
      <c r="I12" s="20">
        <v>0</v>
      </c>
      <c r="J12" s="20">
        <v>0</v>
      </c>
      <c r="K12" s="313">
        <f t="shared" si="0"/>
        <v>36.913505000000001</v>
      </c>
      <c r="L12" s="185">
        <f t="shared" si="0"/>
        <v>36.913505000000001</v>
      </c>
      <c r="N12" s="42"/>
      <c r="O12" s="43"/>
      <c r="P12" s="43"/>
      <c r="Q12" s="43"/>
      <c r="R12" s="43"/>
    </row>
    <row r="13" spans="1:18" x14ac:dyDescent="0.25">
      <c r="B13" s="16" t="s">
        <v>42</v>
      </c>
      <c r="C13" s="17">
        <v>0</v>
      </c>
      <c r="D13" s="17">
        <v>0</v>
      </c>
      <c r="E13" s="17">
        <v>0</v>
      </c>
      <c r="F13" s="17">
        <v>0</v>
      </c>
      <c r="G13" s="17">
        <v>0</v>
      </c>
      <c r="H13" s="17">
        <v>0</v>
      </c>
      <c r="I13" s="17">
        <v>0</v>
      </c>
      <c r="J13" s="17">
        <v>0</v>
      </c>
      <c r="K13" s="160">
        <f t="shared" si="0"/>
        <v>0</v>
      </c>
      <c r="L13" s="161">
        <f t="shared" si="0"/>
        <v>0</v>
      </c>
      <c r="R13" s="43"/>
    </row>
    <row r="14" spans="1:18" ht="15.75" thickBot="1" x14ac:dyDescent="0.3">
      <c r="B14" s="44" t="s">
        <v>43</v>
      </c>
      <c r="C14" s="45">
        <f t="shared" ref="C14:L14" si="1">SUM(C9:C13)</f>
        <v>0</v>
      </c>
      <c r="D14" s="45">
        <f t="shared" si="1"/>
        <v>0</v>
      </c>
      <c r="E14" s="45">
        <f t="shared" si="1"/>
        <v>0</v>
      </c>
      <c r="F14" s="45">
        <f t="shared" si="1"/>
        <v>0</v>
      </c>
      <c r="G14" s="45">
        <f t="shared" si="1"/>
        <v>0.5</v>
      </c>
      <c r="H14" s="45">
        <f t="shared" si="1"/>
        <v>0.5</v>
      </c>
      <c r="I14" s="45">
        <f t="shared" si="1"/>
        <v>0</v>
      </c>
      <c r="J14" s="45">
        <f t="shared" si="1"/>
        <v>0</v>
      </c>
      <c r="K14" s="343">
        <f t="shared" si="1"/>
        <v>36.913505000000001</v>
      </c>
      <c r="L14" s="344">
        <f t="shared" si="1"/>
        <v>36.913505000000001</v>
      </c>
    </row>
    <row r="15" spans="1:18" ht="43.5" customHeight="1" thickTop="1" x14ac:dyDescent="0.25">
      <c r="B15" s="1031"/>
      <c r="C15" s="1031"/>
      <c r="D15" s="1031"/>
      <c r="E15" s="1031"/>
      <c r="F15" s="1031"/>
      <c r="G15" s="1031"/>
      <c r="H15" s="1031"/>
      <c r="I15" s="1031"/>
      <c r="J15" s="1031"/>
      <c r="K15" s="1031"/>
      <c r="L15" s="1031"/>
    </row>
    <row r="16" spans="1:18" ht="15.75" thickBot="1" x14ac:dyDescent="0.3">
      <c r="B16" s="29"/>
    </row>
    <row r="17" spans="2:7" ht="15.75" thickTop="1" x14ac:dyDescent="0.25">
      <c r="B17" s="989" t="s">
        <v>152</v>
      </c>
      <c r="C17" s="990"/>
      <c r="D17" s="991"/>
      <c r="E17" s="167"/>
    </row>
    <row r="18" spans="2:7" ht="24" x14ac:dyDescent="0.25">
      <c r="B18" s="164" t="s">
        <v>57</v>
      </c>
      <c r="C18" s="325" t="s">
        <v>3</v>
      </c>
      <c r="D18" s="15" t="s">
        <v>47</v>
      </c>
      <c r="G18" s="275" t="s">
        <v>983</v>
      </c>
    </row>
    <row r="19" spans="2:7" ht="15.75" thickBot="1" x14ac:dyDescent="0.3">
      <c r="B19" s="283">
        <f>833+6</f>
        <v>839</v>
      </c>
      <c r="C19" s="284">
        <f>K14*$B$19</f>
        <v>30970.430694999999</v>
      </c>
      <c r="D19" s="285">
        <f>L14*$B$19</f>
        <v>30970.430694999999</v>
      </c>
      <c r="E19" s="281"/>
      <c r="G19" s="275"/>
    </row>
    <row r="20" spans="2:7" ht="15.75" thickTop="1" x14ac:dyDescent="0.25">
      <c r="B20" s="165" t="s">
        <v>58</v>
      </c>
      <c r="C20" s="166"/>
      <c r="D20" s="166"/>
      <c r="E20" s="166"/>
      <c r="G20" s="292" t="s">
        <v>988</v>
      </c>
    </row>
    <row r="21" spans="2:7" x14ac:dyDescent="0.25">
      <c r="B21" s="992" t="s">
        <v>153</v>
      </c>
      <c r="C21" s="992"/>
      <c r="D21" s="992"/>
      <c r="E21" s="992"/>
    </row>
    <row r="23" spans="2:7" x14ac:dyDescent="0.25">
      <c r="B23" s="346" t="s">
        <v>349</v>
      </c>
    </row>
  </sheetData>
  <mergeCells count="15">
    <mergeCell ref="B15:L15"/>
    <mergeCell ref="B17:D17"/>
    <mergeCell ref="B21:E21"/>
    <mergeCell ref="N5:Q11"/>
    <mergeCell ref="B5:B8"/>
    <mergeCell ref="C5:J5"/>
    <mergeCell ref="K5:L7"/>
    <mergeCell ref="C6:D6"/>
    <mergeCell ref="E6:F6"/>
    <mergeCell ref="G6:H6"/>
    <mergeCell ref="I6:J6"/>
    <mergeCell ref="C7:D7"/>
    <mergeCell ref="E7:F7"/>
    <mergeCell ref="G7:H7"/>
    <mergeCell ref="I7:J7"/>
  </mergeCells>
  <hyperlinks>
    <hyperlink ref="B23" location="'Table of Contents'!A1" display="Table of Contents" xr:uid="{E1F7E5CC-BE0C-4774-B54D-CF99B115AE3F}"/>
  </hyperlinks>
  <pageMargins left="0.7" right="0.7" top="0.75" bottom="0.75" header="0.3" footer="0.3"/>
  <pageSetup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63FF9-1B5F-4BCF-929E-123D7F9DE66C}">
  <sheetPr codeName="Sheet23"/>
  <dimension ref="A1:A16"/>
  <sheetViews>
    <sheetView workbookViewId="0">
      <selection activeCell="A13" sqref="A13"/>
    </sheetView>
  </sheetViews>
  <sheetFormatPr defaultRowHeight="15" x14ac:dyDescent="0.25"/>
  <sheetData>
    <row r="1" spans="1:1" x14ac:dyDescent="0.25">
      <c r="A1" s="158" t="s">
        <v>323</v>
      </c>
    </row>
    <row r="2" spans="1:1" x14ac:dyDescent="0.25">
      <c r="A2" s="347" t="s">
        <v>324</v>
      </c>
    </row>
    <row r="3" spans="1:1" x14ac:dyDescent="0.25">
      <c r="A3" s="346" t="s">
        <v>325</v>
      </c>
    </row>
    <row r="4" spans="1:1" x14ac:dyDescent="0.25">
      <c r="A4" s="346" t="s">
        <v>326</v>
      </c>
    </row>
    <row r="5" spans="1:1" x14ac:dyDescent="0.25">
      <c r="A5" s="346" t="s">
        <v>327</v>
      </c>
    </row>
    <row r="6" spans="1:1" x14ac:dyDescent="0.25">
      <c r="A6" s="346" t="s">
        <v>328</v>
      </c>
    </row>
    <row r="7" spans="1:1" x14ac:dyDescent="0.25">
      <c r="A7" s="346" t="s">
        <v>329</v>
      </c>
    </row>
    <row r="8" spans="1:1" x14ac:dyDescent="0.25">
      <c r="A8" s="347" t="s">
        <v>330</v>
      </c>
    </row>
    <row r="9" spans="1:1" x14ac:dyDescent="0.25">
      <c r="A9" s="346" t="s">
        <v>331</v>
      </c>
    </row>
    <row r="10" spans="1:1" x14ac:dyDescent="0.25">
      <c r="A10" s="346" t="s">
        <v>332</v>
      </c>
    </row>
    <row r="11" spans="1:1" x14ac:dyDescent="0.25">
      <c r="A11" s="346" t="s">
        <v>333</v>
      </c>
    </row>
    <row r="12" spans="1:1" x14ac:dyDescent="0.25">
      <c r="A12" s="346" t="s">
        <v>334</v>
      </c>
    </row>
    <row r="13" spans="1:1" x14ac:dyDescent="0.25">
      <c r="A13" s="346" t="s">
        <v>335</v>
      </c>
    </row>
    <row r="16" spans="1:1" x14ac:dyDescent="0.25">
      <c r="A16" s="346" t="s">
        <v>349</v>
      </c>
    </row>
  </sheetData>
  <hyperlinks>
    <hyperlink ref="A2" location="'A (Data Elements)'!A1" display="A (Data Elements)" xr:uid="{3F39E0C2-2F77-4029-886D-B293BE0FACF0}"/>
    <hyperlink ref="A3" location="'C (Data Elements)'!A1" display="C (Data Elements)" xr:uid="{06054FAF-E30E-4F84-B0AA-3E1F8EFE5B01}"/>
    <hyperlink ref="A4" location="'F (Data Elements)'!A1" display="F (Data Elements)" xr:uid="{77C3AE1B-EF7E-41DB-A6EF-79A777D52AA9}"/>
    <hyperlink ref="A5" location="'G (Data Elements)'!A1" display="G (Data Elements)" xr:uid="{A89AA61F-6FFF-4C14-9786-3D68D3CA1186}"/>
    <hyperlink ref="A6" location="'N (Data Elements)'!A1" display="N (Data Elements)" xr:uid="{EBEBEA22-E036-4DE4-92BA-C53C397A455B}"/>
    <hyperlink ref="A7" location="'P (Data Elements)'!A1" display="P (Data Elements)" xr:uid="{976D5549-F9DA-4D77-92C9-2FEA00F53640}"/>
    <hyperlink ref="A8" location="'Y (Data Elements)'!A1" display="Y (Data Elements)" xr:uid="{86140B98-BA97-4695-BA03-6D821D37D1AC}"/>
    <hyperlink ref="A9" location="'AA (Data Elements)'!A1" display="AA (Data Elements)" xr:uid="{6EB49958-9619-4477-AFF6-6E5A331BDFAD}"/>
    <hyperlink ref="A10" location="'HH (Data Elements)'!A1" display="HH (Data Elements)" xr:uid="{5235A9F9-3F08-4D9B-B6DB-E49740F4F3B0}"/>
    <hyperlink ref="A11" location="'OO (Data Elements)'!A1" display="OO (Data Elements)" xr:uid="{799CA9BB-3779-4226-94B2-96D530330CC0}"/>
    <hyperlink ref="A12" location="'QQ (Data Elements)'!A1" display="QQ (Data Elements)" xr:uid="{C3FBF9EE-6218-426C-9C49-CBA0EFF735EE}"/>
    <hyperlink ref="A13" location="'Reporting Cost Summary'!A1" display="Reporting Cost Summary" xr:uid="{29535E80-90A2-42F3-8F1E-C13B45D22C76}"/>
    <hyperlink ref="A16" location="'Table of Contents'!A1" display="Table of Contents" xr:uid="{11E3F225-FAE9-4EE9-89F7-C90782A16023}"/>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521B7-1456-4FD0-A390-60ACD40B3189}">
  <sheetPr codeName="Sheet24"/>
  <dimension ref="A1:L32"/>
  <sheetViews>
    <sheetView topLeftCell="A4" workbookViewId="0">
      <selection activeCell="C15" sqref="C15"/>
    </sheetView>
  </sheetViews>
  <sheetFormatPr defaultRowHeight="15" x14ac:dyDescent="0.25"/>
  <cols>
    <col min="4" max="4" width="14.140625" customWidth="1"/>
  </cols>
  <sheetData>
    <row r="1" spans="1:12" x14ac:dyDescent="0.25">
      <c r="A1" s="6" t="s">
        <v>1176</v>
      </c>
    </row>
    <row r="3" spans="1:12" x14ac:dyDescent="0.25">
      <c r="B3" t="s">
        <v>1175</v>
      </c>
      <c r="H3" s="345"/>
      <c r="I3" s="345"/>
      <c r="J3" s="345"/>
      <c r="K3" s="345"/>
    </row>
    <row r="4" spans="1:12" ht="33.75" x14ac:dyDescent="0.25">
      <c r="B4" s="7" t="s">
        <v>0</v>
      </c>
      <c r="C4" s="8" t="s">
        <v>18</v>
      </c>
      <c r="D4" s="8" t="s">
        <v>138</v>
      </c>
      <c r="E4" s="8" t="s">
        <v>301</v>
      </c>
      <c r="H4" s="345"/>
      <c r="I4" s="345"/>
      <c r="J4" s="345"/>
      <c r="K4" s="345"/>
    </row>
    <row r="5" spans="1:12" x14ac:dyDescent="0.25">
      <c r="B5" s="10"/>
      <c r="C5" s="123"/>
      <c r="D5" s="124"/>
      <c r="E5" s="126"/>
      <c r="H5" s="345"/>
      <c r="I5" s="345"/>
      <c r="J5" s="345"/>
      <c r="K5" s="345"/>
    </row>
    <row r="6" spans="1:12" x14ac:dyDescent="0.25">
      <c r="B6" s="227" t="s">
        <v>194</v>
      </c>
      <c r="C6" s="228">
        <f>'A (Data Elements)'!C6</f>
        <v>7840</v>
      </c>
      <c r="D6" s="229">
        <f>'A (Data Elements)'!C23</f>
        <v>64133.072192000014</v>
      </c>
      <c r="E6" s="229">
        <f>D6/C6</f>
        <v>8.1802388000000015</v>
      </c>
      <c r="H6" s="345"/>
      <c r="I6" s="345"/>
      <c r="J6" s="345"/>
      <c r="K6" s="345"/>
    </row>
    <row r="7" spans="1:12" x14ac:dyDescent="0.25">
      <c r="B7" s="125" t="s">
        <v>264</v>
      </c>
      <c r="C7" s="228">
        <f>'C (Data Elements)'!C6</f>
        <v>346</v>
      </c>
      <c r="D7" s="229">
        <f>'C (Data Elements)'!C23</f>
        <v>9906.2691868000002</v>
      </c>
      <c r="E7" s="229">
        <f>D7/C7</f>
        <v>28.6308358</v>
      </c>
      <c r="H7" s="345"/>
      <c r="I7" s="345"/>
      <c r="J7" s="345"/>
      <c r="K7" s="345"/>
    </row>
    <row r="8" spans="1:12" x14ac:dyDescent="0.25">
      <c r="B8" s="125" t="s">
        <v>19</v>
      </c>
      <c r="C8" s="9">
        <f>'F (Data Elements)'!C6</f>
        <v>7</v>
      </c>
      <c r="D8" s="126">
        <f>'F (Data Elements)'!C23</f>
        <v>57.261671600000014</v>
      </c>
      <c r="E8" s="11">
        <f>D8/C8</f>
        <v>8.1802388000000015</v>
      </c>
      <c r="H8" s="345"/>
      <c r="I8" s="345"/>
      <c r="J8" s="345"/>
      <c r="K8" s="345"/>
    </row>
    <row r="9" spans="1:12" x14ac:dyDescent="0.25">
      <c r="B9" s="125" t="s">
        <v>20</v>
      </c>
      <c r="C9" s="127">
        <f>'G (Data Elements)'!C6</f>
        <v>29</v>
      </c>
      <c r="D9" s="126">
        <f>'G (Data Elements)'!C23</f>
        <v>118.61346260000002</v>
      </c>
      <c r="E9" s="11">
        <f>D9/C9</f>
        <v>4.0901194000000007</v>
      </c>
      <c r="H9" s="963"/>
      <c r="I9" s="963"/>
      <c r="J9" s="963"/>
      <c r="K9" s="963"/>
    </row>
    <row r="10" spans="1:12" x14ac:dyDescent="0.25">
      <c r="B10" s="125" t="s">
        <v>21</v>
      </c>
      <c r="C10" s="127">
        <f>'N (Data Elements)'!C6</f>
        <v>100</v>
      </c>
      <c r="D10" s="126">
        <f>'N (Data Elements)'!C23</f>
        <v>1227.0358200000001</v>
      </c>
      <c r="E10" s="11">
        <f t="shared" ref="E10:E17" si="0">D10/C10</f>
        <v>12.2703582</v>
      </c>
      <c r="H10" s="963"/>
      <c r="I10" s="963"/>
      <c r="J10" s="963"/>
      <c r="K10" s="963"/>
    </row>
    <row r="11" spans="1:12" x14ac:dyDescent="0.25">
      <c r="B11" s="125" t="s">
        <v>22</v>
      </c>
      <c r="C11" s="127">
        <f>'P (Data Elements)'!C6</f>
        <v>116</v>
      </c>
      <c r="D11" s="126">
        <f>'P (Data Elements)'!C23</f>
        <v>3345.7176691999998</v>
      </c>
      <c r="E11" s="11">
        <f t="shared" si="0"/>
        <v>28.842393699999999</v>
      </c>
      <c r="H11" s="963"/>
      <c r="I11" s="963"/>
      <c r="J11" s="963"/>
      <c r="K11" s="963"/>
    </row>
    <row r="12" spans="1:12" x14ac:dyDescent="0.25">
      <c r="B12" s="125" t="s">
        <v>23</v>
      </c>
      <c r="C12" s="127">
        <f>'Y (Data Elements)'!C6</f>
        <v>6</v>
      </c>
      <c r="D12" s="126">
        <f>'Y (Data Elements)'!C23</f>
        <v>24.540716400000004</v>
      </c>
      <c r="E12" s="11">
        <f t="shared" si="0"/>
        <v>4.0901194000000007</v>
      </c>
      <c r="H12" s="963"/>
      <c r="I12" s="963"/>
      <c r="J12" s="963"/>
      <c r="K12" s="963"/>
      <c r="L12" s="5"/>
    </row>
    <row r="13" spans="1:12" x14ac:dyDescent="0.25">
      <c r="B13" s="125" t="s">
        <v>24</v>
      </c>
      <c r="C13" s="127">
        <f>'AA (Data Elements)'!C6</f>
        <v>1</v>
      </c>
      <c r="D13" s="126">
        <f>'AA (Data Elements)'!C23</f>
        <v>8.1802388000000015</v>
      </c>
      <c r="E13" s="11">
        <f t="shared" si="0"/>
        <v>8.1802388000000015</v>
      </c>
      <c r="H13" s="963"/>
      <c r="I13" s="963"/>
      <c r="J13" s="963"/>
      <c r="K13" s="963"/>
      <c r="L13" s="5"/>
    </row>
    <row r="14" spans="1:12" x14ac:dyDescent="0.25">
      <c r="B14" s="125" t="s">
        <v>263</v>
      </c>
      <c r="C14" s="127">
        <f>'HH (Data Elements)'!C6</f>
        <v>1126</v>
      </c>
      <c r="D14" s="126">
        <f>'HH (Data Elements)'!C23</f>
        <v>67756.917980400001</v>
      </c>
      <c r="E14" s="229">
        <f>D14/C14</f>
        <v>60.174882753463592</v>
      </c>
      <c r="H14" s="963"/>
      <c r="I14" s="963"/>
      <c r="J14" s="963"/>
      <c r="K14" s="963"/>
      <c r="L14" s="5"/>
    </row>
    <row r="15" spans="1:12" x14ac:dyDescent="0.25">
      <c r="B15" s="125" t="s">
        <v>25</v>
      </c>
      <c r="C15" s="127">
        <f>'OO (Data Elements)'!C6</f>
        <v>104</v>
      </c>
      <c r="D15" s="126">
        <f>'OO (Data Elements)'!C23</f>
        <v>1087.9717604000002</v>
      </c>
      <c r="E15" s="11">
        <f t="shared" si="0"/>
        <v>10.461266926923079</v>
      </c>
      <c r="H15" s="963"/>
      <c r="I15" s="963"/>
      <c r="J15" s="963"/>
      <c r="K15" s="963"/>
      <c r="L15" s="5"/>
    </row>
    <row r="16" spans="1:12" x14ac:dyDescent="0.25">
      <c r="B16" s="125" t="s">
        <v>1185</v>
      </c>
      <c r="C16" s="127">
        <v>11</v>
      </c>
      <c r="D16" s="126">
        <f>'PP (Data Elements)'!C23</f>
        <v>134.97394020000002</v>
      </c>
      <c r="E16" s="11">
        <f t="shared" si="0"/>
        <v>12.270358200000002</v>
      </c>
      <c r="H16" s="963"/>
      <c r="I16" s="963"/>
      <c r="J16" s="963"/>
      <c r="K16" s="963"/>
      <c r="L16" s="5"/>
    </row>
    <row r="17" spans="2:12" x14ac:dyDescent="0.25">
      <c r="B17" s="125" t="s">
        <v>26</v>
      </c>
      <c r="C17" s="127">
        <f>'QQ (Data Elements)'!C6</f>
        <v>33</v>
      </c>
      <c r="D17" s="126">
        <f>'QQ (Data Elements)'!C23</f>
        <v>384.47122360000003</v>
      </c>
      <c r="E17" s="11">
        <f t="shared" si="0"/>
        <v>11.65064313939394</v>
      </c>
      <c r="H17" s="963"/>
      <c r="I17" s="963"/>
      <c r="J17" s="963"/>
      <c r="K17" s="963"/>
      <c r="L17" s="5"/>
    </row>
    <row r="18" spans="2:12" x14ac:dyDescent="0.25">
      <c r="B18" s="125"/>
      <c r="C18" s="9"/>
      <c r="D18" s="11"/>
      <c r="E18" s="11"/>
      <c r="H18" s="963"/>
      <c r="I18" s="963"/>
      <c r="J18" s="963"/>
      <c r="K18" s="963"/>
      <c r="L18" s="5"/>
    </row>
    <row r="19" spans="2:12" ht="37.5" customHeight="1" x14ac:dyDescent="0.25">
      <c r="B19" s="1032" t="s">
        <v>27</v>
      </c>
      <c r="C19" s="1033"/>
      <c r="D19" s="11">
        <f>SUM(D6:D18)</f>
        <v>148185.02586200004</v>
      </c>
      <c r="E19" s="11">
        <f>AVERAGE(E6:E18)</f>
        <v>16.418474493315053</v>
      </c>
      <c r="H19" s="963"/>
      <c r="I19" s="963"/>
      <c r="J19" s="963"/>
      <c r="K19" s="963"/>
    </row>
    <row r="20" spans="2:12" x14ac:dyDescent="0.25">
      <c r="B20" s="158"/>
      <c r="H20" s="963"/>
      <c r="I20" s="963"/>
      <c r="J20" s="963"/>
      <c r="K20" s="963"/>
    </row>
    <row r="21" spans="2:12" x14ac:dyDescent="0.25">
      <c r="G21" s="12"/>
    </row>
    <row r="22" spans="2:12" x14ac:dyDescent="0.25">
      <c r="B22" s="346" t="s">
        <v>349</v>
      </c>
    </row>
    <row r="31" spans="2:12" x14ac:dyDescent="0.25">
      <c r="F31" s="3"/>
    </row>
    <row r="32" spans="2:12" ht="15" customHeight="1" x14ac:dyDescent="0.25"/>
  </sheetData>
  <mergeCells count="1">
    <mergeCell ref="B19:C19"/>
  </mergeCells>
  <hyperlinks>
    <hyperlink ref="B22" location="'Table of Contents'!A1" display="Table of Contents" xr:uid="{F96604BA-F8CD-4BFD-991F-6A9A35C344A4}"/>
  </hyperlink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932FD-8FE2-4BA1-BA1C-A16EBBD25B53}">
  <sheetPr codeName="Sheet25"/>
  <dimension ref="B2:N30"/>
  <sheetViews>
    <sheetView topLeftCell="A4" workbookViewId="0">
      <selection activeCell="G19" sqref="G19"/>
    </sheetView>
  </sheetViews>
  <sheetFormatPr defaultRowHeight="15" x14ac:dyDescent="0.25"/>
  <cols>
    <col min="2" max="2" width="29.7109375" customWidth="1"/>
    <col min="3" max="3" width="24" customWidth="1"/>
    <col min="4" max="4" width="16.85546875" customWidth="1"/>
  </cols>
  <sheetData>
    <row r="2" spans="2:14" x14ac:dyDescent="0.25">
      <c r="B2" s="6" t="s">
        <v>998</v>
      </c>
      <c r="C2" s="6"/>
      <c r="D2" s="6"/>
      <c r="E2" s="6"/>
      <c r="F2" s="6"/>
      <c r="G2" s="6"/>
    </row>
    <row r="4" spans="2:14" x14ac:dyDescent="0.25">
      <c r="B4" s="1035" t="s">
        <v>59</v>
      </c>
      <c r="C4" s="1036" t="s">
        <v>1112</v>
      </c>
      <c r="D4" s="1036"/>
      <c r="E4" s="54"/>
      <c r="F4" s="54"/>
      <c r="G4" s="54"/>
      <c r="H4" s="54"/>
      <c r="I4" s="54"/>
      <c r="J4" s="54"/>
      <c r="K4" s="54"/>
      <c r="L4" s="54"/>
      <c r="M4" s="54"/>
      <c r="N4" s="54"/>
    </row>
    <row r="5" spans="2:14" x14ac:dyDescent="0.25">
      <c r="B5" s="1035"/>
      <c r="C5" s="55" t="s">
        <v>43</v>
      </c>
      <c r="D5" s="56" t="s">
        <v>192</v>
      </c>
    </row>
    <row r="6" spans="2:14" x14ac:dyDescent="0.25">
      <c r="B6" s="10" t="s">
        <v>159</v>
      </c>
      <c r="C6" s="57">
        <f>SUM(D6)</f>
        <v>7840</v>
      </c>
      <c r="D6" s="9">
        <f>'B (New Subpart)'!B33</f>
        <v>7840</v>
      </c>
    </row>
    <row r="7" spans="2:14" x14ac:dyDescent="0.25">
      <c r="B7" s="58" t="s">
        <v>62</v>
      </c>
      <c r="C7" s="57">
        <f t="shared" ref="C7:C10" si="0">SUM(D7)</f>
        <v>2</v>
      </c>
      <c r="D7" s="9">
        <v>2</v>
      </c>
    </row>
    <row r="8" spans="2:14" x14ac:dyDescent="0.25">
      <c r="B8" s="58" t="s">
        <v>63</v>
      </c>
      <c r="C8" s="57">
        <f t="shared" si="0"/>
        <v>0</v>
      </c>
      <c r="D8" s="9">
        <v>0</v>
      </c>
    </row>
    <row r="9" spans="2:14" x14ac:dyDescent="0.25">
      <c r="B9" s="58" t="s">
        <v>64</v>
      </c>
      <c r="C9" s="57">
        <f t="shared" si="0"/>
        <v>0</v>
      </c>
      <c r="D9" s="9">
        <v>0</v>
      </c>
    </row>
    <row r="10" spans="2:14" x14ac:dyDescent="0.25">
      <c r="B10" s="59" t="s">
        <v>65</v>
      </c>
      <c r="C10" s="57">
        <f t="shared" si="0"/>
        <v>2</v>
      </c>
      <c r="D10" s="60">
        <f>D7+D8-D9</f>
        <v>2</v>
      </c>
    </row>
    <row r="11" spans="2:14" ht="23.25" x14ac:dyDescent="0.25">
      <c r="B11" s="61" t="s">
        <v>66</v>
      </c>
      <c r="C11" s="62"/>
      <c r="D11" s="63">
        <f>3/60</f>
        <v>0.05</v>
      </c>
    </row>
    <row r="12" spans="2:14" x14ac:dyDescent="0.25">
      <c r="B12" s="59" t="s">
        <v>67</v>
      </c>
      <c r="C12" s="64"/>
      <c r="D12" s="65"/>
    </row>
    <row r="13" spans="2:14" x14ac:dyDescent="0.25">
      <c r="B13" s="66" t="s">
        <v>68</v>
      </c>
      <c r="C13" s="67">
        <f>SUM(D13:D13)</f>
        <v>0.1</v>
      </c>
      <c r="D13" s="68">
        <f>D10*D11</f>
        <v>0.1</v>
      </c>
    </row>
    <row r="14" spans="2:14" x14ac:dyDescent="0.25">
      <c r="B14" s="66" t="s">
        <v>69</v>
      </c>
      <c r="C14" s="67">
        <f>SUM(D14:D14)</f>
        <v>1.0000000000000002E-2</v>
      </c>
      <c r="D14" s="68">
        <f t="shared" ref="D14" si="1">D13*0.1</f>
        <v>1.0000000000000002E-2</v>
      </c>
    </row>
    <row r="15" spans="2:14" x14ac:dyDescent="0.25">
      <c r="B15" s="66" t="s">
        <v>70</v>
      </c>
      <c r="C15" s="67">
        <f>SUM(D15:D15)</f>
        <v>5.000000000000001E-3</v>
      </c>
      <c r="D15" s="68">
        <f t="shared" ref="D15" si="2">D13*0.05</f>
        <v>5.000000000000001E-3</v>
      </c>
    </row>
    <row r="16" spans="2:14" x14ac:dyDescent="0.25">
      <c r="B16" s="66" t="s">
        <v>43</v>
      </c>
      <c r="C16" s="67">
        <f>SUM(D16:D16)</f>
        <v>0.115</v>
      </c>
      <c r="D16" s="68">
        <f t="shared" ref="D16" si="3">D15+D14+D13</f>
        <v>0.115</v>
      </c>
    </row>
    <row r="17" spans="2:14" x14ac:dyDescent="0.25">
      <c r="B17" s="59" t="s">
        <v>71</v>
      </c>
      <c r="C17" s="69"/>
      <c r="D17" s="65"/>
    </row>
    <row r="18" spans="2:14" x14ac:dyDescent="0.25">
      <c r="B18" s="66" t="s">
        <v>68</v>
      </c>
      <c r="C18" s="70">
        <f>SUM(D18:D18)</f>
        <v>7.3827010000000008</v>
      </c>
      <c r="D18" s="11">
        <f>D13*Tech</f>
        <v>7.3827010000000008</v>
      </c>
    </row>
    <row r="19" spans="2:14" x14ac:dyDescent="0.25">
      <c r="B19" s="66" t="s">
        <v>69</v>
      </c>
      <c r="C19" s="70">
        <f>SUM(D19:D19)</f>
        <v>0.34089750000000008</v>
      </c>
      <c r="D19" s="11">
        <f>D14*Admin</f>
        <v>0.34089750000000008</v>
      </c>
    </row>
    <row r="20" spans="2:14" x14ac:dyDescent="0.25">
      <c r="B20" s="66" t="s">
        <v>70</v>
      </c>
      <c r="C20" s="70">
        <f>SUM(D20:D20)</f>
        <v>0.45664030000000005</v>
      </c>
      <c r="D20" s="11">
        <f>D15*Manager</f>
        <v>0.45664030000000005</v>
      </c>
    </row>
    <row r="21" spans="2:14" x14ac:dyDescent="0.25">
      <c r="B21" s="66" t="s">
        <v>43</v>
      </c>
      <c r="C21" s="70">
        <f>SUM(D21:D21)</f>
        <v>8.1802388000000015</v>
      </c>
      <c r="D21" s="11">
        <f t="shared" ref="D21" si="4">D20+D19+D18</f>
        <v>8.1802388000000015</v>
      </c>
    </row>
    <row r="22" spans="2:14" ht="23.25" x14ac:dyDescent="0.25">
      <c r="B22" s="71" t="s">
        <v>72</v>
      </c>
      <c r="C22" s="72"/>
      <c r="D22" s="65"/>
    </row>
    <row r="23" spans="2:14" x14ac:dyDescent="0.25">
      <c r="B23" s="66" t="s">
        <v>43</v>
      </c>
      <c r="C23" s="73">
        <f>SUM(D23:D23)</f>
        <v>64133.072192000014</v>
      </c>
      <c r="D23" s="11">
        <f t="shared" ref="D23" si="5">D21*D6</f>
        <v>64133.072192000014</v>
      </c>
    </row>
    <row r="24" spans="2:14" x14ac:dyDescent="0.25">
      <c r="C24" s="73">
        <f>C23/C6</f>
        <v>8.1802388000000015</v>
      </c>
      <c r="D24" s="11" t="s">
        <v>73</v>
      </c>
      <c r="H24" s="1037"/>
      <c r="I24" s="1037"/>
      <c r="J24" s="1037"/>
      <c r="K24" s="1037"/>
      <c r="L24" s="74"/>
      <c r="M24" s="74"/>
      <c r="N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ht="20.25" customHeight="1" x14ac:dyDescent="0.25">
      <c r="B27" s="1034" t="s">
        <v>999</v>
      </c>
      <c r="C27" s="1034"/>
      <c r="D27" s="1034"/>
      <c r="E27" s="1034"/>
      <c r="F27" s="1034"/>
      <c r="G27" s="1034"/>
      <c r="H27" s="1034"/>
      <c r="I27" s="1034"/>
      <c r="J27" s="1034"/>
      <c r="K27" s="1034"/>
      <c r="L27" s="1034"/>
      <c r="M27" s="1034"/>
      <c r="N27" s="1034"/>
    </row>
    <row r="28" spans="2:14" ht="48.75" customHeight="1" x14ac:dyDescent="0.25">
      <c r="B28" s="1034" t="s">
        <v>997</v>
      </c>
      <c r="C28" s="1034"/>
      <c r="D28" s="1034"/>
      <c r="E28" s="1034"/>
      <c r="F28" s="1034"/>
      <c r="G28" s="1034"/>
      <c r="H28" s="1034"/>
      <c r="I28" s="1034"/>
      <c r="J28" s="1034"/>
      <c r="K28" s="1034"/>
      <c r="L28" s="1034"/>
      <c r="M28" s="1034"/>
      <c r="N28" s="1034"/>
    </row>
    <row r="29" spans="2:14" x14ac:dyDescent="0.25">
      <c r="B29" s="78"/>
      <c r="C29" s="78"/>
      <c r="D29" s="78"/>
      <c r="E29" s="78"/>
      <c r="F29" s="78"/>
      <c r="G29" s="78"/>
      <c r="H29" s="78"/>
      <c r="I29" s="78"/>
      <c r="J29" s="78"/>
      <c r="K29" s="78"/>
      <c r="L29" s="78"/>
      <c r="M29" s="78"/>
      <c r="N29" s="78"/>
    </row>
    <row r="30" spans="2:14" x14ac:dyDescent="0.25">
      <c r="B30" s="346" t="s">
        <v>349</v>
      </c>
    </row>
  </sheetData>
  <mergeCells count="7">
    <mergeCell ref="B28:N28"/>
    <mergeCell ref="B4:B5"/>
    <mergeCell ref="C4:D4"/>
    <mergeCell ref="H24:I24"/>
    <mergeCell ref="J24:K24"/>
    <mergeCell ref="B26:N26"/>
    <mergeCell ref="B27:N27"/>
  </mergeCells>
  <hyperlinks>
    <hyperlink ref="B30" location="'Table of Contents'!A1" display="Table of Contents" xr:uid="{39ED32AE-3890-4BF0-9828-A6FE4B9CD4CA}"/>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3A2A3-000F-4CCC-BE12-20231DDB51A8}">
  <sheetPr codeName="Sheet26"/>
  <dimension ref="B2:N30"/>
  <sheetViews>
    <sheetView topLeftCell="A21" workbookViewId="0"/>
  </sheetViews>
  <sheetFormatPr defaultRowHeight="15" x14ac:dyDescent="0.25"/>
  <cols>
    <col min="2" max="2" width="29.7109375" customWidth="1"/>
    <col min="3" max="3" width="24" customWidth="1"/>
    <col min="4" max="4" width="16.85546875" customWidth="1"/>
  </cols>
  <sheetData>
    <row r="2" spans="2:14" x14ac:dyDescent="0.25">
      <c r="B2" s="6" t="s">
        <v>998</v>
      </c>
      <c r="C2" s="6"/>
      <c r="D2" s="6"/>
      <c r="E2" s="6"/>
      <c r="F2" s="6"/>
      <c r="G2" s="6"/>
    </row>
    <row r="4" spans="2:14" x14ac:dyDescent="0.25">
      <c r="B4" s="1035" t="s">
        <v>59</v>
      </c>
      <c r="C4" s="1036" t="s">
        <v>268</v>
      </c>
      <c r="D4" s="1036"/>
      <c r="E4" s="54"/>
      <c r="F4" s="54"/>
      <c r="G4" s="54"/>
      <c r="H4" s="54"/>
      <c r="I4" s="54"/>
      <c r="J4" s="54"/>
      <c r="K4" s="54"/>
      <c r="L4" s="54"/>
      <c r="M4" s="54"/>
      <c r="N4" s="54"/>
    </row>
    <row r="5" spans="2:14" x14ac:dyDescent="0.25">
      <c r="B5" s="1035"/>
      <c r="C5" s="55" t="s">
        <v>43</v>
      </c>
      <c r="D5" s="56" t="s">
        <v>265</v>
      </c>
    </row>
    <row r="6" spans="2:14" x14ac:dyDescent="0.25">
      <c r="B6" s="10" t="s">
        <v>159</v>
      </c>
      <c r="C6" s="57">
        <f>SUM(D6)</f>
        <v>346</v>
      </c>
      <c r="D6" s="9">
        <v>346</v>
      </c>
      <c r="E6" s="5"/>
    </row>
    <row r="7" spans="2:14" x14ac:dyDescent="0.25">
      <c r="B7" s="58" t="s">
        <v>62</v>
      </c>
      <c r="C7" s="57">
        <f t="shared" ref="C7:C10" si="0">SUM(D7)</f>
        <v>7</v>
      </c>
      <c r="D7" s="9">
        <v>7</v>
      </c>
    </row>
    <row r="8" spans="2:14" x14ac:dyDescent="0.25">
      <c r="B8" s="58" t="s">
        <v>63</v>
      </c>
      <c r="C8" s="57">
        <f t="shared" si="0"/>
        <v>0</v>
      </c>
      <c r="D8" s="9">
        <v>0</v>
      </c>
    </row>
    <row r="9" spans="2:14" x14ac:dyDescent="0.25">
      <c r="B9" s="58" t="s">
        <v>64</v>
      </c>
      <c r="C9" s="57">
        <f t="shared" si="0"/>
        <v>0</v>
      </c>
      <c r="D9" s="9">
        <v>0</v>
      </c>
    </row>
    <row r="10" spans="2:14" x14ac:dyDescent="0.25">
      <c r="B10" s="59" t="s">
        <v>65</v>
      </c>
      <c r="C10" s="57">
        <f t="shared" si="0"/>
        <v>7</v>
      </c>
      <c r="D10" s="60">
        <f>D7+D8-D9</f>
        <v>7</v>
      </c>
    </row>
    <row r="11" spans="2:14" ht="23.25" x14ac:dyDescent="0.25">
      <c r="B11" s="61" t="s">
        <v>66</v>
      </c>
      <c r="C11" s="62"/>
      <c r="D11" s="63">
        <f>3/60</f>
        <v>0.05</v>
      </c>
    </row>
    <row r="12" spans="2:14" x14ac:dyDescent="0.25">
      <c r="B12" s="59" t="s">
        <v>67</v>
      </c>
      <c r="C12" s="64"/>
      <c r="D12" s="65"/>
    </row>
    <row r="13" spans="2:14" x14ac:dyDescent="0.25">
      <c r="B13" s="66" t="s">
        <v>68</v>
      </c>
      <c r="C13" s="67">
        <f>SUM(D13:D13)</f>
        <v>0.35000000000000003</v>
      </c>
      <c r="D13" s="68">
        <f>D10*D11</f>
        <v>0.35000000000000003</v>
      </c>
    </row>
    <row r="14" spans="2:14" x14ac:dyDescent="0.25">
      <c r="B14" s="66" t="s">
        <v>69</v>
      </c>
      <c r="C14" s="67">
        <f>SUM(D14:D14)</f>
        <v>3.5000000000000003E-2</v>
      </c>
      <c r="D14" s="68">
        <f t="shared" ref="D14" si="1">D13*0.1</f>
        <v>3.5000000000000003E-2</v>
      </c>
    </row>
    <row r="15" spans="2:14" x14ac:dyDescent="0.25">
      <c r="B15" s="66" t="s">
        <v>70</v>
      </c>
      <c r="C15" s="67">
        <f>SUM(D15:D15)</f>
        <v>1.7500000000000002E-2</v>
      </c>
      <c r="D15" s="68">
        <f t="shared" ref="D15" si="2">D13*0.05</f>
        <v>1.7500000000000002E-2</v>
      </c>
    </row>
    <row r="16" spans="2:14" x14ac:dyDescent="0.25">
      <c r="B16" s="66" t="s">
        <v>43</v>
      </c>
      <c r="C16" s="67">
        <f>SUM(D16:D16)</f>
        <v>0.40250000000000002</v>
      </c>
      <c r="D16" s="68">
        <f t="shared" ref="D16" si="3">D15+D14+D13</f>
        <v>0.40250000000000002</v>
      </c>
    </row>
    <row r="17" spans="2:14" x14ac:dyDescent="0.25">
      <c r="B17" s="59" t="s">
        <v>71</v>
      </c>
      <c r="C17" s="69"/>
      <c r="D17" s="65"/>
    </row>
    <row r="18" spans="2:14" x14ac:dyDescent="0.25">
      <c r="B18" s="66" t="s">
        <v>68</v>
      </c>
      <c r="C18" s="70">
        <f>SUM(D18:D18)</f>
        <v>25.839453500000001</v>
      </c>
      <c r="D18" s="11">
        <f>D13*Tech</f>
        <v>25.839453500000001</v>
      </c>
    </row>
    <row r="19" spans="2:14" x14ac:dyDescent="0.25">
      <c r="B19" s="66" t="s">
        <v>69</v>
      </c>
      <c r="C19" s="70">
        <f>SUM(D19:D19)</f>
        <v>1.1931412500000003</v>
      </c>
      <c r="D19" s="11">
        <f>D14*Admin</f>
        <v>1.1931412500000003</v>
      </c>
    </row>
    <row r="20" spans="2:14" x14ac:dyDescent="0.25">
      <c r="B20" s="66" t="s">
        <v>70</v>
      </c>
      <c r="C20" s="70">
        <f>SUM(D20:D20)</f>
        <v>1.5982410499999999</v>
      </c>
      <c r="D20" s="11">
        <f>D15*Manager</f>
        <v>1.5982410499999999</v>
      </c>
    </row>
    <row r="21" spans="2:14" x14ac:dyDescent="0.25">
      <c r="B21" s="66" t="s">
        <v>43</v>
      </c>
      <c r="C21" s="70">
        <f>SUM(D21:D21)</f>
        <v>28.6308358</v>
      </c>
      <c r="D21" s="11">
        <f t="shared" ref="D21" si="4">D20+D19+D18</f>
        <v>28.6308358</v>
      </c>
    </row>
    <row r="22" spans="2:14" ht="23.25" x14ac:dyDescent="0.25">
      <c r="B22" s="71" t="s">
        <v>72</v>
      </c>
      <c r="C22" s="72"/>
      <c r="D22" s="65"/>
    </row>
    <row r="23" spans="2:14" x14ac:dyDescent="0.25">
      <c r="B23" s="66" t="s">
        <v>43</v>
      </c>
      <c r="C23" s="73">
        <f>SUM(D23:D23)</f>
        <v>9906.2691868000002</v>
      </c>
      <c r="D23" s="11">
        <f t="shared" ref="D23" si="5">D21*D6</f>
        <v>9906.2691868000002</v>
      </c>
    </row>
    <row r="24" spans="2:14" x14ac:dyDescent="0.25">
      <c r="C24" s="73">
        <f>C23/C6</f>
        <v>28.6308358</v>
      </c>
      <c r="D24" s="11" t="s">
        <v>73</v>
      </c>
      <c r="H24" s="1037"/>
      <c r="I24" s="1037"/>
      <c r="J24" s="1037"/>
      <c r="K24" s="1037"/>
      <c r="L24" s="74"/>
      <c r="M24" s="74"/>
      <c r="N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ht="27.75" customHeight="1" x14ac:dyDescent="0.25">
      <c r="B27" s="1034" t="s">
        <v>999</v>
      </c>
      <c r="C27" s="1034"/>
      <c r="D27" s="1034"/>
      <c r="E27" s="1034"/>
      <c r="F27" s="1034"/>
      <c r="G27" s="1034"/>
      <c r="H27" s="1034"/>
      <c r="I27" s="1034"/>
      <c r="J27" s="1034"/>
      <c r="K27" s="1034"/>
      <c r="L27" s="1034"/>
      <c r="M27" s="1034"/>
      <c r="N27" s="1034"/>
    </row>
    <row r="28" spans="2:14" ht="98.25" customHeight="1" x14ac:dyDescent="0.25">
      <c r="B28" s="1034" t="s">
        <v>351</v>
      </c>
      <c r="C28" s="1034"/>
      <c r="D28" s="1034"/>
      <c r="E28" s="1034"/>
      <c r="F28" s="1034"/>
      <c r="G28" s="1034"/>
      <c r="H28" s="1034"/>
      <c r="I28" s="1034"/>
      <c r="J28" s="1034"/>
      <c r="K28" s="1034"/>
      <c r="L28" s="1034"/>
      <c r="M28" s="1034"/>
      <c r="N28" s="1034"/>
    </row>
    <row r="29" spans="2:14" x14ac:dyDescent="0.25">
      <c r="B29" s="78"/>
      <c r="C29" s="78"/>
      <c r="D29" s="78"/>
      <c r="E29" s="78"/>
      <c r="F29" s="78"/>
      <c r="G29" s="78"/>
      <c r="H29" s="78"/>
      <c r="I29" s="78"/>
      <c r="J29" s="78"/>
      <c r="K29" s="78"/>
      <c r="L29" s="78"/>
      <c r="M29" s="78"/>
      <c r="N29" s="78"/>
    </row>
    <row r="30" spans="2:14" x14ac:dyDescent="0.25">
      <c r="B30" s="346" t="s">
        <v>349</v>
      </c>
    </row>
  </sheetData>
  <mergeCells count="7">
    <mergeCell ref="B28:N28"/>
    <mergeCell ref="B4:B5"/>
    <mergeCell ref="C4:D4"/>
    <mergeCell ref="H24:I24"/>
    <mergeCell ref="J24:K24"/>
    <mergeCell ref="B26:N26"/>
    <mergeCell ref="B27:N27"/>
  </mergeCells>
  <hyperlinks>
    <hyperlink ref="B30" location="'Table of Contents'!A1" display="Table of Contents" xr:uid="{618521D2-3F7B-4104-9668-2DF5F48765F2}"/>
  </hyperlinks>
  <pageMargins left="0.7" right="0.7" top="0.75" bottom="0.75" header="0.3" footer="0.3"/>
  <pageSetup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5485D-D202-49C3-988C-FEE5397597B9}">
  <sheetPr codeName="Sheet27"/>
  <dimension ref="B2:N30"/>
  <sheetViews>
    <sheetView topLeftCell="A12" workbookViewId="0">
      <selection activeCell="B28" sqref="B28:N28"/>
    </sheetView>
  </sheetViews>
  <sheetFormatPr defaultRowHeight="15" x14ac:dyDescent="0.25"/>
  <cols>
    <col min="2" max="2" width="29.7109375" customWidth="1"/>
    <col min="3" max="3" width="24" customWidth="1"/>
    <col min="4" max="4" width="16.85546875" customWidth="1"/>
  </cols>
  <sheetData>
    <row r="2" spans="2:14" x14ac:dyDescent="0.25">
      <c r="B2" s="6" t="s">
        <v>998</v>
      </c>
      <c r="C2" s="6"/>
      <c r="D2" s="6"/>
      <c r="E2" s="6"/>
      <c r="F2" s="6"/>
      <c r="G2" s="6"/>
    </row>
    <row r="4" spans="2:14" x14ac:dyDescent="0.25">
      <c r="B4" s="1035" t="s">
        <v>59</v>
      </c>
      <c r="C4" s="1036" t="s">
        <v>144</v>
      </c>
      <c r="D4" s="1036"/>
      <c r="E4" s="54"/>
      <c r="F4" s="54"/>
      <c r="G4" s="54"/>
      <c r="H4" s="54"/>
      <c r="I4" s="54"/>
      <c r="J4" s="54"/>
      <c r="K4" s="54"/>
      <c r="L4" s="54"/>
      <c r="M4" s="54"/>
      <c r="N4" s="54"/>
    </row>
    <row r="5" spans="2:14" x14ac:dyDescent="0.25">
      <c r="B5" s="1035"/>
      <c r="C5" s="55" t="s">
        <v>43</v>
      </c>
      <c r="D5" s="56" t="s">
        <v>180</v>
      </c>
    </row>
    <row r="6" spans="2:14" x14ac:dyDescent="0.25">
      <c r="B6" s="10" t="s">
        <v>159</v>
      </c>
      <c r="C6" s="57">
        <f>SUM(D6)</f>
        <v>7</v>
      </c>
      <c r="D6" s="9">
        <v>7</v>
      </c>
    </row>
    <row r="7" spans="2:14" x14ac:dyDescent="0.25">
      <c r="B7" s="58" t="s">
        <v>62</v>
      </c>
      <c r="C7" s="57">
        <f t="shared" ref="C7:C10" si="0">SUM(D7)</f>
        <v>2</v>
      </c>
      <c r="D7" s="9">
        <v>2</v>
      </c>
    </row>
    <row r="8" spans="2:14" x14ac:dyDescent="0.25">
      <c r="B8" s="58" t="s">
        <v>63</v>
      </c>
      <c r="C8" s="57">
        <f t="shared" si="0"/>
        <v>0</v>
      </c>
      <c r="D8" s="9">
        <v>0</v>
      </c>
    </row>
    <row r="9" spans="2:14" x14ac:dyDescent="0.25">
      <c r="B9" s="58" t="s">
        <v>64</v>
      </c>
      <c r="C9" s="57">
        <f t="shared" si="0"/>
        <v>0</v>
      </c>
      <c r="D9" s="9">
        <v>0</v>
      </c>
    </row>
    <row r="10" spans="2:14" x14ac:dyDescent="0.25">
      <c r="B10" s="59" t="s">
        <v>65</v>
      </c>
      <c r="C10" s="57">
        <f t="shared" si="0"/>
        <v>2</v>
      </c>
      <c r="D10" s="60">
        <f>D7+D8-D9</f>
        <v>2</v>
      </c>
    </row>
    <row r="11" spans="2:14" ht="23.25" x14ac:dyDescent="0.25">
      <c r="B11" s="61" t="s">
        <v>66</v>
      </c>
      <c r="C11" s="62"/>
      <c r="D11" s="63">
        <f>3/60</f>
        <v>0.05</v>
      </c>
    </row>
    <row r="12" spans="2:14" x14ac:dyDescent="0.25">
      <c r="B12" s="59" t="s">
        <v>67</v>
      </c>
      <c r="C12" s="64"/>
      <c r="D12" s="65"/>
    </row>
    <row r="13" spans="2:14" x14ac:dyDescent="0.25">
      <c r="B13" s="66" t="s">
        <v>68</v>
      </c>
      <c r="C13" s="67">
        <f>SUM(D13:D13)</f>
        <v>0.1</v>
      </c>
      <c r="D13" s="68">
        <f>D10*D11</f>
        <v>0.1</v>
      </c>
    </row>
    <row r="14" spans="2:14" x14ac:dyDescent="0.25">
      <c r="B14" s="66" t="s">
        <v>69</v>
      </c>
      <c r="C14" s="67">
        <f>SUM(D14:D14)</f>
        <v>1.0000000000000002E-2</v>
      </c>
      <c r="D14" s="68">
        <f t="shared" ref="D14" si="1">D13*0.1</f>
        <v>1.0000000000000002E-2</v>
      </c>
    </row>
    <row r="15" spans="2:14" x14ac:dyDescent="0.25">
      <c r="B15" s="66" t="s">
        <v>70</v>
      </c>
      <c r="C15" s="67">
        <f>SUM(D15:D15)</f>
        <v>5.000000000000001E-3</v>
      </c>
      <c r="D15" s="68">
        <f t="shared" ref="D15" si="2">D13*0.05</f>
        <v>5.000000000000001E-3</v>
      </c>
    </row>
    <row r="16" spans="2:14" x14ac:dyDescent="0.25">
      <c r="B16" s="66" t="s">
        <v>43</v>
      </c>
      <c r="C16" s="67">
        <f>SUM(D16:D16)</f>
        <v>0.115</v>
      </c>
      <c r="D16" s="68">
        <f t="shared" ref="D16" si="3">D15+D14+D13</f>
        <v>0.115</v>
      </c>
    </row>
    <row r="17" spans="2:14" x14ac:dyDescent="0.25">
      <c r="B17" s="59" t="s">
        <v>71</v>
      </c>
      <c r="C17" s="69"/>
      <c r="D17" s="65"/>
    </row>
    <row r="18" spans="2:14" x14ac:dyDescent="0.25">
      <c r="B18" s="66" t="s">
        <v>68</v>
      </c>
      <c r="C18" s="70">
        <f>SUM(D18:D18)</f>
        <v>7.3827010000000008</v>
      </c>
      <c r="D18" s="11">
        <f>D13*Tech</f>
        <v>7.3827010000000008</v>
      </c>
    </row>
    <row r="19" spans="2:14" x14ac:dyDescent="0.25">
      <c r="B19" s="66" t="s">
        <v>69</v>
      </c>
      <c r="C19" s="70">
        <f>SUM(D19:D19)</f>
        <v>0.34089750000000008</v>
      </c>
      <c r="D19" s="11">
        <f>D14*Admin</f>
        <v>0.34089750000000008</v>
      </c>
    </row>
    <row r="20" spans="2:14" x14ac:dyDescent="0.25">
      <c r="B20" s="66" t="s">
        <v>70</v>
      </c>
      <c r="C20" s="70">
        <f>SUM(D20:D20)</f>
        <v>0.45664030000000005</v>
      </c>
      <c r="D20" s="11">
        <f>D15*Manager</f>
        <v>0.45664030000000005</v>
      </c>
    </row>
    <row r="21" spans="2:14" x14ac:dyDescent="0.25">
      <c r="B21" s="66" t="s">
        <v>43</v>
      </c>
      <c r="C21" s="70">
        <f>SUM(D21:D21)</f>
        <v>8.1802388000000015</v>
      </c>
      <c r="D21" s="11">
        <f t="shared" ref="D21" si="4">D20+D19+D18</f>
        <v>8.1802388000000015</v>
      </c>
    </row>
    <row r="22" spans="2:14" ht="23.25" x14ac:dyDescent="0.25">
      <c r="B22" s="71" t="s">
        <v>72</v>
      </c>
      <c r="C22" s="72"/>
      <c r="D22" s="65"/>
    </row>
    <row r="23" spans="2:14" x14ac:dyDescent="0.25">
      <c r="B23" s="66" t="s">
        <v>43</v>
      </c>
      <c r="C23" s="73">
        <f>SUM(D23:D23)</f>
        <v>57.261671600000014</v>
      </c>
      <c r="D23" s="11">
        <f t="shared" ref="D23" si="5">D21*D6</f>
        <v>57.261671600000014</v>
      </c>
    </row>
    <row r="24" spans="2:14" x14ac:dyDescent="0.25">
      <c r="C24" s="73">
        <f>C23/C6</f>
        <v>8.1802388000000015</v>
      </c>
      <c r="D24" s="11" t="s">
        <v>73</v>
      </c>
      <c r="H24" s="1037"/>
      <c r="I24" s="1037"/>
      <c r="J24" s="1037"/>
      <c r="K24" s="1037"/>
      <c r="L24" s="74"/>
      <c r="M24" s="74"/>
      <c r="N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ht="27.75" customHeight="1" x14ac:dyDescent="0.25">
      <c r="B27" s="1034" t="s">
        <v>1000</v>
      </c>
      <c r="C27" s="1034"/>
      <c r="D27" s="1034"/>
      <c r="E27" s="1034"/>
      <c r="F27" s="1034"/>
      <c r="G27" s="1034"/>
      <c r="H27" s="1034"/>
      <c r="I27" s="1034"/>
      <c r="J27" s="1034"/>
      <c r="K27" s="1034"/>
      <c r="L27" s="1034"/>
      <c r="M27" s="1034"/>
      <c r="N27" s="1034"/>
    </row>
    <row r="28" spans="2:14" ht="28.5" customHeight="1" x14ac:dyDescent="0.25">
      <c r="B28" s="1034" t="s">
        <v>297</v>
      </c>
      <c r="C28" s="1034"/>
      <c r="D28" s="1034"/>
      <c r="E28" s="1034"/>
      <c r="F28" s="1034"/>
      <c r="G28" s="1034"/>
      <c r="H28" s="1034"/>
      <c r="I28" s="1034"/>
      <c r="J28" s="1034"/>
      <c r="K28" s="1034"/>
      <c r="L28" s="1034"/>
      <c r="M28" s="1034"/>
      <c r="N28" s="1034"/>
    </row>
    <row r="29" spans="2:14" x14ac:dyDescent="0.25">
      <c r="B29" s="78"/>
      <c r="C29" s="78"/>
      <c r="D29" s="78"/>
      <c r="E29" s="78"/>
      <c r="F29" s="78"/>
      <c r="G29" s="78"/>
      <c r="H29" s="78"/>
      <c r="I29" s="78"/>
      <c r="J29" s="78"/>
      <c r="K29" s="78"/>
      <c r="L29" s="78"/>
      <c r="M29" s="78"/>
      <c r="N29" s="78"/>
    </row>
    <row r="30" spans="2:14" x14ac:dyDescent="0.25">
      <c r="B30" s="346" t="s">
        <v>349</v>
      </c>
    </row>
  </sheetData>
  <mergeCells count="7">
    <mergeCell ref="B28:N28"/>
    <mergeCell ref="B4:B5"/>
    <mergeCell ref="C4:D4"/>
    <mergeCell ref="H24:I24"/>
    <mergeCell ref="J24:K24"/>
    <mergeCell ref="B26:N26"/>
    <mergeCell ref="B27:N27"/>
  </mergeCells>
  <hyperlinks>
    <hyperlink ref="B30" location="'Table of Contents'!A1" display="Table of Contents" xr:uid="{5ABDA7E9-4278-4291-8304-1CC803719844}"/>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732DD-165C-4950-9914-9AC69755FF3C}">
  <sheetPr codeName="Sheet28"/>
  <dimension ref="B2:N30"/>
  <sheetViews>
    <sheetView topLeftCell="A18" workbookViewId="0">
      <selection activeCell="B30" sqref="B30"/>
    </sheetView>
  </sheetViews>
  <sheetFormatPr defaultRowHeight="15" x14ac:dyDescent="0.25"/>
  <cols>
    <col min="2" max="2" width="29.28515625" customWidth="1"/>
    <col min="3" max="3" width="24" customWidth="1"/>
    <col min="4" max="4" width="16.85546875" customWidth="1"/>
  </cols>
  <sheetData>
    <row r="2" spans="2:14" x14ac:dyDescent="0.25">
      <c r="B2" s="6" t="s">
        <v>998</v>
      </c>
      <c r="C2" s="6"/>
      <c r="D2" s="6"/>
      <c r="E2" s="6"/>
      <c r="F2" s="6"/>
      <c r="G2" s="6"/>
    </row>
    <row r="4" spans="2:14" x14ac:dyDescent="0.25">
      <c r="B4" s="1035" t="s">
        <v>59</v>
      </c>
      <c r="C4" s="1036" t="s">
        <v>60</v>
      </c>
      <c r="D4" s="1036"/>
      <c r="E4" s="54"/>
      <c r="F4" s="176"/>
      <c r="G4" s="54"/>
      <c r="H4" s="54"/>
      <c r="I4" s="54"/>
      <c r="J4" s="54"/>
      <c r="K4" s="54"/>
      <c r="L4" s="54"/>
      <c r="M4" s="54"/>
      <c r="N4" s="54"/>
    </row>
    <row r="5" spans="2:14" x14ac:dyDescent="0.25">
      <c r="B5" s="1035"/>
      <c r="C5" s="55" t="s">
        <v>43</v>
      </c>
      <c r="D5" s="56" t="s">
        <v>179</v>
      </c>
    </row>
    <row r="6" spans="2:14" x14ac:dyDescent="0.25">
      <c r="B6" s="10" t="s">
        <v>159</v>
      </c>
      <c r="C6" s="57">
        <f>SUM(D6)</f>
        <v>29</v>
      </c>
      <c r="D6" s="9">
        <v>29</v>
      </c>
    </row>
    <row r="7" spans="2:14" x14ac:dyDescent="0.25">
      <c r="B7" s="58" t="s">
        <v>62</v>
      </c>
      <c r="C7" s="57">
        <f t="shared" ref="C7:C10" si="0">SUM(D7)</f>
        <v>1</v>
      </c>
      <c r="D7" s="9">
        <v>1</v>
      </c>
    </row>
    <row r="8" spans="2:14" x14ac:dyDescent="0.25">
      <c r="B8" s="58" t="s">
        <v>63</v>
      </c>
      <c r="C8" s="57">
        <f t="shared" si="0"/>
        <v>0</v>
      </c>
      <c r="D8" s="9">
        <v>0</v>
      </c>
    </row>
    <row r="9" spans="2:14" x14ac:dyDescent="0.25">
      <c r="B9" s="58" t="s">
        <v>64</v>
      </c>
      <c r="C9" s="57">
        <f t="shared" si="0"/>
        <v>0</v>
      </c>
      <c r="D9" s="9">
        <v>0</v>
      </c>
    </row>
    <row r="10" spans="2:14" x14ac:dyDescent="0.25">
      <c r="B10" s="59" t="s">
        <v>65</v>
      </c>
      <c r="C10" s="57">
        <f t="shared" si="0"/>
        <v>1</v>
      </c>
      <c r="D10" s="60">
        <f>D7+D8-D9</f>
        <v>1</v>
      </c>
    </row>
    <row r="11" spans="2:14" ht="23.25" x14ac:dyDescent="0.25">
      <c r="B11" s="61" t="s">
        <v>66</v>
      </c>
      <c r="C11" s="62"/>
      <c r="D11" s="63">
        <f>3/60</f>
        <v>0.05</v>
      </c>
    </row>
    <row r="12" spans="2:14" x14ac:dyDescent="0.25">
      <c r="B12" s="59" t="s">
        <v>67</v>
      </c>
      <c r="C12" s="64"/>
      <c r="D12" s="65"/>
    </row>
    <row r="13" spans="2:14" x14ac:dyDescent="0.25">
      <c r="B13" s="66" t="s">
        <v>68</v>
      </c>
      <c r="C13" s="67">
        <f>SUM(D13:D13)</f>
        <v>0.05</v>
      </c>
      <c r="D13" s="68">
        <f>D10*D11</f>
        <v>0.05</v>
      </c>
    </row>
    <row r="14" spans="2:14" x14ac:dyDescent="0.25">
      <c r="B14" s="66" t="s">
        <v>69</v>
      </c>
      <c r="C14" s="67">
        <f>SUM(D14:D14)</f>
        <v>5.000000000000001E-3</v>
      </c>
      <c r="D14" s="68">
        <f t="shared" ref="D14" si="1">D13*0.1</f>
        <v>5.000000000000001E-3</v>
      </c>
    </row>
    <row r="15" spans="2:14" x14ac:dyDescent="0.25">
      <c r="B15" s="66" t="s">
        <v>70</v>
      </c>
      <c r="C15" s="67">
        <f>SUM(D15:D15)</f>
        <v>2.5000000000000005E-3</v>
      </c>
      <c r="D15" s="68">
        <f t="shared" ref="D15" si="2">D13*0.05</f>
        <v>2.5000000000000005E-3</v>
      </c>
    </row>
    <row r="16" spans="2:14" x14ac:dyDescent="0.25">
      <c r="B16" s="66" t="s">
        <v>43</v>
      </c>
      <c r="C16" s="67">
        <f>SUM(D16:D16)</f>
        <v>5.7500000000000002E-2</v>
      </c>
      <c r="D16" s="68">
        <f t="shared" ref="D16" si="3">D15+D14+D13</f>
        <v>5.7500000000000002E-2</v>
      </c>
    </row>
    <row r="17" spans="2:14" x14ac:dyDescent="0.25">
      <c r="B17" s="59" t="s">
        <v>71</v>
      </c>
      <c r="C17" s="69"/>
      <c r="D17" s="65"/>
    </row>
    <row r="18" spans="2:14" x14ac:dyDescent="0.25">
      <c r="B18" s="66" t="s">
        <v>68</v>
      </c>
      <c r="C18" s="70">
        <f>SUM(D18:D18)</f>
        <v>3.6913505000000004</v>
      </c>
      <c r="D18" s="11">
        <f>D13*Tech</f>
        <v>3.6913505000000004</v>
      </c>
    </row>
    <row r="19" spans="2:14" x14ac:dyDescent="0.25">
      <c r="B19" s="66" t="s">
        <v>69</v>
      </c>
      <c r="C19" s="70">
        <f>SUM(D19:D19)</f>
        <v>0.17044875000000004</v>
      </c>
      <c r="D19" s="11">
        <f>D14*Admin</f>
        <v>0.17044875000000004</v>
      </c>
    </row>
    <row r="20" spans="2:14" x14ac:dyDescent="0.25">
      <c r="B20" s="66" t="s">
        <v>70</v>
      </c>
      <c r="C20" s="70">
        <f>SUM(D20:D20)</f>
        <v>0.22832015000000003</v>
      </c>
      <c r="D20" s="11">
        <f>D15*Manager</f>
        <v>0.22832015000000003</v>
      </c>
    </row>
    <row r="21" spans="2:14" x14ac:dyDescent="0.25">
      <c r="B21" s="66" t="s">
        <v>43</v>
      </c>
      <c r="C21" s="70">
        <f>SUM(D21:D21)</f>
        <v>4.0901194000000007</v>
      </c>
      <c r="D21" s="11">
        <f t="shared" ref="D21" si="4">D20+D19+D18</f>
        <v>4.0901194000000007</v>
      </c>
    </row>
    <row r="22" spans="2:14" ht="23.25" x14ac:dyDescent="0.25">
      <c r="B22" s="71" t="s">
        <v>72</v>
      </c>
      <c r="C22" s="72"/>
      <c r="D22" s="65"/>
    </row>
    <row r="23" spans="2:14" x14ac:dyDescent="0.25">
      <c r="B23" s="66" t="s">
        <v>43</v>
      </c>
      <c r="C23" s="73">
        <f>SUM(D23:D23)</f>
        <v>118.61346260000002</v>
      </c>
      <c r="D23" s="11">
        <f t="shared" ref="D23" si="5">D21*D6</f>
        <v>118.61346260000002</v>
      </c>
    </row>
    <row r="24" spans="2:14" x14ac:dyDescent="0.25">
      <c r="C24" s="73">
        <f>C23/C6</f>
        <v>4.0901194000000007</v>
      </c>
      <c r="D24" s="11" t="s">
        <v>73</v>
      </c>
      <c r="H24" s="1037"/>
      <c r="I24" s="1037"/>
      <c r="J24" s="1037"/>
      <c r="K24" s="1037"/>
      <c r="L24" s="74"/>
      <c r="M24" s="74"/>
      <c r="N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x14ac:dyDescent="0.25">
      <c r="B27" s="1034" t="s">
        <v>1000</v>
      </c>
      <c r="C27" s="1034"/>
      <c r="D27" s="1034"/>
      <c r="E27" s="1034"/>
      <c r="F27" s="1034"/>
      <c r="G27" s="1034"/>
      <c r="H27" s="1034"/>
      <c r="I27" s="1034"/>
      <c r="J27" s="1034"/>
      <c r="K27" s="1034"/>
      <c r="L27" s="1034"/>
      <c r="M27" s="1034"/>
      <c r="N27" s="1034"/>
    </row>
    <row r="28" spans="2:14" ht="26.25" customHeight="1" x14ac:dyDescent="0.25">
      <c r="B28" s="1034" t="s">
        <v>259</v>
      </c>
      <c r="C28" s="1034"/>
      <c r="D28" s="1034"/>
      <c r="E28" s="1034"/>
      <c r="F28" s="1034"/>
      <c r="G28" s="1034"/>
      <c r="H28" s="1034"/>
      <c r="I28" s="1034"/>
      <c r="J28" s="1034"/>
      <c r="K28" s="1034"/>
      <c r="L28" s="1034"/>
      <c r="M28" s="1034"/>
      <c r="N28" s="1034"/>
    </row>
    <row r="29" spans="2:14" x14ac:dyDescent="0.25">
      <c r="B29" s="78"/>
      <c r="C29" s="78"/>
      <c r="D29" s="78"/>
      <c r="E29" s="78"/>
      <c r="F29" s="78"/>
      <c r="G29" s="78"/>
      <c r="H29" s="78"/>
      <c r="I29" s="78"/>
      <c r="J29" s="78"/>
      <c r="K29" s="78"/>
      <c r="L29" s="78"/>
      <c r="M29" s="78"/>
      <c r="N29" s="78"/>
    </row>
    <row r="30" spans="2:14" x14ac:dyDescent="0.25">
      <c r="B30" s="346" t="s">
        <v>349</v>
      </c>
    </row>
  </sheetData>
  <mergeCells count="7">
    <mergeCell ref="B28:N28"/>
    <mergeCell ref="B4:B5"/>
    <mergeCell ref="C4:D4"/>
    <mergeCell ref="H24:I24"/>
    <mergeCell ref="J24:K24"/>
    <mergeCell ref="B26:N26"/>
    <mergeCell ref="B27:N27"/>
  </mergeCells>
  <hyperlinks>
    <hyperlink ref="B30" location="'Table of Contents'!A1" display="Table of Contents" xr:uid="{EF3899BD-F28E-4712-A356-1FBC859DE89E}"/>
  </hyperlinks>
  <pageMargins left="0.7" right="0.7" top="0.75" bottom="0.75" header="0.3" footer="0.3"/>
  <pageSetup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6BB4B-5CAC-4E8A-9FD7-BFEF317CF325}">
  <sheetPr codeName="Sheet29"/>
  <dimension ref="B2:N30"/>
  <sheetViews>
    <sheetView topLeftCell="A3" workbookViewId="0">
      <selection activeCell="F4" sqref="F4"/>
    </sheetView>
  </sheetViews>
  <sheetFormatPr defaultRowHeight="15" x14ac:dyDescent="0.25"/>
  <cols>
    <col min="2" max="2" width="30.140625" customWidth="1"/>
    <col min="3" max="3" width="24" customWidth="1"/>
    <col min="4" max="4" width="16.85546875" customWidth="1"/>
  </cols>
  <sheetData>
    <row r="2" spans="2:14" x14ac:dyDescent="0.25">
      <c r="B2" s="6" t="s">
        <v>998</v>
      </c>
      <c r="C2" s="6"/>
      <c r="D2" s="6"/>
      <c r="E2" s="6"/>
      <c r="F2" s="6"/>
      <c r="G2" s="6"/>
    </row>
    <row r="4" spans="2:14" x14ac:dyDescent="0.25">
      <c r="B4" s="1035" t="s">
        <v>59</v>
      </c>
      <c r="C4" s="1036" t="s">
        <v>145</v>
      </c>
      <c r="D4" s="1036"/>
      <c r="E4" s="54"/>
      <c r="F4" s="176"/>
      <c r="G4" s="54"/>
      <c r="H4" s="54"/>
      <c r="I4" s="54"/>
      <c r="J4" s="54"/>
      <c r="K4" s="54"/>
      <c r="L4" s="54"/>
      <c r="M4" s="54"/>
      <c r="N4" s="54"/>
    </row>
    <row r="5" spans="2:14" x14ac:dyDescent="0.25">
      <c r="B5" s="1035"/>
      <c r="C5" s="55" t="s">
        <v>43</v>
      </c>
      <c r="D5" s="56" t="s">
        <v>178</v>
      </c>
    </row>
    <row r="6" spans="2:14" x14ac:dyDescent="0.25">
      <c r="B6" s="10" t="s">
        <v>159</v>
      </c>
      <c r="C6" s="57">
        <f>SUM(D6)</f>
        <v>100</v>
      </c>
      <c r="D6" s="9">
        <v>100</v>
      </c>
    </row>
    <row r="7" spans="2:14" x14ac:dyDescent="0.25">
      <c r="B7" s="58" t="s">
        <v>62</v>
      </c>
      <c r="C7" s="57">
        <f t="shared" ref="C7:C10" si="0">SUM(D7)</f>
        <v>2</v>
      </c>
      <c r="D7" s="9">
        <v>2</v>
      </c>
    </row>
    <row r="8" spans="2:14" x14ac:dyDescent="0.25">
      <c r="B8" s="58" t="s">
        <v>63</v>
      </c>
      <c r="C8" s="57">
        <f t="shared" si="0"/>
        <v>1</v>
      </c>
      <c r="D8" s="9">
        <v>1</v>
      </c>
    </row>
    <row r="9" spans="2:14" x14ac:dyDescent="0.25">
      <c r="B9" s="58" t="s">
        <v>64</v>
      </c>
      <c r="C9" s="57">
        <f t="shared" si="0"/>
        <v>0</v>
      </c>
      <c r="D9" s="9">
        <v>0</v>
      </c>
    </row>
    <row r="10" spans="2:14" x14ac:dyDescent="0.25">
      <c r="B10" s="59" t="s">
        <v>65</v>
      </c>
      <c r="C10" s="57">
        <f t="shared" si="0"/>
        <v>3</v>
      </c>
      <c r="D10" s="60">
        <f>D7+D8-D9</f>
        <v>3</v>
      </c>
    </row>
    <row r="11" spans="2:14" ht="23.25" x14ac:dyDescent="0.25">
      <c r="B11" s="61" t="s">
        <v>66</v>
      </c>
      <c r="C11" s="62"/>
      <c r="D11" s="63">
        <f>3/60</f>
        <v>0.05</v>
      </c>
    </row>
    <row r="12" spans="2:14" x14ac:dyDescent="0.25">
      <c r="B12" s="59" t="s">
        <v>67</v>
      </c>
      <c r="C12" s="64"/>
      <c r="D12" s="65"/>
    </row>
    <row r="13" spans="2:14" x14ac:dyDescent="0.25">
      <c r="B13" s="66" t="s">
        <v>68</v>
      </c>
      <c r="C13" s="67">
        <f>SUM(D13:D13)</f>
        <v>0.15000000000000002</v>
      </c>
      <c r="D13" s="68">
        <f>D10*D11</f>
        <v>0.15000000000000002</v>
      </c>
    </row>
    <row r="14" spans="2:14" x14ac:dyDescent="0.25">
      <c r="B14" s="66" t="s">
        <v>69</v>
      </c>
      <c r="C14" s="67">
        <f>SUM(D14:D14)</f>
        <v>1.5000000000000003E-2</v>
      </c>
      <c r="D14" s="68">
        <f t="shared" ref="D14" si="1">D13*0.1</f>
        <v>1.5000000000000003E-2</v>
      </c>
    </row>
    <row r="15" spans="2:14" x14ac:dyDescent="0.25">
      <c r="B15" s="66" t="s">
        <v>70</v>
      </c>
      <c r="C15" s="67">
        <f>SUM(D15:D15)</f>
        <v>7.5000000000000015E-3</v>
      </c>
      <c r="D15" s="68">
        <f t="shared" ref="D15" si="2">D13*0.05</f>
        <v>7.5000000000000015E-3</v>
      </c>
    </row>
    <row r="16" spans="2:14" x14ac:dyDescent="0.25">
      <c r="B16" s="66" t="s">
        <v>43</v>
      </c>
      <c r="C16" s="67">
        <f>SUM(D16:D16)</f>
        <v>0.17250000000000004</v>
      </c>
      <c r="D16" s="68">
        <f t="shared" ref="D16" si="3">D15+D14+D13</f>
        <v>0.17250000000000004</v>
      </c>
    </row>
    <row r="17" spans="2:14" x14ac:dyDescent="0.25">
      <c r="B17" s="59" t="s">
        <v>71</v>
      </c>
      <c r="C17" s="69"/>
      <c r="D17" s="65"/>
    </row>
    <row r="18" spans="2:14" x14ac:dyDescent="0.25">
      <c r="B18" s="66" t="s">
        <v>68</v>
      </c>
      <c r="C18" s="70">
        <f>SUM(D18:D18)</f>
        <v>11.074051500000001</v>
      </c>
      <c r="D18" s="11">
        <f>D13*Tech</f>
        <v>11.074051500000001</v>
      </c>
    </row>
    <row r="19" spans="2:14" x14ac:dyDescent="0.25">
      <c r="B19" s="66" t="s">
        <v>69</v>
      </c>
      <c r="C19" s="70">
        <f>SUM(D19:D19)</f>
        <v>0.51134625000000011</v>
      </c>
      <c r="D19" s="11">
        <f>D14*Admin</f>
        <v>0.51134625000000011</v>
      </c>
    </row>
    <row r="20" spans="2:14" x14ac:dyDescent="0.25">
      <c r="B20" s="66" t="s">
        <v>70</v>
      </c>
      <c r="C20" s="70">
        <f>SUM(D20:D20)</f>
        <v>0.68496045000000005</v>
      </c>
      <c r="D20" s="11">
        <f>D15*Manager</f>
        <v>0.68496045000000005</v>
      </c>
    </row>
    <row r="21" spans="2:14" x14ac:dyDescent="0.25">
      <c r="B21" s="66" t="s">
        <v>43</v>
      </c>
      <c r="C21" s="70">
        <f>SUM(D21:D21)</f>
        <v>12.2703582</v>
      </c>
      <c r="D21" s="11">
        <f t="shared" ref="D21" si="4">D20+D19+D18</f>
        <v>12.2703582</v>
      </c>
    </row>
    <row r="22" spans="2:14" ht="23.25" x14ac:dyDescent="0.25">
      <c r="B22" s="71" t="s">
        <v>72</v>
      </c>
      <c r="C22" s="72"/>
      <c r="D22" s="65"/>
    </row>
    <row r="23" spans="2:14" x14ac:dyDescent="0.25">
      <c r="B23" s="66" t="s">
        <v>43</v>
      </c>
      <c r="C23" s="73">
        <f>SUM(D23:D23)</f>
        <v>1227.0358200000001</v>
      </c>
      <c r="D23" s="11">
        <f t="shared" ref="D23" si="5">D21*D6</f>
        <v>1227.0358200000001</v>
      </c>
    </row>
    <row r="24" spans="2:14" x14ac:dyDescent="0.25">
      <c r="C24" s="73">
        <f>C23/C6</f>
        <v>12.2703582</v>
      </c>
      <c r="D24" s="11" t="s">
        <v>73</v>
      </c>
      <c r="H24" s="1037"/>
      <c r="I24" s="1037"/>
      <c r="J24" s="1037"/>
      <c r="K24" s="1037"/>
      <c r="L24" s="74"/>
      <c r="M24" s="74"/>
      <c r="N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x14ac:dyDescent="0.25">
      <c r="B27" s="1034" t="s">
        <v>1000</v>
      </c>
      <c r="C27" s="1034"/>
      <c r="D27" s="1034"/>
      <c r="E27" s="1034"/>
      <c r="F27" s="1034"/>
      <c r="G27" s="1034"/>
      <c r="H27" s="1034"/>
      <c r="I27" s="1034"/>
      <c r="J27" s="1034"/>
      <c r="K27" s="1034"/>
      <c r="L27" s="1034"/>
      <c r="M27" s="1034"/>
      <c r="N27" s="1034"/>
    </row>
    <row r="28" spans="2:14" ht="41.25" customHeight="1" x14ac:dyDescent="0.25">
      <c r="B28" s="1034" t="s">
        <v>1001</v>
      </c>
      <c r="C28" s="1034"/>
      <c r="D28" s="1034"/>
      <c r="E28" s="1034"/>
      <c r="F28" s="1034"/>
      <c r="G28" s="1034"/>
      <c r="H28" s="1034"/>
      <c r="I28" s="1034"/>
      <c r="J28" s="1034"/>
      <c r="K28" s="1034"/>
      <c r="L28" s="1034"/>
      <c r="M28" s="1034"/>
      <c r="N28" s="1034"/>
    </row>
    <row r="29" spans="2:14" x14ac:dyDescent="0.25">
      <c r="B29" s="78"/>
      <c r="C29" s="78"/>
      <c r="D29" s="78"/>
      <c r="E29" s="78"/>
      <c r="F29" s="78"/>
      <c r="G29" s="78"/>
      <c r="H29" s="78"/>
      <c r="I29" s="78"/>
      <c r="J29" s="78"/>
      <c r="K29" s="78"/>
      <c r="L29" s="78"/>
      <c r="M29" s="78"/>
      <c r="N29" s="78"/>
    </row>
    <row r="30" spans="2:14" x14ac:dyDescent="0.25">
      <c r="B30" s="346" t="s">
        <v>349</v>
      </c>
    </row>
  </sheetData>
  <mergeCells count="7">
    <mergeCell ref="B28:N28"/>
    <mergeCell ref="B4:B5"/>
    <mergeCell ref="C4:D4"/>
    <mergeCell ref="H24:I24"/>
    <mergeCell ref="J24:K24"/>
    <mergeCell ref="B26:N26"/>
    <mergeCell ref="B27:N27"/>
  </mergeCells>
  <hyperlinks>
    <hyperlink ref="B30" location="'Table of Contents'!A1" display="Table of Contents" xr:uid="{B76FCBD7-AC0D-417D-9713-3A1C1E44C68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DB1BF-7A1F-40BA-9545-E96695A8BE41}">
  <sheetPr codeName="Sheet3"/>
  <dimension ref="A1:H11"/>
  <sheetViews>
    <sheetView workbookViewId="0">
      <selection activeCell="G6" sqref="G6"/>
    </sheetView>
  </sheetViews>
  <sheetFormatPr defaultRowHeight="15" x14ac:dyDescent="0.25"/>
  <cols>
    <col min="6" max="6" width="12.85546875" customWidth="1"/>
    <col min="7" max="7" width="14.85546875" customWidth="1"/>
    <col min="8" max="8" width="16.7109375" customWidth="1"/>
  </cols>
  <sheetData>
    <row r="1" spans="1:8" x14ac:dyDescent="0.25">
      <c r="A1" s="158" t="s">
        <v>304</v>
      </c>
    </row>
    <row r="2" spans="1:8" x14ac:dyDescent="0.25">
      <c r="A2" s="347"/>
    </row>
    <row r="3" spans="1:8" x14ac:dyDescent="0.25">
      <c r="A3" s="347" t="s">
        <v>305</v>
      </c>
      <c r="E3" t="s">
        <v>1171</v>
      </c>
    </row>
    <row r="4" spans="1:8" x14ac:dyDescent="0.25">
      <c r="A4" s="347" t="s">
        <v>1002</v>
      </c>
      <c r="E4" s="905"/>
      <c r="F4" s="906"/>
      <c r="G4" s="906" t="s">
        <v>3</v>
      </c>
      <c r="H4" s="907" t="s">
        <v>4</v>
      </c>
    </row>
    <row r="5" spans="1:8" x14ac:dyDescent="0.25">
      <c r="A5" s="347" t="s">
        <v>306</v>
      </c>
      <c r="E5" s="908"/>
      <c r="F5" s="364" t="s">
        <v>1142</v>
      </c>
      <c r="G5" s="53">
        <f>'Subpart V (Applicability)'!C34+'Subpart W (Applicability)'!U17+'Subpart DD (Applicability)'!C35+'Subpart HH (Applicability)'!C35+'Subpart II (Applicability)'!C34+'Subpart OO (Applicability)'!C35+'Subpart TT (Applicability)'!C34</f>
        <v>2671131.5789250601</v>
      </c>
      <c r="H5" s="909">
        <f>'Subpart V (Applicability)'!D34+'Subpart W (Applicability)'!U17+'Subpart DD (Applicability)'!D35+'Subpart HH (Applicability)'!D35+'Subpart II (Applicability)'!D34+'Subpart OO (Applicability)'!D35+'Subpart TT (Applicability)'!D34</f>
        <v>2666779.6022810601</v>
      </c>
    </row>
    <row r="6" spans="1:8" x14ac:dyDescent="0.25">
      <c r="A6" s="346" t="s">
        <v>307</v>
      </c>
      <c r="E6" s="908"/>
      <c r="F6" s="364" t="s">
        <v>1143</v>
      </c>
      <c r="G6" s="53">
        <f>'Subpart V (Applicability)'!F34+'Subpart W (Applicability)'!V17+'Subpart DD (Applicability)'!F35+'Subpart HH (Applicability)'!F35+'Subpart II (Applicability)'!F34+'Subpart OO (Applicability)'!F35+'Subpart TT (Applicability)'!F34</f>
        <v>2713473.3550146688</v>
      </c>
      <c r="H6" s="909">
        <f>'Subpart V (Applicability)'!G34+'Subpart W (Applicability)'!V17+'Subpart DD (Applicability)'!G35+'Subpart HH (Applicability)'!G35+'Subpart II (Applicability)'!G34+'Subpart OO (Applicability)'!G35+'Subpart TT (Applicability)'!G34</f>
        <v>2713473.3550146688</v>
      </c>
    </row>
    <row r="7" spans="1:8" x14ac:dyDescent="0.25">
      <c r="A7" s="346" t="s">
        <v>308</v>
      </c>
      <c r="E7" s="910"/>
      <c r="F7" s="911" t="s">
        <v>1144</v>
      </c>
      <c r="G7" s="912">
        <f>SUM(G5:G6)</f>
        <v>5384604.9339397289</v>
      </c>
      <c r="H7" s="913">
        <f>SUM(H5:H6)</f>
        <v>5380252.9572957288</v>
      </c>
    </row>
    <row r="8" spans="1:8" x14ac:dyDescent="0.25">
      <c r="A8" s="346" t="s">
        <v>309</v>
      </c>
    </row>
    <row r="9" spans="1:8" x14ac:dyDescent="0.25">
      <c r="A9" s="346" t="s">
        <v>310</v>
      </c>
    </row>
    <row r="10" spans="1:8" x14ac:dyDescent="0.25">
      <c r="A10" s="158"/>
    </row>
    <row r="11" spans="1:8" x14ac:dyDescent="0.25">
      <c r="A11" s="346" t="s">
        <v>349</v>
      </c>
    </row>
  </sheetData>
  <hyperlinks>
    <hyperlink ref="A3" location="'Subpart V (Applicability)'!A1" display="Subpart V (Applicability)" xr:uid="{1BF3FD26-4F7F-4010-AE71-A21514E55513}"/>
    <hyperlink ref="A5" location="'Subpart DD (Applicability)'!A1" display="Subpart DD (Applicability)" xr:uid="{1E8E2D03-B87C-4B5E-BF5C-008172466CE7}"/>
    <hyperlink ref="A6" location="'Subpart HH (Applicability)'!A1" display="Subpart HH (Applicability)" xr:uid="{055DFEF7-FDF5-4E67-8C3E-81DD78C0A16D}"/>
    <hyperlink ref="A7" location="'Subpart II (Applicability)'!A1" display="Subpart II (Applicability)" xr:uid="{B03BA7F9-B090-4F06-83A8-6B65CB98612F}"/>
    <hyperlink ref="A8" location="'Subpart OO (Applicability)'!A1" display="Subpart OO (Applicability)" xr:uid="{627EF613-AC7E-42A1-A085-F665F3794219}"/>
    <hyperlink ref="A9" location="'Subpart TT (Applicability)'!A1" display="Subpart TT (Applicability)" xr:uid="{4766CA76-1F76-4745-B325-0F925CA448CE}"/>
    <hyperlink ref="A11" location="'Table of Contents'!A1" display="Table of Contents" xr:uid="{EE0E1D26-B4C5-4B7E-AF4D-2AD12061D047}"/>
    <hyperlink ref="A4" location="'Subpart W (Applicability)'!A1" display="'Subpart W (Applicability)'!A1" xr:uid="{FFAD3F1D-CC23-4A01-9980-0D02B65CEFA6}"/>
  </hyperlinks>
  <pageMargins left="0.7" right="0.7" top="0.75" bottom="0.75" header="0.3" footer="0.3"/>
  <pageSetup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1F7B-FE42-4CDA-8390-9CEE8E5A1408}">
  <sheetPr codeName="Sheet30"/>
  <dimension ref="B2:N31"/>
  <sheetViews>
    <sheetView topLeftCell="A10" workbookViewId="0">
      <selection activeCell="B28" sqref="B28:N28"/>
    </sheetView>
  </sheetViews>
  <sheetFormatPr defaultRowHeight="15" x14ac:dyDescent="0.25"/>
  <cols>
    <col min="2" max="2" width="25.7109375" customWidth="1"/>
    <col min="3" max="3" width="24" customWidth="1"/>
    <col min="4" max="4" width="14.5703125" customWidth="1"/>
  </cols>
  <sheetData>
    <row r="2" spans="2:14" x14ac:dyDescent="0.25">
      <c r="B2" s="6" t="s">
        <v>998</v>
      </c>
      <c r="C2" s="6"/>
      <c r="D2" s="6"/>
      <c r="E2" s="6"/>
      <c r="F2" s="6"/>
      <c r="G2" s="6"/>
    </row>
    <row r="4" spans="2:14" x14ac:dyDescent="0.25">
      <c r="B4" s="1035" t="s">
        <v>59</v>
      </c>
      <c r="C4" s="1036" t="s">
        <v>146</v>
      </c>
      <c r="D4" s="1036"/>
      <c r="E4" s="1036"/>
      <c r="G4" s="176"/>
      <c r="H4" s="54"/>
      <c r="I4" s="54"/>
      <c r="J4" s="54"/>
      <c r="K4" s="54"/>
      <c r="L4" s="54"/>
      <c r="M4" s="54"/>
      <c r="N4" s="54"/>
    </row>
    <row r="5" spans="2:14" x14ac:dyDescent="0.25">
      <c r="B5" s="1035"/>
      <c r="C5" s="55" t="s">
        <v>43</v>
      </c>
      <c r="D5" s="56" t="s">
        <v>175</v>
      </c>
      <c r="E5" s="56" t="s">
        <v>176</v>
      </c>
    </row>
    <row r="6" spans="2:14" x14ac:dyDescent="0.25">
      <c r="B6" s="10" t="s">
        <v>174</v>
      </c>
      <c r="C6" s="57">
        <f>SUM(D6)</f>
        <v>116</v>
      </c>
      <c r="D6" s="9">
        <v>116</v>
      </c>
      <c r="E6" s="9">
        <v>3</v>
      </c>
    </row>
    <row r="7" spans="2:14" x14ac:dyDescent="0.25">
      <c r="B7" s="58" t="s">
        <v>62</v>
      </c>
      <c r="C7" s="57">
        <f>SUM(D7:E7)</f>
        <v>7</v>
      </c>
      <c r="D7" s="9">
        <v>5</v>
      </c>
      <c r="E7" s="9">
        <v>2</v>
      </c>
    </row>
    <row r="8" spans="2:14" x14ac:dyDescent="0.25">
      <c r="B8" s="58" t="s">
        <v>63</v>
      </c>
      <c r="C8" s="57">
        <f>SUM(D8:E8)</f>
        <v>2</v>
      </c>
      <c r="D8" s="9">
        <v>2</v>
      </c>
      <c r="E8" s="9">
        <v>0</v>
      </c>
    </row>
    <row r="9" spans="2:14" x14ac:dyDescent="0.25">
      <c r="B9" s="58" t="s">
        <v>64</v>
      </c>
      <c r="C9" s="57">
        <f>SUM(D9:E9)</f>
        <v>0</v>
      </c>
      <c r="D9" s="9">
        <v>0</v>
      </c>
      <c r="E9" s="9">
        <v>0</v>
      </c>
    </row>
    <row r="10" spans="2:14" x14ac:dyDescent="0.25">
      <c r="B10" s="59" t="s">
        <v>65</v>
      </c>
      <c r="C10" s="57">
        <f>SUM(D10:E10)</f>
        <v>9</v>
      </c>
      <c r="D10" s="60">
        <f>D7+D8-D9</f>
        <v>7</v>
      </c>
      <c r="E10" s="60">
        <f>E7+E8-E9</f>
        <v>2</v>
      </c>
    </row>
    <row r="11" spans="2:14" ht="23.25" x14ac:dyDescent="0.25">
      <c r="B11" s="61" t="s">
        <v>66</v>
      </c>
      <c r="C11" s="58"/>
      <c r="D11" s="63">
        <f>3/60</f>
        <v>0.05</v>
      </c>
      <c r="E11" s="63">
        <f>3/60</f>
        <v>0.05</v>
      </c>
    </row>
    <row r="12" spans="2:14" x14ac:dyDescent="0.25">
      <c r="B12" s="59" t="s">
        <v>67</v>
      </c>
      <c r="C12" s="64"/>
      <c r="D12" s="65"/>
      <c r="E12" s="65"/>
    </row>
    <row r="13" spans="2:14" x14ac:dyDescent="0.25">
      <c r="B13" s="66" t="s">
        <v>68</v>
      </c>
      <c r="C13" s="67">
        <f t="shared" ref="C13:C15" si="0">SUM(D13:E13)</f>
        <v>0.45000000000000007</v>
      </c>
      <c r="D13" s="68">
        <f>D10*D11</f>
        <v>0.35000000000000003</v>
      </c>
      <c r="E13" s="68">
        <f>E10*E11</f>
        <v>0.1</v>
      </c>
    </row>
    <row r="14" spans="2:14" x14ac:dyDescent="0.25">
      <c r="B14" s="66" t="s">
        <v>69</v>
      </c>
      <c r="C14" s="67">
        <f t="shared" si="0"/>
        <v>4.5000000000000005E-2</v>
      </c>
      <c r="D14" s="68">
        <f t="shared" ref="D14:E14" si="1">D13*0.1</f>
        <v>3.5000000000000003E-2</v>
      </c>
      <c r="E14" s="68">
        <f t="shared" si="1"/>
        <v>1.0000000000000002E-2</v>
      </c>
    </row>
    <row r="15" spans="2:14" x14ac:dyDescent="0.25">
      <c r="B15" s="66" t="s">
        <v>70</v>
      </c>
      <c r="C15" s="67">
        <f t="shared" si="0"/>
        <v>2.2500000000000003E-2</v>
      </c>
      <c r="D15" s="68">
        <f t="shared" ref="D15:E15" si="2">D13*0.05</f>
        <v>1.7500000000000002E-2</v>
      </c>
      <c r="E15" s="68">
        <f t="shared" si="2"/>
        <v>5.000000000000001E-3</v>
      </c>
    </row>
    <row r="16" spans="2:14" x14ac:dyDescent="0.25">
      <c r="B16" s="66" t="s">
        <v>43</v>
      </c>
      <c r="C16" s="67">
        <f>SUM(D16:E16)</f>
        <v>0.51750000000000007</v>
      </c>
      <c r="D16" s="68">
        <f t="shared" ref="D16:E16" si="3">D15+D14+D13</f>
        <v>0.40250000000000002</v>
      </c>
      <c r="E16" s="68">
        <f t="shared" si="3"/>
        <v>0.115</v>
      </c>
    </row>
    <row r="17" spans="2:14" x14ac:dyDescent="0.25">
      <c r="B17" s="59" t="s">
        <v>71</v>
      </c>
      <c r="C17" s="69"/>
      <c r="D17" s="65"/>
      <c r="E17" s="65"/>
    </row>
    <row r="18" spans="2:14" x14ac:dyDescent="0.25">
      <c r="B18" s="66" t="s">
        <v>68</v>
      </c>
      <c r="C18" s="73">
        <f>SUM(D18:E18)</f>
        <v>33.222154500000002</v>
      </c>
      <c r="D18" s="11">
        <f>D13*Tech</f>
        <v>25.839453500000001</v>
      </c>
      <c r="E18" s="11">
        <f>E13*Tech</f>
        <v>7.3827010000000008</v>
      </c>
    </row>
    <row r="19" spans="2:14" x14ac:dyDescent="0.25">
      <c r="B19" s="66" t="s">
        <v>69</v>
      </c>
      <c r="C19" s="73">
        <f t="shared" ref="C19:C21" si="4">SUM(D19:E19)</f>
        <v>1.5340387500000003</v>
      </c>
      <c r="D19" s="11">
        <f>D14*Admin</f>
        <v>1.1931412500000003</v>
      </c>
      <c r="E19" s="11">
        <f>E14*Admin</f>
        <v>0.34089750000000008</v>
      </c>
    </row>
    <row r="20" spans="2:14" x14ac:dyDescent="0.25">
      <c r="B20" s="66" t="s">
        <v>70</v>
      </c>
      <c r="C20" s="73">
        <f t="shared" si="4"/>
        <v>2.0548813500000001</v>
      </c>
      <c r="D20" s="11">
        <f>D15*Manager</f>
        <v>1.5982410499999999</v>
      </c>
      <c r="E20" s="11">
        <f>E15*Manager</f>
        <v>0.45664030000000005</v>
      </c>
    </row>
    <row r="21" spans="2:14" x14ac:dyDescent="0.25">
      <c r="B21" s="66" t="s">
        <v>43</v>
      </c>
      <c r="C21" s="73">
        <f t="shared" si="4"/>
        <v>36.811074599999998</v>
      </c>
      <c r="D21" s="11">
        <f t="shared" ref="D21:E21" si="5">D20+D19+D18</f>
        <v>28.6308358</v>
      </c>
      <c r="E21" s="11">
        <f t="shared" si="5"/>
        <v>8.1802388000000015</v>
      </c>
    </row>
    <row r="22" spans="2:14" ht="23.25" x14ac:dyDescent="0.25">
      <c r="B22" s="71" t="s">
        <v>72</v>
      </c>
      <c r="C22" s="72"/>
      <c r="D22" s="65"/>
      <c r="E22" s="65"/>
    </row>
    <row r="23" spans="2:14" x14ac:dyDescent="0.25">
      <c r="B23" s="66" t="s">
        <v>43</v>
      </c>
      <c r="C23" s="73">
        <f>SUM(D23:E23)</f>
        <v>3345.7176691999998</v>
      </c>
      <c r="D23" s="11">
        <f>D21*D6</f>
        <v>3321.1769528</v>
      </c>
      <c r="E23" s="11">
        <f>E21*E6</f>
        <v>24.540716400000004</v>
      </c>
    </row>
    <row r="24" spans="2:14" x14ac:dyDescent="0.25">
      <c r="C24" s="73">
        <f>C23/C6</f>
        <v>28.842393699999999</v>
      </c>
      <c r="D24" s="11" t="s">
        <v>73</v>
      </c>
      <c r="E24" s="11" t="s">
        <v>73</v>
      </c>
      <c r="H24" s="1037"/>
      <c r="I24" s="1037"/>
      <c r="J24" s="1037"/>
      <c r="K24" s="1037"/>
      <c r="L24" s="74"/>
      <c r="M24" s="74"/>
      <c r="N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ht="26.25" customHeight="1" x14ac:dyDescent="0.25">
      <c r="B27" s="1034" t="s">
        <v>1000</v>
      </c>
      <c r="C27" s="1034"/>
      <c r="D27" s="1034"/>
      <c r="E27" s="1034"/>
      <c r="F27" s="1034"/>
      <c r="G27" s="1034"/>
      <c r="H27" s="1034"/>
      <c r="I27" s="1034"/>
      <c r="J27" s="1034"/>
      <c r="K27" s="1034"/>
      <c r="L27" s="1034"/>
      <c r="M27" s="1034"/>
      <c r="N27" s="1034"/>
    </row>
    <row r="28" spans="2:14" ht="26.25" customHeight="1" x14ac:dyDescent="0.25">
      <c r="B28" s="1034" t="s">
        <v>1003</v>
      </c>
      <c r="C28" s="1034"/>
      <c r="D28" s="1034"/>
      <c r="E28" s="1034"/>
      <c r="F28" s="1034"/>
      <c r="G28" s="1034"/>
      <c r="H28" s="1034"/>
      <c r="I28" s="1034"/>
      <c r="J28" s="1034"/>
      <c r="K28" s="1034"/>
      <c r="L28" s="1034"/>
      <c r="M28" s="1034"/>
      <c r="N28" s="1034"/>
    </row>
    <row r="29" spans="2:14" ht="29.25" customHeight="1" x14ac:dyDescent="0.25">
      <c r="B29" s="1034" t="s">
        <v>260</v>
      </c>
      <c r="C29" s="1034"/>
      <c r="D29" s="1034"/>
      <c r="E29" s="1034"/>
      <c r="F29" s="1034"/>
      <c r="G29" s="1034"/>
      <c r="H29" s="1034"/>
      <c r="I29" s="1034"/>
      <c r="J29" s="1034"/>
      <c r="K29" s="1034"/>
      <c r="L29" s="1034"/>
      <c r="M29" s="1034"/>
      <c r="N29" s="1034"/>
    </row>
    <row r="30" spans="2:14" x14ac:dyDescent="0.25">
      <c r="B30" s="78"/>
      <c r="C30" s="78"/>
      <c r="D30" s="78"/>
      <c r="E30" s="78"/>
      <c r="F30" s="78"/>
      <c r="G30" s="78"/>
      <c r="H30" s="78"/>
      <c r="I30" s="78"/>
      <c r="J30" s="78"/>
      <c r="K30" s="78"/>
      <c r="L30" s="78"/>
      <c r="M30" s="78"/>
      <c r="N30" s="78"/>
    </row>
    <row r="31" spans="2:14" x14ac:dyDescent="0.25">
      <c r="B31" s="346" t="s">
        <v>349</v>
      </c>
    </row>
  </sheetData>
  <mergeCells count="8">
    <mergeCell ref="B29:N29"/>
    <mergeCell ref="B4:B5"/>
    <mergeCell ref="H24:I24"/>
    <mergeCell ref="J24:K24"/>
    <mergeCell ref="B26:N26"/>
    <mergeCell ref="B27:N27"/>
    <mergeCell ref="C4:E4"/>
    <mergeCell ref="B28:N28"/>
  </mergeCells>
  <hyperlinks>
    <hyperlink ref="B31" location="'Table of Contents'!A1" display="Table of Contents" xr:uid="{DBA092D9-E1D7-41BE-9425-5F3E8EF19F98}"/>
  </hyperlinks>
  <pageMargins left="0.7" right="0.7" top="0.75" bottom="0.75" header="0.3" footer="0.3"/>
  <pageSetup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748F-4B12-4FB3-82E4-F49FE3D814C9}">
  <sheetPr codeName="Sheet31"/>
  <dimension ref="B2:M30"/>
  <sheetViews>
    <sheetView workbookViewId="0">
      <selection activeCell="B27" sqref="B27:M27"/>
    </sheetView>
  </sheetViews>
  <sheetFormatPr defaultRowHeight="15" x14ac:dyDescent="0.25"/>
  <cols>
    <col min="2" max="2" width="29.85546875" customWidth="1"/>
    <col min="3" max="3" width="24" customWidth="1"/>
    <col min="4" max="4" width="16.85546875" customWidth="1"/>
  </cols>
  <sheetData>
    <row r="2" spans="2:13" x14ac:dyDescent="0.25">
      <c r="B2" s="6" t="s">
        <v>998</v>
      </c>
      <c r="C2" s="6"/>
      <c r="D2" s="6"/>
      <c r="E2" s="6"/>
      <c r="F2" s="6"/>
    </row>
    <row r="4" spans="2:13" x14ac:dyDescent="0.25">
      <c r="B4" s="1035" t="s">
        <v>59</v>
      </c>
      <c r="C4" s="1038" t="s">
        <v>147</v>
      </c>
      <c r="D4" s="1039"/>
      <c r="F4" s="176"/>
      <c r="G4" s="54"/>
      <c r="H4" s="54"/>
      <c r="I4" s="54"/>
      <c r="J4" s="54"/>
      <c r="K4" s="54"/>
      <c r="L4" s="54"/>
      <c r="M4" s="54"/>
    </row>
    <row r="5" spans="2:13" x14ac:dyDescent="0.25">
      <c r="B5" s="1035"/>
      <c r="C5" s="55" t="s">
        <v>43</v>
      </c>
      <c r="D5" s="56" t="s">
        <v>298</v>
      </c>
    </row>
    <row r="6" spans="2:13" x14ac:dyDescent="0.25">
      <c r="B6" s="10" t="s">
        <v>61</v>
      </c>
      <c r="C6" s="57">
        <f>SUM(D6:D6)</f>
        <v>6</v>
      </c>
      <c r="D6" s="9">
        <v>6</v>
      </c>
      <c r="E6" s="5"/>
    </row>
    <row r="7" spans="2:13" x14ac:dyDescent="0.25">
      <c r="B7" s="58" t="s">
        <v>62</v>
      </c>
      <c r="C7" s="57">
        <f>SUM(D7:D7)</f>
        <v>1</v>
      </c>
      <c r="D7" s="9">
        <v>1</v>
      </c>
    </row>
    <row r="8" spans="2:13" x14ac:dyDescent="0.25">
      <c r="B8" s="58" t="s">
        <v>63</v>
      </c>
      <c r="C8" s="57">
        <f>SUM(D8:D8)</f>
        <v>0</v>
      </c>
      <c r="D8" s="9">
        <v>0</v>
      </c>
    </row>
    <row r="9" spans="2:13" x14ac:dyDescent="0.25">
      <c r="B9" s="58" t="s">
        <v>64</v>
      </c>
      <c r="C9" s="57">
        <f>SUM(D9:D9)</f>
        <v>0</v>
      </c>
      <c r="D9" s="9">
        <v>0</v>
      </c>
    </row>
    <row r="10" spans="2:13" x14ac:dyDescent="0.25">
      <c r="B10" s="59" t="s">
        <v>65</v>
      </c>
      <c r="C10" s="57">
        <f>SUM(D10:D10)</f>
        <v>1</v>
      </c>
      <c r="D10" s="60">
        <f>D7+D8-D9</f>
        <v>1</v>
      </c>
    </row>
    <row r="11" spans="2:13" ht="23.25" x14ac:dyDescent="0.25">
      <c r="B11" s="61" t="s">
        <v>66</v>
      </c>
      <c r="C11" s="58"/>
      <c r="D11" s="210">
        <f>3/60</f>
        <v>0.05</v>
      </c>
    </row>
    <row r="12" spans="2:13" x14ac:dyDescent="0.25">
      <c r="B12" s="59" t="s">
        <v>67</v>
      </c>
      <c r="C12" s="64"/>
      <c r="D12" s="65"/>
    </row>
    <row r="13" spans="2:13" x14ac:dyDescent="0.25">
      <c r="B13" s="66" t="s">
        <v>68</v>
      </c>
      <c r="C13" s="67">
        <f>SUM(D13:D13)</f>
        <v>0.05</v>
      </c>
      <c r="D13" s="68">
        <f>D10*D11</f>
        <v>0.05</v>
      </c>
    </row>
    <row r="14" spans="2:13" x14ac:dyDescent="0.25">
      <c r="B14" s="66" t="s">
        <v>69</v>
      </c>
      <c r="C14" s="67">
        <f>SUM(D14:D14)</f>
        <v>5.000000000000001E-3</v>
      </c>
      <c r="D14" s="68">
        <f t="shared" ref="D14" si="0">D13*0.1</f>
        <v>5.000000000000001E-3</v>
      </c>
    </row>
    <row r="15" spans="2:13" x14ac:dyDescent="0.25">
      <c r="B15" s="66" t="s">
        <v>70</v>
      </c>
      <c r="C15" s="67">
        <f>SUM(D15:D15)</f>
        <v>2.5000000000000005E-3</v>
      </c>
      <c r="D15" s="68">
        <f t="shared" ref="D15" si="1">D13*0.05</f>
        <v>2.5000000000000005E-3</v>
      </c>
    </row>
    <row r="16" spans="2:13" x14ac:dyDescent="0.25">
      <c r="B16" s="66" t="s">
        <v>43</v>
      </c>
      <c r="C16" s="67">
        <f>SUM(D16:D16)</f>
        <v>5.7500000000000002E-2</v>
      </c>
      <c r="D16" s="68">
        <f t="shared" ref="D16" si="2">D15+D14+D13</f>
        <v>5.7500000000000002E-2</v>
      </c>
    </row>
    <row r="17" spans="2:13" x14ac:dyDescent="0.25">
      <c r="B17" s="59" t="s">
        <v>71</v>
      </c>
      <c r="C17" s="69"/>
      <c r="D17" s="65"/>
    </row>
    <row r="18" spans="2:13" x14ac:dyDescent="0.25">
      <c r="B18" s="66" t="s">
        <v>68</v>
      </c>
      <c r="C18" s="70">
        <f>SUM(D18:D18)</f>
        <v>3.6913505000000004</v>
      </c>
      <c r="D18" s="11">
        <f>D13*Tech</f>
        <v>3.6913505000000004</v>
      </c>
    </row>
    <row r="19" spans="2:13" x14ac:dyDescent="0.25">
      <c r="B19" s="66" t="s">
        <v>69</v>
      </c>
      <c r="C19" s="70">
        <f>SUM(D19:D19)</f>
        <v>0.17044875000000004</v>
      </c>
      <c r="D19" s="11">
        <f>D14*Admin</f>
        <v>0.17044875000000004</v>
      </c>
    </row>
    <row r="20" spans="2:13" x14ac:dyDescent="0.25">
      <c r="B20" s="66" t="s">
        <v>70</v>
      </c>
      <c r="C20" s="70">
        <f>SUM(D20:D20)</f>
        <v>0.22832015000000003</v>
      </c>
      <c r="D20" s="11">
        <f>D15*Manager</f>
        <v>0.22832015000000003</v>
      </c>
    </row>
    <row r="21" spans="2:13" x14ac:dyDescent="0.25">
      <c r="B21" s="66" t="s">
        <v>43</v>
      </c>
      <c r="C21" s="70">
        <f>SUM(D21:D21)</f>
        <v>4.0901194000000007</v>
      </c>
      <c r="D21" s="11">
        <f t="shared" ref="D21" si="3">D20+D19+D18</f>
        <v>4.0901194000000007</v>
      </c>
    </row>
    <row r="22" spans="2:13" ht="23.25" x14ac:dyDescent="0.25">
      <c r="B22" s="71" t="s">
        <v>72</v>
      </c>
      <c r="C22" s="72"/>
      <c r="D22" s="65"/>
    </row>
    <row r="23" spans="2:13" x14ac:dyDescent="0.25">
      <c r="B23" s="66" t="s">
        <v>43</v>
      </c>
      <c r="C23" s="73">
        <f>SUM(D23:D23)</f>
        <v>24.540716400000004</v>
      </c>
      <c r="D23" s="11">
        <f t="shared" ref="D23" si="4">D21*D6</f>
        <v>24.540716400000004</v>
      </c>
    </row>
    <row r="24" spans="2:13" x14ac:dyDescent="0.25">
      <c r="C24" s="73">
        <f>C23/C6</f>
        <v>4.0901194000000007</v>
      </c>
      <c r="D24" s="11" t="s">
        <v>73</v>
      </c>
      <c r="F24" s="1037"/>
      <c r="G24" s="1037"/>
      <c r="H24" s="1037"/>
      <c r="I24" s="1037"/>
      <c r="J24" s="74"/>
      <c r="K24" s="74"/>
      <c r="L24" s="74"/>
    </row>
    <row r="25" spans="2:13" x14ac:dyDescent="0.25">
      <c r="B25" s="75" t="s">
        <v>74</v>
      </c>
      <c r="C25" s="75"/>
      <c r="D25" s="75"/>
      <c r="E25" s="75"/>
      <c r="F25" s="75"/>
      <c r="G25" s="76"/>
      <c r="H25" s="76"/>
      <c r="I25" s="76"/>
      <c r="J25" s="76"/>
      <c r="K25" s="77"/>
      <c r="L25" s="77"/>
      <c r="M25" s="76"/>
    </row>
    <row r="26" spans="2:13" x14ac:dyDescent="0.25">
      <c r="B26" s="1034" t="s">
        <v>75</v>
      </c>
      <c r="C26" s="1034"/>
      <c r="D26" s="1034"/>
      <c r="E26" s="1034"/>
      <c r="F26" s="1034"/>
      <c r="G26" s="1034"/>
      <c r="H26" s="1034"/>
      <c r="I26" s="1034"/>
      <c r="J26" s="1034"/>
      <c r="K26" s="1034"/>
      <c r="L26" s="1034"/>
      <c r="M26" s="1034"/>
    </row>
    <row r="27" spans="2:13" ht="15" customHeight="1" x14ac:dyDescent="0.25">
      <c r="B27" s="1034" t="s">
        <v>1000</v>
      </c>
      <c r="C27" s="1034"/>
      <c r="D27" s="1034"/>
      <c r="E27" s="1034"/>
      <c r="F27" s="1034"/>
      <c r="G27" s="1034"/>
      <c r="H27" s="1034"/>
      <c r="I27" s="1034"/>
      <c r="J27" s="1034"/>
      <c r="K27" s="1034"/>
      <c r="L27" s="1034"/>
      <c r="M27" s="1034"/>
    </row>
    <row r="28" spans="2:13" x14ac:dyDescent="0.25">
      <c r="B28" s="1034" t="s">
        <v>275</v>
      </c>
      <c r="C28" s="1034"/>
      <c r="D28" s="1034"/>
      <c r="E28" s="1034"/>
      <c r="F28" s="1034"/>
      <c r="G28" s="1034"/>
      <c r="H28" s="1034"/>
      <c r="I28" s="1034"/>
      <c r="J28" s="1034"/>
      <c r="K28" s="1034"/>
      <c r="L28" s="1034"/>
      <c r="M28" s="1034"/>
    </row>
    <row r="30" spans="2:13" x14ac:dyDescent="0.25">
      <c r="B30" s="346" t="s">
        <v>349</v>
      </c>
    </row>
  </sheetData>
  <mergeCells count="7">
    <mergeCell ref="B28:M28"/>
    <mergeCell ref="B4:B5"/>
    <mergeCell ref="F24:G24"/>
    <mergeCell ref="H24:I24"/>
    <mergeCell ref="B26:M26"/>
    <mergeCell ref="B27:M27"/>
    <mergeCell ref="C4:D4"/>
  </mergeCells>
  <hyperlinks>
    <hyperlink ref="B30" location="'Table of Contents'!A1" display="Table of Contents" xr:uid="{8B7CF131-8230-4C3F-BC6D-717C4A09747A}"/>
  </hyperlinks>
  <pageMargins left="0.7" right="0.7" top="0.75" bottom="0.75" header="0.3" footer="0.3"/>
  <pageSetup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1ED70-F7EB-42B8-8FD9-D4DF88744F7C}">
  <sheetPr codeName="Sheet32"/>
  <dimension ref="B2:N29"/>
  <sheetViews>
    <sheetView workbookViewId="0">
      <selection activeCell="B27" sqref="B27:N27"/>
    </sheetView>
  </sheetViews>
  <sheetFormatPr defaultRowHeight="15" x14ac:dyDescent="0.25"/>
  <cols>
    <col min="2" max="2" width="27.7109375" customWidth="1"/>
    <col min="3" max="3" width="24" customWidth="1"/>
    <col min="4" max="4" width="16.85546875" customWidth="1"/>
  </cols>
  <sheetData>
    <row r="2" spans="2:14" x14ac:dyDescent="0.25">
      <c r="B2" s="6" t="s">
        <v>998</v>
      </c>
      <c r="C2" s="6"/>
      <c r="D2" s="6"/>
      <c r="E2" s="6"/>
      <c r="F2" s="6"/>
      <c r="G2" s="6"/>
    </row>
    <row r="4" spans="2:14" x14ac:dyDescent="0.25">
      <c r="B4" s="1035" t="s">
        <v>59</v>
      </c>
      <c r="C4" s="1036" t="s">
        <v>148</v>
      </c>
      <c r="D4" s="1036"/>
      <c r="E4" s="54"/>
      <c r="F4" s="54"/>
      <c r="G4" s="54"/>
      <c r="H4" s="54"/>
      <c r="I4" s="54"/>
      <c r="J4" s="54"/>
      <c r="K4" s="54"/>
      <c r="L4" s="54"/>
      <c r="M4" s="54"/>
      <c r="N4" s="54"/>
    </row>
    <row r="5" spans="2:14" x14ac:dyDescent="0.25">
      <c r="B5" s="1035"/>
      <c r="C5" s="55" t="s">
        <v>43</v>
      </c>
      <c r="D5" s="56" t="s">
        <v>177</v>
      </c>
    </row>
    <row r="6" spans="2:14" x14ac:dyDescent="0.25">
      <c r="B6" s="10" t="s">
        <v>61</v>
      </c>
      <c r="C6" s="57">
        <f>SUM(D6)</f>
        <v>1</v>
      </c>
      <c r="D6" s="9">
        <v>1</v>
      </c>
    </row>
    <row r="7" spans="2:14" x14ac:dyDescent="0.25">
      <c r="B7" s="58" t="s">
        <v>62</v>
      </c>
      <c r="C7" s="57">
        <f t="shared" ref="C7:C10" si="0">SUM(D7)</f>
        <v>2</v>
      </c>
      <c r="D7" s="9">
        <v>2</v>
      </c>
    </row>
    <row r="8" spans="2:14" x14ac:dyDescent="0.25">
      <c r="B8" s="58" t="s">
        <v>63</v>
      </c>
      <c r="C8" s="57">
        <f t="shared" si="0"/>
        <v>0</v>
      </c>
      <c r="D8" s="9">
        <v>0</v>
      </c>
    </row>
    <row r="9" spans="2:14" x14ac:dyDescent="0.25">
      <c r="B9" s="58" t="s">
        <v>64</v>
      </c>
      <c r="C9" s="57">
        <f t="shared" si="0"/>
        <v>0</v>
      </c>
      <c r="D9" s="9">
        <v>0</v>
      </c>
    </row>
    <row r="10" spans="2:14" x14ac:dyDescent="0.25">
      <c r="B10" s="59" t="s">
        <v>65</v>
      </c>
      <c r="C10" s="57">
        <f t="shared" si="0"/>
        <v>2</v>
      </c>
      <c r="D10" s="60">
        <f>D7+D8-D9</f>
        <v>2</v>
      </c>
    </row>
    <row r="11" spans="2:14" ht="23.25" x14ac:dyDescent="0.25">
      <c r="B11" s="61" t="s">
        <v>66</v>
      </c>
      <c r="C11" s="62"/>
      <c r="D11" s="63">
        <f>3/60</f>
        <v>0.05</v>
      </c>
    </row>
    <row r="12" spans="2:14" x14ac:dyDescent="0.25">
      <c r="B12" s="59" t="s">
        <v>67</v>
      </c>
      <c r="C12" s="64"/>
      <c r="D12" s="65"/>
    </row>
    <row r="13" spans="2:14" x14ac:dyDescent="0.25">
      <c r="B13" s="66" t="s">
        <v>68</v>
      </c>
      <c r="C13" s="67">
        <f>SUM(D13:D13)</f>
        <v>0.1</v>
      </c>
      <c r="D13" s="68">
        <f>D10*D11</f>
        <v>0.1</v>
      </c>
    </row>
    <row r="14" spans="2:14" x14ac:dyDescent="0.25">
      <c r="B14" s="66" t="s">
        <v>69</v>
      </c>
      <c r="C14" s="67">
        <f>SUM(D14:D14)</f>
        <v>1.0000000000000002E-2</v>
      </c>
      <c r="D14" s="68">
        <f t="shared" ref="D14" si="1">D13*0.1</f>
        <v>1.0000000000000002E-2</v>
      </c>
    </row>
    <row r="15" spans="2:14" x14ac:dyDescent="0.25">
      <c r="B15" s="66" t="s">
        <v>70</v>
      </c>
      <c r="C15" s="67">
        <f>SUM(D15:D15)</f>
        <v>5.000000000000001E-3</v>
      </c>
      <c r="D15" s="68">
        <f t="shared" ref="D15" si="2">D13*0.05</f>
        <v>5.000000000000001E-3</v>
      </c>
    </row>
    <row r="16" spans="2:14" x14ac:dyDescent="0.25">
      <c r="B16" s="66" t="s">
        <v>43</v>
      </c>
      <c r="C16" s="67">
        <f>SUM(D16:D16)</f>
        <v>0.115</v>
      </c>
      <c r="D16" s="68">
        <f t="shared" ref="D16" si="3">D15+D14+D13</f>
        <v>0.115</v>
      </c>
    </row>
    <row r="17" spans="2:14" x14ac:dyDescent="0.25">
      <c r="B17" s="59" t="s">
        <v>71</v>
      </c>
      <c r="C17" s="69"/>
      <c r="D17" s="65"/>
    </row>
    <row r="18" spans="2:14" x14ac:dyDescent="0.25">
      <c r="B18" s="66" t="s">
        <v>68</v>
      </c>
      <c r="C18" s="70">
        <f>SUM(D18:D18)</f>
        <v>7.3827010000000008</v>
      </c>
      <c r="D18" s="11">
        <f>D13*Tech</f>
        <v>7.3827010000000008</v>
      </c>
    </row>
    <row r="19" spans="2:14" x14ac:dyDescent="0.25">
      <c r="B19" s="66" t="s">
        <v>69</v>
      </c>
      <c r="C19" s="70">
        <f>SUM(D19:D19)</f>
        <v>0.34089750000000008</v>
      </c>
      <c r="D19" s="11">
        <f>D14*Admin</f>
        <v>0.34089750000000008</v>
      </c>
    </row>
    <row r="20" spans="2:14" x14ac:dyDescent="0.25">
      <c r="B20" s="66" t="s">
        <v>70</v>
      </c>
      <c r="C20" s="70">
        <f>SUM(D20:D20)</f>
        <v>0.45664030000000005</v>
      </c>
      <c r="D20" s="11">
        <f>D15*Manager</f>
        <v>0.45664030000000005</v>
      </c>
    </row>
    <row r="21" spans="2:14" x14ac:dyDescent="0.25">
      <c r="B21" s="66" t="s">
        <v>43</v>
      </c>
      <c r="C21" s="70">
        <f>SUM(D21:D21)</f>
        <v>8.1802388000000015</v>
      </c>
      <c r="D21" s="11">
        <f t="shared" ref="D21" si="4">D20+D19+D18</f>
        <v>8.1802388000000015</v>
      </c>
    </row>
    <row r="22" spans="2:14" ht="23.25" x14ac:dyDescent="0.25">
      <c r="B22" s="71" t="s">
        <v>72</v>
      </c>
      <c r="C22" s="72"/>
      <c r="D22" s="65"/>
    </row>
    <row r="23" spans="2:14" x14ac:dyDescent="0.25">
      <c r="B23" s="66" t="s">
        <v>43</v>
      </c>
      <c r="C23" s="73">
        <f>SUM(D23:D23)</f>
        <v>8.1802388000000015</v>
      </c>
      <c r="D23" s="11">
        <f t="shared" ref="D23" si="5">D21*D6</f>
        <v>8.1802388000000015</v>
      </c>
    </row>
    <row r="24" spans="2:14" x14ac:dyDescent="0.25">
      <c r="C24" s="73">
        <f>C23/C6</f>
        <v>8.1802388000000015</v>
      </c>
      <c r="D24" s="11" t="s">
        <v>73</v>
      </c>
      <c r="H24" s="1037"/>
      <c r="I24" s="1037"/>
      <c r="J24" s="1037"/>
      <c r="K24" s="1037"/>
      <c r="L24" s="74"/>
      <c r="M24" s="74"/>
      <c r="N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ht="27.75" customHeight="1" x14ac:dyDescent="0.25">
      <c r="B27" s="1034" t="s">
        <v>1000</v>
      </c>
      <c r="C27" s="1034"/>
      <c r="D27" s="1034"/>
      <c r="E27" s="1034"/>
      <c r="F27" s="1034"/>
      <c r="G27" s="1034"/>
      <c r="H27" s="1034"/>
      <c r="I27" s="1034"/>
      <c r="J27" s="1034"/>
      <c r="K27" s="1034"/>
      <c r="L27" s="1034"/>
      <c r="M27" s="1034"/>
      <c r="N27" s="1034"/>
    </row>
    <row r="28" spans="2:14" ht="30.75" customHeight="1" x14ac:dyDescent="0.25">
      <c r="B28" s="1034" t="s">
        <v>270</v>
      </c>
      <c r="C28" s="1034"/>
      <c r="D28" s="1034"/>
      <c r="E28" s="1034"/>
      <c r="F28" s="1034"/>
      <c r="G28" s="1034"/>
      <c r="H28" s="1034"/>
      <c r="I28" s="1034"/>
      <c r="J28" s="1034"/>
      <c r="K28" s="1034"/>
      <c r="L28" s="1034"/>
      <c r="M28" s="1034"/>
      <c r="N28" s="1034"/>
    </row>
    <row r="29" spans="2:14" x14ac:dyDescent="0.25">
      <c r="B29" s="346" t="s">
        <v>349</v>
      </c>
      <c r="C29" s="78"/>
      <c r="D29" s="78"/>
      <c r="E29" s="78"/>
      <c r="F29" s="78"/>
      <c r="G29" s="78"/>
      <c r="H29" s="78"/>
      <c r="I29" s="78"/>
      <c r="J29" s="78"/>
      <c r="K29" s="78"/>
      <c r="L29" s="78"/>
      <c r="M29" s="78"/>
      <c r="N29" s="78"/>
    </row>
  </sheetData>
  <mergeCells count="7">
    <mergeCell ref="B28:N28"/>
    <mergeCell ref="B4:B5"/>
    <mergeCell ref="C4:D4"/>
    <mergeCell ref="H24:I24"/>
    <mergeCell ref="J24:K24"/>
    <mergeCell ref="B26:N26"/>
    <mergeCell ref="B27:N27"/>
  </mergeCells>
  <hyperlinks>
    <hyperlink ref="B29" location="'Table of Contents'!A1" display="Table of Contents" xr:uid="{A6E88211-6996-47EE-A5F4-CDAAAE240A83}"/>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EABF0-CD61-47CA-B464-1E9578BD0FAA}">
  <sheetPr codeName="Sheet33"/>
  <dimension ref="B2:M33"/>
  <sheetViews>
    <sheetView topLeftCell="A18" workbookViewId="0">
      <selection activeCell="B28" sqref="B28:M28"/>
    </sheetView>
  </sheetViews>
  <sheetFormatPr defaultRowHeight="15" x14ac:dyDescent="0.25"/>
  <cols>
    <col min="2" max="2" width="27.7109375" customWidth="1"/>
    <col min="3" max="3" width="24" customWidth="1"/>
    <col min="4" max="4" width="14.42578125" customWidth="1"/>
  </cols>
  <sheetData>
    <row r="2" spans="2:13" x14ac:dyDescent="0.25">
      <c r="B2" s="6" t="s">
        <v>998</v>
      </c>
      <c r="C2" s="6"/>
      <c r="D2" s="6"/>
      <c r="E2" s="6"/>
      <c r="F2" s="6"/>
    </row>
    <row r="4" spans="2:13" x14ac:dyDescent="0.25">
      <c r="B4" s="1035" t="s">
        <v>59</v>
      </c>
      <c r="C4" s="1042" t="s">
        <v>267</v>
      </c>
      <c r="D4" s="1043"/>
      <c r="E4" s="54"/>
      <c r="F4" s="54"/>
      <c r="G4" s="54"/>
      <c r="H4" s="54"/>
      <c r="I4" s="54"/>
      <c r="J4" s="54"/>
      <c r="K4" s="54"/>
      <c r="L4" s="54"/>
      <c r="M4" s="54"/>
    </row>
    <row r="5" spans="2:13" x14ac:dyDescent="0.25">
      <c r="B5" s="1035"/>
      <c r="C5" s="55" t="s">
        <v>43</v>
      </c>
      <c r="D5" s="56" t="s">
        <v>266</v>
      </c>
      <c r="E5" s="252" t="s">
        <v>273</v>
      </c>
      <c r="F5" s="252" t="s">
        <v>274</v>
      </c>
      <c r="G5" s="721" t="s">
        <v>1004</v>
      </c>
    </row>
    <row r="6" spans="2:13" x14ac:dyDescent="0.25">
      <c r="B6" s="10" t="s">
        <v>61</v>
      </c>
      <c r="C6" s="261">
        <v>1126</v>
      </c>
      <c r="D6" s="9">
        <f>833+6</f>
        <v>839</v>
      </c>
      <c r="E6" s="253">
        <v>814</v>
      </c>
      <c r="F6" s="253">
        <v>792</v>
      </c>
      <c r="G6" s="253">
        <v>1126</v>
      </c>
    </row>
    <row r="7" spans="2:13" x14ac:dyDescent="0.25">
      <c r="B7" s="58" t="s">
        <v>62</v>
      </c>
      <c r="C7" s="261">
        <f>SUM(D7:G7)</f>
        <v>17</v>
      </c>
      <c r="D7" s="9">
        <v>4</v>
      </c>
      <c r="E7" s="253">
        <v>4</v>
      </c>
      <c r="F7" s="253">
        <v>8</v>
      </c>
      <c r="G7" s="9">
        <v>1</v>
      </c>
    </row>
    <row r="8" spans="2:13" x14ac:dyDescent="0.25">
      <c r="B8" s="58" t="s">
        <v>63</v>
      </c>
      <c r="C8" s="261">
        <f>SUM(D8:G8)</f>
        <v>3</v>
      </c>
      <c r="D8" s="9">
        <v>2</v>
      </c>
      <c r="E8" s="253">
        <v>1</v>
      </c>
      <c r="F8" s="253">
        <v>0</v>
      </c>
      <c r="G8" s="9">
        <v>0</v>
      </c>
    </row>
    <row r="9" spans="2:13" x14ac:dyDescent="0.25">
      <c r="B9" s="58" t="s">
        <v>64</v>
      </c>
      <c r="C9" s="261">
        <f>SUM(D9:G9)</f>
        <v>0</v>
      </c>
      <c r="D9" s="9">
        <v>0</v>
      </c>
      <c r="E9" s="253">
        <v>0</v>
      </c>
      <c r="F9" s="253">
        <v>0</v>
      </c>
      <c r="G9" s="9">
        <v>0</v>
      </c>
    </row>
    <row r="10" spans="2:13" x14ac:dyDescent="0.25">
      <c r="B10" s="59" t="s">
        <v>65</v>
      </c>
      <c r="C10" s="57">
        <f>SUM(D10:G10)</f>
        <v>20</v>
      </c>
      <c r="D10" s="60">
        <f>D7+D8-D9</f>
        <v>6</v>
      </c>
      <c r="E10" s="254">
        <f>E7+E8-E9</f>
        <v>5</v>
      </c>
      <c r="F10" s="254">
        <f>F7+F8-F9</f>
        <v>8</v>
      </c>
      <c r="G10" s="254">
        <f>G7+G8-G9</f>
        <v>1</v>
      </c>
    </row>
    <row r="11" spans="2:13" ht="23.25" x14ac:dyDescent="0.25">
      <c r="B11" s="61" t="s">
        <v>66</v>
      </c>
      <c r="C11" s="62"/>
      <c r="D11" s="63">
        <f>3/60</f>
        <v>0.05</v>
      </c>
      <c r="E11" s="255">
        <f>3/60</f>
        <v>0.05</v>
      </c>
      <c r="F11" s="255">
        <f>3/60</f>
        <v>0.05</v>
      </c>
      <c r="G11" s="255">
        <f>3/60</f>
        <v>0.05</v>
      </c>
    </row>
    <row r="12" spans="2:13" x14ac:dyDescent="0.25">
      <c r="B12" s="59" t="s">
        <v>67</v>
      </c>
      <c r="C12" s="64"/>
      <c r="D12" s="65"/>
      <c r="E12" s="256"/>
      <c r="F12" s="256"/>
      <c r="G12" s="256"/>
    </row>
    <row r="13" spans="2:13" x14ac:dyDescent="0.25">
      <c r="B13" s="66" t="s">
        <v>68</v>
      </c>
      <c r="C13" s="260">
        <f t="shared" ref="C13:C15" si="0">SUM(D13:G13)</f>
        <v>1</v>
      </c>
      <c r="D13" s="68">
        <f>D10*D11</f>
        <v>0.30000000000000004</v>
      </c>
      <c r="E13" s="257">
        <f>E10*E11</f>
        <v>0.25</v>
      </c>
      <c r="F13" s="257">
        <f>F10*F11</f>
        <v>0.4</v>
      </c>
      <c r="G13" s="257">
        <f>G10*G11</f>
        <v>0.05</v>
      </c>
    </row>
    <row r="14" spans="2:13" x14ac:dyDescent="0.25">
      <c r="B14" s="66" t="s">
        <v>69</v>
      </c>
      <c r="C14" s="260">
        <f t="shared" si="0"/>
        <v>0.10000000000000002</v>
      </c>
      <c r="D14" s="68">
        <f t="shared" ref="D14" si="1">D13*0.1</f>
        <v>3.0000000000000006E-2</v>
      </c>
      <c r="E14" s="257">
        <f>E13*0.1</f>
        <v>2.5000000000000001E-2</v>
      </c>
      <c r="F14" s="257">
        <f>F13*0.1</f>
        <v>4.0000000000000008E-2</v>
      </c>
      <c r="G14" s="257">
        <f>G13*0.1</f>
        <v>5.000000000000001E-3</v>
      </c>
    </row>
    <row r="15" spans="2:13" x14ac:dyDescent="0.25">
      <c r="B15" s="66" t="s">
        <v>70</v>
      </c>
      <c r="C15" s="260">
        <f t="shared" si="0"/>
        <v>5.000000000000001E-2</v>
      </c>
      <c r="D15" s="68">
        <f t="shared" ref="D15" si="2">D13*0.05</f>
        <v>1.5000000000000003E-2</v>
      </c>
      <c r="E15" s="257">
        <f>E13*0.05</f>
        <v>1.2500000000000001E-2</v>
      </c>
      <c r="F15" s="257">
        <f>F13*0.05</f>
        <v>2.0000000000000004E-2</v>
      </c>
      <c r="G15" s="257">
        <f>G13*0.05</f>
        <v>2.5000000000000005E-3</v>
      </c>
    </row>
    <row r="16" spans="2:13" x14ac:dyDescent="0.25">
      <c r="B16" s="66" t="s">
        <v>43</v>
      </c>
      <c r="C16" s="260">
        <f>SUM(D16:G16)</f>
        <v>1.1500000000000001</v>
      </c>
      <c r="D16" s="68">
        <f t="shared" ref="D16" si="3">D15+D14+D13</f>
        <v>0.34500000000000008</v>
      </c>
      <c r="E16" s="257">
        <f>E15+E14+E13</f>
        <v>0.28749999999999998</v>
      </c>
      <c r="F16" s="257">
        <f>F15+F14+F13</f>
        <v>0.46</v>
      </c>
      <c r="G16" s="257">
        <f>G15+G14+G13</f>
        <v>5.7500000000000002E-2</v>
      </c>
      <c r="I16" s="962"/>
    </row>
    <row r="17" spans="2:13" x14ac:dyDescent="0.25">
      <c r="B17" s="59" t="s">
        <v>71</v>
      </c>
      <c r="C17" s="69"/>
      <c r="D17" s="65"/>
      <c r="E17" s="256"/>
      <c r="F17" s="256"/>
      <c r="G17" s="256"/>
    </row>
    <row r="18" spans="2:13" x14ac:dyDescent="0.25">
      <c r="B18" s="66" t="s">
        <v>68</v>
      </c>
      <c r="C18" s="259">
        <f t="shared" ref="C18:C20" si="4">SUM(D18:G18)</f>
        <v>73.827010000000001</v>
      </c>
      <c r="D18" s="11">
        <f>D13*Tech</f>
        <v>22.148103000000003</v>
      </c>
      <c r="E18" s="258">
        <f>E13*Tech</f>
        <v>18.4567525</v>
      </c>
      <c r="F18" s="258">
        <f>F13*Tech</f>
        <v>29.530804000000003</v>
      </c>
      <c r="G18" s="258">
        <f>G13*Tech</f>
        <v>3.6913505000000004</v>
      </c>
    </row>
    <row r="19" spans="2:13" x14ac:dyDescent="0.25">
      <c r="B19" s="66" t="s">
        <v>69</v>
      </c>
      <c r="C19" s="259">
        <f t="shared" si="4"/>
        <v>3.4089750000000008</v>
      </c>
      <c r="D19" s="11">
        <f>D14*Admin</f>
        <v>1.0226925000000002</v>
      </c>
      <c r="E19" s="258">
        <f>E14*Admin</f>
        <v>0.85224375000000008</v>
      </c>
      <c r="F19" s="258">
        <f>F14*Admin</f>
        <v>1.3635900000000003</v>
      </c>
      <c r="G19" s="258">
        <f>G14*Admin</f>
        <v>0.17044875000000004</v>
      </c>
    </row>
    <row r="20" spans="2:13" x14ac:dyDescent="0.25">
      <c r="B20" s="66" t="s">
        <v>70</v>
      </c>
      <c r="C20" s="259">
        <f t="shared" si="4"/>
        <v>4.5664030000000002</v>
      </c>
      <c r="D20" s="11">
        <f>D15*Manager</f>
        <v>1.3699209000000001</v>
      </c>
      <c r="E20" s="258">
        <f>E15*Manager</f>
        <v>1.1416007500000001</v>
      </c>
      <c r="F20" s="258">
        <f>F15*Manager</f>
        <v>1.8265612000000002</v>
      </c>
      <c r="G20" s="258">
        <f>G15*Manager</f>
        <v>0.22832015000000003</v>
      </c>
    </row>
    <row r="21" spans="2:13" x14ac:dyDescent="0.25">
      <c r="B21" s="66" t="s">
        <v>43</v>
      </c>
      <c r="C21" s="259">
        <f>SUM(D21:G21)</f>
        <v>81.802388000000022</v>
      </c>
      <c r="D21" s="11">
        <f t="shared" ref="D21" si="5">D20+D19+D18</f>
        <v>24.540716400000001</v>
      </c>
      <c r="E21" s="258">
        <f>E20+E19+E18</f>
        <v>20.450597000000002</v>
      </c>
      <c r="F21" s="258">
        <f>F20+F19+F18</f>
        <v>32.720955200000006</v>
      </c>
      <c r="G21" s="258">
        <f>G20+G19+G18</f>
        <v>4.0901194000000007</v>
      </c>
    </row>
    <row r="22" spans="2:13" ht="23.25" x14ac:dyDescent="0.25">
      <c r="B22" s="71" t="s">
        <v>72</v>
      </c>
      <c r="C22" s="72"/>
      <c r="D22" s="65"/>
      <c r="E22" s="256"/>
      <c r="F22" s="256"/>
      <c r="G22" s="256"/>
    </row>
    <row r="23" spans="2:13" x14ac:dyDescent="0.25">
      <c r="B23" s="66" t="s">
        <v>43</v>
      </c>
      <c r="C23" s="73">
        <f>SUM(D23:G23)</f>
        <v>67756.917980400001</v>
      </c>
      <c r="D23" s="11">
        <f t="shared" ref="D23" si="6">D21*D6</f>
        <v>20589.661059599999</v>
      </c>
      <c r="E23" s="258">
        <f>E21*E6</f>
        <v>16646.785958</v>
      </c>
      <c r="F23" s="258">
        <f>F21*F6</f>
        <v>25914.996518400003</v>
      </c>
      <c r="G23" s="258">
        <f>G21*G6</f>
        <v>4605.4744444000007</v>
      </c>
    </row>
    <row r="24" spans="2:13" x14ac:dyDescent="0.25">
      <c r="C24" s="73">
        <f>C23/C6</f>
        <v>60.174882753463592</v>
      </c>
      <c r="D24" s="11" t="s">
        <v>73</v>
      </c>
      <c r="G24" s="1037"/>
      <c r="H24" s="1037"/>
      <c r="I24" s="1037"/>
      <c r="J24" s="1037"/>
      <c r="K24" s="74"/>
      <c r="L24" s="74"/>
      <c r="M24" s="74"/>
    </row>
    <row r="25" spans="2:13" x14ac:dyDescent="0.25">
      <c r="B25" s="75" t="s">
        <v>74</v>
      </c>
      <c r="C25" s="75"/>
      <c r="D25" s="75"/>
      <c r="E25" s="75"/>
      <c r="F25" s="75"/>
      <c r="G25" s="76"/>
      <c r="H25" s="76"/>
      <c r="I25" s="76"/>
      <c r="J25" s="76"/>
      <c r="K25" s="77"/>
      <c r="L25" s="77"/>
      <c r="M25" s="76"/>
    </row>
    <row r="26" spans="2:13" ht="69.75" customHeight="1" x14ac:dyDescent="0.25">
      <c r="B26" s="1034" t="s">
        <v>75</v>
      </c>
      <c r="C26" s="1034"/>
      <c r="D26" s="1034"/>
      <c r="E26" s="1034"/>
      <c r="F26" s="1034"/>
      <c r="G26" s="1034"/>
      <c r="H26" s="1034"/>
      <c r="I26" s="1034"/>
      <c r="J26" s="1034"/>
      <c r="K26" s="1034"/>
      <c r="L26" s="1034"/>
      <c r="M26" s="1034"/>
    </row>
    <row r="27" spans="2:13" ht="27.75" customHeight="1" x14ac:dyDescent="0.25">
      <c r="B27" s="1034" t="s">
        <v>1000</v>
      </c>
      <c r="C27" s="1034"/>
      <c r="D27" s="1034"/>
      <c r="E27" s="1034"/>
      <c r="F27" s="1034"/>
      <c r="G27" s="1034"/>
      <c r="H27" s="1034"/>
      <c r="I27" s="1034"/>
      <c r="J27" s="1034"/>
      <c r="K27" s="1034"/>
      <c r="L27" s="1034"/>
      <c r="M27" s="1034"/>
    </row>
    <row r="28" spans="2:13" ht="26.25" customHeight="1" x14ac:dyDescent="0.25">
      <c r="B28" s="1034" t="s">
        <v>1007</v>
      </c>
      <c r="C28" s="1034"/>
      <c r="D28" s="1034"/>
      <c r="E28" s="1034"/>
      <c r="F28" s="1034"/>
      <c r="G28" s="1034"/>
      <c r="H28" s="1034"/>
      <c r="I28" s="1034"/>
      <c r="J28" s="1034"/>
      <c r="K28" s="1034"/>
      <c r="L28" s="1034"/>
      <c r="M28" s="1034"/>
    </row>
    <row r="29" spans="2:13" ht="29.25" customHeight="1" x14ac:dyDescent="0.25">
      <c r="B29" s="1034" t="s">
        <v>1006</v>
      </c>
      <c r="C29" s="1041"/>
      <c r="D29" s="1041"/>
      <c r="E29" s="1041"/>
      <c r="F29" s="1041"/>
      <c r="G29" s="1041"/>
      <c r="H29" s="1041"/>
      <c r="I29" s="1041"/>
      <c r="J29" s="1041"/>
      <c r="K29" s="1041"/>
      <c r="L29" s="1041"/>
      <c r="M29" s="1041"/>
    </row>
    <row r="30" spans="2:13" ht="37.5" customHeight="1" x14ac:dyDescent="0.25">
      <c r="B30" s="1034" t="s">
        <v>1008</v>
      </c>
      <c r="C30" s="1041"/>
      <c r="D30" s="1041"/>
      <c r="E30" s="1041"/>
      <c r="F30" s="1041"/>
      <c r="G30" s="1041"/>
      <c r="H30" s="1041"/>
      <c r="I30" s="1041"/>
      <c r="J30" s="1041"/>
      <c r="K30" s="1041"/>
      <c r="L30" s="1041"/>
      <c r="M30" s="1041"/>
    </row>
    <row r="31" spans="2:13" ht="15.75" customHeight="1" x14ac:dyDescent="0.25">
      <c r="B31" s="1040" t="s">
        <v>1005</v>
      </c>
      <c r="C31" s="1040"/>
      <c r="D31" s="1040"/>
      <c r="E31" s="1040"/>
      <c r="F31" s="1040"/>
      <c r="G31" s="1040"/>
      <c r="H31" s="1040"/>
      <c r="I31" s="1040"/>
      <c r="J31" s="1040"/>
      <c r="K31" s="1040"/>
      <c r="L31" s="1040"/>
      <c r="M31" s="1040"/>
    </row>
    <row r="33" spans="2:2" x14ac:dyDescent="0.25">
      <c r="B33" s="346" t="s">
        <v>349</v>
      </c>
    </row>
  </sheetData>
  <mergeCells count="10">
    <mergeCell ref="B31:M31"/>
    <mergeCell ref="B29:M29"/>
    <mergeCell ref="B30:M30"/>
    <mergeCell ref="B28:M28"/>
    <mergeCell ref="C4:D4"/>
    <mergeCell ref="B4:B5"/>
    <mergeCell ref="G24:H24"/>
    <mergeCell ref="I24:J24"/>
    <mergeCell ref="B26:M26"/>
    <mergeCell ref="B27:M27"/>
  </mergeCells>
  <hyperlinks>
    <hyperlink ref="B33" location="'Table of Contents'!A1" display="Table of Contents" xr:uid="{18D7BD7A-A73D-49AE-9A19-7525A0F1955A}"/>
  </hyperlinks>
  <pageMargins left="0.7" right="0.7" top="0.75" bottom="0.75" header="0.3" footer="0.3"/>
  <pageSetup orientation="portrait" horizontalDpi="300" verticalDpi="300"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4FF09-8911-4539-AC70-FFE4DCBA1D24}">
  <sheetPr codeName="Sheet34"/>
  <dimension ref="B2:S31"/>
  <sheetViews>
    <sheetView topLeftCell="A15" workbookViewId="0">
      <selection activeCell="B29" sqref="B29"/>
    </sheetView>
  </sheetViews>
  <sheetFormatPr defaultRowHeight="15" x14ac:dyDescent="0.25"/>
  <cols>
    <col min="2" max="2" width="27.5703125" customWidth="1"/>
    <col min="3" max="3" width="24" customWidth="1"/>
    <col min="4" max="4" width="16.85546875" customWidth="1"/>
  </cols>
  <sheetData>
    <row r="2" spans="2:19" x14ac:dyDescent="0.25">
      <c r="B2" s="6" t="s">
        <v>998</v>
      </c>
      <c r="C2" s="6"/>
      <c r="D2" s="6"/>
      <c r="E2" s="6"/>
      <c r="F2" s="6"/>
      <c r="G2" s="6"/>
    </row>
    <row r="4" spans="2:19" x14ac:dyDescent="0.25">
      <c r="B4" s="1035" t="s">
        <v>59</v>
      </c>
      <c r="C4" s="1038" t="s">
        <v>149</v>
      </c>
      <c r="D4" s="1039"/>
      <c r="E4" s="1039"/>
      <c r="G4" s="176"/>
      <c r="H4" s="54"/>
      <c r="I4" s="54"/>
      <c r="J4" s="54"/>
      <c r="K4" s="54"/>
      <c r="L4" s="54"/>
      <c r="M4" s="54"/>
      <c r="N4" s="54"/>
    </row>
    <row r="5" spans="2:19" x14ac:dyDescent="0.25">
      <c r="B5" s="1035"/>
      <c r="C5" s="55" t="s">
        <v>43</v>
      </c>
      <c r="D5" s="56" t="s">
        <v>181</v>
      </c>
      <c r="E5" s="56" t="s">
        <v>256</v>
      </c>
    </row>
    <row r="6" spans="2:19" x14ac:dyDescent="0.25">
      <c r="B6" s="10" t="s">
        <v>61</v>
      </c>
      <c r="C6" s="57">
        <f>E6</f>
        <v>104</v>
      </c>
      <c r="D6" s="9">
        <v>58</v>
      </c>
      <c r="E6" s="9">
        <v>104</v>
      </c>
      <c r="G6" s="1044"/>
      <c r="H6" s="1044"/>
      <c r="I6" s="1044"/>
      <c r="J6" s="1044"/>
      <c r="K6" s="1044"/>
      <c r="L6" s="1044"/>
      <c r="M6" s="1044"/>
      <c r="N6" s="1044"/>
      <c r="O6" s="1044"/>
      <c r="P6" s="1044"/>
      <c r="Q6" s="1044"/>
      <c r="R6" s="1044"/>
      <c r="S6" s="1044"/>
    </row>
    <row r="7" spans="2:19" x14ac:dyDescent="0.25">
      <c r="B7" s="58" t="s">
        <v>62</v>
      </c>
      <c r="C7" s="57">
        <f>SUM(D7,E7)</f>
        <v>3</v>
      </c>
      <c r="D7" s="9">
        <v>1</v>
      </c>
      <c r="E7" s="9">
        <v>2</v>
      </c>
      <c r="G7" s="1044"/>
      <c r="H7" s="1044"/>
      <c r="I7" s="1044"/>
      <c r="J7" s="1044"/>
      <c r="K7" s="1044"/>
      <c r="L7" s="1044"/>
      <c r="M7" s="1044"/>
      <c r="N7" s="1044"/>
      <c r="O7" s="1044"/>
      <c r="P7" s="1044"/>
      <c r="Q7" s="1044"/>
      <c r="R7" s="1044"/>
      <c r="S7" s="1044"/>
    </row>
    <row r="8" spans="2:19" x14ac:dyDescent="0.25">
      <c r="B8" s="58" t="s">
        <v>63</v>
      </c>
      <c r="C8" s="57">
        <f>SUM(D8,E8)</f>
        <v>0</v>
      </c>
      <c r="D8" s="9">
        <v>0</v>
      </c>
      <c r="E8" s="9">
        <v>0</v>
      </c>
    </row>
    <row r="9" spans="2:19" x14ac:dyDescent="0.25">
      <c r="B9" s="58" t="s">
        <v>64</v>
      </c>
      <c r="C9" s="57">
        <f>SUM(D9,E9)</f>
        <v>0</v>
      </c>
      <c r="D9" s="9">
        <v>0</v>
      </c>
      <c r="E9" s="9">
        <v>0</v>
      </c>
    </row>
    <row r="10" spans="2:19" x14ac:dyDescent="0.25">
      <c r="B10" s="59" t="s">
        <v>65</v>
      </c>
      <c r="C10" s="57">
        <f>SUM(D10,E10)</f>
        <v>3</v>
      </c>
      <c r="D10" s="60">
        <f>D7+D8-D9</f>
        <v>1</v>
      </c>
      <c r="E10" s="60">
        <f>E7+E8-E9</f>
        <v>2</v>
      </c>
    </row>
    <row r="11" spans="2:19" ht="23.25" x14ac:dyDescent="0.25">
      <c r="B11" s="61" t="s">
        <v>66</v>
      </c>
      <c r="C11" s="62"/>
      <c r="D11" s="63">
        <f>3/60</f>
        <v>0.05</v>
      </c>
      <c r="E11" s="63">
        <f>3/60</f>
        <v>0.05</v>
      </c>
    </row>
    <row r="12" spans="2:19" x14ac:dyDescent="0.25">
      <c r="B12" s="59" t="s">
        <v>67</v>
      </c>
      <c r="C12" s="64"/>
      <c r="D12" s="65"/>
      <c r="E12" s="65"/>
    </row>
    <row r="13" spans="2:19" x14ac:dyDescent="0.25">
      <c r="B13" s="66" t="s">
        <v>68</v>
      </c>
      <c r="C13" s="67">
        <f>SUM(D13:E13)</f>
        <v>0.15000000000000002</v>
      </c>
      <c r="D13" s="68">
        <f>D10*D11</f>
        <v>0.05</v>
      </c>
      <c r="E13" s="68">
        <f>E10*E11</f>
        <v>0.1</v>
      </c>
    </row>
    <row r="14" spans="2:19" x14ac:dyDescent="0.25">
      <c r="B14" s="66" t="s">
        <v>69</v>
      </c>
      <c r="C14" s="67">
        <f>SUM(D14:E14)</f>
        <v>1.5000000000000003E-2</v>
      </c>
      <c r="D14" s="68">
        <f t="shared" ref="D14:E14" si="0">D13*0.1</f>
        <v>5.000000000000001E-3</v>
      </c>
      <c r="E14" s="68">
        <f t="shared" si="0"/>
        <v>1.0000000000000002E-2</v>
      </c>
    </row>
    <row r="15" spans="2:19" x14ac:dyDescent="0.25">
      <c r="B15" s="66" t="s">
        <v>70</v>
      </c>
      <c r="C15" s="67">
        <f>SUM(D15:E15)</f>
        <v>7.5000000000000015E-3</v>
      </c>
      <c r="D15" s="68">
        <f t="shared" ref="D15:E15" si="1">D13*0.05</f>
        <v>2.5000000000000005E-3</v>
      </c>
      <c r="E15" s="68">
        <f t="shared" si="1"/>
        <v>5.000000000000001E-3</v>
      </c>
    </row>
    <row r="16" spans="2:19" x14ac:dyDescent="0.25">
      <c r="B16" s="66" t="s">
        <v>43</v>
      </c>
      <c r="C16" s="67">
        <f>SUM(D16:E16)</f>
        <v>0.17250000000000001</v>
      </c>
      <c r="D16" s="68">
        <f t="shared" ref="D16:E16" si="2">D15+D14+D13</f>
        <v>5.7500000000000002E-2</v>
      </c>
      <c r="E16" s="68">
        <f t="shared" si="2"/>
        <v>0.115</v>
      </c>
    </row>
    <row r="17" spans="2:14" x14ac:dyDescent="0.25">
      <c r="B17" s="59" t="s">
        <v>71</v>
      </c>
      <c r="C17" s="69"/>
      <c r="D17" s="65"/>
      <c r="E17" s="65"/>
    </row>
    <row r="18" spans="2:14" x14ac:dyDescent="0.25">
      <c r="B18" s="66" t="s">
        <v>68</v>
      </c>
      <c r="C18" s="70">
        <f>SUM(D18:E18)</f>
        <v>11.074051500000001</v>
      </c>
      <c r="D18" s="11">
        <f>D13*Tech</f>
        <v>3.6913505000000004</v>
      </c>
      <c r="E18" s="11">
        <f>E13*Tech</f>
        <v>7.3827010000000008</v>
      </c>
    </row>
    <row r="19" spans="2:14" x14ac:dyDescent="0.25">
      <c r="B19" s="66" t="s">
        <v>69</v>
      </c>
      <c r="C19" s="70">
        <f>SUM(D19:E19)</f>
        <v>0.51134625000000011</v>
      </c>
      <c r="D19" s="11">
        <f>D14*Admin</f>
        <v>0.17044875000000004</v>
      </c>
      <c r="E19" s="11">
        <f>E14*Admin</f>
        <v>0.34089750000000008</v>
      </c>
    </row>
    <row r="20" spans="2:14" x14ac:dyDescent="0.25">
      <c r="B20" s="66" t="s">
        <v>70</v>
      </c>
      <c r="C20" s="70">
        <f>SUM(D20:E20)</f>
        <v>0.68496045000000005</v>
      </c>
      <c r="D20" s="11">
        <f>D15*Manager</f>
        <v>0.22832015000000003</v>
      </c>
      <c r="E20" s="11">
        <f>E15*Manager</f>
        <v>0.45664030000000005</v>
      </c>
    </row>
    <row r="21" spans="2:14" x14ac:dyDescent="0.25">
      <c r="B21" s="66" t="s">
        <v>43</v>
      </c>
      <c r="C21" s="70">
        <f>SUM(D21:E21)</f>
        <v>12.270358200000002</v>
      </c>
      <c r="D21" s="11">
        <f t="shared" ref="D21:E21" si="3">D20+D19+D18</f>
        <v>4.0901194000000007</v>
      </c>
      <c r="E21" s="11">
        <f t="shared" si="3"/>
        <v>8.1802388000000015</v>
      </c>
    </row>
    <row r="22" spans="2:14" ht="23.25" x14ac:dyDescent="0.25">
      <c r="B22" s="71" t="s">
        <v>72</v>
      </c>
      <c r="C22" s="72"/>
      <c r="D22" s="65"/>
      <c r="E22" s="65"/>
    </row>
    <row r="23" spans="2:14" x14ac:dyDescent="0.25">
      <c r="B23" s="66" t="s">
        <v>43</v>
      </c>
      <c r="C23" s="73">
        <f>SUM(D23:E23)</f>
        <v>1087.9717604000002</v>
      </c>
      <c r="D23" s="11">
        <f t="shared" ref="D23" si="4">D21*D6</f>
        <v>237.22692520000004</v>
      </c>
      <c r="E23" s="11">
        <f>E21*E6</f>
        <v>850.74483520000013</v>
      </c>
    </row>
    <row r="24" spans="2:14" x14ac:dyDescent="0.25">
      <c r="C24" s="73">
        <f>C23/C6</f>
        <v>10.461266926923079</v>
      </c>
      <c r="D24" s="11" t="s">
        <v>73</v>
      </c>
      <c r="E24" s="11" t="s">
        <v>73</v>
      </c>
      <c r="H24" s="1037"/>
      <c r="I24" s="1037"/>
      <c r="J24" s="1037"/>
      <c r="K24" s="1037"/>
      <c r="L24" s="74"/>
      <c r="M24" s="74"/>
      <c r="N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ht="24" customHeight="1" x14ac:dyDescent="0.25">
      <c r="B27" s="1034" t="s">
        <v>1000</v>
      </c>
      <c r="C27" s="1034"/>
      <c r="D27" s="1034"/>
      <c r="E27" s="1034"/>
      <c r="F27" s="1034"/>
      <c r="G27" s="1034"/>
      <c r="H27" s="1034"/>
      <c r="I27" s="1034"/>
      <c r="J27" s="1034"/>
      <c r="K27" s="1034"/>
      <c r="L27" s="1034"/>
      <c r="M27" s="1034"/>
      <c r="N27" s="1034"/>
    </row>
    <row r="28" spans="2:14" ht="10.5" customHeight="1" x14ac:dyDescent="0.25">
      <c r="B28" s="1034" t="s">
        <v>257</v>
      </c>
      <c r="C28" s="1034"/>
      <c r="D28" s="1034"/>
      <c r="E28" s="1034"/>
      <c r="F28" s="1034"/>
      <c r="G28" s="1034"/>
      <c r="H28" s="1034"/>
      <c r="I28" s="1034"/>
      <c r="J28" s="1034"/>
      <c r="K28" s="1034"/>
      <c r="L28" s="1034"/>
      <c r="M28" s="1034"/>
      <c r="N28" s="1034"/>
    </row>
    <row r="29" spans="2:14" x14ac:dyDescent="0.25">
      <c r="B29" s="251" t="s">
        <v>1009</v>
      </c>
      <c r="C29" s="78"/>
      <c r="D29" s="78"/>
      <c r="E29" s="78"/>
      <c r="F29" s="78"/>
      <c r="G29" s="78"/>
      <c r="H29" s="78"/>
      <c r="I29" s="78"/>
      <c r="J29" s="78"/>
      <c r="K29" s="78"/>
      <c r="L29" s="78"/>
      <c r="M29" s="78"/>
      <c r="N29" s="78"/>
    </row>
    <row r="31" spans="2:14" x14ac:dyDescent="0.25">
      <c r="B31" s="346" t="s">
        <v>349</v>
      </c>
    </row>
  </sheetData>
  <mergeCells count="8">
    <mergeCell ref="B28:N28"/>
    <mergeCell ref="B4:B5"/>
    <mergeCell ref="H24:I24"/>
    <mergeCell ref="J24:K24"/>
    <mergeCell ref="B26:N26"/>
    <mergeCell ref="B27:N27"/>
    <mergeCell ref="C4:E4"/>
    <mergeCell ref="G6:S7"/>
  </mergeCells>
  <hyperlinks>
    <hyperlink ref="B31" location="'Table of Contents'!A1" display="Table of Contents" xr:uid="{FC73EFEB-AEAF-4F54-8855-50D8A08167B1}"/>
  </hyperlinks>
  <pageMargins left="0.7" right="0.7" top="0.75" bottom="0.75" header="0.3" footer="0.3"/>
  <pageSetup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9464E-D15E-4B1A-BDBC-D9F5A02BE6F2}">
  <sheetPr codeName="Sheet35"/>
  <dimension ref="B2:R31"/>
  <sheetViews>
    <sheetView topLeftCell="A15" workbookViewId="0">
      <selection activeCell="C14" sqref="C14"/>
    </sheetView>
  </sheetViews>
  <sheetFormatPr defaultRowHeight="15" x14ac:dyDescent="0.25"/>
  <cols>
    <col min="2" max="2" width="27.5703125" customWidth="1"/>
    <col min="3" max="3" width="24" customWidth="1"/>
    <col min="4" max="4" width="16.85546875" customWidth="1"/>
  </cols>
  <sheetData>
    <row r="2" spans="2:18" x14ac:dyDescent="0.25">
      <c r="B2" s="6" t="s">
        <v>998</v>
      </c>
      <c r="C2" s="6"/>
      <c r="D2" s="6"/>
      <c r="E2" s="6"/>
      <c r="F2" s="6"/>
      <c r="G2" s="6"/>
    </row>
    <row r="4" spans="2:18" x14ac:dyDescent="0.25">
      <c r="B4" s="1045" t="s">
        <v>59</v>
      </c>
      <c r="C4" s="1046" t="s">
        <v>1183</v>
      </c>
      <c r="D4" s="1047"/>
      <c r="E4" s="54"/>
      <c r="G4" s="176"/>
      <c r="H4" s="54"/>
      <c r="I4" s="54"/>
      <c r="J4" s="54"/>
      <c r="K4" s="54"/>
      <c r="L4" s="54"/>
      <c r="M4" s="54"/>
      <c r="N4" s="54"/>
    </row>
    <row r="5" spans="2:18" x14ac:dyDescent="0.25">
      <c r="B5" s="1035"/>
      <c r="C5" s="448" t="s">
        <v>43</v>
      </c>
      <c r="D5" s="973" t="s">
        <v>181</v>
      </c>
    </row>
    <row r="6" spans="2:18" x14ac:dyDescent="0.25">
      <c r="B6" s="10" t="s">
        <v>61</v>
      </c>
      <c r="C6" s="57">
        <f>D6</f>
        <v>11</v>
      </c>
      <c r="D6" s="9">
        <v>11</v>
      </c>
      <c r="F6" s="1044"/>
      <c r="G6" s="1044"/>
      <c r="H6" s="1044"/>
      <c r="I6" s="1044"/>
      <c r="J6" s="1044"/>
      <c r="K6" s="1044"/>
      <c r="L6" s="1044"/>
      <c r="M6" s="1044"/>
      <c r="N6" s="1044"/>
      <c r="O6" s="1044"/>
      <c r="P6" s="1044"/>
      <c r="Q6" s="1044"/>
      <c r="R6" s="1044"/>
    </row>
    <row r="7" spans="2:18" x14ac:dyDescent="0.25">
      <c r="B7" s="58" t="s">
        <v>62</v>
      </c>
      <c r="C7" s="57">
        <f>D7</f>
        <v>0</v>
      </c>
      <c r="D7" s="9">
        <v>0</v>
      </c>
      <c r="F7" s="1044"/>
      <c r="G7" s="1044"/>
      <c r="H7" s="1044"/>
      <c r="I7" s="1044"/>
      <c r="J7" s="1044"/>
      <c r="K7" s="1044"/>
      <c r="L7" s="1044"/>
      <c r="M7" s="1044"/>
      <c r="N7" s="1044"/>
      <c r="O7" s="1044"/>
      <c r="P7" s="1044"/>
      <c r="Q7" s="1044"/>
      <c r="R7" s="1044"/>
    </row>
    <row r="8" spans="2:18" x14ac:dyDescent="0.25">
      <c r="B8" s="58" t="s">
        <v>63</v>
      </c>
      <c r="C8" s="57">
        <f t="shared" ref="C8:C9" si="0">D8</f>
        <v>3</v>
      </c>
      <c r="D8" s="9">
        <v>3</v>
      </c>
    </row>
    <row r="9" spans="2:18" x14ac:dyDescent="0.25">
      <c r="B9" s="58" t="s">
        <v>64</v>
      </c>
      <c r="C9" s="57">
        <f t="shared" si="0"/>
        <v>0</v>
      </c>
      <c r="D9" s="9">
        <v>0</v>
      </c>
    </row>
    <row r="10" spans="2:18" x14ac:dyDescent="0.25">
      <c r="B10" s="59" t="s">
        <v>65</v>
      </c>
      <c r="C10" s="57">
        <f>SUM(D10)</f>
        <v>3</v>
      </c>
      <c r="D10" s="60">
        <f>D7+D8-D9</f>
        <v>3</v>
      </c>
    </row>
    <row r="11" spans="2:18" ht="23.25" x14ac:dyDescent="0.25">
      <c r="B11" s="61" t="s">
        <v>66</v>
      </c>
      <c r="C11" s="62"/>
      <c r="D11" s="63">
        <f>3/60</f>
        <v>0.05</v>
      </c>
    </row>
    <row r="12" spans="2:18" x14ac:dyDescent="0.25">
      <c r="B12" s="59" t="s">
        <v>67</v>
      </c>
      <c r="C12" s="64"/>
      <c r="D12" s="65"/>
    </row>
    <row r="13" spans="2:18" x14ac:dyDescent="0.25">
      <c r="B13" s="66" t="s">
        <v>68</v>
      </c>
      <c r="C13" s="67">
        <f>SUM(D13:D13)</f>
        <v>0.15000000000000002</v>
      </c>
      <c r="D13" s="68">
        <f>D10*D11</f>
        <v>0.15000000000000002</v>
      </c>
    </row>
    <row r="14" spans="2:18" x14ac:dyDescent="0.25">
      <c r="B14" s="66" t="s">
        <v>69</v>
      </c>
      <c r="C14" s="67">
        <f>SUM(D14:D14)</f>
        <v>1.5000000000000003E-2</v>
      </c>
      <c r="D14" s="68">
        <f t="shared" ref="D14" si="1">D13*0.1</f>
        <v>1.5000000000000003E-2</v>
      </c>
    </row>
    <row r="15" spans="2:18" x14ac:dyDescent="0.25">
      <c r="B15" s="66" t="s">
        <v>70</v>
      </c>
      <c r="C15" s="67">
        <f>SUM(D15:D15)</f>
        <v>7.5000000000000015E-3</v>
      </c>
      <c r="D15" s="68">
        <f t="shared" ref="D15" si="2">D13*0.05</f>
        <v>7.5000000000000015E-3</v>
      </c>
    </row>
    <row r="16" spans="2:18" x14ac:dyDescent="0.25">
      <c r="B16" s="66" t="s">
        <v>43</v>
      </c>
      <c r="C16" s="67">
        <f>SUM(D16:D16)</f>
        <v>0.17250000000000004</v>
      </c>
      <c r="D16" s="68">
        <f t="shared" ref="D16" si="3">D15+D14+D13</f>
        <v>0.17250000000000004</v>
      </c>
    </row>
    <row r="17" spans="2:14" x14ac:dyDescent="0.25">
      <c r="B17" s="59" t="s">
        <v>71</v>
      </c>
      <c r="C17" s="69"/>
      <c r="D17" s="65"/>
    </row>
    <row r="18" spans="2:14" x14ac:dyDescent="0.25">
      <c r="B18" s="66" t="s">
        <v>68</v>
      </c>
      <c r="C18" s="70">
        <f>SUM(D18:D18)</f>
        <v>11.074051500000001</v>
      </c>
      <c r="D18" s="11">
        <f>D13*Tech</f>
        <v>11.074051500000001</v>
      </c>
    </row>
    <row r="19" spans="2:14" x14ac:dyDescent="0.25">
      <c r="B19" s="66" t="s">
        <v>69</v>
      </c>
      <c r="C19" s="70">
        <f>SUM(D19:D19)</f>
        <v>0.51134625000000011</v>
      </c>
      <c r="D19" s="11">
        <f>D14*Admin</f>
        <v>0.51134625000000011</v>
      </c>
    </row>
    <row r="20" spans="2:14" x14ac:dyDescent="0.25">
      <c r="B20" s="66" t="s">
        <v>70</v>
      </c>
      <c r="C20" s="70">
        <f>SUM(D20:D20)</f>
        <v>0.68496045000000005</v>
      </c>
      <c r="D20" s="11">
        <f>D15*Manager</f>
        <v>0.68496045000000005</v>
      </c>
    </row>
    <row r="21" spans="2:14" x14ac:dyDescent="0.25">
      <c r="B21" s="66" t="s">
        <v>43</v>
      </c>
      <c r="C21" s="70">
        <f>SUM(D21:D21)</f>
        <v>12.2703582</v>
      </c>
      <c r="D21" s="11">
        <f t="shared" ref="D21" si="4">D20+D19+D18</f>
        <v>12.2703582</v>
      </c>
    </row>
    <row r="22" spans="2:14" ht="23.25" x14ac:dyDescent="0.25">
      <c r="B22" s="71" t="s">
        <v>72</v>
      </c>
      <c r="C22" s="72"/>
      <c r="D22" s="65"/>
    </row>
    <row r="23" spans="2:14" x14ac:dyDescent="0.25">
      <c r="B23" s="66" t="s">
        <v>43</v>
      </c>
      <c r="C23" s="73">
        <f>SUM(D23:D23)</f>
        <v>134.97394020000002</v>
      </c>
      <c r="D23" s="11">
        <f t="shared" ref="D23" si="5">D21*D6</f>
        <v>134.97394020000002</v>
      </c>
    </row>
    <row r="24" spans="2:14" x14ac:dyDescent="0.25">
      <c r="C24" s="73">
        <f>C23/C6</f>
        <v>12.270358200000002</v>
      </c>
      <c r="D24" s="11" t="s">
        <v>73</v>
      </c>
      <c r="G24" s="1037"/>
      <c r="H24" s="1037"/>
      <c r="I24" s="1037"/>
      <c r="J24" s="1037"/>
      <c r="K24" s="74"/>
      <c r="L24" s="74"/>
      <c r="M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ht="24" customHeight="1" x14ac:dyDescent="0.25">
      <c r="B27" s="1034" t="s">
        <v>1000</v>
      </c>
      <c r="C27" s="1034"/>
      <c r="D27" s="1034"/>
      <c r="E27" s="1034"/>
      <c r="F27" s="1034"/>
      <c r="G27" s="1034"/>
      <c r="H27" s="1034"/>
      <c r="I27" s="1034"/>
      <c r="J27" s="1034"/>
      <c r="K27" s="1034"/>
      <c r="L27" s="1034"/>
      <c r="M27" s="1034"/>
      <c r="N27" s="1034"/>
    </row>
    <row r="28" spans="2:14" ht="47.25" customHeight="1" x14ac:dyDescent="0.25">
      <c r="B28" s="1034" t="s">
        <v>1184</v>
      </c>
      <c r="C28" s="1034"/>
      <c r="D28" s="1034"/>
      <c r="E28" s="1034"/>
      <c r="F28" s="1034"/>
      <c r="G28" s="1034"/>
      <c r="H28" s="1034"/>
      <c r="I28" s="1034"/>
      <c r="J28" s="1034"/>
      <c r="K28" s="1034"/>
      <c r="L28" s="1034"/>
      <c r="M28" s="1034"/>
      <c r="N28" s="1034"/>
    </row>
    <row r="29" spans="2:14" x14ac:dyDescent="0.25">
      <c r="B29" s="251"/>
      <c r="C29" s="78"/>
      <c r="D29" s="78"/>
      <c r="E29" s="78"/>
      <c r="F29" s="78"/>
      <c r="G29" s="78"/>
      <c r="H29" s="78"/>
      <c r="I29" s="78"/>
      <c r="J29" s="78"/>
      <c r="K29" s="78"/>
      <c r="L29" s="78"/>
      <c r="M29" s="78"/>
      <c r="N29" s="78"/>
    </row>
    <row r="31" spans="2:14" x14ac:dyDescent="0.25">
      <c r="B31" s="346" t="s">
        <v>349</v>
      </c>
    </row>
  </sheetData>
  <mergeCells count="8">
    <mergeCell ref="B27:N27"/>
    <mergeCell ref="B28:N28"/>
    <mergeCell ref="B4:B5"/>
    <mergeCell ref="F6:R7"/>
    <mergeCell ref="G24:H24"/>
    <mergeCell ref="I24:J24"/>
    <mergeCell ref="B26:N26"/>
    <mergeCell ref="C4:D4"/>
  </mergeCells>
  <hyperlinks>
    <hyperlink ref="B31" location="'Table of Contents'!A1" display="Table of Contents" xr:uid="{640C901D-2BEB-4948-A198-EC8B8E3A5254}"/>
  </hyperlinks>
  <pageMargins left="0.7" right="0.7" top="0.75" bottom="0.75" header="0.3" footer="0.3"/>
  <pageSetup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5E777-2AD1-4751-A56D-9358751C22CA}">
  <sheetPr codeName="Sheet36"/>
  <dimension ref="B2:N31"/>
  <sheetViews>
    <sheetView topLeftCell="A9" workbookViewId="0">
      <selection activeCell="G44" sqref="G44"/>
    </sheetView>
  </sheetViews>
  <sheetFormatPr defaultRowHeight="15" x14ac:dyDescent="0.25"/>
  <cols>
    <col min="2" max="2" width="28.28515625" customWidth="1"/>
    <col min="3" max="3" width="24" customWidth="1"/>
    <col min="4" max="4" width="16.85546875" customWidth="1"/>
  </cols>
  <sheetData>
    <row r="2" spans="2:14" x14ac:dyDescent="0.25">
      <c r="B2" s="6" t="s">
        <v>998</v>
      </c>
      <c r="C2" s="6"/>
      <c r="D2" s="6"/>
      <c r="E2" s="6"/>
      <c r="F2" s="6"/>
      <c r="G2" s="6"/>
    </row>
    <row r="4" spans="2:14" x14ac:dyDescent="0.25">
      <c r="B4" s="1035" t="s">
        <v>59</v>
      </c>
      <c r="C4" s="1038" t="s">
        <v>150</v>
      </c>
      <c r="D4" s="1039"/>
      <c r="E4" s="1039"/>
      <c r="F4" s="54"/>
      <c r="G4" s="54"/>
      <c r="H4" s="54"/>
      <c r="I4" s="54"/>
      <c r="J4" s="54"/>
      <c r="K4" s="54"/>
      <c r="L4" s="54"/>
      <c r="M4" s="54"/>
      <c r="N4" s="54"/>
    </row>
    <row r="5" spans="2:14" x14ac:dyDescent="0.25">
      <c r="B5" s="1035"/>
      <c r="C5" s="55" t="s">
        <v>43</v>
      </c>
      <c r="D5" s="56" t="s">
        <v>182</v>
      </c>
      <c r="E5" s="56" t="s">
        <v>183</v>
      </c>
    </row>
    <row r="6" spans="2:14" x14ac:dyDescent="0.25">
      <c r="B6" s="10" t="s">
        <v>61</v>
      </c>
      <c r="C6" s="57">
        <v>33</v>
      </c>
      <c r="D6" s="9">
        <v>33</v>
      </c>
      <c r="E6" s="9">
        <v>28</v>
      </c>
    </row>
    <row r="7" spans="2:14" x14ac:dyDescent="0.25">
      <c r="B7" s="58" t="s">
        <v>62</v>
      </c>
      <c r="C7" s="57">
        <f>SUM(D7:E7)</f>
        <v>3</v>
      </c>
      <c r="D7" s="9">
        <v>2</v>
      </c>
      <c r="E7" s="9">
        <v>1</v>
      </c>
    </row>
    <row r="8" spans="2:14" x14ac:dyDescent="0.25">
      <c r="B8" s="58" t="s">
        <v>63</v>
      </c>
      <c r="C8" s="57">
        <f>SUM(D8:E8)</f>
        <v>0</v>
      </c>
      <c r="D8" s="9">
        <v>0</v>
      </c>
      <c r="E8" s="9">
        <v>0</v>
      </c>
    </row>
    <row r="9" spans="2:14" x14ac:dyDescent="0.25">
      <c r="B9" s="58" t="s">
        <v>64</v>
      </c>
      <c r="C9" s="57">
        <f>SUM(D9:E9)</f>
        <v>0</v>
      </c>
      <c r="D9" s="9">
        <v>0</v>
      </c>
      <c r="E9" s="9">
        <v>0</v>
      </c>
    </row>
    <row r="10" spans="2:14" x14ac:dyDescent="0.25">
      <c r="B10" s="59" t="s">
        <v>65</v>
      </c>
      <c r="C10" s="57">
        <f>SUM(D10:E10)</f>
        <v>3</v>
      </c>
      <c r="D10" s="60">
        <f>D7+D8-D9</f>
        <v>2</v>
      </c>
      <c r="E10" s="60">
        <f>E7+E8-E9</f>
        <v>1</v>
      </c>
    </row>
    <row r="11" spans="2:14" ht="23.25" x14ac:dyDescent="0.25">
      <c r="B11" s="61" t="s">
        <v>66</v>
      </c>
      <c r="C11" s="62"/>
      <c r="D11" s="63">
        <f>3/60</f>
        <v>0.05</v>
      </c>
      <c r="E11" s="63">
        <f>3/60</f>
        <v>0.05</v>
      </c>
    </row>
    <row r="12" spans="2:14" x14ac:dyDescent="0.25">
      <c r="B12" s="59" t="s">
        <v>67</v>
      </c>
      <c r="C12" s="64"/>
      <c r="D12" s="65"/>
      <c r="E12" s="65"/>
    </row>
    <row r="13" spans="2:14" x14ac:dyDescent="0.25">
      <c r="B13" s="66" t="s">
        <v>68</v>
      </c>
      <c r="C13" s="67">
        <f>SUM(D13:E13)</f>
        <v>0.15000000000000002</v>
      </c>
      <c r="D13" s="68">
        <f>D10*D11</f>
        <v>0.1</v>
      </c>
      <c r="E13" s="68">
        <f>E10*E11</f>
        <v>0.05</v>
      </c>
    </row>
    <row r="14" spans="2:14" x14ac:dyDescent="0.25">
      <c r="B14" s="66" t="s">
        <v>69</v>
      </c>
      <c r="C14" s="67">
        <f>SUM(D14:E14)</f>
        <v>1.5000000000000003E-2</v>
      </c>
      <c r="D14" s="68">
        <f t="shared" ref="D14:E14" si="0">D13*0.1</f>
        <v>1.0000000000000002E-2</v>
      </c>
      <c r="E14" s="68">
        <f t="shared" si="0"/>
        <v>5.000000000000001E-3</v>
      </c>
    </row>
    <row r="15" spans="2:14" x14ac:dyDescent="0.25">
      <c r="B15" s="66" t="s">
        <v>70</v>
      </c>
      <c r="C15" s="67">
        <f>SUM(D15:E15)</f>
        <v>7.5000000000000015E-3</v>
      </c>
      <c r="D15" s="68">
        <f t="shared" ref="D15:E15" si="1">D13*0.05</f>
        <v>5.000000000000001E-3</v>
      </c>
      <c r="E15" s="68">
        <f t="shared" si="1"/>
        <v>2.5000000000000005E-3</v>
      </c>
    </row>
    <row r="16" spans="2:14" x14ac:dyDescent="0.25">
      <c r="B16" s="66" t="s">
        <v>43</v>
      </c>
      <c r="C16" s="67">
        <f>SUM(D16:E16)</f>
        <v>0.17250000000000001</v>
      </c>
      <c r="D16" s="68">
        <f t="shared" ref="D16:E16" si="2">D15+D14+D13</f>
        <v>0.115</v>
      </c>
      <c r="E16" s="68">
        <f t="shared" si="2"/>
        <v>5.7500000000000002E-2</v>
      </c>
    </row>
    <row r="17" spans="2:14" x14ac:dyDescent="0.25">
      <c r="B17" s="59" t="s">
        <v>71</v>
      </c>
      <c r="C17" s="69"/>
      <c r="D17" s="65"/>
      <c r="E17" s="65"/>
    </row>
    <row r="18" spans="2:14" x14ac:dyDescent="0.25">
      <c r="B18" s="66" t="s">
        <v>68</v>
      </c>
      <c r="C18" s="70">
        <f>SUM(D18:E18)</f>
        <v>11.074051500000001</v>
      </c>
      <c r="D18" s="11">
        <f>D13*Tech</f>
        <v>7.3827010000000008</v>
      </c>
      <c r="E18" s="11">
        <f>E13*Tech</f>
        <v>3.6913505000000004</v>
      </c>
    </row>
    <row r="19" spans="2:14" x14ac:dyDescent="0.25">
      <c r="B19" s="66" t="s">
        <v>69</v>
      </c>
      <c r="C19" s="70">
        <f>SUM(D19:E19)</f>
        <v>0.51134625000000011</v>
      </c>
      <c r="D19" s="11">
        <f>D14*Admin</f>
        <v>0.34089750000000008</v>
      </c>
      <c r="E19" s="11">
        <f>E14*Admin</f>
        <v>0.17044875000000004</v>
      </c>
    </row>
    <row r="20" spans="2:14" x14ac:dyDescent="0.25">
      <c r="B20" s="66" t="s">
        <v>70</v>
      </c>
      <c r="C20" s="70">
        <f>SUM(D20:E20)</f>
        <v>0.68496045000000005</v>
      </c>
      <c r="D20" s="11">
        <f>D15*Manager</f>
        <v>0.45664030000000005</v>
      </c>
      <c r="E20" s="11">
        <f>E15*Manager</f>
        <v>0.22832015000000003</v>
      </c>
    </row>
    <row r="21" spans="2:14" x14ac:dyDescent="0.25">
      <c r="B21" s="66" t="s">
        <v>43</v>
      </c>
      <c r="C21" s="70">
        <f>SUM(D21:E21)</f>
        <v>12.270358200000002</v>
      </c>
      <c r="D21" s="11">
        <f t="shared" ref="D21:E21" si="3">D20+D19+D18</f>
        <v>8.1802388000000015</v>
      </c>
      <c r="E21" s="11">
        <f t="shared" si="3"/>
        <v>4.0901194000000007</v>
      </c>
    </row>
    <row r="22" spans="2:14" ht="23.25" x14ac:dyDescent="0.25">
      <c r="B22" s="71" t="s">
        <v>72</v>
      </c>
      <c r="C22" s="72"/>
      <c r="D22" s="65"/>
      <c r="E22" s="65"/>
    </row>
    <row r="23" spans="2:14" x14ac:dyDescent="0.25">
      <c r="B23" s="66" t="s">
        <v>43</v>
      </c>
      <c r="C23" s="211">
        <f>SUM(D23:E23)</f>
        <v>384.47122360000003</v>
      </c>
      <c r="D23" s="11">
        <f t="shared" ref="D23:E23" si="4">D21*D6</f>
        <v>269.94788040000003</v>
      </c>
      <c r="E23" s="11">
        <f t="shared" si="4"/>
        <v>114.52334320000003</v>
      </c>
    </row>
    <row r="24" spans="2:14" x14ac:dyDescent="0.25">
      <c r="C24" s="73">
        <f>C23/C6</f>
        <v>11.65064313939394</v>
      </c>
      <c r="D24" s="11" t="s">
        <v>73</v>
      </c>
      <c r="E24" s="11" t="s">
        <v>73</v>
      </c>
      <c r="H24" s="1037"/>
      <c r="I24" s="1037"/>
      <c r="J24" s="1037"/>
      <c r="K24" s="1037"/>
      <c r="L24" s="74"/>
      <c r="M24" s="74"/>
      <c r="N24" s="74"/>
    </row>
    <row r="25" spans="2:14" x14ac:dyDescent="0.25">
      <c r="B25" s="75" t="s">
        <v>74</v>
      </c>
      <c r="C25" s="75"/>
      <c r="D25" s="75"/>
      <c r="E25" s="75"/>
      <c r="F25" s="75"/>
      <c r="G25" s="75"/>
      <c r="H25" s="76"/>
      <c r="I25" s="76"/>
      <c r="J25" s="76"/>
      <c r="K25" s="76"/>
      <c r="L25" s="77"/>
      <c r="M25" s="77"/>
      <c r="N25" s="76"/>
    </row>
    <row r="26" spans="2:14" x14ac:dyDescent="0.25">
      <c r="B26" s="1034" t="s">
        <v>75</v>
      </c>
      <c r="C26" s="1034"/>
      <c r="D26" s="1034"/>
      <c r="E26" s="1034"/>
      <c r="F26" s="1034"/>
      <c r="G26" s="1034"/>
      <c r="H26" s="1034"/>
      <c r="I26" s="1034"/>
      <c r="J26" s="1034"/>
      <c r="K26" s="1034"/>
      <c r="L26" s="1034"/>
      <c r="M26" s="1034"/>
      <c r="N26" s="1034"/>
    </row>
    <row r="27" spans="2:14" ht="15" customHeight="1" x14ac:dyDescent="0.25">
      <c r="B27" s="1034" t="s">
        <v>1000</v>
      </c>
      <c r="C27" s="1034"/>
      <c r="D27" s="1034"/>
      <c r="E27" s="1034"/>
      <c r="F27" s="1034"/>
      <c r="G27" s="1034"/>
      <c r="H27" s="1034"/>
      <c r="I27" s="1034"/>
      <c r="J27" s="1034"/>
      <c r="K27" s="1034"/>
      <c r="L27" s="1034"/>
      <c r="M27" s="1034"/>
      <c r="N27" s="1034"/>
    </row>
    <row r="28" spans="2:14" x14ac:dyDescent="0.25">
      <c r="B28" s="1034" t="s">
        <v>261</v>
      </c>
      <c r="C28" s="1034"/>
      <c r="D28" s="1034"/>
      <c r="E28" s="1034"/>
      <c r="F28" s="1034"/>
      <c r="G28" s="1034"/>
      <c r="H28" s="1034"/>
      <c r="I28" s="1034"/>
      <c r="J28" s="1034"/>
      <c r="K28" s="1034"/>
      <c r="L28" s="1034"/>
      <c r="M28" s="1034"/>
      <c r="N28" s="1034"/>
    </row>
    <row r="29" spans="2:14" x14ac:dyDescent="0.25">
      <c r="B29" s="1034" t="s">
        <v>262</v>
      </c>
      <c r="C29" s="1034"/>
      <c r="D29" s="1034"/>
      <c r="E29" s="1034"/>
      <c r="F29" s="1034"/>
      <c r="G29" s="1034"/>
      <c r="H29" s="1034"/>
      <c r="I29" s="1034"/>
      <c r="J29" s="1034"/>
      <c r="K29" s="1034"/>
      <c r="L29" s="1034"/>
      <c r="M29" s="1034"/>
      <c r="N29" s="1034"/>
    </row>
    <row r="31" spans="2:14" x14ac:dyDescent="0.25">
      <c r="B31" s="346" t="s">
        <v>349</v>
      </c>
    </row>
  </sheetData>
  <mergeCells count="8">
    <mergeCell ref="B29:N29"/>
    <mergeCell ref="C4:E4"/>
    <mergeCell ref="B28:N28"/>
    <mergeCell ref="B4:B5"/>
    <mergeCell ref="H24:I24"/>
    <mergeCell ref="J24:K24"/>
    <mergeCell ref="B26:N26"/>
    <mergeCell ref="B27:N27"/>
  </mergeCells>
  <hyperlinks>
    <hyperlink ref="B31" location="'Table of Contents'!A1" display="Table of Contents" xr:uid="{AE959229-41FB-4DC4-AC04-053187FCC9AE}"/>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3943F-1460-4044-B38C-19102A0452F3}">
  <sheetPr codeName="Sheet37">
    <tabColor rgb="FF7030A0"/>
  </sheetPr>
  <dimension ref="A1"/>
  <sheetViews>
    <sheetView workbookViewId="0">
      <selection activeCell="F9" sqref="F9"/>
    </sheetView>
  </sheetViews>
  <sheetFormatPr defaultRowHeight="15" x14ac:dyDescent="0.25"/>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90200-B572-43F3-B046-1C48544748F5}">
  <sheetPr codeName="Sheet38">
    <tabColor rgb="FF7030A0"/>
  </sheetPr>
  <dimension ref="A1:AT36"/>
  <sheetViews>
    <sheetView topLeftCell="A2" zoomScaleNormal="100" zoomScaleSheetLayoutView="100" workbookViewId="0">
      <pane xSplit="1" ySplit="2" topLeftCell="B14" activePane="bottomRight" state="frozen"/>
      <selection activeCell="B19" sqref="B19"/>
      <selection pane="topRight" activeCell="B19" sqref="B19"/>
      <selection pane="bottomLeft" activeCell="B19" sqref="B19"/>
      <selection pane="bottomRight" activeCell="B19" sqref="B19"/>
    </sheetView>
  </sheetViews>
  <sheetFormatPr defaultRowHeight="15" x14ac:dyDescent="0.25"/>
  <cols>
    <col min="1" max="1" width="19.28515625" customWidth="1"/>
    <col min="2" max="2" width="11" customWidth="1"/>
    <col min="3" max="3" width="9.5703125" bestFit="1" customWidth="1"/>
    <col min="4" max="6" width="9.28515625" bestFit="1" customWidth="1"/>
    <col min="8" max="8" width="9.5703125" bestFit="1" customWidth="1"/>
    <col min="10" max="10" width="11.140625" bestFit="1" customWidth="1"/>
    <col min="11" max="11" width="12.42578125" customWidth="1"/>
    <col min="13" max="18" width="8.7109375" customWidth="1"/>
    <col min="19" max="19" width="10.5703125" customWidth="1"/>
    <col min="20" max="20" width="8.7109375" customWidth="1"/>
    <col min="21" max="21" width="10" customWidth="1"/>
    <col min="22" max="22" width="9.5703125" customWidth="1"/>
    <col min="23" max="29" width="8.7109375" customWidth="1"/>
    <col min="30" max="30" width="9.85546875" customWidth="1"/>
    <col min="31" max="31" width="8.7109375" customWidth="1"/>
    <col min="32" max="32" width="10.7109375" customWidth="1"/>
    <col min="33" max="33" width="9.5703125" customWidth="1"/>
    <col min="34" max="40" width="8.7109375" customWidth="1"/>
    <col min="41" max="41" width="9.7109375" customWidth="1"/>
    <col min="42" max="42" width="8.7109375" customWidth="1"/>
    <col min="43" max="43" width="10" customWidth="1"/>
    <col min="44" max="44" width="9.85546875" customWidth="1"/>
  </cols>
  <sheetData>
    <row r="1" spans="1:46" ht="15.75" thickBot="1" x14ac:dyDescent="0.3">
      <c r="A1" s="1048" t="s">
        <v>368</v>
      </c>
      <c r="B1" s="1048"/>
      <c r="C1" s="1048"/>
      <c r="D1" s="1048"/>
      <c r="E1" s="1048"/>
      <c r="F1" s="1048"/>
      <c r="G1" s="1048"/>
      <c r="H1" s="1048"/>
      <c r="I1" s="1048"/>
      <c r="J1" s="1048"/>
      <c r="K1" s="1048"/>
      <c r="L1" s="1048" t="s">
        <v>369</v>
      </c>
      <c r="M1" s="1048"/>
      <c r="N1" s="1048"/>
      <c r="O1" s="1048"/>
      <c r="P1" s="1048"/>
      <c r="Q1" s="1048"/>
      <c r="R1" s="1048"/>
      <c r="S1" s="1048"/>
      <c r="T1" s="1048"/>
      <c r="U1" s="1048"/>
      <c r="V1" s="1048"/>
      <c r="W1" s="1048" t="s">
        <v>370</v>
      </c>
      <c r="X1" s="1048"/>
      <c r="Y1" s="1048"/>
      <c r="Z1" s="1048"/>
      <c r="AA1" s="1048"/>
      <c r="AB1" s="1048"/>
      <c r="AC1" s="1048"/>
      <c r="AD1" s="1048"/>
      <c r="AE1" s="1048"/>
      <c r="AF1" s="1048"/>
      <c r="AG1" s="1048"/>
      <c r="AH1" s="1048" t="s">
        <v>371</v>
      </c>
      <c r="AI1" s="1048"/>
      <c r="AJ1" s="1048"/>
      <c r="AK1" s="1048"/>
      <c r="AL1" s="1048"/>
      <c r="AM1" s="1048"/>
      <c r="AN1" s="1048"/>
      <c r="AO1" s="1048"/>
      <c r="AP1" s="1048"/>
      <c r="AQ1" s="1048"/>
      <c r="AR1" s="1048"/>
    </row>
    <row r="2" spans="1:46" ht="15.75" thickBot="1" x14ac:dyDescent="0.3">
      <c r="A2" s="1049" t="s">
        <v>1188</v>
      </c>
      <c r="B2" s="1050"/>
      <c r="C2" s="1050"/>
      <c r="D2" s="1050"/>
      <c r="E2" s="1050"/>
      <c r="F2" s="1050"/>
      <c r="G2" s="1050"/>
      <c r="H2" s="1050"/>
      <c r="I2" s="1050"/>
      <c r="J2" s="1050"/>
      <c r="K2" s="1051"/>
      <c r="L2" s="1049" t="s">
        <v>1189</v>
      </c>
      <c r="M2" s="1050"/>
      <c r="N2" s="1050"/>
      <c r="O2" s="1050"/>
      <c r="P2" s="1050"/>
      <c r="Q2" s="1050"/>
      <c r="R2" s="1050"/>
      <c r="S2" s="1050"/>
      <c r="T2" s="1050"/>
      <c r="U2" s="1050"/>
      <c r="V2" s="1051"/>
      <c r="W2" s="1049" t="s">
        <v>1190</v>
      </c>
      <c r="X2" s="1050"/>
      <c r="Y2" s="1050"/>
      <c r="Z2" s="1050"/>
      <c r="AA2" s="1050"/>
      <c r="AB2" s="1050"/>
      <c r="AC2" s="1050"/>
      <c r="AD2" s="1050"/>
      <c r="AE2" s="1050"/>
      <c r="AF2" s="1050"/>
      <c r="AG2" s="1051"/>
      <c r="AH2" s="1052" t="s">
        <v>372</v>
      </c>
      <c r="AI2" s="1053"/>
      <c r="AJ2" s="1053"/>
      <c r="AK2" s="1053"/>
      <c r="AL2" s="1053"/>
      <c r="AM2" s="1053"/>
      <c r="AN2" s="1053"/>
      <c r="AO2" s="1053"/>
      <c r="AP2" s="1053"/>
      <c r="AQ2" s="1053"/>
      <c r="AR2" s="1054"/>
      <c r="AS2" s="5"/>
    </row>
    <row r="3" spans="1:46" ht="34.5" thickBot="1" x14ac:dyDescent="0.3">
      <c r="A3" s="378" t="s">
        <v>373</v>
      </c>
      <c r="B3" s="379" t="s">
        <v>374</v>
      </c>
      <c r="C3" s="380" t="s">
        <v>375</v>
      </c>
      <c r="D3" s="380" t="s">
        <v>376</v>
      </c>
      <c r="E3" s="380" t="s">
        <v>377</v>
      </c>
      <c r="F3" s="380" t="s">
        <v>378</v>
      </c>
      <c r="G3" s="381" t="s">
        <v>379</v>
      </c>
      <c r="H3" s="382" t="s">
        <v>380</v>
      </c>
      <c r="I3" s="380" t="s">
        <v>381</v>
      </c>
      <c r="J3" s="380" t="s">
        <v>382</v>
      </c>
      <c r="K3" s="383" t="s">
        <v>383</v>
      </c>
      <c r="L3" s="384" t="s">
        <v>373</v>
      </c>
      <c r="M3" s="385" t="s">
        <v>374</v>
      </c>
      <c r="N3" s="380" t="s">
        <v>375</v>
      </c>
      <c r="O3" s="380" t="s">
        <v>376</v>
      </c>
      <c r="P3" s="380" t="s">
        <v>377</v>
      </c>
      <c r="Q3" s="380" t="s">
        <v>378</v>
      </c>
      <c r="R3" s="386" t="s">
        <v>379</v>
      </c>
      <c r="S3" s="380" t="s">
        <v>380</v>
      </c>
      <c r="T3" s="380" t="s">
        <v>381</v>
      </c>
      <c r="U3" s="380" t="s">
        <v>382</v>
      </c>
      <c r="V3" s="383" t="s">
        <v>383</v>
      </c>
      <c r="W3" s="384" t="s">
        <v>373</v>
      </c>
      <c r="X3" s="387" t="s">
        <v>374</v>
      </c>
      <c r="Y3" s="380" t="s">
        <v>375</v>
      </c>
      <c r="Z3" s="380" t="s">
        <v>376</v>
      </c>
      <c r="AA3" s="380" t="s">
        <v>377</v>
      </c>
      <c r="AB3" s="380" t="s">
        <v>378</v>
      </c>
      <c r="AC3" s="380" t="s">
        <v>379</v>
      </c>
      <c r="AD3" s="388" t="s">
        <v>380</v>
      </c>
      <c r="AE3" s="380" t="s">
        <v>381</v>
      </c>
      <c r="AF3" s="380" t="s">
        <v>382</v>
      </c>
      <c r="AG3" s="383" t="s">
        <v>383</v>
      </c>
      <c r="AH3" s="389" t="s">
        <v>373</v>
      </c>
      <c r="AI3" s="390" t="s">
        <v>374</v>
      </c>
      <c r="AJ3" s="391" t="s">
        <v>375</v>
      </c>
      <c r="AK3" s="391" t="s">
        <v>376</v>
      </c>
      <c r="AL3" s="391" t="s">
        <v>377</v>
      </c>
      <c r="AM3" s="391" t="s">
        <v>378</v>
      </c>
      <c r="AN3" s="392" t="s">
        <v>379</v>
      </c>
      <c r="AO3" s="391" t="s">
        <v>380</v>
      </c>
      <c r="AP3" s="391" t="s">
        <v>381</v>
      </c>
      <c r="AQ3" s="391" t="s">
        <v>382</v>
      </c>
      <c r="AR3" s="393" t="s">
        <v>383</v>
      </c>
    </row>
    <row r="4" spans="1:46" ht="34.5" customHeight="1" x14ac:dyDescent="0.25">
      <c r="A4" s="404" t="s">
        <v>384</v>
      </c>
      <c r="B4" s="914">
        <f>'Cost Summary'!C38</f>
        <v>7840</v>
      </c>
      <c r="C4" s="915">
        <f>'A (Data Elements)'!C13*'A (Data Elements)'!C6</f>
        <v>784</v>
      </c>
      <c r="D4" s="915">
        <f>'A (Data Elements)'!C15*'A (Data Elements)'!C6</f>
        <v>39.20000000000001</v>
      </c>
      <c r="E4" s="915">
        <f>'A (Data Elements)'!C14*'A (Data Elements)'!C6</f>
        <v>78.40000000000002</v>
      </c>
      <c r="F4" s="915">
        <v>0</v>
      </c>
      <c r="G4" s="916">
        <f t="shared" ref="G4:G10" si="0">SUM(C4:F4)</f>
        <v>901.6</v>
      </c>
      <c r="H4" s="394">
        <f>'A (Data Elements)'!C23</f>
        <v>64133.072192000014</v>
      </c>
      <c r="I4" s="394">
        <v>0</v>
      </c>
      <c r="J4" s="394">
        <v>0</v>
      </c>
      <c r="K4" s="917">
        <f>SUM(H4:J4)</f>
        <v>64133.072192000014</v>
      </c>
      <c r="L4" s="405" t="s">
        <v>384</v>
      </c>
      <c r="M4" s="914">
        <f>B4</f>
        <v>7840</v>
      </c>
      <c r="N4" s="915">
        <f>C4</f>
        <v>784</v>
      </c>
      <c r="O4" s="915">
        <f>D4</f>
        <v>39.20000000000001</v>
      </c>
      <c r="P4" s="915">
        <f>E4</f>
        <v>78.40000000000002</v>
      </c>
      <c r="Q4" s="915">
        <v>0</v>
      </c>
      <c r="R4" s="916">
        <f t="shared" ref="R4:R10" si="1">SUM(N4:Q4)</f>
        <v>901.6</v>
      </c>
      <c r="S4" s="394">
        <f>H4</f>
        <v>64133.072192000014</v>
      </c>
      <c r="T4" s="394">
        <v>0</v>
      </c>
      <c r="U4" s="394">
        <v>0</v>
      </c>
      <c r="V4" s="917">
        <f t="shared" ref="V4" si="2">SUM(S4:U4)</f>
        <v>64133.072192000014</v>
      </c>
      <c r="W4" s="405" t="str">
        <f t="shared" ref="W4:AB5" si="3">L4</f>
        <v>A. General Provisions</v>
      </c>
      <c r="X4" s="914">
        <f t="shared" si="3"/>
        <v>7840</v>
      </c>
      <c r="Y4" s="915">
        <f t="shared" si="3"/>
        <v>784</v>
      </c>
      <c r="Z4" s="915">
        <f t="shared" si="3"/>
        <v>39.20000000000001</v>
      </c>
      <c r="AA4" s="915">
        <f t="shared" si="3"/>
        <v>78.40000000000002</v>
      </c>
      <c r="AB4" s="915">
        <f t="shared" si="3"/>
        <v>0</v>
      </c>
      <c r="AC4" s="915">
        <f t="shared" ref="AC4:AC23" si="4">SUM(Y4:AB4)</f>
        <v>901.6</v>
      </c>
      <c r="AD4" s="394">
        <f t="shared" ref="AD4:AF8" si="5">S4</f>
        <v>64133.072192000014</v>
      </c>
      <c r="AE4" s="394">
        <f t="shared" si="5"/>
        <v>0</v>
      </c>
      <c r="AF4" s="394">
        <f t="shared" si="5"/>
        <v>0</v>
      </c>
      <c r="AG4" s="917">
        <f t="shared" ref="AG4:AG5" si="6">SUM(AD4:AF4)</f>
        <v>64133.072192000014</v>
      </c>
      <c r="AH4" s="405" t="str">
        <f>W4</f>
        <v>A. General Provisions</v>
      </c>
      <c r="AI4" s="931">
        <f>X4</f>
        <v>7840</v>
      </c>
      <c r="AJ4" s="932">
        <f>(Y4+N4+C4)/3</f>
        <v>784</v>
      </c>
      <c r="AK4" s="932">
        <f>(Z4+O4+D4)/3</f>
        <v>39.20000000000001</v>
      </c>
      <c r="AL4" s="932">
        <f>(AA4+P4+E4)/3</f>
        <v>78.40000000000002</v>
      </c>
      <c r="AM4" s="932">
        <f>(AB4+Q4+F4)/3</f>
        <v>0</v>
      </c>
      <c r="AN4" s="932">
        <f>(G4+R4+AC4)/3</f>
        <v>901.6</v>
      </c>
      <c r="AO4" s="933">
        <f>(AD4+H4+S4)/3</f>
        <v>64133.072192000014</v>
      </c>
      <c r="AP4" s="933">
        <f>(AE4+T4+I4)/3</f>
        <v>0</v>
      </c>
      <c r="AQ4" s="933">
        <f>(AF4+U4+J4)/3</f>
        <v>0</v>
      </c>
      <c r="AR4" s="934">
        <f>(K4+V4+AG4)/3</f>
        <v>64133.072192000014</v>
      </c>
    </row>
    <row r="5" spans="1:46" ht="34.5" customHeight="1" x14ac:dyDescent="0.25">
      <c r="A5" s="404" t="s">
        <v>400</v>
      </c>
      <c r="B5" s="914">
        <f>'Cost Summary'!C39</f>
        <v>7840</v>
      </c>
      <c r="C5" s="915">
        <f>'B (New Subpart)'!G14*'B (New Subpart)'!B33</f>
        <v>94080</v>
      </c>
      <c r="D5" s="915">
        <f>'B (New Subpart)'!E14*'B (New Subpart)'!B33</f>
        <v>8624</v>
      </c>
      <c r="E5" s="915">
        <f>'B (New Subpart)'!I14*'B (New Subpart)'!B33</f>
        <v>17248</v>
      </c>
      <c r="F5" s="915">
        <f>'B (New Subpart)'!C14*'B (New Subpart)'!B33</f>
        <v>3920</v>
      </c>
      <c r="G5" s="916">
        <f t="shared" si="0"/>
        <v>123872</v>
      </c>
      <c r="H5" s="394">
        <f>'B (New Subpart)'!C33</f>
        <v>8771243.3614400011</v>
      </c>
      <c r="I5" s="394">
        <f>0</f>
        <v>0</v>
      </c>
      <c r="J5" s="394">
        <f>'B (New Subpart)'!G26*'B (New Subpart)'!B33</f>
        <v>489050.22026431718</v>
      </c>
      <c r="K5" s="917">
        <f>SUM(H5:J5)</f>
        <v>9260293.5817043185</v>
      </c>
      <c r="L5" s="405" t="str">
        <f t="shared" ref="L5:M7" si="7">A5</f>
        <v>B. Energy Consumption</v>
      </c>
      <c r="M5" s="918">
        <f t="shared" si="7"/>
        <v>7840</v>
      </c>
      <c r="N5" s="915">
        <f>'B (New Subpart)'!H14*'B (New Subpart)'!B33</f>
        <v>50960</v>
      </c>
      <c r="O5" s="915">
        <f>'B (New Subpart)'!F14*'B (New Subpart)'!B33</f>
        <v>5488</v>
      </c>
      <c r="P5" s="915">
        <f>'B (New Subpart)'!J14*'B (New Subpart)'!B33</f>
        <v>10192</v>
      </c>
      <c r="Q5" s="915">
        <f>'B (New Subpart)'!D14*'B (New Subpart)'!B33</f>
        <v>784</v>
      </c>
      <c r="R5" s="916">
        <f t="shared" si="1"/>
        <v>67424</v>
      </c>
      <c r="S5" s="919">
        <f>'B (New Subpart)'!D33</f>
        <v>4700876.56752</v>
      </c>
      <c r="T5" s="394">
        <f>'B (New Subpart)'!E24</f>
        <v>0</v>
      </c>
      <c r="U5" s="394">
        <f>'B (New Subpart)'!H26*'B (New Subpart)'!B33</f>
        <v>489050.22026431718</v>
      </c>
      <c r="V5" s="917">
        <f>SUM(S5:U5)</f>
        <v>5189926.7877843175</v>
      </c>
      <c r="W5" s="405" t="str">
        <f t="shared" si="3"/>
        <v>B. Energy Consumption</v>
      </c>
      <c r="X5" s="926">
        <f t="shared" si="3"/>
        <v>7840</v>
      </c>
      <c r="Y5" s="927">
        <f t="shared" si="3"/>
        <v>50960</v>
      </c>
      <c r="Z5" s="927">
        <f t="shared" si="3"/>
        <v>5488</v>
      </c>
      <c r="AA5" s="927">
        <f t="shared" si="3"/>
        <v>10192</v>
      </c>
      <c r="AB5" s="927">
        <f t="shared" si="3"/>
        <v>784</v>
      </c>
      <c r="AC5" s="915">
        <f t="shared" si="4"/>
        <v>67424</v>
      </c>
      <c r="AD5" s="928">
        <f t="shared" si="5"/>
        <v>4700876.56752</v>
      </c>
      <c r="AE5" s="928">
        <f t="shared" si="5"/>
        <v>0</v>
      </c>
      <c r="AF5" s="928">
        <f t="shared" si="5"/>
        <v>489050.22026431718</v>
      </c>
      <c r="AG5" s="917">
        <f t="shared" si="6"/>
        <v>5189926.7877843175</v>
      </c>
      <c r="AH5" s="405" t="str">
        <f>W5</f>
        <v>B. Energy Consumption</v>
      </c>
      <c r="AI5" s="931">
        <f>X5</f>
        <v>7840</v>
      </c>
      <c r="AJ5" s="932">
        <f t="shared" ref="AJ5:AJ27" si="8">(Y5+N5+C5)/3</f>
        <v>65333.333333333336</v>
      </c>
      <c r="AK5" s="932">
        <f t="shared" ref="AK5:AK28" si="9">(Z5+O5+D5)/3</f>
        <v>6533.333333333333</v>
      </c>
      <c r="AL5" s="932">
        <f t="shared" ref="AL5:AL28" si="10">(AA5+P5+E5)/3</f>
        <v>12544</v>
      </c>
      <c r="AM5" s="932">
        <f t="shared" ref="AM5:AM28" si="11">(AB5+Q5+F5)/3</f>
        <v>1829.3333333333333</v>
      </c>
      <c r="AN5" s="932">
        <f t="shared" ref="AN5:AN28" si="12">(G5+R5+AC5)/3</f>
        <v>86240</v>
      </c>
      <c r="AO5" s="933">
        <f t="shared" ref="AO5:AO28" si="13">(AD5+H5+S5)/3</f>
        <v>6057665.4988266677</v>
      </c>
      <c r="AP5" s="933">
        <f t="shared" ref="AP5:AP28" si="14">(AE5+T5+I5)/3</f>
        <v>0</v>
      </c>
      <c r="AQ5" s="933">
        <f t="shared" ref="AQ5:AQ28" si="15">(AF5+U5+J5)/3</f>
        <v>489050.22026431718</v>
      </c>
      <c r="AR5" s="934">
        <f t="shared" ref="AR5:AR14" si="16">(K5+V5+AG5)/3</f>
        <v>6546715.7190909842</v>
      </c>
    </row>
    <row r="6" spans="1:46" ht="68.25" x14ac:dyDescent="0.25">
      <c r="A6" s="404" t="s">
        <v>385</v>
      </c>
      <c r="B6" s="914">
        <f>'Cost Summary'!C40</f>
        <v>346</v>
      </c>
      <c r="C6" s="915">
        <f>'C (Data Elements)'!C13*'C (Data Elements)'!C6</f>
        <v>121.10000000000001</v>
      </c>
      <c r="D6" s="915">
        <f>'C (Data Elements)'!C15*'C (Data Elements)'!C6</f>
        <v>6.0550000000000006</v>
      </c>
      <c r="E6" s="915">
        <f>'C (Data Elements)'!C14*'C (Data Elements)'!C6</f>
        <v>12.110000000000001</v>
      </c>
      <c r="F6" s="915">
        <f>0</f>
        <v>0</v>
      </c>
      <c r="G6" s="915">
        <f t="shared" si="0"/>
        <v>139.26500000000001</v>
      </c>
      <c r="H6" s="394">
        <f>'C (Data Elements)'!C23</f>
        <v>9906.2691868000002</v>
      </c>
      <c r="I6" s="394">
        <f>0</f>
        <v>0</v>
      </c>
      <c r="J6" s="394">
        <f>0</f>
        <v>0</v>
      </c>
      <c r="K6" s="917">
        <f>SUM(H6:J6)</f>
        <v>9906.2691868000002</v>
      </c>
      <c r="L6" s="405" t="str">
        <f t="shared" si="7"/>
        <v>C. Stationary Combustion (general unspecified)</v>
      </c>
      <c r="M6" s="920">
        <f t="shared" si="7"/>
        <v>346</v>
      </c>
      <c r="N6" s="915">
        <f t="shared" ref="N6:P10" si="17">C6</f>
        <v>121.10000000000001</v>
      </c>
      <c r="O6" s="915">
        <f t="shared" si="17"/>
        <v>6.0550000000000006</v>
      </c>
      <c r="P6" s="915">
        <f t="shared" si="17"/>
        <v>12.110000000000001</v>
      </c>
      <c r="Q6" s="915">
        <v>0</v>
      </c>
      <c r="R6" s="915">
        <f t="shared" si="1"/>
        <v>139.26500000000001</v>
      </c>
      <c r="S6" s="394">
        <f>H6</f>
        <v>9906.2691868000002</v>
      </c>
      <c r="T6" s="394">
        <v>0</v>
      </c>
      <c r="U6" s="394">
        <v>0</v>
      </c>
      <c r="V6" s="917">
        <f t="shared" ref="V6" si="18">SUM(S6:U6)</f>
        <v>9906.2691868000002</v>
      </c>
      <c r="W6" s="405" t="str">
        <f t="shared" ref="W6:W28" si="19">L6</f>
        <v>C. Stationary Combustion (general unspecified)</v>
      </c>
      <c r="X6" s="926">
        <f t="shared" ref="X6:AB8" si="20">M6</f>
        <v>346</v>
      </c>
      <c r="Y6" s="927">
        <f t="shared" si="20"/>
        <v>121.10000000000001</v>
      </c>
      <c r="Z6" s="927">
        <f t="shared" si="20"/>
        <v>6.0550000000000006</v>
      </c>
      <c r="AA6" s="927">
        <f t="shared" si="20"/>
        <v>12.110000000000001</v>
      </c>
      <c r="AB6" s="927">
        <f t="shared" si="20"/>
        <v>0</v>
      </c>
      <c r="AC6" s="915">
        <f t="shared" ref="AC6" si="21">SUM(Y6:AB6)</f>
        <v>139.26500000000001</v>
      </c>
      <c r="AD6" s="928">
        <f t="shared" si="5"/>
        <v>9906.2691868000002</v>
      </c>
      <c r="AE6" s="928">
        <f t="shared" si="5"/>
        <v>0</v>
      </c>
      <c r="AF6" s="928">
        <f t="shared" si="5"/>
        <v>0</v>
      </c>
      <c r="AG6" s="917">
        <f t="shared" ref="AG6" si="22">SUM(AD6:AF6)</f>
        <v>9906.2691868000002</v>
      </c>
      <c r="AH6" s="405" t="str">
        <f t="shared" ref="AH6:AH28" si="23">W6</f>
        <v>C. Stationary Combustion (general unspecified)</v>
      </c>
      <c r="AI6" s="931">
        <f t="shared" ref="AI6:AI29" si="24">X6</f>
        <v>346</v>
      </c>
      <c r="AJ6" s="932">
        <f t="shared" si="8"/>
        <v>121.10000000000001</v>
      </c>
      <c r="AK6" s="932">
        <f t="shared" si="9"/>
        <v>6.0550000000000006</v>
      </c>
      <c r="AL6" s="932">
        <f t="shared" si="10"/>
        <v>12.110000000000001</v>
      </c>
      <c r="AM6" s="932">
        <f t="shared" si="11"/>
        <v>0</v>
      </c>
      <c r="AN6" s="932">
        <f t="shared" si="12"/>
        <v>139.26500000000001</v>
      </c>
      <c r="AO6" s="933">
        <f t="shared" si="13"/>
        <v>9906.2691868000002</v>
      </c>
      <c r="AP6" s="933">
        <f t="shared" si="14"/>
        <v>0</v>
      </c>
      <c r="AQ6" s="933">
        <f t="shared" si="15"/>
        <v>0</v>
      </c>
      <c r="AR6" s="934">
        <f t="shared" ref="AR6" si="25">(K6+V6+AG6)/3</f>
        <v>9906.2691868000002</v>
      </c>
    </row>
    <row r="7" spans="1:46" ht="34.5" x14ac:dyDescent="0.25">
      <c r="A7" s="404" t="s">
        <v>401</v>
      </c>
      <c r="B7" s="914">
        <f>'Cost Summary'!C41</f>
        <v>7</v>
      </c>
      <c r="C7" s="915">
        <f>'F (Data Elements)'!C13*'F (Data Elements)'!C6</f>
        <v>0.70000000000000007</v>
      </c>
      <c r="D7" s="915">
        <f>'F (Data Elements)'!C15*'F (Data Elements)'!C6</f>
        <v>3.5000000000000003E-2</v>
      </c>
      <c r="E7" s="915">
        <f>'F (Data Elements)'!C14*'F (Data Elements)'!C6</f>
        <v>7.0000000000000007E-2</v>
      </c>
      <c r="F7" s="915">
        <f>0</f>
        <v>0</v>
      </c>
      <c r="G7" s="915">
        <f t="shared" si="0"/>
        <v>0.80500000000000016</v>
      </c>
      <c r="H7" s="394">
        <f>'F (Data Elements)'!C23</f>
        <v>57.261671600000014</v>
      </c>
      <c r="I7" s="394">
        <f>0</f>
        <v>0</v>
      </c>
      <c r="J7" s="394">
        <f>0</f>
        <v>0</v>
      </c>
      <c r="K7" s="917">
        <f>SUM(H7:J7)</f>
        <v>57.261671600000014</v>
      </c>
      <c r="L7" s="405" t="str">
        <f t="shared" si="7"/>
        <v>F. Aluminum Production</v>
      </c>
      <c r="M7" s="920">
        <f t="shared" si="7"/>
        <v>7</v>
      </c>
      <c r="N7" s="915">
        <f t="shared" si="17"/>
        <v>0.70000000000000007</v>
      </c>
      <c r="O7" s="915">
        <f t="shared" si="17"/>
        <v>3.5000000000000003E-2</v>
      </c>
      <c r="P7" s="915">
        <f t="shared" si="17"/>
        <v>7.0000000000000007E-2</v>
      </c>
      <c r="Q7" s="915">
        <v>0</v>
      </c>
      <c r="R7" s="915">
        <f t="shared" si="1"/>
        <v>0.80500000000000016</v>
      </c>
      <c r="S7" s="394">
        <f>H7</f>
        <v>57.261671600000014</v>
      </c>
      <c r="T7" s="394">
        <v>0</v>
      </c>
      <c r="U7" s="394">
        <v>0</v>
      </c>
      <c r="V7" s="917">
        <f t="shared" ref="V7" si="26">SUM(S7:U7)</f>
        <v>57.261671600000014</v>
      </c>
      <c r="W7" s="405" t="str">
        <f t="shared" si="19"/>
        <v>F. Aluminum Production</v>
      </c>
      <c r="X7" s="926">
        <f t="shared" si="20"/>
        <v>7</v>
      </c>
      <c r="Y7" s="927">
        <f t="shared" si="20"/>
        <v>0.70000000000000007</v>
      </c>
      <c r="Z7" s="927">
        <f t="shared" si="20"/>
        <v>3.5000000000000003E-2</v>
      </c>
      <c r="AA7" s="927">
        <f t="shared" si="20"/>
        <v>7.0000000000000007E-2</v>
      </c>
      <c r="AB7" s="927">
        <f t="shared" si="20"/>
        <v>0</v>
      </c>
      <c r="AC7" s="915">
        <f t="shared" ref="AC7" si="27">SUM(Y7:AB7)</f>
        <v>0.80500000000000016</v>
      </c>
      <c r="AD7" s="928">
        <f t="shared" si="5"/>
        <v>57.261671600000014</v>
      </c>
      <c r="AE7" s="928">
        <f t="shared" si="5"/>
        <v>0</v>
      </c>
      <c r="AF7" s="928">
        <f t="shared" si="5"/>
        <v>0</v>
      </c>
      <c r="AG7" s="917">
        <f t="shared" ref="AG7" si="28">SUM(AD7:AF7)</f>
        <v>57.261671600000014</v>
      </c>
      <c r="AH7" s="405" t="str">
        <f t="shared" si="23"/>
        <v>F. Aluminum Production</v>
      </c>
      <c r="AI7" s="931">
        <f t="shared" si="24"/>
        <v>7</v>
      </c>
      <c r="AJ7" s="932">
        <f t="shared" si="8"/>
        <v>0.70000000000000007</v>
      </c>
      <c r="AK7" s="932">
        <f t="shared" si="9"/>
        <v>3.5000000000000003E-2</v>
      </c>
      <c r="AL7" s="932">
        <f t="shared" si="10"/>
        <v>7.0000000000000007E-2</v>
      </c>
      <c r="AM7" s="932">
        <f t="shared" si="11"/>
        <v>0</v>
      </c>
      <c r="AN7" s="932">
        <f t="shared" si="12"/>
        <v>0.80500000000000016</v>
      </c>
      <c r="AO7" s="933">
        <f t="shared" si="13"/>
        <v>57.261671600000021</v>
      </c>
      <c r="AP7" s="933">
        <f t="shared" si="14"/>
        <v>0</v>
      </c>
      <c r="AQ7" s="933">
        <f t="shared" si="15"/>
        <v>0</v>
      </c>
      <c r="AR7" s="934">
        <f t="shared" ref="AR7" si="29">(K7+V7+AG7)/3</f>
        <v>57.261671600000021</v>
      </c>
    </row>
    <row r="8" spans="1:46" ht="45.75" x14ac:dyDescent="0.25">
      <c r="A8" s="404" t="s">
        <v>386</v>
      </c>
      <c r="B8" s="914">
        <f>'Cost Summary'!C42</f>
        <v>29</v>
      </c>
      <c r="C8" s="921">
        <f>'G (Data Elements)'!C13*'G (Data Elements)'!C6</f>
        <v>1.4500000000000002</v>
      </c>
      <c r="D8" s="916">
        <f>'G (Data Elements)'!C15*'G (Data Elements)'!C6</f>
        <v>7.2500000000000009E-2</v>
      </c>
      <c r="E8" s="916">
        <f>'G (Data Elements)'!C14*'G (Data Elements)'!C6</f>
        <v>0.14500000000000002</v>
      </c>
      <c r="F8" s="915">
        <v>0</v>
      </c>
      <c r="G8" s="921">
        <f>SUM(C8:F8)</f>
        <v>1.6675000000000002</v>
      </c>
      <c r="H8" s="394">
        <f>'G (Data Elements)'!C23</f>
        <v>118.61346260000002</v>
      </c>
      <c r="I8" s="394">
        <v>0</v>
      </c>
      <c r="J8" s="394">
        <v>0</v>
      </c>
      <c r="K8" s="917">
        <f t="shared" ref="K8" si="30">SUM(H8:J8)</f>
        <v>118.61346260000002</v>
      </c>
      <c r="L8" s="405" t="str">
        <f t="shared" ref="L8:L28" si="31">A8</f>
        <v>G. Ammonia Manufacturing</v>
      </c>
      <c r="M8" s="920">
        <f>B8</f>
        <v>29</v>
      </c>
      <c r="N8" s="915">
        <f t="shared" si="17"/>
        <v>1.4500000000000002</v>
      </c>
      <c r="O8" s="915">
        <f t="shared" si="17"/>
        <v>7.2500000000000009E-2</v>
      </c>
      <c r="P8" s="915">
        <f t="shared" si="17"/>
        <v>0.14500000000000002</v>
      </c>
      <c r="Q8" s="915">
        <v>0</v>
      </c>
      <c r="R8" s="915">
        <f t="shared" si="1"/>
        <v>1.6675000000000002</v>
      </c>
      <c r="S8" s="394">
        <f>H8</f>
        <v>118.61346260000002</v>
      </c>
      <c r="T8" s="394">
        <v>0</v>
      </c>
      <c r="U8" s="394">
        <v>0</v>
      </c>
      <c r="V8" s="917">
        <f t="shared" ref="V8" si="32">SUM(S8:U8)</f>
        <v>118.61346260000002</v>
      </c>
      <c r="W8" s="405" t="str">
        <f t="shared" si="19"/>
        <v>G. Ammonia Manufacturing</v>
      </c>
      <c r="X8" s="926">
        <f t="shared" si="20"/>
        <v>29</v>
      </c>
      <c r="Y8" s="927">
        <f t="shared" si="20"/>
        <v>1.4500000000000002</v>
      </c>
      <c r="Z8" s="927">
        <f t="shared" si="20"/>
        <v>7.2500000000000009E-2</v>
      </c>
      <c r="AA8" s="927">
        <f t="shared" si="20"/>
        <v>0.14500000000000002</v>
      </c>
      <c r="AB8" s="927">
        <f t="shared" si="20"/>
        <v>0</v>
      </c>
      <c r="AC8" s="915">
        <f t="shared" ref="AC8" si="33">SUM(Y8:AB8)</f>
        <v>1.6675000000000002</v>
      </c>
      <c r="AD8" s="928">
        <f t="shared" si="5"/>
        <v>118.61346260000002</v>
      </c>
      <c r="AE8" s="928">
        <f t="shared" si="5"/>
        <v>0</v>
      </c>
      <c r="AF8" s="928">
        <f t="shared" si="5"/>
        <v>0</v>
      </c>
      <c r="AG8" s="917">
        <f t="shared" ref="AG8" si="34">SUM(AD8:AF8)</f>
        <v>118.61346260000002</v>
      </c>
      <c r="AH8" s="405" t="str">
        <f t="shared" si="23"/>
        <v>G. Ammonia Manufacturing</v>
      </c>
      <c r="AI8" s="931">
        <f t="shared" si="24"/>
        <v>29</v>
      </c>
      <c r="AJ8" s="932">
        <f t="shared" si="8"/>
        <v>1.4500000000000002</v>
      </c>
      <c r="AK8" s="932">
        <f t="shared" si="9"/>
        <v>7.2500000000000009E-2</v>
      </c>
      <c r="AL8" s="932">
        <f t="shared" si="10"/>
        <v>0.14500000000000002</v>
      </c>
      <c r="AM8" s="932">
        <f t="shared" si="11"/>
        <v>0</v>
      </c>
      <c r="AN8" s="932">
        <f t="shared" si="12"/>
        <v>1.6675000000000002</v>
      </c>
      <c r="AO8" s="933">
        <f t="shared" si="13"/>
        <v>118.61346260000001</v>
      </c>
      <c r="AP8" s="933">
        <f t="shared" si="14"/>
        <v>0</v>
      </c>
      <c r="AQ8" s="933">
        <f t="shared" si="15"/>
        <v>0</v>
      </c>
      <c r="AR8" s="934">
        <f t="shared" ref="AR8" si="35">(K8+V8+AG8)/3</f>
        <v>118.61346260000001</v>
      </c>
    </row>
    <row r="9" spans="1:46" ht="45.75" x14ac:dyDescent="0.25">
      <c r="A9" s="404" t="s">
        <v>387</v>
      </c>
      <c r="B9" s="914">
        <f>'Cost Summary'!C43</f>
        <v>46</v>
      </c>
      <c r="C9" s="915">
        <v>0</v>
      </c>
      <c r="D9" s="915">
        <v>0</v>
      </c>
      <c r="E9" s="915">
        <v>0</v>
      </c>
      <c r="F9" s="915">
        <v>0</v>
      </c>
      <c r="G9" s="915">
        <f t="shared" si="0"/>
        <v>0</v>
      </c>
      <c r="H9" s="915">
        <v>0</v>
      </c>
      <c r="I9" s="394">
        <v>0</v>
      </c>
      <c r="J9" s="394">
        <v>0</v>
      </c>
      <c r="K9" s="917">
        <f>SUM(H9:J9)</f>
        <v>0</v>
      </c>
      <c r="L9" s="405" t="str">
        <f t="shared" si="31"/>
        <v>I. Electronics Manufacturing</v>
      </c>
      <c r="M9" s="920">
        <f>B9</f>
        <v>46</v>
      </c>
      <c r="N9" s="915">
        <f t="shared" si="17"/>
        <v>0</v>
      </c>
      <c r="O9" s="915">
        <f t="shared" si="17"/>
        <v>0</v>
      </c>
      <c r="P9" s="915">
        <f t="shared" si="17"/>
        <v>0</v>
      </c>
      <c r="Q9" s="915">
        <v>0</v>
      </c>
      <c r="R9" s="915">
        <f t="shared" si="1"/>
        <v>0</v>
      </c>
      <c r="S9" s="394">
        <f>H9</f>
        <v>0</v>
      </c>
      <c r="T9" s="394">
        <v>0</v>
      </c>
      <c r="U9" s="394">
        <v>0</v>
      </c>
      <c r="V9" s="917">
        <f t="shared" ref="V9" si="36">SUM(S9:U9)</f>
        <v>0</v>
      </c>
      <c r="W9" s="405" t="str">
        <f t="shared" si="19"/>
        <v>I. Electronics Manufacturing</v>
      </c>
      <c r="X9" s="920">
        <f t="shared" ref="X9:X21" si="37">M9</f>
        <v>46</v>
      </c>
      <c r="Y9" s="927">
        <f t="shared" ref="Y9:Y10" si="38">N9</f>
        <v>0</v>
      </c>
      <c r="Z9" s="927">
        <f t="shared" ref="Z9:Z10" si="39">O9</f>
        <v>0</v>
      </c>
      <c r="AA9" s="927">
        <f t="shared" ref="AA9:AA10" si="40">P9</f>
        <v>0</v>
      </c>
      <c r="AB9" s="927">
        <f t="shared" ref="AB9:AB10" si="41">Q9</f>
        <v>0</v>
      </c>
      <c r="AC9" s="915">
        <f t="shared" ref="AC9:AC10" si="42">SUM(Y9:AB9)</f>
        <v>0</v>
      </c>
      <c r="AD9" s="928">
        <f t="shared" ref="AD9:AD10" si="43">S9</f>
        <v>0</v>
      </c>
      <c r="AE9" s="928">
        <f t="shared" ref="AE9:AE10" si="44">T9</f>
        <v>0</v>
      </c>
      <c r="AF9" s="928">
        <f t="shared" ref="AF9:AF10" si="45">U9</f>
        <v>0</v>
      </c>
      <c r="AG9" s="917">
        <f t="shared" ref="AG9:AG10" si="46">SUM(AD9:AF9)</f>
        <v>0</v>
      </c>
      <c r="AH9" s="405" t="str">
        <f t="shared" si="23"/>
        <v>I. Electronics Manufacturing</v>
      </c>
      <c r="AI9" s="931">
        <f t="shared" si="24"/>
        <v>46</v>
      </c>
      <c r="AJ9" s="932">
        <f t="shared" si="8"/>
        <v>0</v>
      </c>
      <c r="AK9" s="932">
        <f t="shared" si="9"/>
        <v>0</v>
      </c>
      <c r="AL9" s="932">
        <f t="shared" si="10"/>
        <v>0</v>
      </c>
      <c r="AM9" s="932">
        <f t="shared" si="11"/>
        <v>0</v>
      </c>
      <c r="AN9" s="932">
        <f t="shared" si="12"/>
        <v>0</v>
      </c>
      <c r="AO9" s="933">
        <f t="shared" si="13"/>
        <v>0</v>
      </c>
      <c r="AP9" s="933">
        <f t="shared" si="14"/>
        <v>0</v>
      </c>
      <c r="AQ9" s="933">
        <f t="shared" si="15"/>
        <v>0</v>
      </c>
      <c r="AR9" s="934">
        <f t="shared" ref="AR9" si="47">(K9+V9+AG9)/3</f>
        <v>0</v>
      </c>
    </row>
    <row r="10" spans="1:46" ht="23.25" x14ac:dyDescent="0.25">
      <c r="A10" s="406" t="s">
        <v>388</v>
      </c>
      <c r="B10" s="914">
        <f>'Cost Summary'!C44</f>
        <v>100</v>
      </c>
      <c r="C10" s="915">
        <f>'N (Data Elements)'!C13*'N (Data Elements)'!C6</f>
        <v>15.000000000000002</v>
      </c>
      <c r="D10" s="921">
        <f>'N (Data Elements)'!C15*'N (Data Elements)'!C6</f>
        <v>0.75000000000000011</v>
      </c>
      <c r="E10" s="921">
        <f>'N (Data Elements)'!C15*'N (Data Elements)'!C6</f>
        <v>0.75000000000000011</v>
      </c>
      <c r="F10" s="915">
        <v>0</v>
      </c>
      <c r="G10" s="915">
        <f t="shared" si="0"/>
        <v>16.500000000000004</v>
      </c>
      <c r="H10" s="394">
        <f>'N (Data Elements)'!C23</f>
        <v>1227.0358200000001</v>
      </c>
      <c r="I10" s="394">
        <v>0</v>
      </c>
      <c r="J10" s="394">
        <v>0</v>
      </c>
      <c r="K10" s="917">
        <f t="shared" ref="K10:K28" si="48">SUM(H10:J10)</f>
        <v>1227.0358200000001</v>
      </c>
      <c r="L10" s="405" t="str">
        <f t="shared" si="31"/>
        <v>N. Glass Production</v>
      </c>
      <c r="M10" s="920">
        <f>B10</f>
        <v>100</v>
      </c>
      <c r="N10" s="915">
        <f t="shared" si="17"/>
        <v>15.000000000000002</v>
      </c>
      <c r="O10" s="915">
        <f t="shared" si="17"/>
        <v>0.75000000000000011</v>
      </c>
      <c r="P10" s="915">
        <f t="shared" si="17"/>
        <v>0.75000000000000011</v>
      </c>
      <c r="Q10" s="915">
        <v>0</v>
      </c>
      <c r="R10" s="915">
        <f t="shared" si="1"/>
        <v>16.500000000000004</v>
      </c>
      <c r="S10" s="394">
        <f>H10</f>
        <v>1227.0358200000001</v>
      </c>
      <c r="T10" s="394">
        <v>0</v>
      </c>
      <c r="U10" s="394">
        <v>0</v>
      </c>
      <c r="V10" s="917">
        <f t="shared" ref="V10" si="49">SUM(S10:U10)</f>
        <v>1227.0358200000001</v>
      </c>
      <c r="W10" s="405" t="str">
        <f t="shared" si="19"/>
        <v>N. Glass Production</v>
      </c>
      <c r="X10" s="920">
        <f t="shared" si="37"/>
        <v>100</v>
      </c>
      <c r="Y10" s="927">
        <f t="shared" si="38"/>
        <v>15.000000000000002</v>
      </c>
      <c r="Z10" s="927">
        <f t="shared" si="39"/>
        <v>0.75000000000000011</v>
      </c>
      <c r="AA10" s="927">
        <f t="shared" si="40"/>
        <v>0.75000000000000011</v>
      </c>
      <c r="AB10" s="927">
        <f t="shared" si="41"/>
        <v>0</v>
      </c>
      <c r="AC10" s="915">
        <f t="shared" si="42"/>
        <v>16.500000000000004</v>
      </c>
      <c r="AD10" s="928">
        <f t="shared" si="43"/>
        <v>1227.0358200000001</v>
      </c>
      <c r="AE10" s="928">
        <f t="shared" si="44"/>
        <v>0</v>
      </c>
      <c r="AF10" s="928">
        <f t="shared" si="45"/>
        <v>0</v>
      </c>
      <c r="AG10" s="917">
        <f t="shared" si="46"/>
        <v>1227.0358200000001</v>
      </c>
      <c r="AH10" s="405" t="str">
        <f t="shared" si="23"/>
        <v>N. Glass Production</v>
      </c>
      <c r="AI10" s="931">
        <f t="shared" si="24"/>
        <v>100</v>
      </c>
      <c r="AJ10" s="932">
        <f t="shared" si="8"/>
        <v>15.000000000000002</v>
      </c>
      <c r="AK10" s="932">
        <f t="shared" si="9"/>
        <v>0.75000000000000011</v>
      </c>
      <c r="AL10" s="932">
        <f t="shared" si="10"/>
        <v>0.75000000000000011</v>
      </c>
      <c r="AM10" s="932">
        <f t="shared" si="11"/>
        <v>0</v>
      </c>
      <c r="AN10" s="932">
        <f t="shared" si="12"/>
        <v>16.500000000000004</v>
      </c>
      <c r="AO10" s="933">
        <f t="shared" si="13"/>
        <v>1227.0358200000001</v>
      </c>
      <c r="AP10" s="933">
        <f t="shared" si="14"/>
        <v>0</v>
      </c>
      <c r="AQ10" s="933">
        <f t="shared" si="15"/>
        <v>0</v>
      </c>
      <c r="AR10" s="934">
        <f t="shared" ref="AR10" si="50">(K10+V10+AG10)/3</f>
        <v>1227.0358200000001</v>
      </c>
    </row>
    <row r="11" spans="1:46" ht="34.5" x14ac:dyDescent="0.25">
      <c r="A11" s="404" t="s">
        <v>389</v>
      </c>
      <c r="B11" s="914">
        <f>'Cost Summary'!C45</f>
        <v>116</v>
      </c>
      <c r="C11" s="915">
        <f>'P (Data Elements)'!D13*'P (Data Elements)'!D6+'P (Data Elements)'!E13*'P (Data Elements)'!E6+'Subpart P (Applicability)'!G15*'Subpart P (Applicability)'!B35</f>
        <v>84.9</v>
      </c>
      <c r="D11" s="921">
        <f>'P (Data Elements)'!D15*'P (Data Elements)'!D6+'P (Data Elements)'!E15*'P (Data Elements)'!E6+'Subpart P (Applicability)'!E15*'Subpart P (Applicability)'!B35</f>
        <v>6.4450000000000003</v>
      </c>
      <c r="E11" s="921">
        <f>'P (Data Elements)'!E14*'P (Data Elements)'!E6+'P (Data Elements)'!D14*'P (Data Elements)'!D6+'Subpart P (Applicability)'!I15*'Subpart P (Applicability)'!B35</f>
        <v>8.490000000000002</v>
      </c>
      <c r="F11" s="916">
        <v>0</v>
      </c>
      <c r="G11" s="915">
        <f>SUM(C11:F11)</f>
        <v>99.835000000000008</v>
      </c>
      <c r="H11" s="394">
        <f>'P (Data Elements)'!D23+'P (Data Elements)'!E23+'Subpart P (Applicability)'!C35</f>
        <v>7178.6644731999995</v>
      </c>
      <c r="I11" s="394">
        <f>'Subpart P (Applicability)'!E25</f>
        <v>0</v>
      </c>
      <c r="J11" s="394">
        <f>'Subpart P (Applicability)'!F35</f>
        <v>2240.6484581497798</v>
      </c>
      <c r="K11" s="917">
        <f>SUM(H11:J11)</f>
        <v>9419.3129313497793</v>
      </c>
      <c r="L11" s="405" t="str">
        <f t="shared" si="31"/>
        <v>P. Hydrogen Production</v>
      </c>
      <c r="M11" s="920">
        <f>B11</f>
        <v>116</v>
      </c>
      <c r="N11" s="915">
        <f>'P (Data Elements)'!D13*'P (Data Elements)'!D6+'P (Data Elements)'!E13*'P (Data Elements)'!E6+'Subpart P (Applicability)'!H15*'Subpart P (Applicability)'!B35</f>
        <v>84.9</v>
      </c>
      <c r="O11" s="921">
        <f>'P (Data Elements)'!D15*'P (Data Elements)'!D6+'P (Data Elements)'!E15*'P (Data Elements)'!E6+'Subpart P (Applicability)'!F15*'Subpart P (Applicability)'!B35</f>
        <v>6.4450000000000003</v>
      </c>
      <c r="P11" s="921">
        <f>'P (Data Elements)'!E14*'P (Data Elements)'!E6+'P (Data Elements)'!D14*'P (Data Elements)'!D6+'Subpart P (Applicability)'!J15*'Subpart P (Applicability)'!B35</f>
        <v>8.490000000000002</v>
      </c>
      <c r="Q11" s="915">
        <f>'Subpart P (Applicability)'!C15</f>
        <v>0</v>
      </c>
      <c r="R11" s="915">
        <f t="shared" ref="R11:R14" si="51">SUM(N11:Q11)</f>
        <v>99.835000000000008</v>
      </c>
      <c r="S11" s="394">
        <f>'P (Data Elements)'!D23+'P (Data Elements)'!E23+'Subpart P (Applicability)'!D35</f>
        <v>7178.6644731999995</v>
      </c>
      <c r="T11" s="394">
        <f>'Subpart P (Applicability)'!E25</f>
        <v>0</v>
      </c>
      <c r="U11" s="394">
        <f>'Subpart P (Applicability)'!G35</f>
        <v>4481.2969162995596</v>
      </c>
      <c r="V11" s="917">
        <f>SUM(S11:U11)</f>
        <v>11659.96138949956</v>
      </c>
      <c r="W11" s="405" t="str">
        <f t="shared" si="19"/>
        <v>P. Hydrogen Production</v>
      </c>
      <c r="X11" s="920">
        <f t="shared" si="37"/>
        <v>116</v>
      </c>
      <c r="Y11" s="927">
        <f t="shared" ref="Y11" si="52">N11</f>
        <v>84.9</v>
      </c>
      <c r="Z11" s="927">
        <f t="shared" ref="Z11" si="53">O11</f>
        <v>6.4450000000000003</v>
      </c>
      <c r="AA11" s="927">
        <f t="shared" ref="AA11" si="54">P11</f>
        <v>8.490000000000002</v>
      </c>
      <c r="AB11" s="927">
        <f t="shared" ref="AB11" si="55">Q11</f>
        <v>0</v>
      </c>
      <c r="AC11" s="915">
        <f t="shared" si="4"/>
        <v>99.835000000000008</v>
      </c>
      <c r="AD11" s="928">
        <f t="shared" ref="AD11" si="56">S11</f>
        <v>7178.6644731999995</v>
      </c>
      <c r="AE11" s="928">
        <f t="shared" ref="AE11" si="57">T11</f>
        <v>0</v>
      </c>
      <c r="AF11" s="928">
        <f t="shared" ref="AF11" si="58">U11</f>
        <v>4481.2969162995596</v>
      </c>
      <c r="AG11" s="917">
        <f t="shared" ref="AG11" si="59">SUM(AD11:AF11)</f>
        <v>11659.96138949956</v>
      </c>
      <c r="AH11" s="405" t="str">
        <f t="shared" si="23"/>
        <v>P. Hydrogen Production</v>
      </c>
      <c r="AI11" s="931">
        <f t="shared" si="24"/>
        <v>116</v>
      </c>
      <c r="AJ11" s="932">
        <f t="shared" si="8"/>
        <v>84.9</v>
      </c>
      <c r="AK11" s="932">
        <f t="shared" si="9"/>
        <v>6.4450000000000003</v>
      </c>
      <c r="AL11" s="932">
        <f t="shared" si="10"/>
        <v>8.490000000000002</v>
      </c>
      <c r="AM11" s="932">
        <f t="shared" si="11"/>
        <v>0</v>
      </c>
      <c r="AN11" s="932">
        <f t="shared" si="12"/>
        <v>99.834999999999994</v>
      </c>
      <c r="AO11" s="933">
        <f t="shared" si="13"/>
        <v>7178.6644731999995</v>
      </c>
      <c r="AP11" s="933">
        <f t="shared" si="14"/>
        <v>0</v>
      </c>
      <c r="AQ11" s="933">
        <f t="shared" si="15"/>
        <v>3734.4140969162995</v>
      </c>
      <c r="AR11" s="934">
        <f t="shared" ref="AR11" si="60">(K11+V11+AG11)/3</f>
        <v>10913.0785701163</v>
      </c>
    </row>
    <row r="12" spans="1:46" ht="34.5" x14ac:dyDescent="0.25">
      <c r="A12" s="404" t="s">
        <v>402</v>
      </c>
      <c r="B12" s="914">
        <f>'Cost Summary'!C46</f>
        <v>1</v>
      </c>
      <c r="C12" s="915">
        <f>'Subpart V (Applicability)'!G15*'Subpart V (Applicability)'!B34</f>
        <v>-78</v>
      </c>
      <c r="D12" s="921">
        <f>'Subpart V (Applicability)'!E15*'Subpart V (Applicability)'!B34</f>
        <v>-58</v>
      </c>
      <c r="E12" s="915">
        <f>'Subpart V (Applicability)'!I15*'Subpart V (Applicability)'!B34</f>
        <v>-12</v>
      </c>
      <c r="F12" s="916">
        <f>'Subpart V (Applicability)'!C15*'Subpart V (Applicability)'!B34</f>
        <v>-1</v>
      </c>
      <c r="G12" s="915">
        <f t="shared" ref="G12:G14" si="61">SUM(C12:F12)</f>
        <v>-149</v>
      </c>
      <c r="H12" s="394">
        <f>'Subpart V (Applicability)'!C34</f>
        <v>-2680.1040509999998</v>
      </c>
      <c r="I12" s="394">
        <v>0</v>
      </c>
      <c r="J12" s="394">
        <f>'Subpart V (Applicability)'!F34</f>
        <v>-11084.722466960353</v>
      </c>
      <c r="K12" s="917">
        <f t="shared" si="48"/>
        <v>-13764.826517960353</v>
      </c>
      <c r="L12" s="405" t="str">
        <f t="shared" si="31"/>
        <v>V. Nitric Acid Production</v>
      </c>
      <c r="M12" s="920">
        <f t="shared" ref="M12:M28" si="62">B12</f>
        <v>1</v>
      </c>
      <c r="N12" s="915">
        <f>'Subpart V (Applicability)'!H15*'Subpart V (Applicability)'!B34</f>
        <v>-28.8</v>
      </c>
      <c r="O12" s="921">
        <f>'Subpart V (Applicability)'!F15*'Subpart V (Applicability)'!B34</f>
        <v>-3.8</v>
      </c>
      <c r="P12" s="921">
        <f>'Subpart V (Applicability)'!J15*'Subpart V (Applicability)'!B34</f>
        <v>-2.7</v>
      </c>
      <c r="Q12" s="921">
        <f>'Subpart V (Applicability)'!D15*'Subpart V (Applicability)'!B34</f>
        <v>-1</v>
      </c>
      <c r="R12" s="915">
        <f t="shared" si="51"/>
        <v>-36.300000000000004</v>
      </c>
      <c r="S12" s="394">
        <f>'Subpart V (Applicability)'!D34</f>
        <v>-2680.1040509999998</v>
      </c>
      <c r="T12" s="394">
        <v>0</v>
      </c>
      <c r="U12" s="394">
        <f>'Subpart V (Applicability)'!G34</f>
        <v>-11084.722466960353</v>
      </c>
      <c r="V12" s="917">
        <f>SUM(S12:U12)</f>
        <v>-13764.826517960353</v>
      </c>
      <c r="W12" s="405" t="str">
        <f t="shared" si="19"/>
        <v>V. Nitric Acid Production</v>
      </c>
      <c r="X12" s="920">
        <f t="shared" si="37"/>
        <v>1</v>
      </c>
      <c r="Y12" s="927">
        <f t="shared" ref="Y12" si="63">N12</f>
        <v>-28.8</v>
      </c>
      <c r="Z12" s="927">
        <f t="shared" ref="Z12" si="64">O12</f>
        <v>-3.8</v>
      </c>
      <c r="AA12" s="927">
        <f t="shared" ref="AA12" si="65">P12</f>
        <v>-2.7</v>
      </c>
      <c r="AB12" s="927">
        <f t="shared" ref="AB12:AB13" si="66">Q12</f>
        <v>-1</v>
      </c>
      <c r="AC12" s="915">
        <f t="shared" ref="AC12" si="67">SUM(Y12:AB12)</f>
        <v>-36.300000000000004</v>
      </c>
      <c r="AD12" s="928">
        <f t="shared" ref="AD12" si="68">S12</f>
        <v>-2680.1040509999998</v>
      </c>
      <c r="AE12" s="928">
        <f t="shared" ref="AE12" si="69">T12</f>
        <v>0</v>
      </c>
      <c r="AF12" s="928">
        <f t="shared" ref="AF12" si="70">U12</f>
        <v>-11084.722466960353</v>
      </c>
      <c r="AG12" s="917">
        <f t="shared" ref="AG12" si="71">SUM(AD12:AF12)</f>
        <v>-13764.826517960353</v>
      </c>
      <c r="AH12" s="405" t="str">
        <f t="shared" si="23"/>
        <v>V. Nitric Acid Production</v>
      </c>
      <c r="AI12" s="931">
        <f t="shared" si="24"/>
        <v>1</v>
      </c>
      <c r="AJ12" s="932">
        <f t="shared" si="8"/>
        <v>-45.199999999999996</v>
      </c>
      <c r="AK12" s="932">
        <f t="shared" si="9"/>
        <v>-21.866666666666664</v>
      </c>
      <c r="AL12" s="932">
        <f t="shared" si="10"/>
        <v>-5.8</v>
      </c>
      <c r="AM12" s="932">
        <f t="shared" si="11"/>
        <v>-1</v>
      </c>
      <c r="AN12" s="932">
        <f t="shared" si="12"/>
        <v>-73.866666666666674</v>
      </c>
      <c r="AO12" s="933">
        <f t="shared" si="13"/>
        <v>-2680.1040509999998</v>
      </c>
      <c r="AP12" s="933">
        <f t="shared" si="14"/>
        <v>0</v>
      </c>
      <c r="AQ12" s="933">
        <f t="shared" si="15"/>
        <v>-11084.722466960353</v>
      </c>
      <c r="AR12" s="934">
        <f t="shared" ref="AR12" si="72">(K12+V12+AG12)/3</f>
        <v>-13764.826517960353</v>
      </c>
    </row>
    <row r="13" spans="1:46" ht="68.25" x14ac:dyDescent="0.25">
      <c r="A13" s="737" t="s">
        <v>390</v>
      </c>
      <c r="B13" s="914">
        <f>'Cost Summary'!C47</f>
        <v>188</v>
      </c>
      <c r="C13" s="915">
        <f>'W Burden Hours Baseline'!B66+'W Burden Hours Baseline'!B94+'W Burden Hours Baseline'!B122</f>
        <v>12659.72323974549</v>
      </c>
      <c r="D13" s="915">
        <f>'W Burden Hours Baseline'!D122+'W Burden Hours Baseline'!D94+'W Burden Hours Baseline'!D66+'W Burden Hours Baseline'!E66+'W Burden Hours Baseline'!E122</f>
        <v>1674.8633846369476</v>
      </c>
      <c r="E13" s="915">
        <f>'W Burden Hours Baseline'!C94+'W Burden Hours Baseline'!C66+'W Burden Hours Baseline'!C122</f>
        <v>461.96632629107967</v>
      </c>
      <c r="F13" s="915">
        <f>'W Burden Hours Baseline'!F66+'W Burden Hours Baseline'!F122</f>
        <v>136</v>
      </c>
      <c r="G13" s="915">
        <f>'Subpart W (Applicability)'!T17</f>
        <v>23685.944999999996</v>
      </c>
      <c r="H13" s="394">
        <f>'Subpart W (Applicability)'!U17</f>
        <v>2620418.1941540604</v>
      </c>
      <c r="I13" s="923">
        <v>0</v>
      </c>
      <c r="J13" s="394">
        <f>'Subpart W (Applicability)'!V17</f>
        <v>2717863.5788032156</v>
      </c>
      <c r="K13" s="917">
        <f>SUM(H13:J13)</f>
        <v>5338281.7729572766</v>
      </c>
      <c r="L13" s="738" t="str">
        <f t="shared" si="31"/>
        <v>W. Petroleum and Natural Gas Systems</v>
      </c>
      <c r="M13" s="920">
        <f t="shared" si="62"/>
        <v>188</v>
      </c>
      <c r="N13" s="922">
        <f t="shared" ref="N13:S13" si="73">C13</f>
        <v>12659.72323974549</v>
      </c>
      <c r="O13" s="922">
        <f t="shared" si="73"/>
        <v>1674.8633846369476</v>
      </c>
      <c r="P13" s="922">
        <f t="shared" si="73"/>
        <v>461.96632629107967</v>
      </c>
      <c r="Q13" s="922">
        <f t="shared" si="73"/>
        <v>136</v>
      </c>
      <c r="R13" s="915">
        <f t="shared" si="73"/>
        <v>23685.944999999996</v>
      </c>
      <c r="S13" s="394">
        <f t="shared" si="73"/>
        <v>2620418.1941540604</v>
      </c>
      <c r="T13" s="923">
        <v>0</v>
      </c>
      <c r="U13" s="394">
        <f>J13</f>
        <v>2717863.5788032156</v>
      </c>
      <c r="V13" s="917">
        <f>SUM(S13:U13)</f>
        <v>5338281.7729572766</v>
      </c>
      <c r="W13" s="738" t="str">
        <f t="shared" si="19"/>
        <v>W. Petroleum and Natural Gas Systems</v>
      </c>
      <c r="X13" s="920">
        <f t="shared" si="37"/>
        <v>188</v>
      </c>
      <c r="Y13" s="922">
        <f>N13</f>
        <v>12659.72323974549</v>
      </c>
      <c r="Z13" s="922">
        <f>O13</f>
        <v>1674.8633846369476</v>
      </c>
      <c r="AA13" s="922">
        <f>P13</f>
        <v>461.96632629107967</v>
      </c>
      <c r="AB13" s="922">
        <f t="shared" si="66"/>
        <v>136</v>
      </c>
      <c r="AC13" s="915">
        <f>R13</f>
        <v>23685.944999999996</v>
      </c>
      <c r="AD13" s="394">
        <f>S13</f>
        <v>2620418.1941540604</v>
      </c>
      <c r="AE13" s="923">
        <v>0</v>
      </c>
      <c r="AF13" s="394">
        <f>U13</f>
        <v>2717863.5788032156</v>
      </c>
      <c r="AG13" s="917">
        <f t="shared" ref="AG13" si="74">SUM(AD13:AF13)</f>
        <v>5338281.7729572766</v>
      </c>
      <c r="AH13" s="738" t="str">
        <f t="shared" si="23"/>
        <v>W. Petroleum and Natural Gas Systems</v>
      </c>
      <c r="AI13" s="931">
        <f>X13</f>
        <v>188</v>
      </c>
      <c r="AJ13" s="932">
        <f t="shared" si="8"/>
        <v>12659.723239745488</v>
      </c>
      <c r="AK13" s="932">
        <f t="shared" si="9"/>
        <v>1674.8633846369476</v>
      </c>
      <c r="AL13" s="932">
        <f t="shared" si="10"/>
        <v>461.96632629107967</v>
      </c>
      <c r="AM13" s="932">
        <f t="shared" si="11"/>
        <v>136</v>
      </c>
      <c r="AN13" s="932">
        <f t="shared" si="12"/>
        <v>23685.944999999996</v>
      </c>
      <c r="AO13" s="933">
        <f t="shared" si="13"/>
        <v>2620418.1941540604</v>
      </c>
      <c r="AP13" s="933">
        <f t="shared" si="14"/>
        <v>0</v>
      </c>
      <c r="AQ13" s="933">
        <f t="shared" si="15"/>
        <v>2717863.5788032156</v>
      </c>
      <c r="AR13" s="934">
        <f t="shared" si="16"/>
        <v>5338281.7729572766</v>
      </c>
      <c r="AS13" s="5"/>
    </row>
    <row r="14" spans="1:46" ht="34.5" x14ac:dyDescent="0.25">
      <c r="A14" s="404" t="s">
        <v>391</v>
      </c>
      <c r="B14" s="914">
        <f>'Cost Summary'!C48</f>
        <v>6</v>
      </c>
      <c r="C14" s="915">
        <f>'Subpart Y (Applicability)'!G15*'Subpart Y (Applicability)'!B34+'Y (Data Elements)'!C13*'Y (Data Elements)'!C6</f>
        <v>-68.7</v>
      </c>
      <c r="D14" s="921">
        <f>'Subpart Y (Applicability)'!E15*'Subpart Y (Applicability)'!B34+'Y (Data Elements)'!C15*'Y (Data Elements)'!C6</f>
        <v>-9.5850000000000009</v>
      </c>
      <c r="E14" s="915">
        <f>'Subpart Y (Applicability)'!I15*'Subpart Y (Applicability)'!B34+'Y (Data Elements)'!C14*'Y (Data Elements)'!C6</f>
        <v>-7.169999999999999</v>
      </c>
      <c r="F14" s="915">
        <f>'Subpart Y (Applicability)'!C15*'Subpart Y (Applicability)'!B34</f>
        <v>-6</v>
      </c>
      <c r="G14" s="915">
        <f t="shared" si="61"/>
        <v>-91.454999999999998</v>
      </c>
      <c r="H14" s="394">
        <f>'Subpart Y (Applicability)'!C34+'Y (Data Elements)'!C23</f>
        <v>-6880.5018095999994</v>
      </c>
      <c r="I14" s="394">
        <f>'Subpart Y (Applicability)'!E25</f>
        <v>0</v>
      </c>
      <c r="J14" s="394">
        <f>'Subpart Y (Applicability)'!F34</f>
        <v>-3929.8678414096921</v>
      </c>
      <c r="K14" s="917">
        <f t="shared" si="48"/>
        <v>-10810.369651009692</v>
      </c>
      <c r="L14" s="405" t="str">
        <f t="shared" si="31"/>
        <v>Y. Petroleum Refineries</v>
      </c>
      <c r="M14" s="920">
        <f t="shared" si="62"/>
        <v>6</v>
      </c>
      <c r="N14" s="921">
        <f>'Subpart Y (Applicability)'!H15*'Subpart Y (Applicability)'!B34+'Y (Data Elements)'!C13*'Y (Data Elements)'!C6</f>
        <v>-68.7</v>
      </c>
      <c r="O14" s="921">
        <f>'Subpart Y (Applicability)'!F15*'Subpart Y (Applicability)'!B34+'Y (Data Elements)'!C15*'Y (Data Elements)'!C6</f>
        <v>-9.5850000000000009</v>
      </c>
      <c r="P14" s="915">
        <f>'Subpart Y (Applicability)'!J15*'Subpart Y (Applicability)'!B34+'Y (Data Elements)'!C14*'Y (Data Elements)'!C6</f>
        <v>-7.169999999999999</v>
      </c>
      <c r="Q14" s="915">
        <f>'Subpart Y (Applicability)'!D15*'Subpart Y (Applicability)'!B34</f>
        <v>-6</v>
      </c>
      <c r="R14" s="915">
        <f t="shared" si="51"/>
        <v>-91.454999999999998</v>
      </c>
      <c r="S14" s="394">
        <f>'Subpart Y (Applicability)'!D34+'Y (Data Elements)'!C23</f>
        <v>-6880.5018095999994</v>
      </c>
      <c r="T14" s="394">
        <f>0</f>
        <v>0</v>
      </c>
      <c r="U14" s="394">
        <f>'Subpart Y (Applicability)'!G34</f>
        <v>-3929.8678414096921</v>
      </c>
      <c r="V14" s="917">
        <f t="shared" ref="V14" si="75">SUM(S14:U14)</f>
        <v>-10810.369651009692</v>
      </c>
      <c r="W14" s="405" t="str">
        <f t="shared" si="19"/>
        <v>Y. Petroleum Refineries</v>
      </c>
      <c r="X14" s="920">
        <f t="shared" si="37"/>
        <v>6</v>
      </c>
      <c r="Y14" s="927">
        <f t="shared" ref="Y14" si="76">N14</f>
        <v>-68.7</v>
      </c>
      <c r="Z14" s="927">
        <f t="shared" ref="Z14" si="77">O14</f>
        <v>-9.5850000000000009</v>
      </c>
      <c r="AA14" s="927">
        <f t="shared" ref="AA14" si="78">P14</f>
        <v>-7.169999999999999</v>
      </c>
      <c r="AB14" s="927">
        <f t="shared" ref="AB14" si="79">Q14</f>
        <v>-6</v>
      </c>
      <c r="AC14" s="915">
        <f t="shared" si="4"/>
        <v>-91.454999999999998</v>
      </c>
      <c r="AD14" s="928">
        <f t="shared" ref="AD14" si="80">S14</f>
        <v>-6880.5018095999994</v>
      </c>
      <c r="AE14" s="928">
        <f t="shared" ref="AE14" si="81">T14</f>
        <v>0</v>
      </c>
      <c r="AF14" s="928">
        <f t="shared" ref="AF14" si="82">U14</f>
        <v>-3929.8678414096921</v>
      </c>
      <c r="AG14" s="917">
        <f t="shared" ref="AG14" si="83">SUM(AD14:AF14)</f>
        <v>-10810.369651009692</v>
      </c>
      <c r="AH14" s="405" t="str">
        <f t="shared" si="23"/>
        <v>Y. Petroleum Refineries</v>
      </c>
      <c r="AI14" s="931">
        <f t="shared" si="24"/>
        <v>6</v>
      </c>
      <c r="AJ14" s="932">
        <f t="shared" si="8"/>
        <v>-68.7</v>
      </c>
      <c r="AK14" s="932">
        <f t="shared" si="9"/>
        <v>-9.5850000000000009</v>
      </c>
      <c r="AL14" s="932">
        <f t="shared" si="10"/>
        <v>-7.169999999999999</v>
      </c>
      <c r="AM14" s="932">
        <f t="shared" si="11"/>
        <v>-6</v>
      </c>
      <c r="AN14" s="932">
        <f t="shared" si="12"/>
        <v>-91.454999999999998</v>
      </c>
      <c r="AO14" s="933">
        <f t="shared" si="13"/>
        <v>-6880.5018095999994</v>
      </c>
      <c r="AP14" s="933">
        <f t="shared" si="14"/>
        <v>0</v>
      </c>
      <c r="AQ14" s="933">
        <f t="shared" si="15"/>
        <v>-3929.8678414096921</v>
      </c>
      <c r="AR14" s="934">
        <f t="shared" si="16"/>
        <v>-10810.369651009692</v>
      </c>
      <c r="AT14" s="395"/>
    </row>
    <row r="15" spans="1:46" ht="21.75" customHeight="1" x14ac:dyDescent="0.25">
      <c r="A15" s="404" t="s">
        <v>392</v>
      </c>
      <c r="B15" s="914">
        <f>'Cost Summary'!C49</f>
        <v>1</v>
      </c>
      <c r="C15" s="921">
        <f>'Subpart AA (Calculations)'!G14*'Subpart AA (Calculations)'!B19+'AA (Data Elements)'!C13*'AA (Data Elements)'!C6</f>
        <v>1.4000000000000001</v>
      </c>
      <c r="D15" s="916">
        <f>'Subpart AA (Calculations)'!E14*'Subpart AA (Calculations)'!B19+'AA (Data Elements)'!C15*'AA (Data Elements)'!C6</f>
        <v>5.000000000000001E-3</v>
      </c>
      <c r="E15" s="915">
        <f>'Subpart AA (Calculations)'!I14*'Subpart AA (Calculations)'!B19+'AA (Data Elements)'!C14*'AA (Data Elements)'!C6</f>
        <v>1.0000000000000002E-2</v>
      </c>
      <c r="F15" s="915">
        <f>'Subpart AA (Calculations)'!C14*'Subpart AA (Calculations)'!B19</f>
        <v>0</v>
      </c>
      <c r="G15" s="921">
        <f>SUM(C15:F15)</f>
        <v>1.415</v>
      </c>
      <c r="H15" s="394">
        <f>'Subpart AA (Calculations)'!C19+'AA (Data Elements)'!C24</f>
        <v>104.15535180000001</v>
      </c>
      <c r="I15" s="394">
        <f>0</f>
        <v>0</v>
      </c>
      <c r="J15" s="394">
        <f>0</f>
        <v>0</v>
      </c>
      <c r="K15" s="917">
        <f t="shared" si="48"/>
        <v>104.15535180000001</v>
      </c>
      <c r="L15" s="405" t="str">
        <f t="shared" si="31"/>
        <v>AA. Pulp &amp; Paper Mnfctrng</v>
      </c>
      <c r="M15" s="920">
        <f t="shared" si="62"/>
        <v>1</v>
      </c>
      <c r="N15" s="921">
        <f>'Subpart AA (Calculations)'!H14*'Subpart AA (Calculations)'!B19+'AA (Data Elements)'!C13*'AA (Data Elements)'!C6</f>
        <v>1.4000000000000001</v>
      </c>
      <c r="O15" s="916">
        <f>'Subpart AA (Calculations)'!F14*'Subpart AA (Calculations)'!B19+'AA (Data Elements)'!C15*'AA (Data Elements)'!C6</f>
        <v>5.000000000000001E-3</v>
      </c>
      <c r="P15" s="915">
        <f>'Subpart AA (Calculations)'!J14*'Subpart AA (Calculations)'!B19+'AA (Data Elements)'!C14*'AA (Data Elements)'!C6</f>
        <v>1.0000000000000002E-2</v>
      </c>
      <c r="Q15" s="915">
        <f>0</f>
        <v>0</v>
      </c>
      <c r="R15" s="921">
        <f>SUM(N15:Q15)</f>
        <v>1.415</v>
      </c>
      <c r="S15" s="394">
        <f>'Subpart AA (Calculations)'!D19+'AA (Data Elements)'!C23</f>
        <v>104.15535180000001</v>
      </c>
      <c r="T15" s="394">
        <f>0</f>
        <v>0</v>
      </c>
      <c r="U15" s="394">
        <f>0</f>
        <v>0</v>
      </c>
      <c r="V15" s="917">
        <f t="shared" ref="V15" si="84">SUM(S15:U15)</f>
        <v>104.15535180000001</v>
      </c>
      <c r="W15" s="405" t="str">
        <f t="shared" si="19"/>
        <v>AA. Pulp &amp; Paper Mnfctrng</v>
      </c>
      <c r="X15" s="920">
        <f t="shared" si="37"/>
        <v>1</v>
      </c>
      <c r="Y15" s="927">
        <f t="shared" ref="Y15" si="85">N15</f>
        <v>1.4000000000000001</v>
      </c>
      <c r="Z15" s="927">
        <f t="shared" ref="Z15" si="86">O15</f>
        <v>5.000000000000001E-3</v>
      </c>
      <c r="AA15" s="927">
        <f t="shared" ref="AA15" si="87">P15</f>
        <v>1.0000000000000002E-2</v>
      </c>
      <c r="AB15" s="927">
        <f t="shared" ref="AB15" si="88">Q15</f>
        <v>0</v>
      </c>
      <c r="AC15" s="915">
        <f t="shared" si="4"/>
        <v>1.415</v>
      </c>
      <c r="AD15" s="928">
        <f t="shared" ref="AD15" si="89">S15</f>
        <v>104.15535180000001</v>
      </c>
      <c r="AE15" s="928">
        <f t="shared" ref="AE15" si="90">T15</f>
        <v>0</v>
      </c>
      <c r="AF15" s="928">
        <f t="shared" ref="AF15" si="91">U15</f>
        <v>0</v>
      </c>
      <c r="AG15" s="917">
        <f t="shared" ref="AG15" si="92">SUM(AD15:AF15)</f>
        <v>104.15535180000001</v>
      </c>
      <c r="AH15" s="405" t="str">
        <f t="shared" si="23"/>
        <v>AA. Pulp &amp; Paper Mnfctrng</v>
      </c>
      <c r="AI15" s="931">
        <f t="shared" si="24"/>
        <v>1</v>
      </c>
      <c r="AJ15" s="932">
        <f t="shared" si="8"/>
        <v>1.4000000000000001</v>
      </c>
      <c r="AK15" s="932">
        <f t="shared" si="9"/>
        <v>5.000000000000001E-3</v>
      </c>
      <c r="AL15" s="932">
        <f t="shared" si="10"/>
        <v>1.0000000000000002E-2</v>
      </c>
      <c r="AM15" s="932">
        <f t="shared" si="11"/>
        <v>0</v>
      </c>
      <c r="AN15" s="932">
        <f t="shared" si="12"/>
        <v>1.415</v>
      </c>
      <c r="AO15" s="933">
        <f t="shared" si="13"/>
        <v>104.15535180000001</v>
      </c>
      <c r="AP15" s="933">
        <f t="shared" si="14"/>
        <v>0</v>
      </c>
      <c r="AQ15" s="933">
        <f t="shared" si="15"/>
        <v>0</v>
      </c>
      <c r="AR15" s="934">
        <f t="shared" ref="AR15:AR22" si="93">(K15+V15+AG15)/3</f>
        <v>104.15535180000001</v>
      </c>
    </row>
    <row r="16" spans="1:46" ht="79.5" x14ac:dyDescent="0.25">
      <c r="A16" s="404" t="s">
        <v>393</v>
      </c>
      <c r="B16" s="914">
        <f>'Cost Summary'!C50</f>
        <v>2</v>
      </c>
      <c r="C16" s="915">
        <f>'Subpart DD (Applicability)'!G15*'Subpart DD (Applicability)'!B35</f>
        <v>62</v>
      </c>
      <c r="D16" s="915">
        <f>'Subpart DD (Applicability)'!E15*'Subpart DD (Applicability)'!B35</f>
        <v>9</v>
      </c>
      <c r="E16" s="915">
        <f>'Subpart DD (Applicability)'!I15*'Subpart DD (Applicability)'!B35</f>
        <v>11</v>
      </c>
      <c r="F16" s="915">
        <f>'Subpart DD (Applicability)'!C15*'Subpart DD (Applicability)'!B35</f>
        <v>2</v>
      </c>
      <c r="G16" s="915">
        <f>SUM(C16:F16)</f>
        <v>84</v>
      </c>
      <c r="H16" s="394">
        <f>'Subpart DD (Applicability)'!C35</f>
        <v>6200.1288299999997</v>
      </c>
      <c r="I16" s="394">
        <f>0</f>
        <v>0</v>
      </c>
      <c r="J16" s="394">
        <f>'Subpart DD (Applicability)'!F35</f>
        <v>3118.9427312775333</v>
      </c>
      <c r="K16" s="917">
        <f>SUM(H16:J16)</f>
        <v>9319.071561277533</v>
      </c>
      <c r="L16" s="405" t="str">
        <f t="shared" si="31"/>
        <v>DD. Sulfur Hexafluoride (SF6) from Electric Power Systems</v>
      </c>
      <c r="M16" s="920">
        <f t="shared" si="62"/>
        <v>2</v>
      </c>
      <c r="N16" s="915">
        <f>'Subpart DD (Applicability)'!H15*'Subpart DD (Applicability)'!B35</f>
        <v>62</v>
      </c>
      <c r="O16" s="915">
        <f>'Subpart DD (Applicability)'!F15*'Subpart DD (Applicability)'!B35</f>
        <v>9</v>
      </c>
      <c r="P16" s="915">
        <f>'Subpart DD (Applicability)'!J15*'Subpart DD (Applicability)'!B35</f>
        <v>11</v>
      </c>
      <c r="Q16" s="915">
        <f>'Subpart DD (Applicability)'!D15*'Subpart DD (Applicability)'!B35</f>
        <v>2</v>
      </c>
      <c r="R16" s="915">
        <f>SUM(N16:Q16)</f>
        <v>84</v>
      </c>
      <c r="S16" s="394">
        <f>'Subpart DD (Applicability)'!D35</f>
        <v>6200.1288299999997</v>
      </c>
      <c r="T16" s="394">
        <f>0</f>
        <v>0</v>
      </c>
      <c r="U16" s="394">
        <f>'Subpart DD (Applicability)'!G35</f>
        <v>3118.9427312775333</v>
      </c>
      <c r="V16" s="917">
        <f>SUM(S16:U16)</f>
        <v>9319.071561277533</v>
      </c>
      <c r="W16" s="405" t="str">
        <f t="shared" si="19"/>
        <v>DD. Sulfur Hexafluoride (SF6) from Electric Power Systems</v>
      </c>
      <c r="X16" s="920">
        <f t="shared" si="37"/>
        <v>2</v>
      </c>
      <c r="Y16" s="927">
        <f t="shared" ref="Y16" si="94">N16</f>
        <v>62</v>
      </c>
      <c r="Z16" s="927">
        <f t="shared" ref="Z16" si="95">O16</f>
        <v>9</v>
      </c>
      <c r="AA16" s="927">
        <f t="shared" ref="AA16" si="96">P16</f>
        <v>11</v>
      </c>
      <c r="AB16" s="927">
        <f t="shared" ref="AB16" si="97">Q16</f>
        <v>2</v>
      </c>
      <c r="AC16" s="915">
        <f t="shared" si="4"/>
        <v>84</v>
      </c>
      <c r="AD16" s="928">
        <f t="shared" ref="AD16" si="98">S16</f>
        <v>6200.1288299999997</v>
      </c>
      <c r="AE16" s="928">
        <f t="shared" ref="AE16" si="99">T16</f>
        <v>0</v>
      </c>
      <c r="AF16" s="928">
        <f t="shared" ref="AF16" si="100">U16</f>
        <v>3118.9427312775333</v>
      </c>
      <c r="AG16" s="917">
        <f>SUM(AD16:AF16)</f>
        <v>9319.071561277533</v>
      </c>
      <c r="AH16" s="405" t="str">
        <f t="shared" si="23"/>
        <v>DD. Sulfur Hexafluoride (SF6) from Electric Power Systems</v>
      </c>
      <c r="AI16" s="931">
        <f t="shared" si="24"/>
        <v>2</v>
      </c>
      <c r="AJ16" s="932">
        <f t="shared" si="8"/>
        <v>62</v>
      </c>
      <c r="AK16" s="932">
        <f t="shared" si="9"/>
        <v>9</v>
      </c>
      <c r="AL16" s="932">
        <f t="shared" si="10"/>
        <v>11</v>
      </c>
      <c r="AM16" s="932">
        <f t="shared" si="11"/>
        <v>2</v>
      </c>
      <c r="AN16" s="932">
        <f t="shared" si="12"/>
        <v>84</v>
      </c>
      <c r="AO16" s="933">
        <f t="shared" si="13"/>
        <v>6200.1288299999987</v>
      </c>
      <c r="AP16" s="933">
        <f t="shared" si="14"/>
        <v>0</v>
      </c>
      <c r="AQ16" s="933">
        <f t="shared" si="15"/>
        <v>3118.9427312775333</v>
      </c>
      <c r="AR16" s="934">
        <f t="shared" si="93"/>
        <v>9319.071561277533</v>
      </c>
    </row>
    <row r="17" spans="1:45" ht="35.25" customHeight="1" x14ac:dyDescent="0.25">
      <c r="A17" s="404" t="s">
        <v>394</v>
      </c>
      <c r="B17" s="914">
        <f>'Cost Summary'!C51</f>
        <v>1126</v>
      </c>
      <c r="C17" s="915">
        <f>'Subpart HH (Applicability)'!G15*'Subpart HH (Applicability)'!B35+'Subpart HH (Calculations)'!G14*'Subpart HH (Calculations)'!B19+'HH (Data Elements)'!D13*'HH (Data Elements)'!D6+'HH (Data Elements)'!E13*'HH (Data Elements)'!E6+'HH (Data Elements)'!F13*'HH (Data Elements)'!F6+'HH (Data Elements)'!G13*'HH (Data Elements)'!G6</f>
        <v>1781.8</v>
      </c>
      <c r="D17" s="915">
        <f>'Subpart HH (Applicability)'!E15*'Subpart HH (Applicability)'!B35+'HH (Data Elements)'!D15*'HH (Data Elements)'!D6+'HH (Data Elements)'!E15*'HH (Data Elements)'!E6+'HH (Data Elements)'!F15*'HH (Data Elements)'!F6+'HH (Data Elements)'!G15*'HH (Data Elements)'!G6</f>
        <v>77.415000000000006</v>
      </c>
      <c r="E17" s="915">
        <f>'Subpart HH (Applicability)'!I15*'Subpart HH (Applicability)'!B35+'HH (Data Elements)'!D14*'HH (Data Elements)'!D6+'HH (Data Elements)'!E14*'HH (Data Elements)'!E6+'HH (Data Elements)'!F14*'HH (Data Elements)'!F6+'HH (Data Elements)'!G14*'HH (Data Elements)'!G6</f>
        <v>130.83000000000001</v>
      </c>
      <c r="F17" s="915">
        <f>'Subpart HH (Applicability)'!C15*'Subpart HH (Applicability)'!B35</f>
        <v>12</v>
      </c>
      <c r="G17" s="915">
        <f>SUM(C17:F17)</f>
        <v>2002.0449999999998</v>
      </c>
      <c r="H17" s="919">
        <f>'Subpart HH (Applicability)'!C35+'Subpart HH (Calculations)'!C19+'HH (Data Elements)'!C23</f>
        <v>130188.34609539999</v>
      </c>
      <c r="I17" s="394">
        <f>0</f>
        <v>0</v>
      </c>
      <c r="J17" s="394">
        <f>'Subpart HH (Applicability)'!F35</f>
        <v>374.27312775330392</v>
      </c>
      <c r="K17" s="917">
        <f>SUM(H17:J17)</f>
        <v>130562.61922315329</v>
      </c>
      <c r="L17" s="405" t="str">
        <f t="shared" si="31"/>
        <v>HH. Landfills</v>
      </c>
      <c r="M17" s="920">
        <f t="shared" si="62"/>
        <v>1126</v>
      </c>
      <c r="N17" s="915">
        <f>'Subpart HH (Applicability)'!H15*'Subpart HH (Applicability)'!B35+'Subpart HH (Calculations)'!H14*'Subpart HH (Calculations)'!B19+'HH (Data Elements)'!D13*'HH (Data Elements)'!D6+'HH (Data Elements)'!E13*'HH (Data Elements)'!E6+'HH (Data Elements)'!F13*'HH (Data Elements)'!F6</f>
        <v>1515.5</v>
      </c>
      <c r="O17" s="915">
        <f>'Subpart HH (Applicability)'!F15*'Subpart HH (Applicability)'!B35+'HH (Data Elements)'!D15*'HH (Data Elements)'!D6+'HH (Data Elements)'!E15*'HH (Data Elements)'!E6+'HH (Data Elements)'!F15*'HH (Data Elements)'!F6+'HH (Data Elements)'!G15*'HH (Data Elements)'!G6</f>
        <v>71.415000000000006</v>
      </c>
      <c r="P17" s="915">
        <f>'Subpart HH (Applicability)'!J15*'Subpart HH (Applicability)'!B35+'HH (Data Elements)'!D14*'HH (Data Elements)'!D6+'HH (Data Elements)'!E14*'HH (Data Elements)'!E6+'HH (Data Elements)'!F14*'HH (Data Elements)'!F6+'HH (Data Elements)'!G14*'HH (Data Elements)'!G6</f>
        <v>118.83000000000001</v>
      </c>
      <c r="Q17" s="915">
        <f>'Subpart HH (Applicability)'!D15*'Subpart HH (Applicability)'!B35</f>
        <v>6</v>
      </c>
      <c r="R17" s="915">
        <f>SUM(N17:Q17)</f>
        <v>1711.7449999999999</v>
      </c>
      <c r="S17" s="394">
        <f>'Subpart HH (Applicability)'!D35+'Subpart HH (Calculations)'!D19+'HH (Data Elements)'!C23</f>
        <v>127330.09597540001</v>
      </c>
      <c r="T17" s="394">
        <v>0</v>
      </c>
      <c r="U17" s="394">
        <f>'Subpart HH (Applicability)'!G35</f>
        <v>374.27312775330392</v>
      </c>
      <c r="V17" s="917">
        <f t="shared" ref="V17:V18" si="101">SUM(S17:U17)</f>
        <v>127704.36910315331</v>
      </c>
      <c r="W17" s="405" t="str">
        <f t="shared" si="19"/>
        <v>HH. Landfills</v>
      </c>
      <c r="X17" s="920">
        <f t="shared" si="37"/>
        <v>1126</v>
      </c>
      <c r="Y17" s="927">
        <f t="shared" ref="Y17" si="102">N17</f>
        <v>1515.5</v>
      </c>
      <c r="Z17" s="927">
        <f t="shared" ref="Z17" si="103">O17</f>
        <v>71.415000000000006</v>
      </c>
      <c r="AA17" s="927">
        <f t="shared" ref="AA17" si="104">P17</f>
        <v>118.83000000000001</v>
      </c>
      <c r="AB17" s="927">
        <f t="shared" ref="AB17" si="105">Q17</f>
        <v>6</v>
      </c>
      <c r="AC17" s="915">
        <f t="shared" si="4"/>
        <v>1711.7449999999999</v>
      </c>
      <c r="AD17" s="928">
        <f t="shared" ref="AD17" si="106">S17</f>
        <v>127330.09597540001</v>
      </c>
      <c r="AE17" s="928">
        <f t="shared" ref="AE17" si="107">T17</f>
        <v>0</v>
      </c>
      <c r="AF17" s="928">
        <f t="shared" ref="AF17" si="108">U17</f>
        <v>374.27312775330392</v>
      </c>
      <c r="AG17" s="917">
        <f t="shared" ref="AG17:AG20" si="109">SUM(AD17:AF17)</f>
        <v>127704.36910315331</v>
      </c>
      <c r="AH17" s="405" t="str">
        <f t="shared" si="23"/>
        <v>HH. Landfills</v>
      </c>
      <c r="AI17" s="931">
        <f t="shared" si="24"/>
        <v>1126</v>
      </c>
      <c r="AJ17" s="932">
        <f t="shared" si="8"/>
        <v>1604.2666666666667</v>
      </c>
      <c r="AK17" s="932">
        <f t="shared" si="9"/>
        <v>73.415000000000006</v>
      </c>
      <c r="AL17" s="932">
        <f t="shared" si="10"/>
        <v>122.83</v>
      </c>
      <c r="AM17" s="932">
        <f t="shared" si="11"/>
        <v>8</v>
      </c>
      <c r="AN17" s="932">
        <f t="shared" si="12"/>
        <v>1808.5116666666665</v>
      </c>
      <c r="AO17" s="933">
        <f t="shared" si="13"/>
        <v>128282.84601540001</v>
      </c>
      <c r="AP17" s="933">
        <f t="shared" si="14"/>
        <v>0</v>
      </c>
      <c r="AQ17" s="933">
        <f t="shared" si="15"/>
        <v>374.27312775330392</v>
      </c>
      <c r="AR17" s="934">
        <f t="shared" si="93"/>
        <v>128657.11914315331</v>
      </c>
    </row>
    <row r="18" spans="1:45" ht="35.25" customHeight="1" x14ac:dyDescent="0.25">
      <c r="A18" s="404" t="s">
        <v>409</v>
      </c>
      <c r="B18" s="914">
        <f>'Cost Summary'!C52</f>
        <v>2</v>
      </c>
      <c r="C18" s="915">
        <f>'Subpart II (Applicability)'!G15*'Subpart II (Applicability)'!B34</f>
        <v>54</v>
      </c>
      <c r="D18" s="915">
        <f>'Subpart II (Applicability)'!E15*'Subpart II (Applicability)'!B34</f>
        <v>7.8</v>
      </c>
      <c r="E18" s="915">
        <f>'Subpart II (Applicability)'!I15*'Subpart II (Applicability)'!B34</f>
        <v>3.8</v>
      </c>
      <c r="F18" s="915">
        <f>'Subpart II (Applicability)'!C15*'Subpart II (Applicability)'!B34</f>
        <v>4</v>
      </c>
      <c r="G18" s="915">
        <f>SUM(C18:F18)</f>
        <v>69.599999999999994</v>
      </c>
      <c r="H18" s="919">
        <f>'Subpart II (Applicability)'!C34</f>
        <v>5287.7472980000002</v>
      </c>
      <c r="I18" s="394">
        <v>0</v>
      </c>
      <c r="J18" s="394">
        <f>'Subpart II (Applicability)'!F34</f>
        <v>3076.5251101321587</v>
      </c>
      <c r="K18" s="917">
        <f t="shared" si="48"/>
        <v>8364.2724081321594</v>
      </c>
      <c r="L18" s="405" t="str">
        <f t="shared" si="31"/>
        <v>II. Industrial Wastewater Treatment</v>
      </c>
      <c r="M18" s="920">
        <f>2</f>
        <v>2</v>
      </c>
      <c r="N18" s="915">
        <f>'Subpart II (Applicability)'!H15*'Subpart II (Applicability)'!B34</f>
        <v>50</v>
      </c>
      <c r="O18" s="915">
        <f>'Subpart II (Applicability)'!F15*'Subpart II (Applicability)'!B34</f>
        <v>7.4</v>
      </c>
      <c r="P18" s="915">
        <f>'Subpart II (Applicability)'!J15*'Subpart II (Applicability)'!B34</f>
        <v>3.4</v>
      </c>
      <c r="Q18" s="915">
        <f>'Subpart II (Applicability)'!D15*'Subpart II (Applicability)'!B34</f>
        <v>2</v>
      </c>
      <c r="R18" s="915">
        <f>SUM(N18:Q18)</f>
        <v>62.8</v>
      </c>
      <c r="S18" s="394">
        <f>'Subpart II (Applicability)'!D34</f>
        <v>4712.6777140000004</v>
      </c>
      <c r="T18" s="394">
        <v>0</v>
      </c>
      <c r="U18" s="394">
        <f>'Subpart II (Applicability)'!G34</f>
        <v>3076.5251101321587</v>
      </c>
      <c r="V18" s="917">
        <f t="shared" si="101"/>
        <v>7789.2028241321586</v>
      </c>
      <c r="W18" s="405" t="str">
        <f t="shared" si="19"/>
        <v>II. Industrial Wastewater Treatment</v>
      </c>
      <c r="X18" s="920">
        <f t="shared" si="37"/>
        <v>2</v>
      </c>
      <c r="Y18" s="927">
        <f t="shared" ref="Y18" si="110">N18</f>
        <v>50</v>
      </c>
      <c r="Z18" s="927">
        <f t="shared" ref="Z18" si="111">O18</f>
        <v>7.4</v>
      </c>
      <c r="AA18" s="927">
        <f t="shared" ref="AA18" si="112">P18</f>
        <v>3.4</v>
      </c>
      <c r="AB18" s="927">
        <f t="shared" ref="AB18" si="113">Q18</f>
        <v>2</v>
      </c>
      <c r="AC18" s="915">
        <f t="shared" ref="AC18" si="114">SUM(Y18:AB18)</f>
        <v>62.8</v>
      </c>
      <c r="AD18" s="928">
        <f t="shared" ref="AD18" si="115">S18</f>
        <v>4712.6777140000004</v>
      </c>
      <c r="AE18" s="928">
        <f t="shared" ref="AE18" si="116">T18</f>
        <v>0</v>
      </c>
      <c r="AF18" s="928">
        <f t="shared" ref="AF18" si="117">U18</f>
        <v>3076.5251101321587</v>
      </c>
      <c r="AG18" s="917">
        <f t="shared" ref="AG18" si="118">SUM(AD18:AF18)</f>
        <v>7789.2028241321586</v>
      </c>
      <c r="AH18" s="405" t="str">
        <f t="shared" si="23"/>
        <v>II. Industrial Wastewater Treatment</v>
      </c>
      <c r="AI18" s="931">
        <f t="shared" si="24"/>
        <v>2</v>
      </c>
      <c r="AJ18" s="932">
        <f t="shared" si="8"/>
        <v>51.333333333333336</v>
      </c>
      <c r="AK18" s="932">
        <f t="shared" si="9"/>
        <v>7.5333333333333341</v>
      </c>
      <c r="AL18" s="932">
        <f t="shared" si="10"/>
        <v>3.5333333333333332</v>
      </c>
      <c r="AM18" s="932">
        <f t="shared" si="11"/>
        <v>2.6666666666666665</v>
      </c>
      <c r="AN18" s="932">
        <f t="shared" si="12"/>
        <v>65.066666666666663</v>
      </c>
      <c r="AO18" s="933">
        <f t="shared" si="13"/>
        <v>4904.3675753333337</v>
      </c>
      <c r="AP18" s="933">
        <f t="shared" si="14"/>
        <v>0</v>
      </c>
      <c r="AQ18" s="933">
        <f t="shared" si="15"/>
        <v>3076.5251101321587</v>
      </c>
      <c r="AR18" s="934">
        <f t="shared" ref="AR18" si="119">(K18+V18+AG18)/3</f>
        <v>7980.8926854654928</v>
      </c>
    </row>
    <row r="19" spans="1:45" ht="33.75" customHeight="1" x14ac:dyDescent="0.25">
      <c r="A19" s="404" t="s">
        <v>395</v>
      </c>
      <c r="B19" s="914">
        <f>'Cost Summary'!C53</f>
        <v>104</v>
      </c>
      <c r="C19" s="915">
        <f>'Subpart OO (Applicability)'!G15*'Subpart OO (Applicability)'!B35+'OO (Data Elements)'!D13*'OO (Data Elements)'!D6+'OO (Data Elements)'!E13*'OO (Data Elements)'!E6</f>
        <v>71.3</v>
      </c>
      <c r="D19" s="915">
        <f>'Subpart OO (Applicability)'!E15*'Subpart OO (Applicability)'!B35+'OO (Data Elements)'!D15*'OO (Data Elements)'!D6+'OO (Data Elements)'!E15*'OO (Data Elements)'!E6</f>
        <v>10.565</v>
      </c>
      <c r="E19" s="915">
        <f>'Subpart OO (Applicability)'!I15*'Subpart OO (Applicability)'!B35+'OO (Data Elements)'!D14*'OO (Data Elements)'!D6+'OO (Data Elements)'!E14*'OO (Data Elements)'!E6</f>
        <v>6.13</v>
      </c>
      <c r="F19" s="915">
        <f>'Subpart OO (Applicability)'!C15*'Subpart OO (Applicability)'!B35</f>
        <v>2</v>
      </c>
      <c r="G19" s="915">
        <f t="shared" ref="G19:G21" si="120">SUM(C19:F19)</f>
        <v>89.99499999999999</v>
      </c>
      <c r="H19" s="394">
        <f>'Subpart OO (Applicability)'!C35+'OO (Data Elements)'!C23</f>
        <v>6679.9813544000008</v>
      </c>
      <c r="I19" s="394">
        <v>0</v>
      </c>
      <c r="J19" s="394">
        <f>'Subpart OO (Applicability)'!F35</f>
        <v>62.378854625550659</v>
      </c>
      <c r="K19" s="917">
        <f t="shared" ref="K19:K23" si="121">SUM(H19:J19)</f>
        <v>6742.3602090255517</v>
      </c>
      <c r="L19" s="405" t="str">
        <f t="shared" si="31"/>
        <v>OO. Suppliers of Industrial GHG</v>
      </c>
      <c r="M19" s="920">
        <f t="shared" si="62"/>
        <v>104</v>
      </c>
      <c r="N19" s="915">
        <f>'Subpart OO (Applicability)'!H15*'Subpart OO (Applicability)'!B35+'OO (Data Elements)'!D13*'OO (Data Elements)'!D6+'OO (Data Elements)'!E13*'OO (Data Elements)'!E6</f>
        <v>71.3</v>
      </c>
      <c r="O19" s="915">
        <f>'Subpart OO (Applicability)'!F15*'Subpart OO (Applicability)'!B35+'OO (Data Elements)'!D15*'OO (Data Elements)'!D6+'OO (Data Elements)'!E15*'OO (Data Elements)'!E6</f>
        <v>10.565</v>
      </c>
      <c r="P19" s="915">
        <f>'Subpart OO (Applicability)'!J15*'Subpart OO (Applicability)'!B35+'OO (Data Elements)'!D14*'OO (Data Elements)'!D6+'OO (Data Elements)'!E14*'OO (Data Elements)'!E6</f>
        <v>6.13</v>
      </c>
      <c r="Q19" s="915">
        <f>'Subpart OO (Applicability)'!D15*'Subpart OO (Applicability)'!B35</f>
        <v>2</v>
      </c>
      <c r="R19" s="915">
        <f t="shared" ref="R19:R23" si="122">SUM(N19:Q19)</f>
        <v>89.99499999999999</v>
      </c>
      <c r="S19" s="394">
        <f>'Subpart OO (Applicability)'!D35+'OO (Data Elements)'!C23</f>
        <v>6679.9813544000008</v>
      </c>
      <c r="T19" s="394">
        <v>0</v>
      </c>
      <c r="U19" s="394">
        <f>'Subpart OO (Applicability)'!G35</f>
        <v>62.378854625550659</v>
      </c>
      <c r="V19" s="917">
        <f t="shared" ref="V19:V28" si="123">SUM(S19:U19)</f>
        <v>6742.3602090255517</v>
      </c>
      <c r="W19" s="405" t="str">
        <f t="shared" si="19"/>
        <v>OO. Suppliers of Industrial GHG</v>
      </c>
      <c r="X19" s="920">
        <f t="shared" si="37"/>
        <v>104</v>
      </c>
      <c r="Y19" s="927">
        <f t="shared" ref="Y19:Y20" si="124">N19</f>
        <v>71.3</v>
      </c>
      <c r="Z19" s="927">
        <f t="shared" ref="Z19:Z20" si="125">O19</f>
        <v>10.565</v>
      </c>
      <c r="AA19" s="927">
        <f t="shared" ref="AA19" si="126">P19</f>
        <v>6.13</v>
      </c>
      <c r="AB19" s="927">
        <f t="shared" ref="AB19:AB20" si="127">Q19</f>
        <v>2</v>
      </c>
      <c r="AC19" s="915">
        <f t="shared" si="4"/>
        <v>89.99499999999999</v>
      </c>
      <c r="AD19" s="928">
        <f t="shared" ref="AD19" si="128">S19</f>
        <v>6679.9813544000008</v>
      </c>
      <c r="AE19" s="928">
        <f t="shared" ref="AE19:AE20" si="129">T19</f>
        <v>0</v>
      </c>
      <c r="AF19" s="928">
        <f t="shared" ref="AF19:AF20" si="130">U19</f>
        <v>62.378854625550659</v>
      </c>
      <c r="AG19" s="917">
        <f t="shared" si="109"/>
        <v>6742.3602090255517</v>
      </c>
      <c r="AH19" s="405" t="str">
        <f t="shared" si="23"/>
        <v>OO. Suppliers of Industrial GHG</v>
      </c>
      <c r="AI19" s="931">
        <f t="shared" si="24"/>
        <v>104</v>
      </c>
      <c r="AJ19" s="932">
        <f t="shared" si="8"/>
        <v>71.3</v>
      </c>
      <c r="AK19" s="932">
        <f t="shared" si="9"/>
        <v>10.565</v>
      </c>
      <c r="AL19" s="932">
        <f t="shared" si="10"/>
        <v>6.13</v>
      </c>
      <c r="AM19" s="932">
        <f t="shared" si="11"/>
        <v>2</v>
      </c>
      <c r="AN19" s="932">
        <f t="shared" si="12"/>
        <v>89.99499999999999</v>
      </c>
      <c r="AO19" s="933">
        <f t="shared" si="13"/>
        <v>6679.9813544000017</v>
      </c>
      <c r="AP19" s="933">
        <f t="shared" si="14"/>
        <v>0</v>
      </c>
      <c r="AQ19" s="933">
        <f t="shared" si="15"/>
        <v>62.378854625550652</v>
      </c>
      <c r="AR19" s="934">
        <f t="shared" si="93"/>
        <v>6742.3602090255517</v>
      </c>
      <c r="AS19" s="5"/>
    </row>
    <row r="20" spans="1:45" ht="33.75" customHeight="1" x14ac:dyDescent="0.25">
      <c r="A20" s="406" t="s">
        <v>1186</v>
      </c>
      <c r="B20" s="914">
        <v>11</v>
      </c>
      <c r="C20" s="915">
        <f>'PP (Data Elements)'!C13*'PP (Data Elements)'!C6</f>
        <v>1.6500000000000004</v>
      </c>
      <c r="D20" s="916">
        <f>'PP (Data Elements)'!C15*'PP (Data Elements)'!C6</f>
        <v>8.2500000000000018E-2</v>
      </c>
      <c r="E20" s="916">
        <f>'PP (Data Elements)'!C14*'PP (Data Elements)'!C6</f>
        <v>0.16500000000000004</v>
      </c>
      <c r="F20" s="915">
        <v>0</v>
      </c>
      <c r="G20" s="915">
        <f t="shared" si="120"/>
        <v>1.8975000000000004</v>
      </c>
      <c r="H20" s="394">
        <f>'PP (Data Elements)'!C23</f>
        <v>134.97394020000002</v>
      </c>
      <c r="I20" s="394">
        <v>0</v>
      </c>
      <c r="J20" s="394">
        <v>0</v>
      </c>
      <c r="K20" s="917">
        <f t="shared" si="121"/>
        <v>134.97394020000002</v>
      </c>
      <c r="L20" s="405" t="str">
        <f t="shared" si="31"/>
        <v>PP. Suppliers of Carbon Dioxide</v>
      </c>
      <c r="M20" s="920">
        <f t="shared" si="62"/>
        <v>11</v>
      </c>
      <c r="N20" s="915">
        <f>'PP (Data Elements)'!C13*'PP (Data Elements)'!C6</f>
        <v>1.6500000000000004</v>
      </c>
      <c r="O20" s="916">
        <f>'PP (Data Elements)'!C15*'PP (Data Elements)'!C6</f>
        <v>8.2500000000000018E-2</v>
      </c>
      <c r="P20" s="916">
        <f>'PP (Data Elements)'!C14*'PP (Data Elements)'!C6</f>
        <v>0.16500000000000004</v>
      </c>
      <c r="Q20" s="915">
        <v>0</v>
      </c>
      <c r="R20" s="915">
        <f t="shared" si="122"/>
        <v>1.8975000000000004</v>
      </c>
      <c r="S20" s="394">
        <f>'PP (Data Elements)'!C23</f>
        <v>134.97394020000002</v>
      </c>
      <c r="T20" s="394">
        <v>0</v>
      </c>
      <c r="U20" s="394">
        <v>0</v>
      </c>
      <c r="V20" s="917">
        <f t="shared" si="123"/>
        <v>134.97394020000002</v>
      </c>
      <c r="W20" s="405" t="str">
        <f t="shared" si="19"/>
        <v>PP. Suppliers of Carbon Dioxide</v>
      </c>
      <c r="X20" s="920">
        <f t="shared" si="37"/>
        <v>11</v>
      </c>
      <c r="Y20" s="927">
        <f t="shared" si="124"/>
        <v>1.6500000000000004</v>
      </c>
      <c r="Z20" s="929">
        <f t="shared" si="125"/>
        <v>8.2500000000000018E-2</v>
      </c>
      <c r="AA20" s="929">
        <f>P20</f>
        <v>0.16500000000000004</v>
      </c>
      <c r="AB20" s="927">
        <f t="shared" si="127"/>
        <v>0</v>
      </c>
      <c r="AC20" s="915">
        <f t="shared" si="4"/>
        <v>1.8975000000000004</v>
      </c>
      <c r="AD20" s="928">
        <f t="shared" ref="AD20:AD21" si="131">S20</f>
        <v>134.97394020000002</v>
      </c>
      <c r="AE20" s="928">
        <f t="shared" si="129"/>
        <v>0</v>
      </c>
      <c r="AF20" s="928">
        <f t="shared" si="130"/>
        <v>0</v>
      </c>
      <c r="AG20" s="917">
        <f t="shared" si="109"/>
        <v>134.97394020000002</v>
      </c>
      <c r="AH20" s="405" t="str">
        <f t="shared" si="23"/>
        <v>PP. Suppliers of Carbon Dioxide</v>
      </c>
      <c r="AI20" s="931">
        <f t="shared" si="24"/>
        <v>11</v>
      </c>
      <c r="AJ20" s="932">
        <f t="shared" ref="AJ20" si="132">(Y20+N20+C20)/3</f>
        <v>1.6500000000000004</v>
      </c>
      <c r="AK20" s="974">
        <f t="shared" ref="AK20" si="133">(Z20+O20+D20)/3</f>
        <v>8.2500000000000018E-2</v>
      </c>
      <c r="AL20" s="974">
        <f t="shared" ref="AL20" si="134">(AA20+P20+E20)/3</f>
        <v>0.16500000000000004</v>
      </c>
      <c r="AM20" s="932">
        <f t="shared" ref="AM20" si="135">(AB20+Q20+F20)/3</f>
        <v>0</v>
      </c>
      <c r="AN20" s="932">
        <f t="shared" ref="AN20" si="136">(G20+R20+AC20)/3</f>
        <v>1.8975000000000002</v>
      </c>
      <c r="AO20" s="933">
        <f t="shared" ref="AO20" si="137">(AD20+H20+S20)/3</f>
        <v>134.97394020000002</v>
      </c>
      <c r="AP20" s="933">
        <f t="shared" si="14"/>
        <v>0</v>
      </c>
      <c r="AQ20" s="933">
        <f t="shared" si="15"/>
        <v>0</v>
      </c>
      <c r="AR20" s="934">
        <f t="shared" si="93"/>
        <v>134.97394020000002</v>
      </c>
      <c r="AS20" s="5"/>
    </row>
    <row r="21" spans="1:45" ht="33" customHeight="1" x14ac:dyDescent="0.25">
      <c r="A21" s="406" t="s">
        <v>408</v>
      </c>
      <c r="B21" s="914">
        <f>'Cost Summary'!C55</f>
        <v>33</v>
      </c>
      <c r="C21" s="921">
        <f>'QQ (Data Elements)'!D13*'QQ (Data Elements)'!D6+'QQ (Data Elements)'!E13*'QQ (Data Elements)'!E6</f>
        <v>4.7</v>
      </c>
      <c r="D21" s="916">
        <f>'QQ (Data Elements)'!D15*'QQ (Data Elements)'!D6+'QQ (Data Elements)'!E15*'QQ (Data Elements)'!E6</f>
        <v>0.23500000000000004</v>
      </c>
      <c r="E21" s="916">
        <f>'QQ (Data Elements)'!D14*'QQ (Data Elements)'!D6+'QQ (Data Elements)'!E14*'QQ (Data Elements)'!E6</f>
        <v>0.47000000000000008</v>
      </c>
      <c r="F21" s="915">
        <f>0</f>
        <v>0</v>
      </c>
      <c r="G21" s="921">
        <f t="shared" si="120"/>
        <v>5.4050000000000002</v>
      </c>
      <c r="H21" s="394">
        <f>'QQ (Data Elements)'!C23</f>
        <v>384.47122360000003</v>
      </c>
      <c r="I21" s="394">
        <f>0</f>
        <v>0</v>
      </c>
      <c r="J21" s="394">
        <f>0</f>
        <v>0</v>
      </c>
      <c r="K21" s="917">
        <f t="shared" si="121"/>
        <v>384.47122360000003</v>
      </c>
      <c r="L21" s="405" t="str">
        <f t="shared" si="31"/>
        <v>QQ. Importers/Exporters of FGHGs in Pre-Charged Equp. Or Foams</v>
      </c>
      <c r="M21" s="920">
        <f t="shared" si="62"/>
        <v>33</v>
      </c>
      <c r="N21" s="921">
        <f>'QQ (Data Elements)'!D13*'QQ (Data Elements)'!D6+'QQ (Data Elements)'!E13*'QQ (Data Elements)'!E6</f>
        <v>4.7</v>
      </c>
      <c r="O21" s="916">
        <f>'QQ (Data Elements)'!D15*'QQ (Data Elements)'!D6+'QQ (Data Elements)'!E15*'QQ (Data Elements)'!E6</f>
        <v>0.23500000000000004</v>
      </c>
      <c r="P21" s="916">
        <f>'QQ (Data Elements)'!D14*'QQ (Data Elements)'!D6+'QQ (Data Elements)'!E14*'QQ (Data Elements)'!E6</f>
        <v>0.47000000000000008</v>
      </c>
      <c r="Q21" s="915">
        <v>0</v>
      </c>
      <c r="R21" s="921">
        <f>SUM(N21:Q21)</f>
        <v>5.4050000000000002</v>
      </c>
      <c r="S21" s="394">
        <f>'QQ (Data Elements)'!C23</f>
        <v>384.47122360000003</v>
      </c>
      <c r="T21" s="394">
        <v>0</v>
      </c>
      <c r="U21" s="394">
        <v>0</v>
      </c>
      <c r="V21" s="917">
        <f t="shared" si="123"/>
        <v>384.47122360000003</v>
      </c>
      <c r="W21" s="405" t="str">
        <f t="shared" si="19"/>
        <v>QQ. Importers/Exporters of FGHGs in Pre-Charged Equp. Or Foams</v>
      </c>
      <c r="X21" s="920">
        <f t="shared" si="37"/>
        <v>33</v>
      </c>
      <c r="Y21" s="927">
        <f t="shared" ref="Y21" si="138">N21</f>
        <v>4.7</v>
      </c>
      <c r="Z21" s="929">
        <f t="shared" ref="Z21" si="139">O21</f>
        <v>0.23500000000000004</v>
      </c>
      <c r="AA21" s="929">
        <f>P21</f>
        <v>0.47000000000000008</v>
      </c>
      <c r="AB21" s="927">
        <f t="shared" ref="AB21" si="140">Q21</f>
        <v>0</v>
      </c>
      <c r="AC21" s="915">
        <f t="shared" ref="AC21" si="141">SUM(Y21:AB21)</f>
        <v>5.4050000000000002</v>
      </c>
      <c r="AD21" s="928">
        <f t="shared" si="131"/>
        <v>384.47122360000003</v>
      </c>
      <c r="AE21" s="928">
        <f t="shared" ref="AE21" si="142">T21</f>
        <v>0</v>
      </c>
      <c r="AF21" s="928">
        <f t="shared" ref="AF21" si="143">U21</f>
        <v>0</v>
      </c>
      <c r="AG21" s="917">
        <f t="shared" ref="AG21" si="144">SUM(AD21:AF21)</f>
        <v>384.47122360000003</v>
      </c>
      <c r="AH21" s="405" t="str">
        <f t="shared" si="23"/>
        <v>QQ. Importers/Exporters of FGHGs in Pre-Charged Equp. Or Foams</v>
      </c>
      <c r="AI21" s="931">
        <f t="shared" si="24"/>
        <v>33</v>
      </c>
      <c r="AJ21" s="932">
        <f t="shared" si="8"/>
        <v>4.7</v>
      </c>
      <c r="AK21" s="932">
        <f t="shared" si="9"/>
        <v>0.23500000000000001</v>
      </c>
      <c r="AL21" s="932">
        <f t="shared" si="10"/>
        <v>0.47000000000000003</v>
      </c>
      <c r="AM21" s="932">
        <f t="shared" si="11"/>
        <v>0</v>
      </c>
      <c r="AN21" s="932">
        <f t="shared" si="12"/>
        <v>5.4050000000000002</v>
      </c>
      <c r="AO21" s="933">
        <f t="shared" si="13"/>
        <v>384.47122360000003</v>
      </c>
      <c r="AP21" s="933">
        <f t="shared" si="14"/>
        <v>0</v>
      </c>
      <c r="AQ21" s="933">
        <f t="shared" si="15"/>
        <v>0</v>
      </c>
      <c r="AR21" s="934">
        <f t="shared" ref="AR21" si="145">(K21+V21+AG21)/3</f>
        <v>384.47122360000003</v>
      </c>
    </row>
    <row r="22" spans="1:45" ht="24.75" customHeight="1" x14ac:dyDescent="0.25">
      <c r="A22" s="406" t="s">
        <v>396</v>
      </c>
      <c r="B22" s="914">
        <f>'Cost Summary'!C56</f>
        <v>9</v>
      </c>
      <c r="C22" s="915">
        <v>0</v>
      </c>
      <c r="D22" s="915">
        <v>0</v>
      </c>
      <c r="E22" s="915">
        <v>0</v>
      </c>
      <c r="F22" s="915">
        <v>0</v>
      </c>
      <c r="G22" s="915">
        <v>0</v>
      </c>
      <c r="H22" s="394">
        <v>0</v>
      </c>
      <c r="I22" s="394">
        <v>0</v>
      </c>
      <c r="J22" s="394">
        <v>0</v>
      </c>
      <c r="K22" s="917">
        <f t="shared" si="121"/>
        <v>0</v>
      </c>
      <c r="L22" s="405" t="str">
        <f t="shared" si="31"/>
        <v>RR. Geologic Sequestration of Carbon Dioxide</v>
      </c>
      <c r="M22" s="920">
        <f t="shared" si="62"/>
        <v>9</v>
      </c>
      <c r="N22" s="915">
        <v>0</v>
      </c>
      <c r="O22" s="915">
        <v>0</v>
      </c>
      <c r="P22" s="915">
        <v>0</v>
      </c>
      <c r="Q22" s="915">
        <v>0</v>
      </c>
      <c r="R22" s="915">
        <f t="shared" si="122"/>
        <v>0</v>
      </c>
      <c r="S22" s="394">
        <v>0</v>
      </c>
      <c r="T22" s="394">
        <v>0</v>
      </c>
      <c r="U22" s="394">
        <v>0</v>
      </c>
      <c r="V22" s="917">
        <f t="shared" si="123"/>
        <v>0</v>
      </c>
      <c r="W22" s="405" t="str">
        <f t="shared" si="19"/>
        <v>RR. Geologic Sequestration of Carbon Dioxide</v>
      </c>
      <c r="X22" s="920">
        <f t="shared" ref="X22:X23" si="146">M22</f>
        <v>9</v>
      </c>
      <c r="Y22" s="927">
        <f t="shared" ref="Y22:Y23" si="147">N22</f>
        <v>0</v>
      </c>
      <c r="Z22" s="927">
        <f t="shared" ref="Z22:Z23" si="148">O22</f>
        <v>0</v>
      </c>
      <c r="AA22" s="927">
        <f t="shared" ref="AA22:AA23" si="149">P22</f>
        <v>0</v>
      </c>
      <c r="AB22" s="927">
        <f t="shared" ref="AB22:AB23" si="150">Q22</f>
        <v>0</v>
      </c>
      <c r="AC22" s="915">
        <f t="shared" si="4"/>
        <v>0</v>
      </c>
      <c r="AD22" s="928">
        <f t="shared" ref="AD22:AD23" si="151">S22</f>
        <v>0</v>
      </c>
      <c r="AE22" s="928">
        <f t="shared" ref="AE22:AE23" si="152">T22</f>
        <v>0</v>
      </c>
      <c r="AF22" s="928">
        <f t="shared" ref="AF22" si="153">U22</f>
        <v>0</v>
      </c>
      <c r="AG22" s="917">
        <f t="shared" ref="AG22:AG23" si="154">SUM(AD22:AF22)</f>
        <v>0</v>
      </c>
      <c r="AH22" s="405" t="str">
        <f t="shared" si="23"/>
        <v>RR. Geologic Sequestration of Carbon Dioxide</v>
      </c>
      <c r="AI22" s="931">
        <f t="shared" si="24"/>
        <v>9</v>
      </c>
      <c r="AJ22" s="932">
        <f t="shared" si="8"/>
        <v>0</v>
      </c>
      <c r="AK22" s="932">
        <f t="shared" si="9"/>
        <v>0</v>
      </c>
      <c r="AL22" s="932">
        <f t="shared" si="10"/>
        <v>0</v>
      </c>
      <c r="AM22" s="932">
        <f t="shared" si="11"/>
        <v>0</v>
      </c>
      <c r="AN22" s="932">
        <f t="shared" si="12"/>
        <v>0</v>
      </c>
      <c r="AO22" s="933">
        <f t="shared" si="13"/>
        <v>0</v>
      </c>
      <c r="AP22" s="933">
        <f t="shared" si="14"/>
        <v>0</v>
      </c>
      <c r="AQ22" s="933">
        <f t="shared" si="15"/>
        <v>0</v>
      </c>
      <c r="AR22" s="934">
        <f t="shared" si="93"/>
        <v>0</v>
      </c>
    </row>
    <row r="23" spans="1:45" ht="24.75" customHeight="1" x14ac:dyDescent="0.25">
      <c r="A23" s="406" t="s">
        <v>407</v>
      </c>
      <c r="B23" s="914">
        <f>'Cost Summary'!C57</f>
        <v>1</v>
      </c>
      <c r="C23" s="915">
        <f>'Subpart TT (Applicability)'!G15*'Subpart TT (Applicability)'!B34</f>
        <v>45</v>
      </c>
      <c r="D23" s="915">
        <f>'Subpart TT (Applicability)'!E15*'Subpart TT (Applicability)'!B34</f>
        <v>10</v>
      </c>
      <c r="E23" s="915">
        <f>'Subpart TT (Applicability)'!I15*'Subpart TT (Applicability)'!B34</f>
        <v>8</v>
      </c>
      <c r="F23" s="915">
        <f>'Subpart TT (Applicability)'!C15*'Subpart TT (Applicability)'!B34</f>
        <v>3</v>
      </c>
      <c r="G23" s="915">
        <f>SUM(C23:F23)</f>
        <v>66</v>
      </c>
      <c r="H23" s="394">
        <f>'Subpart TT (Applicability)'!C34</f>
        <v>4852.6056800000006</v>
      </c>
      <c r="I23" s="394">
        <f>0</f>
        <v>0</v>
      </c>
      <c r="J23" s="394">
        <f>'Subpart TT (Applicability)'!F34</f>
        <v>62.378854625550659</v>
      </c>
      <c r="K23" s="917">
        <f t="shared" si="121"/>
        <v>4914.9845346255515</v>
      </c>
      <c r="L23" s="405" t="str">
        <f t="shared" si="31"/>
        <v>TT. Industrial Waste Landfills</v>
      </c>
      <c r="M23" s="920">
        <f t="shared" si="62"/>
        <v>1</v>
      </c>
      <c r="N23" s="915">
        <f>'Subpart TT (Applicability)'!H15*'Subpart TT (Applicability)'!B34</f>
        <v>42</v>
      </c>
      <c r="O23" s="915">
        <f>'Subpart TT (Applicability)'!F15*'Subpart TT (Applicability)'!B34</f>
        <v>6</v>
      </c>
      <c r="P23" s="915">
        <f>'Subpart TT (Applicability)'!J15*'Subpart TT (Applicability)'!B34</f>
        <v>5</v>
      </c>
      <c r="Q23" s="915">
        <f>'Subpart TT (Applicability)'!D15*'Subpart TT (Applicability)'!B34</f>
        <v>1</v>
      </c>
      <c r="R23" s="915">
        <f t="shared" si="122"/>
        <v>54</v>
      </c>
      <c r="S23" s="394">
        <f>'Subpart TT (Applicability)'!D34</f>
        <v>3933.9487399999998</v>
      </c>
      <c r="T23" s="394">
        <v>0</v>
      </c>
      <c r="U23" s="394">
        <f>'Subpart TT (Applicability)'!G34</f>
        <v>62.378854625550659</v>
      </c>
      <c r="V23" s="917">
        <f t="shared" si="123"/>
        <v>3996.3275946255503</v>
      </c>
      <c r="W23" s="405" t="str">
        <f t="shared" si="19"/>
        <v>TT. Industrial Waste Landfills</v>
      </c>
      <c r="X23" s="920">
        <f t="shared" si="146"/>
        <v>1</v>
      </c>
      <c r="Y23" s="927">
        <f t="shared" si="147"/>
        <v>42</v>
      </c>
      <c r="Z23" s="927">
        <f t="shared" si="148"/>
        <v>6</v>
      </c>
      <c r="AA23" s="927">
        <f t="shared" si="149"/>
        <v>5</v>
      </c>
      <c r="AB23" s="927">
        <f t="shared" si="150"/>
        <v>1</v>
      </c>
      <c r="AC23" s="915">
        <f t="shared" si="4"/>
        <v>54</v>
      </c>
      <c r="AD23" s="928">
        <f t="shared" si="151"/>
        <v>3933.9487399999998</v>
      </c>
      <c r="AE23" s="928">
        <f t="shared" si="152"/>
        <v>0</v>
      </c>
      <c r="AF23" s="928">
        <f t="shared" ref="AF23:AF24" si="155">U23</f>
        <v>62.378854625550659</v>
      </c>
      <c r="AG23" s="917">
        <f t="shared" si="154"/>
        <v>3996.3275946255503</v>
      </c>
      <c r="AH23" s="405" t="str">
        <f t="shared" si="23"/>
        <v>TT. Industrial Waste Landfills</v>
      </c>
      <c r="AI23" s="931">
        <f t="shared" si="24"/>
        <v>1</v>
      </c>
      <c r="AJ23" s="932">
        <f t="shared" si="8"/>
        <v>43</v>
      </c>
      <c r="AK23" s="932">
        <f t="shared" si="9"/>
        <v>7.333333333333333</v>
      </c>
      <c r="AL23" s="932">
        <f t="shared" si="10"/>
        <v>6</v>
      </c>
      <c r="AM23" s="932">
        <f t="shared" si="11"/>
        <v>1.6666666666666667</v>
      </c>
      <c r="AN23" s="932">
        <f t="shared" si="12"/>
        <v>58</v>
      </c>
      <c r="AO23" s="933">
        <f t="shared" si="13"/>
        <v>4240.1677200000004</v>
      </c>
      <c r="AP23" s="933">
        <f t="shared" si="14"/>
        <v>0</v>
      </c>
      <c r="AQ23" s="933">
        <f t="shared" si="15"/>
        <v>62.378854625550652</v>
      </c>
      <c r="AR23" s="934">
        <f t="shared" ref="AR23" si="156">(K23+V23+AG23)/3</f>
        <v>4302.5465746255513</v>
      </c>
    </row>
    <row r="24" spans="1:45" ht="23.25" customHeight="1" x14ac:dyDescent="0.25">
      <c r="A24" s="406" t="s">
        <v>397</v>
      </c>
      <c r="B24" s="914">
        <v>2</v>
      </c>
      <c r="C24" s="915">
        <v>0</v>
      </c>
      <c r="D24" s="915">
        <v>0</v>
      </c>
      <c r="E24" s="915">
        <v>0</v>
      </c>
      <c r="F24" s="915">
        <v>0</v>
      </c>
      <c r="G24" s="915">
        <f>SUM(C24:F24)</f>
        <v>0</v>
      </c>
      <c r="H24" s="394">
        <v>0</v>
      </c>
      <c r="I24" s="394">
        <v>0</v>
      </c>
      <c r="J24" s="394">
        <v>0</v>
      </c>
      <c r="K24" s="917">
        <f t="shared" si="48"/>
        <v>0</v>
      </c>
      <c r="L24" s="405" t="str">
        <f t="shared" si="31"/>
        <v>VV. Geologic Sequestration of CO2 with EOR</v>
      </c>
      <c r="M24" s="920">
        <f t="shared" si="62"/>
        <v>2</v>
      </c>
      <c r="N24" s="915">
        <v>0</v>
      </c>
      <c r="O24" s="915">
        <v>0</v>
      </c>
      <c r="P24" s="915">
        <v>0</v>
      </c>
      <c r="Q24" s="915">
        <v>0</v>
      </c>
      <c r="R24" s="915">
        <f>SUM(N24:Q24)</f>
        <v>0</v>
      </c>
      <c r="S24" s="394">
        <v>0</v>
      </c>
      <c r="T24" s="394">
        <v>0</v>
      </c>
      <c r="U24" s="394">
        <v>0</v>
      </c>
      <c r="V24" s="917">
        <f t="shared" si="123"/>
        <v>0</v>
      </c>
      <c r="W24" s="405" t="str">
        <f t="shared" si="19"/>
        <v>VV. Geologic Sequestration of CO2 with EOR</v>
      </c>
      <c r="X24" s="920">
        <f t="shared" ref="X24" si="157">M24</f>
        <v>2</v>
      </c>
      <c r="Y24" s="927">
        <f t="shared" ref="Y24" si="158">N24</f>
        <v>0</v>
      </c>
      <c r="Z24" s="927">
        <f t="shared" ref="Z24" si="159">O24</f>
        <v>0</v>
      </c>
      <c r="AA24" s="927">
        <f t="shared" ref="AA24" si="160">P24</f>
        <v>0</v>
      </c>
      <c r="AB24" s="927">
        <f t="shared" ref="AB24" si="161">Q24</f>
        <v>0</v>
      </c>
      <c r="AC24" s="915">
        <f t="shared" ref="AC24" si="162">SUM(Y24:AB24)</f>
        <v>0</v>
      </c>
      <c r="AD24" s="928">
        <f t="shared" ref="AD24" si="163">S24</f>
        <v>0</v>
      </c>
      <c r="AE24" s="928">
        <f t="shared" ref="AE24" si="164">T24</f>
        <v>0</v>
      </c>
      <c r="AF24" s="928">
        <f t="shared" si="155"/>
        <v>0</v>
      </c>
      <c r="AG24" s="917">
        <f t="shared" ref="AG24" si="165">SUM(AD24:AF24)</f>
        <v>0</v>
      </c>
      <c r="AH24" s="405" t="str">
        <f t="shared" si="23"/>
        <v>VV. Geologic Sequestration of CO2 with EOR</v>
      </c>
      <c r="AI24" s="931">
        <f t="shared" si="24"/>
        <v>2</v>
      </c>
      <c r="AJ24" s="932">
        <f t="shared" si="8"/>
        <v>0</v>
      </c>
      <c r="AK24" s="932">
        <f t="shared" si="9"/>
        <v>0</v>
      </c>
      <c r="AL24" s="932">
        <f t="shared" si="10"/>
        <v>0</v>
      </c>
      <c r="AM24" s="932">
        <f t="shared" si="11"/>
        <v>0</v>
      </c>
      <c r="AN24" s="932">
        <f t="shared" si="12"/>
        <v>0</v>
      </c>
      <c r="AO24" s="933">
        <f t="shared" si="13"/>
        <v>0</v>
      </c>
      <c r="AP24" s="933">
        <f t="shared" si="14"/>
        <v>0</v>
      </c>
      <c r="AQ24" s="933">
        <f t="shared" si="15"/>
        <v>0</v>
      </c>
      <c r="AR24" s="934">
        <f t="shared" ref="AR24" si="166">(K24+V24+AG24)/3</f>
        <v>0</v>
      </c>
    </row>
    <row r="25" spans="1:45" ht="23.25" customHeight="1" x14ac:dyDescent="0.25">
      <c r="A25" s="406" t="s">
        <v>403</v>
      </c>
      <c r="B25" s="914">
        <f>'Cost Summary'!C59</f>
        <v>15</v>
      </c>
      <c r="C25" s="915">
        <f>'WW (New subpart)'!G14*'WW (New subpart)'!B33</f>
        <v>390</v>
      </c>
      <c r="D25" s="915">
        <f>'WW (New subpart)'!E14*'WW (New subpart)'!B33</f>
        <v>48</v>
      </c>
      <c r="E25" s="915">
        <f>'WW (New subpart)'!I14*'WW (New subpart)'!B33</f>
        <v>36</v>
      </c>
      <c r="F25" s="915">
        <f>'WW (New subpart)'!C14*'WW (New subpart)'!B33</f>
        <v>30</v>
      </c>
      <c r="G25" s="915">
        <f>SUM(C25:F25)</f>
        <v>504</v>
      </c>
      <c r="H25" s="394">
        <f>'WW (New subpart)'!C33</f>
        <v>37847.428079999998</v>
      </c>
      <c r="I25" s="394">
        <f>0</f>
        <v>0</v>
      </c>
      <c r="J25" s="394">
        <f>'WW (New subpart)'!F33</f>
        <v>19649.339207048459</v>
      </c>
      <c r="K25" s="917">
        <f t="shared" si="48"/>
        <v>57496.767287048453</v>
      </c>
      <c r="L25" s="405" t="str">
        <f t="shared" si="31"/>
        <v>WW. Coke Calcining</v>
      </c>
      <c r="M25" s="920">
        <f t="shared" si="62"/>
        <v>15</v>
      </c>
      <c r="N25" s="915">
        <f>'WW (New subpart)'!H14*'WW (New subpart)'!B33</f>
        <v>345</v>
      </c>
      <c r="O25" s="915">
        <f>'WW (New subpart)'!F14*'WW (New subpart)'!B33</f>
        <v>48</v>
      </c>
      <c r="P25" s="915">
        <f>'WW (New subpart)'!J14*'WW (New subpart)'!B33</f>
        <v>36</v>
      </c>
      <c r="Q25" s="915">
        <f>'WW (New subpart)'!D14*'WW (New subpart)'!B33</f>
        <v>30</v>
      </c>
      <c r="R25" s="915">
        <f>SUM(N25:Q25)</f>
        <v>459</v>
      </c>
      <c r="S25" s="394">
        <f>'WW (New subpart)'!D33</f>
        <v>34525.212629999995</v>
      </c>
      <c r="T25" s="394">
        <v>0</v>
      </c>
      <c r="U25" s="394">
        <f>'WW (New subpart)'!G33</f>
        <v>19649.339207048459</v>
      </c>
      <c r="V25" s="917">
        <f t="shared" si="123"/>
        <v>54174.55183704845</v>
      </c>
      <c r="W25" s="405" t="str">
        <f t="shared" si="19"/>
        <v>WW. Coke Calcining</v>
      </c>
      <c r="X25" s="920">
        <f t="shared" ref="X25" si="167">M25</f>
        <v>15</v>
      </c>
      <c r="Y25" s="927">
        <f t="shared" ref="Y25" si="168">N25</f>
        <v>345</v>
      </c>
      <c r="Z25" s="927">
        <f t="shared" ref="Z25" si="169">O25</f>
        <v>48</v>
      </c>
      <c r="AA25" s="927">
        <f t="shared" ref="AA25" si="170">P25</f>
        <v>36</v>
      </c>
      <c r="AB25" s="927">
        <f t="shared" ref="AB25" si="171">Q25</f>
        <v>30</v>
      </c>
      <c r="AC25" s="915">
        <f t="shared" ref="AC25" si="172">SUM(Y25:AB25)</f>
        <v>459</v>
      </c>
      <c r="AD25" s="928">
        <f t="shared" ref="AD25" si="173">S25</f>
        <v>34525.212629999995</v>
      </c>
      <c r="AE25" s="928">
        <f t="shared" ref="AE25" si="174">T25</f>
        <v>0</v>
      </c>
      <c r="AF25" s="928">
        <f t="shared" ref="AF25" si="175">U25</f>
        <v>19649.339207048459</v>
      </c>
      <c r="AG25" s="917">
        <f t="shared" ref="AG25" si="176">SUM(AD25:AF25)</f>
        <v>54174.55183704845</v>
      </c>
      <c r="AH25" s="405" t="str">
        <f t="shared" si="23"/>
        <v>WW. Coke Calcining</v>
      </c>
      <c r="AI25" s="931">
        <f t="shared" si="24"/>
        <v>15</v>
      </c>
      <c r="AJ25" s="932">
        <f t="shared" si="8"/>
        <v>360</v>
      </c>
      <c r="AK25" s="932">
        <f t="shared" si="9"/>
        <v>48</v>
      </c>
      <c r="AL25" s="932">
        <f t="shared" si="10"/>
        <v>36</v>
      </c>
      <c r="AM25" s="932">
        <f t="shared" si="11"/>
        <v>30</v>
      </c>
      <c r="AN25" s="932">
        <f t="shared" si="12"/>
        <v>474</v>
      </c>
      <c r="AO25" s="933">
        <f t="shared" si="13"/>
        <v>35632.617779999993</v>
      </c>
      <c r="AP25" s="933">
        <f t="shared" si="14"/>
        <v>0</v>
      </c>
      <c r="AQ25" s="933">
        <f t="shared" si="15"/>
        <v>19649.339207048459</v>
      </c>
      <c r="AR25" s="934">
        <f t="shared" ref="AR25" si="177">(K25+V25+AG25)/3</f>
        <v>55281.956987048448</v>
      </c>
    </row>
    <row r="26" spans="1:45" ht="23.25" customHeight="1" x14ac:dyDescent="0.25">
      <c r="A26" s="406" t="s">
        <v>405</v>
      </c>
      <c r="B26" s="914">
        <f>'Cost Summary'!C60</f>
        <v>1</v>
      </c>
      <c r="C26" s="915">
        <f>'XX (New subpart)'!G15*'XX (New subpart)'!B34</f>
        <v>31</v>
      </c>
      <c r="D26" s="921">
        <f>'XX (New subpart)'!E15*'XX (New subpart)'!B34</f>
        <v>2.8</v>
      </c>
      <c r="E26" s="921">
        <f>'XX (New subpart)'!I15*'XX (New subpart)'!B34</f>
        <v>2.2000000000000002</v>
      </c>
      <c r="F26" s="921">
        <f>'XX (New subpart)'!C15*'XX (New subpart)'!B34</f>
        <v>2</v>
      </c>
      <c r="G26" s="915">
        <f t="shared" ref="G26:G28" si="178">SUM(C26:F26)</f>
        <v>38</v>
      </c>
      <c r="H26" s="394">
        <f>'XX (New subpart)'!C34</f>
        <v>2848.947748</v>
      </c>
      <c r="I26" s="394">
        <v>0</v>
      </c>
      <c r="J26" s="394">
        <f>'XX (New subpart)'!F34</f>
        <v>62.378854625550659</v>
      </c>
      <c r="K26" s="917">
        <f t="shared" si="48"/>
        <v>2911.3266026255505</v>
      </c>
      <c r="L26" s="405" t="str">
        <f t="shared" si="31"/>
        <v>XX. Calcium Carbide</v>
      </c>
      <c r="M26" s="920">
        <f t="shared" si="62"/>
        <v>1</v>
      </c>
      <c r="N26" s="915">
        <f>'XX (New subpart)'!H15*'XX (New subpart)'!B34</f>
        <v>28</v>
      </c>
      <c r="O26" s="921">
        <f>'XX (New subpart)'!F15*'XX (New subpart)'!B34</f>
        <v>2.8</v>
      </c>
      <c r="P26" s="921">
        <f>'XX (New subpart)'!J15*'XX (New subpart)'!B34</f>
        <v>2.2000000000000002</v>
      </c>
      <c r="Q26" s="921">
        <f>'XX (New subpart)'!D15*'XX (New subpart)'!B34</f>
        <v>2</v>
      </c>
      <c r="R26" s="915">
        <f>SUM(N26:Q26)</f>
        <v>35</v>
      </c>
      <c r="S26" s="394">
        <f>'XX (New subpart)'!D34</f>
        <v>2627.4667180000001</v>
      </c>
      <c r="T26" s="394">
        <v>0</v>
      </c>
      <c r="U26" s="394">
        <f>'XX (New subpart)'!G34</f>
        <v>62.378854625550659</v>
      </c>
      <c r="V26" s="917">
        <f t="shared" si="123"/>
        <v>2689.8455726255506</v>
      </c>
      <c r="W26" s="405" t="str">
        <f t="shared" si="19"/>
        <v>XX. Calcium Carbide</v>
      </c>
      <c r="X26" s="920">
        <f t="shared" ref="X26" si="179">M26</f>
        <v>1</v>
      </c>
      <c r="Y26" s="927">
        <f t="shared" ref="Y26" si="180">N26</f>
        <v>28</v>
      </c>
      <c r="Z26" s="927">
        <f t="shared" ref="Z26" si="181">O26</f>
        <v>2.8</v>
      </c>
      <c r="AA26" s="927">
        <f t="shared" ref="AA26" si="182">P26</f>
        <v>2.2000000000000002</v>
      </c>
      <c r="AB26" s="927">
        <f t="shared" ref="AB26" si="183">Q26</f>
        <v>2</v>
      </c>
      <c r="AC26" s="915">
        <f t="shared" ref="AC26" si="184">SUM(Y26:AB26)</f>
        <v>35</v>
      </c>
      <c r="AD26" s="928">
        <f t="shared" ref="AD26" si="185">S26</f>
        <v>2627.4667180000001</v>
      </c>
      <c r="AE26" s="928">
        <f t="shared" ref="AE26" si="186">T26</f>
        <v>0</v>
      </c>
      <c r="AF26" s="928">
        <f t="shared" ref="AF26" si="187">U26</f>
        <v>62.378854625550659</v>
      </c>
      <c r="AG26" s="917">
        <f t="shared" ref="AG26" si="188">SUM(AD26:AF26)</f>
        <v>2689.8455726255506</v>
      </c>
      <c r="AH26" s="405" t="str">
        <f t="shared" si="23"/>
        <v>XX. Calcium Carbide</v>
      </c>
      <c r="AI26" s="931">
        <f t="shared" si="24"/>
        <v>1</v>
      </c>
      <c r="AJ26" s="932">
        <f t="shared" si="8"/>
        <v>29</v>
      </c>
      <c r="AK26" s="932">
        <f t="shared" si="9"/>
        <v>2.7999999999999994</v>
      </c>
      <c r="AL26" s="932">
        <f t="shared" si="10"/>
        <v>2.2000000000000002</v>
      </c>
      <c r="AM26" s="932">
        <f t="shared" si="11"/>
        <v>2</v>
      </c>
      <c r="AN26" s="932">
        <f t="shared" si="12"/>
        <v>36</v>
      </c>
      <c r="AO26" s="933">
        <f t="shared" si="13"/>
        <v>2701.2937280000001</v>
      </c>
      <c r="AP26" s="933">
        <f t="shared" si="14"/>
        <v>0</v>
      </c>
      <c r="AQ26" s="933">
        <f t="shared" si="15"/>
        <v>62.378854625550652</v>
      </c>
      <c r="AR26" s="934">
        <f t="shared" ref="AR26" si="189">(K26+V26+AG26)/3</f>
        <v>2763.6725826255511</v>
      </c>
    </row>
    <row r="27" spans="1:45" ht="42" customHeight="1" x14ac:dyDescent="0.25">
      <c r="A27" s="406" t="s">
        <v>404</v>
      </c>
      <c r="B27" s="914">
        <f>'Cost Summary'!C61</f>
        <v>6</v>
      </c>
      <c r="C27" s="915">
        <f>'YY (New subpart)'!G14*'YY (New subpart)'!B33</f>
        <v>130.20000000000002</v>
      </c>
      <c r="D27" s="915">
        <f>'YY (New subpart)'!E14*'YY (New subpart)'!B33</f>
        <v>16.799999999999997</v>
      </c>
      <c r="E27" s="915">
        <f>'YY (New subpart)'!I14*'YY (New subpart)'!B33</f>
        <v>13.200000000000001</v>
      </c>
      <c r="F27" s="915">
        <f>'YY (New subpart)'!C14*'YY (New subpart)'!B33</f>
        <v>6</v>
      </c>
      <c r="G27" s="915">
        <f t="shared" si="178"/>
        <v>166.2</v>
      </c>
      <c r="H27" s="394">
        <f>'YY (New subpart)'!C33</f>
        <v>12285.35607</v>
      </c>
      <c r="I27" s="394">
        <v>0</v>
      </c>
      <c r="J27" s="394">
        <f>'YY (New subpart)'!F33</f>
        <v>374.27312775330392</v>
      </c>
      <c r="K27" s="917">
        <f t="shared" si="48"/>
        <v>12659.629197753304</v>
      </c>
      <c r="L27" s="405" t="str">
        <f t="shared" si="31"/>
        <v>YY. Caprolactum, Glyoxal, and Glyoxalic Acid Production</v>
      </c>
      <c r="M27" s="920">
        <f t="shared" si="62"/>
        <v>6</v>
      </c>
      <c r="N27" s="915">
        <f>'YY (New subpart)'!H14*'YY (New subpart)'!B33</f>
        <v>114</v>
      </c>
      <c r="O27" s="915">
        <f>'YY (New subpart)'!F14*'YY (New subpart)'!B33</f>
        <v>16.799999999999997</v>
      </c>
      <c r="P27" s="915">
        <f>'YY (New subpart)'!J14*'YY (New subpart)'!B33</f>
        <v>13.200000000000001</v>
      </c>
      <c r="Q27" s="915">
        <f>'YY (New subpart)'!D14*'YY (New subpart)'!B33</f>
        <v>6</v>
      </c>
      <c r="R27" s="915">
        <f>SUM(N27:Q27)</f>
        <v>150</v>
      </c>
      <c r="S27" s="394">
        <f>'YY (New subpart)'!D33</f>
        <v>11089.358507999999</v>
      </c>
      <c r="T27" s="394">
        <v>0</v>
      </c>
      <c r="U27" s="394">
        <f>'YY (New subpart)'!G33</f>
        <v>374.27312775330392</v>
      </c>
      <c r="V27" s="917">
        <f t="shared" si="123"/>
        <v>11463.631635753303</v>
      </c>
      <c r="W27" s="405" t="str">
        <f t="shared" si="19"/>
        <v>YY. Caprolactum, Glyoxal, and Glyoxalic Acid Production</v>
      </c>
      <c r="X27" s="920">
        <f t="shared" ref="X27" si="190">M27</f>
        <v>6</v>
      </c>
      <c r="Y27" s="927">
        <f t="shared" ref="Y27" si="191">N27</f>
        <v>114</v>
      </c>
      <c r="Z27" s="927">
        <f t="shared" ref="Z27" si="192">O27</f>
        <v>16.799999999999997</v>
      </c>
      <c r="AA27" s="927">
        <f t="shared" ref="AA27" si="193">P27</f>
        <v>13.200000000000001</v>
      </c>
      <c r="AB27" s="927">
        <f t="shared" ref="AB27" si="194">Q27</f>
        <v>6</v>
      </c>
      <c r="AC27" s="915">
        <f t="shared" ref="AC27" si="195">SUM(Y27:AB27)</f>
        <v>150</v>
      </c>
      <c r="AD27" s="928">
        <f t="shared" ref="AD27" si="196">S27</f>
        <v>11089.358507999999</v>
      </c>
      <c r="AE27" s="928">
        <f t="shared" ref="AE27" si="197">T27</f>
        <v>0</v>
      </c>
      <c r="AF27" s="928">
        <f t="shared" ref="AF27" si="198">U27</f>
        <v>374.27312775330392</v>
      </c>
      <c r="AG27" s="917">
        <f t="shared" ref="AG27:AG28" si="199">SUM(AD27:AF27)</f>
        <v>11463.631635753303</v>
      </c>
      <c r="AH27" s="405" t="str">
        <f t="shared" si="23"/>
        <v>YY. Caprolactum, Glyoxal, and Glyoxalic Acid Production</v>
      </c>
      <c r="AI27" s="931">
        <f t="shared" si="24"/>
        <v>6</v>
      </c>
      <c r="AJ27" s="932">
        <f t="shared" si="8"/>
        <v>119.40000000000002</v>
      </c>
      <c r="AK27" s="932">
        <f t="shared" si="9"/>
        <v>16.799999999999997</v>
      </c>
      <c r="AL27" s="932">
        <f t="shared" si="10"/>
        <v>13.200000000000001</v>
      </c>
      <c r="AM27" s="932">
        <f t="shared" si="11"/>
        <v>6</v>
      </c>
      <c r="AN27" s="932">
        <f t="shared" si="12"/>
        <v>155.4</v>
      </c>
      <c r="AO27" s="933">
        <f>(AD27+H27+S27)/3</f>
        <v>11488.024361999998</v>
      </c>
      <c r="AP27" s="933">
        <f t="shared" si="14"/>
        <v>0</v>
      </c>
      <c r="AQ27" s="933">
        <f t="shared" si="15"/>
        <v>374.27312775330392</v>
      </c>
      <c r="AR27" s="934">
        <f t="shared" ref="AR27" si="200">(K27+V27+AG27)/3</f>
        <v>11862.297489753304</v>
      </c>
    </row>
    <row r="28" spans="1:45" ht="23.25" customHeight="1" thickBot="1" x14ac:dyDescent="0.3">
      <c r="A28" s="406" t="s">
        <v>406</v>
      </c>
      <c r="B28" s="914">
        <f>'Cost Summary'!C62</f>
        <v>34</v>
      </c>
      <c r="C28" s="915">
        <f>'ZZ (New Subpart)'!G14*'ZZ (New Subpart)'!B33</f>
        <v>816</v>
      </c>
      <c r="D28" s="915">
        <f>'ZZ (New Subpart)'!E14*'ZZ (New Subpart)'!B33</f>
        <v>74.800000000000011</v>
      </c>
      <c r="E28" s="915">
        <f>'ZZ (New Subpart)'!I14*'ZZ (New Subpart)'!B33</f>
        <v>64.599999999999994</v>
      </c>
      <c r="F28" s="915">
        <f>'ZZ (New Subpart)'!C14*'ZZ (New Subpart)'!B33</f>
        <v>68</v>
      </c>
      <c r="G28" s="915">
        <f t="shared" si="178"/>
        <v>1023.4</v>
      </c>
      <c r="H28" s="394">
        <f>'ZZ (New Subpart)'!C33</f>
        <v>77082.587178000016</v>
      </c>
      <c r="I28" s="394">
        <v>0</v>
      </c>
      <c r="J28" s="394">
        <f>'ZZ (New Subpart)'!F33</f>
        <v>2120.8810572687225</v>
      </c>
      <c r="K28" s="917">
        <f t="shared" si="48"/>
        <v>79203.468235268738</v>
      </c>
      <c r="L28" s="405" t="str">
        <f t="shared" si="31"/>
        <v>ZZ. Ceramics Production</v>
      </c>
      <c r="M28" s="920">
        <f t="shared" si="62"/>
        <v>34</v>
      </c>
      <c r="N28" s="915">
        <f>'ZZ (New Subpart)'!H14*'ZZ (New Subpart)'!B33</f>
        <v>748</v>
      </c>
      <c r="O28" s="915">
        <f>'ZZ (New Subpart)'!F14*'ZZ (New Subpart)'!B33</f>
        <v>74.800000000000011</v>
      </c>
      <c r="P28" s="915">
        <f>'ZZ (New Subpart)'!J14*'ZZ (New Subpart)'!B33</f>
        <v>64.599999999999994</v>
      </c>
      <c r="Q28" s="915">
        <f>'ZZ (New Subpart)'!D14*'ZZ (New Subpart)'!B33</f>
        <v>68</v>
      </c>
      <c r="R28" s="915">
        <f>SUM(N28:Q28)</f>
        <v>955.4</v>
      </c>
      <c r="S28" s="394">
        <f>'ZZ (New Subpart)'!D33</f>
        <v>72062.350498000014</v>
      </c>
      <c r="T28" s="394">
        <v>0</v>
      </c>
      <c r="U28" s="394">
        <f>'ZZ (New Subpart)'!G33</f>
        <v>2120.8810572687225</v>
      </c>
      <c r="V28" s="917">
        <f t="shared" si="123"/>
        <v>74183.231555268736</v>
      </c>
      <c r="W28" s="405" t="str">
        <f t="shared" si="19"/>
        <v>ZZ. Ceramics Production</v>
      </c>
      <c r="X28" s="920">
        <f t="shared" ref="X28:X29" si="201">M28</f>
        <v>34</v>
      </c>
      <c r="Y28" s="927">
        <f t="shared" ref="Y28" si="202">N28</f>
        <v>748</v>
      </c>
      <c r="Z28" s="927">
        <f t="shared" ref="Z28" si="203">O28</f>
        <v>74.800000000000011</v>
      </c>
      <c r="AA28" s="927">
        <f t="shared" ref="AA28" si="204">P28</f>
        <v>64.599999999999994</v>
      </c>
      <c r="AB28" s="927">
        <f t="shared" ref="AB28" si="205">Q28</f>
        <v>68</v>
      </c>
      <c r="AC28" s="915">
        <f t="shared" ref="AC28" si="206">SUM(Y28:AB28)</f>
        <v>955.4</v>
      </c>
      <c r="AD28" s="928">
        <f t="shared" ref="AD28" si="207">S28</f>
        <v>72062.350498000014</v>
      </c>
      <c r="AE28" s="928">
        <f t="shared" ref="AE28" si="208">T28</f>
        <v>0</v>
      </c>
      <c r="AF28" s="928">
        <f t="shared" ref="AF28" si="209">U28</f>
        <v>2120.8810572687225</v>
      </c>
      <c r="AG28" s="917">
        <f t="shared" si="199"/>
        <v>74183.231555268736</v>
      </c>
      <c r="AH28" s="405" t="str">
        <f t="shared" si="23"/>
        <v>ZZ. Ceramics Production</v>
      </c>
      <c r="AI28" s="931">
        <f t="shared" si="24"/>
        <v>34</v>
      </c>
      <c r="AJ28" s="932">
        <f>(Y28+N28+C28)/3</f>
        <v>770.66666666666663</v>
      </c>
      <c r="AK28" s="932">
        <f t="shared" si="9"/>
        <v>74.800000000000011</v>
      </c>
      <c r="AL28" s="932">
        <f t="shared" si="10"/>
        <v>64.599999999999994</v>
      </c>
      <c r="AM28" s="932">
        <f t="shared" si="11"/>
        <v>68</v>
      </c>
      <c r="AN28" s="932">
        <f t="shared" si="12"/>
        <v>978.06666666666661</v>
      </c>
      <c r="AO28" s="933">
        <f t="shared" si="13"/>
        <v>73735.762724666682</v>
      </c>
      <c r="AP28" s="933">
        <f t="shared" si="14"/>
        <v>0</v>
      </c>
      <c r="AQ28" s="933">
        <f t="shared" si="15"/>
        <v>2120.8810572687225</v>
      </c>
      <c r="AR28" s="934">
        <f t="shared" ref="AR28" si="210">(K28+V28+AG28)/3</f>
        <v>75856.643781935403</v>
      </c>
    </row>
    <row r="29" spans="1:45" ht="15.75" thickBot="1" x14ac:dyDescent="0.3">
      <c r="A29" s="396" t="s">
        <v>398</v>
      </c>
      <c r="B29" s="935">
        <f>B4+B19+B21+B24+B20</f>
        <v>7990</v>
      </c>
      <c r="C29" s="930">
        <f>SUM(C4:C28)</f>
        <v>110989.22323974548</v>
      </c>
      <c r="D29" s="930">
        <f t="shared" ref="D29:J29" si="211">SUM(D4:D28)</f>
        <v>10541.338384636947</v>
      </c>
      <c r="E29" s="930">
        <f t="shared" si="211"/>
        <v>18067.166326291088</v>
      </c>
      <c r="F29" s="930">
        <f t="shared" si="211"/>
        <v>4178</v>
      </c>
      <c r="G29" s="924">
        <f t="shared" si="211"/>
        <v>152529.12000000002</v>
      </c>
      <c r="H29" s="925">
        <f t="shared" si="211"/>
        <v>11748618.595389066</v>
      </c>
      <c r="I29" s="925">
        <f t="shared" si="211"/>
        <v>0</v>
      </c>
      <c r="J29" s="925">
        <f t="shared" si="211"/>
        <v>3223041.2281424226</v>
      </c>
      <c r="K29" s="925">
        <f>SUM(K4:K28)</f>
        <v>14971659.823531484</v>
      </c>
      <c r="L29" s="396" t="s">
        <v>398</v>
      </c>
      <c r="M29" s="924">
        <f>B29</f>
        <v>7990</v>
      </c>
      <c r="N29" s="924">
        <f>SUM(N4:N28)</f>
        <v>67512.923239745491</v>
      </c>
      <c r="O29" s="924">
        <f t="shared" ref="O29:Q29" si="212">SUM(O4:O28)</f>
        <v>7449.1383846369472</v>
      </c>
      <c r="P29" s="924">
        <f t="shared" si="212"/>
        <v>11005.06632629108</v>
      </c>
      <c r="Q29" s="924">
        <f t="shared" si="212"/>
        <v>1032</v>
      </c>
      <c r="R29" s="924">
        <f>SUM(R4:R28)</f>
        <v>95752.519999999975</v>
      </c>
      <c r="S29" s="925">
        <f>SUM(S4:S28)</f>
        <v>7664139.8941030614</v>
      </c>
      <c r="T29" s="925">
        <f>SUM(T4:T28)</f>
        <v>0</v>
      </c>
      <c r="U29" s="925">
        <f>SUM(U4:U28)</f>
        <v>3225281.8766005724</v>
      </c>
      <c r="V29" s="925">
        <f>SUM(V4:V28)</f>
        <v>10889421.770703634</v>
      </c>
      <c r="W29" s="396" t="s">
        <v>398</v>
      </c>
      <c r="X29" s="924">
        <f t="shared" si="201"/>
        <v>7990</v>
      </c>
      <c r="Y29" s="925">
        <f t="shared" ref="Y29:AB29" si="213">SUM(Y4:Y28)</f>
        <v>67512.923239745491</v>
      </c>
      <c r="Z29" s="925">
        <f t="shared" si="213"/>
        <v>7449.1383846369472</v>
      </c>
      <c r="AA29" s="925">
        <f t="shared" si="213"/>
        <v>11005.06632629108</v>
      </c>
      <c r="AB29" s="925">
        <f t="shared" si="213"/>
        <v>1032</v>
      </c>
      <c r="AC29" s="930">
        <f>SUM(AC4:AC28)</f>
        <v>95752.519999999975</v>
      </c>
      <c r="AD29" s="925">
        <f>SUM(AD4:AD28)</f>
        <v>7664139.8941030614</v>
      </c>
      <c r="AE29" s="925">
        <f t="shared" ref="AE29:AF29" si="214">SUM(AE4:AE28)</f>
        <v>0</v>
      </c>
      <c r="AF29" s="925">
        <f t="shared" si="214"/>
        <v>3225281.8766005724</v>
      </c>
      <c r="AG29" s="925">
        <f>SUM(AG4:AG28)</f>
        <v>10889421.770703634</v>
      </c>
      <c r="AH29" s="396" t="s">
        <v>398</v>
      </c>
      <c r="AI29" s="924">
        <f t="shared" si="24"/>
        <v>7990</v>
      </c>
      <c r="AJ29" s="924">
        <f>SUM(AJ4:AJ28)</f>
        <v>82005.023239745482</v>
      </c>
      <c r="AK29" s="924">
        <f t="shared" ref="AK29:AR29" si="215">SUM(AK4:AK28)</f>
        <v>8479.8717179702817</v>
      </c>
      <c r="AL29" s="924">
        <f t="shared" si="215"/>
        <v>13359.099659624415</v>
      </c>
      <c r="AM29" s="924">
        <f t="shared" si="215"/>
        <v>2080.666666666667</v>
      </c>
      <c r="AN29" s="924">
        <f t="shared" si="215"/>
        <v>114678.05333333332</v>
      </c>
      <c r="AO29" s="925">
        <f>SUM(AO4:AO28)</f>
        <v>9025632.7945317253</v>
      </c>
      <c r="AP29" s="924">
        <f t="shared" si="215"/>
        <v>0</v>
      </c>
      <c r="AQ29" s="925">
        <f t="shared" si="215"/>
        <v>3224534.993781189</v>
      </c>
      <c r="AR29" s="925">
        <f t="shared" si="215"/>
        <v>12250167.788312918</v>
      </c>
    </row>
    <row r="30" spans="1:45" x14ac:dyDescent="0.25">
      <c r="A30" s="399" t="s">
        <v>399</v>
      </c>
      <c r="L30" s="399" t="s">
        <v>399</v>
      </c>
      <c r="W30" s="399" t="s">
        <v>399</v>
      </c>
      <c r="AI30" s="400"/>
    </row>
    <row r="31" spans="1:45" x14ac:dyDescent="0.25">
      <c r="AC31" s="401"/>
      <c r="AN31" s="401"/>
    </row>
    <row r="32" spans="1:45" ht="15.75" thickBot="1" x14ac:dyDescent="0.3">
      <c r="B32" t="s">
        <v>1044</v>
      </c>
      <c r="G32" s="401"/>
      <c r="U32" s="402"/>
      <c r="X32" s="403"/>
    </row>
    <row r="33" spans="2:24" ht="15.75" thickBot="1" x14ac:dyDescent="0.3">
      <c r="B33" s="397">
        <f>J29+U29+AF29</f>
        <v>9673604.9813435674</v>
      </c>
      <c r="C33" t="s">
        <v>1040</v>
      </c>
      <c r="U33" s="402"/>
      <c r="X33" s="403"/>
    </row>
    <row r="34" spans="2:24" ht="15.75" thickBot="1" x14ac:dyDescent="0.3">
      <c r="B34" s="397">
        <f>K29+V29+AG29</f>
        <v>36750503.364938751</v>
      </c>
      <c r="C34" t="s">
        <v>1041</v>
      </c>
    </row>
    <row r="35" spans="2:24" ht="15.75" thickBot="1" x14ac:dyDescent="0.3">
      <c r="B35" s="397">
        <f>H29+S29+AD29</f>
        <v>27076898.383595187</v>
      </c>
      <c r="C35" t="s">
        <v>1042</v>
      </c>
    </row>
    <row r="36" spans="2:24" ht="15.75" thickBot="1" x14ac:dyDescent="0.3">
      <c r="B36" s="398">
        <f>SUM(G29,R29,AC29)</f>
        <v>344034.16</v>
      </c>
      <c r="C36" t="s">
        <v>1043</v>
      </c>
    </row>
  </sheetData>
  <mergeCells count="8">
    <mergeCell ref="A1:K1"/>
    <mergeCell ref="L1:V1"/>
    <mergeCell ref="W1:AG1"/>
    <mergeCell ref="AH1:AR1"/>
    <mergeCell ref="A2:K2"/>
    <mergeCell ref="L2:V2"/>
    <mergeCell ref="W2:AG2"/>
    <mergeCell ref="AH2:AR2"/>
  </mergeCells>
  <pageMargins left="0.7" right="0.7" top="1.25" bottom="0.75" header="0.3" footer="0.3"/>
  <pageSetup scale="87" orientation="portrait" r:id="rId1"/>
  <headerFooter>
    <oddHeader xml:space="preserve">&amp;CSUPPORTING STATEMENT: 
ENVIRONMENTAL PROTECTION AGENCY
OMB control number 2060-0629; ICR number &amp;K0000002300.19&amp;K01+000
Appendix A
</oddHeader>
    <oddFooter>&amp;LSeptember 2019</oddFooter>
  </headerFooter>
  <colBreaks count="1" manualBreakCount="1">
    <brk id="11" max="1048575" man="1"/>
  </colBreaks>
  <legacy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1D31C-2608-4801-8FB3-5E8C7FAE9DA7}">
  <sheetPr codeName="Sheet39">
    <tabColor rgb="FF7030A0"/>
  </sheetPr>
  <dimension ref="A4:F28"/>
  <sheetViews>
    <sheetView topLeftCell="B1" zoomScaleNormal="100" zoomScaleSheetLayoutView="96" workbookViewId="0">
      <selection activeCell="B19" sqref="B19"/>
    </sheetView>
  </sheetViews>
  <sheetFormatPr defaultRowHeight="15" x14ac:dyDescent="0.25"/>
  <cols>
    <col min="2" max="2" width="17.42578125" customWidth="1"/>
    <col min="3" max="3" width="17" customWidth="1"/>
    <col min="4" max="4" width="24.28515625" customWidth="1"/>
    <col min="5" max="5" width="32" customWidth="1"/>
    <col min="6" max="6" width="17.7109375" customWidth="1"/>
  </cols>
  <sheetData>
    <row r="4" spans="1:6" ht="15.75" thickBot="1" x14ac:dyDescent="0.3">
      <c r="A4" s="1055" t="s">
        <v>1045</v>
      </c>
      <c r="B4" s="1055"/>
      <c r="C4" s="1055"/>
      <c r="D4" s="1055"/>
      <c r="E4" s="1055"/>
      <c r="F4" s="1055"/>
    </row>
    <row r="5" spans="1:6" ht="23.25" thickBot="1" x14ac:dyDescent="0.3">
      <c r="A5" s="739" t="s">
        <v>488</v>
      </c>
      <c r="B5" s="936" t="s">
        <v>1022</v>
      </c>
      <c r="C5" s="937" t="s">
        <v>890</v>
      </c>
      <c r="D5" s="937" t="s">
        <v>1</v>
      </c>
      <c r="E5" s="937" t="s">
        <v>1046</v>
      </c>
      <c r="F5" s="938" t="s">
        <v>1047</v>
      </c>
    </row>
    <row r="6" spans="1:6" ht="15.75" thickTop="1" x14ac:dyDescent="0.25">
      <c r="A6" s="743">
        <v>1</v>
      </c>
      <c r="B6" s="939">
        <f>'Respondent Burden-All Yrs'!B29</f>
        <v>7990</v>
      </c>
      <c r="C6" s="940">
        <f>'Respondent Burden-All Yrs'!G29</f>
        <v>152529.12000000002</v>
      </c>
      <c r="D6" s="941">
        <f>'Respondent Burden-All Yrs'!H29</f>
        <v>11748618.595389066</v>
      </c>
      <c r="E6" s="941">
        <f>'Respondent Burden-All Yrs'!J29</f>
        <v>3223041.2281424226</v>
      </c>
      <c r="F6" s="942">
        <f>'Respondent Burden-All Yrs'!K29</f>
        <v>14971659.823531484</v>
      </c>
    </row>
    <row r="7" spans="1:6" x14ac:dyDescent="0.25">
      <c r="A7" s="744">
        <v>2</v>
      </c>
      <c r="B7" s="943">
        <f>'Respondent Burden-All Yrs'!M29</f>
        <v>7990</v>
      </c>
      <c r="C7" s="944">
        <f>'Respondent Burden-All Yrs'!R29</f>
        <v>95752.519999999975</v>
      </c>
      <c r="D7" s="945">
        <f>'Respondent Burden-All Yrs'!S29</f>
        <v>7664139.8941030614</v>
      </c>
      <c r="E7" s="945">
        <f>'Respondent Burden-All Yrs'!U29</f>
        <v>3225281.8766005724</v>
      </c>
      <c r="F7" s="946">
        <f>'Respondent Burden-All Yrs'!V29</f>
        <v>10889421.770703634</v>
      </c>
    </row>
    <row r="8" spans="1:6" ht="15.75" thickBot="1" x14ac:dyDescent="0.3">
      <c r="A8" s="745">
        <v>3</v>
      </c>
      <c r="B8" s="947">
        <f>'Respondent Burden-All Yrs'!X29</f>
        <v>7990</v>
      </c>
      <c r="C8" s="948">
        <f>'Respondent Burden-All Yrs'!AC29</f>
        <v>95752.519999999975</v>
      </c>
      <c r="D8" s="949">
        <f>'Respondent Burden-All Yrs'!AD29</f>
        <v>7664139.8941030614</v>
      </c>
      <c r="E8" s="949">
        <f>'Respondent Burden-All Yrs'!AF29</f>
        <v>3225281.8766005724</v>
      </c>
      <c r="F8" s="950">
        <f>'Respondent Burden-All Yrs'!AG29</f>
        <v>10889421.770703634</v>
      </c>
    </row>
    <row r="9" spans="1:6" ht="15.75" thickTop="1" x14ac:dyDescent="0.25">
      <c r="A9" s="743" t="s">
        <v>43</v>
      </c>
      <c r="B9" s="940">
        <f>SUM(B6:B8)</f>
        <v>23970</v>
      </c>
      <c r="C9" s="940">
        <f>SUM(C6:C8)</f>
        <v>344034.16</v>
      </c>
      <c r="D9" s="951">
        <f>SUM(D6:D8)</f>
        <v>27076898.383595187</v>
      </c>
      <c r="E9" s="951">
        <f>SUM(E6:E8)</f>
        <v>9673604.9813435674</v>
      </c>
      <c r="F9" s="952">
        <f>SUM(F6:F8)</f>
        <v>36750503.364938751</v>
      </c>
    </row>
    <row r="10" spans="1:6" ht="15.75" thickBot="1" x14ac:dyDescent="0.3">
      <c r="A10" s="747" t="s">
        <v>1048</v>
      </c>
      <c r="B10" s="953">
        <f>AVERAGE(B6:B8)</f>
        <v>7990</v>
      </c>
      <c r="C10" s="954">
        <f>AVERAGE(C6:C8)</f>
        <v>114678.05333333333</v>
      </c>
      <c r="D10" s="955">
        <f>AVERAGE(D6:D8)</f>
        <v>9025632.7945317291</v>
      </c>
      <c r="E10" s="955">
        <f>AVERAGE(E6:E8)</f>
        <v>3224534.993781189</v>
      </c>
      <c r="F10" s="956">
        <f>AVERAGE(F6:F8)</f>
        <v>12250167.788312918</v>
      </c>
    </row>
    <row r="12" spans="1:6" x14ac:dyDescent="0.25">
      <c r="F12" s="12"/>
    </row>
    <row r="13" spans="1:6" x14ac:dyDescent="0.25">
      <c r="D13" s="402"/>
    </row>
    <row r="16" spans="1:6" x14ac:dyDescent="0.25">
      <c r="C16" s="402"/>
    </row>
    <row r="28" spans="4:4" x14ac:dyDescent="0.25">
      <c r="D28" s="749"/>
    </row>
  </sheetData>
  <mergeCells count="1">
    <mergeCell ref="A4:F4"/>
  </mergeCells>
  <pageMargins left="0.7" right="0.7" top="1.25" bottom="0.75" header="0.3" footer="0.3"/>
  <pageSetup scale="71" orientation="portrait" r:id="rId1"/>
  <headerFooter>
    <oddHeader xml:space="preserve">&amp;CSUPPORTING STATEMENT: 
ENVIRONMENTAL PROTECTION AGENCY
OMB control number 2060-0629; ICR number &amp;K0000002300.19&amp;K01+000
Appendix A
</oddHeader>
    <oddFooter>&amp;LSeptember 2019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31EE3-2D0E-4300-AB5A-9C9F9519751A}">
  <sheetPr codeName="Sheet4"/>
  <dimension ref="B1:N38"/>
  <sheetViews>
    <sheetView topLeftCell="A18" zoomScale="95" zoomScaleNormal="95" workbookViewId="0">
      <selection activeCell="J40" sqref="J40"/>
    </sheetView>
  </sheetViews>
  <sheetFormatPr defaultRowHeight="15" x14ac:dyDescent="0.25"/>
  <cols>
    <col min="2" max="2" width="12.42578125" customWidth="1"/>
    <col min="5" max="5" width="12.140625" customWidth="1"/>
    <col min="6" max="6" width="11.42578125" customWidth="1"/>
  </cols>
  <sheetData>
    <row r="1" spans="2:14" x14ac:dyDescent="0.25">
      <c r="B1" s="709" t="s">
        <v>977</v>
      </c>
    </row>
    <row r="2" spans="2:14" x14ac:dyDescent="0.25">
      <c r="B2" s="13" t="s">
        <v>246</v>
      </c>
      <c r="N2" s="275" t="s">
        <v>1177</v>
      </c>
    </row>
    <row r="3" spans="2:14" ht="15.75" thickBot="1" x14ac:dyDescent="0.3">
      <c r="B3" s="13" t="s">
        <v>223</v>
      </c>
      <c r="N3" s="292" t="s">
        <v>170</v>
      </c>
    </row>
    <row r="4" spans="2:14" ht="41.25" customHeight="1" thickTop="1" x14ac:dyDescent="0.25">
      <c r="B4" s="993" t="s">
        <v>28</v>
      </c>
      <c r="C4" s="995" t="s">
        <v>29</v>
      </c>
      <c r="D4" s="996"/>
      <c r="E4" s="996"/>
      <c r="F4" s="996"/>
      <c r="G4" s="996"/>
      <c r="H4" s="996"/>
      <c r="I4" s="996"/>
      <c r="J4" s="997"/>
      <c r="K4" s="1001" t="s">
        <v>30</v>
      </c>
      <c r="L4" s="1002"/>
      <c r="N4" s="176"/>
    </row>
    <row r="5" spans="2:14" ht="30" customHeight="1" x14ac:dyDescent="0.25">
      <c r="B5" s="1000"/>
      <c r="C5" s="1003" t="s">
        <v>31</v>
      </c>
      <c r="D5" s="1004"/>
      <c r="E5" s="1003" t="s">
        <v>32</v>
      </c>
      <c r="F5" s="1004"/>
      <c r="G5" s="1005" t="s">
        <v>33</v>
      </c>
      <c r="H5" s="1006"/>
      <c r="I5" s="1005" t="s">
        <v>34</v>
      </c>
      <c r="J5" s="1006"/>
      <c r="K5" s="1007" t="s">
        <v>132</v>
      </c>
      <c r="L5" s="1008"/>
      <c r="N5" s="301" t="s">
        <v>207</v>
      </c>
    </row>
    <row r="6" spans="2:14" x14ac:dyDescent="0.25">
      <c r="B6" s="1000"/>
      <c r="C6" s="1009">
        <f>Lawyer</f>
        <v>114.79721000000001</v>
      </c>
      <c r="D6" s="1010"/>
      <c r="E6" s="1011">
        <f>Manager</f>
        <v>91.328059999999994</v>
      </c>
      <c r="F6" s="1010"/>
      <c r="G6" s="1011">
        <f>Tech</f>
        <v>73.827010000000001</v>
      </c>
      <c r="H6" s="1010"/>
      <c r="I6" s="1011">
        <f>Admin</f>
        <v>34.089750000000002</v>
      </c>
      <c r="J6" s="1010"/>
      <c r="K6" s="1012"/>
      <c r="L6" s="1013"/>
      <c r="N6" s="134"/>
    </row>
    <row r="7" spans="2:14" ht="36" x14ac:dyDescent="0.25">
      <c r="B7" s="994"/>
      <c r="C7" s="302" t="s">
        <v>35</v>
      </c>
      <c r="D7" s="302" t="s">
        <v>36</v>
      </c>
      <c r="E7" s="302" t="s">
        <v>35</v>
      </c>
      <c r="F7" s="302" t="s">
        <v>36</v>
      </c>
      <c r="G7" s="302" t="s">
        <v>35</v>
      </c>
      <c r="H7" s="302" t="s">
        <v>36</v>
      </c>
      <c r="I7" s="302" t="s">
        <v>35</v>
      </c>
      <c r="J7" s="302" t="s">
        <v>36</v>
      </c>
      <c r="K7" s="14" t="s">
        <v>3</v>
      </c>
      <c r="L7" s="15" t="s">
        <v>37</v>
      </c>
      <c r="N7" s="134"/>
    </row>
    <row r="8" spans="2:14" x14ac:dyDescent="0.25">
      <c r="B8" s="307" t="s">
        <v>38</v>
      </c>
      <c r="C8" s="315">
        <v>1</v>
      </c>
      <c r="D8" s="316">
        <v>1</v>
      </c>
      <c r="E8" s="316">
        <v>8</v>
      </c>
      <c r="F8" s="316">
        <v>2</v>
      </c>
      <c r="G8" s="316">
        <v>16</v>
      </c>
      <c r="H8" s="316">
        <v>19.5</v>
      </c>
      <c r="I8" s="316">
        <v>0</v>
      </c>
      <c r="J8" s="316">
        <v>1</v>
      </c>
      <c r="K8" s="52">
        <f>C8*$C$6+E8*$E$6+G8*$G$6+I8*$I$6</f>
        <v>2026.6538499999999</v>
      </c>
      <c r="L8" s="207">
        <f>D8*$C$6+F8*$E$6+H8*$G$6+J8*$I$6</f>
        <v>1771.1697750000001</v>
      </c>
      <c r="N8" s="269" t="s">
        <v>203</v>
      </c>
    </row>
    <row r="9" spans="2:14" x14ac:dyDescent="0.25">
      <c r="B9" s="308" t="s">
        <v>39</v>
      </c>
      <c r="C9" s="317">
        <v>0</v>
      </c>
      <c r="D9" s="20">
        <v>0</v>
      </c>
      <c r="E9" s="20">
        <v>0</v>
      </c>
      <c r="F9" s="20">
        <v>0</v>
      </c>
      <c r="G9" s="20">
        <v>0</v>
      </c>
      <c r="H9" s="39">
        <v>0</v>
      </c>
      <c r="I9" s="20">
        <v>0</v>
      </c>
      <c r="J9" s="20">
        <v>0</v>
      </c>
      <c r="K9" s="52">
        <f t="shared" ref="K9:K12" si="0">C9*$C$6+E9*$E$6+G9*$G$6+I9*$I$6</f>
        <v>0</v>
      </c>
      <c r="L9" s="208">
        <f t="shared" ref="L9:L12" si="1">D9*$C$6+F9*$E$6+H9*$G$6+J9*$I$6</f>
        <v>0</v>
      </c>
      <c r="N9" s="269" t="s">
        <v>206</v>
      </c>
    </row>
    <row r="10" spans="2:14" x14ac:dyDescent="0.25">
      <c r="B10" s="307" t="s">
        <v>40</v>
      </c>
      <c r="C10" s="318">
        <v>0</v>
      </c>
      <c r="D10" s="17">
        <v>0</v>
      </c>
      <c r="E10" s="17">
        <v>0</v>
      </c>
      <c r="F10" s="17">
        <v>0.5</v>
      </c>
      <c r="G10" s="17">
        <v>0</v>
      </c>
      <c r="H10" s="38">
        <v>2</v>
      </c>
      <c r="I10" s="17">
        <v>0</v>
      </c>
      <c r="J10" s="17">
        <v>0.5</v>
      </c>
      <c r="K10" s="52">
        <f t="shared" si="0"/>
        <v>0</v>
      </c>
      <c r="L10" s="208">
        <f t="shared" si="1"/>
        <v>210.36292499999999</v>
      </c>
      <c r="N10" s="269" t="s">
        <v>204</v>
      </c>
    </row>
    <row r="11" spans="2:14" ht="36" x14ac:dyDescent="0.25">
      <c r="B11" s="308" t="s">
        <v>41</v>
      </c>
      <c r="C11" s="317">
        <v>0</v>
      </c>
      <c r="D11" s="20">
        <v>0</v>
      </c>
      <c r="E11" s="20">
        <v>38</v>
      </c>
      <c r="F11" s="20">
        <v>0.3</v>
      </c>
      <c r="G11" s="20">
        <v>50</v>
      </c>
      <c r="H11" s="39">
        <v>3.3</v>
      </c>
      <c r="I11" s="20">
        <v>0</v>
      </c>
      <c r="J11" s="20">
        <v>0.2</v>
      </c>
      <c r="K11" s="52">
        <f t="shared" si="0"/>
        <v>7161.8167799999992</v>
      </c>
      <c r="L11" s="208">
        <f t="shared" si="1"/>
        <v>277.84550100000001</v>
      </c>
      <c r="N11" s="269" t="s">
        <v>296</v>
      </c>
    </row>
    <row r="12" spans="2:14" x14ac:dyDescent="0.25">
      <c r="B12" s="307" t="s">
        <v>42</v>
      </c>
      <c r="C12" s="318">
        <v>0</v>
      </c>
      <c r="D12" s="17">
        <v>0</v>
      </c>
      <c r="E12" s="17">
        <v>12</v>
      </c>
      <c r="F12" s="17">
        <v>1</v>
      </c>
      <c r="G12" s="17">
        <v>12</v>
      </c>
      <c r="H12" s="38">
        <v>4</v>
      </c>
      <c r="I12" s="17">
        <v>12</v>
      </c>
      <c r="J12" s="17">
        <v>1</v>
      </c>
      <c r="K12" s="52">
        <f t="shared" si="0"/>
        <v>2390.9378399999996</v>
      </c>
      <c r="L12" s="208">
        <f t="shared" si="1"/>
        <v>420.72584999999998</v>
      </c>
      <c r="N12" s="269" t="s">
        <v>205</v>
      </c>
    </row>
    <row r="13" spans="2:14" ht="15.75" thickBot="1" x14ac:dyDescent="0.3">
      <c r="B13" s="44" t="s">
        <v>43</v>
      </c>
      <c r="C13" s="46">
        <f>SUM(C8:C12)</f>
        <v>1</v>
      </c>
      <c r="D13" s="46">
        <f t="shared" ref="D13:J13" si="2">SUM(D8:D12)</f>
        <v>1</v>
      </c>
      <c r="E13" s="46">
        <f t="shared" si="2"/>
        <v>58</v>
      </c>
      <c r="F13" s="46">
        <f t="shared" si="2"/>
        <v>3.8</v>
      </c>
      <c r="G13" s="46">
        <f t="shared" si="2"/>
        <v>78</v>
      </c>
      <c r="H13" s="46">
        <f>SUM(H8:H12)</f>
        <v>28.8</v>
      </c>
      <c r="I13" s="46">
        <f t="shared" si="2"/>
        <v>12</v>
      </c>
      <c r="J13" s="46">
        <f t="shared" si="2"/>
        <v>2.7</v>
      </c>
      <c r="K13" s="47">
        <f>SUM(K8:K12)</f>
        <v>11579.408469999998</v>
      </c>
      <c r="L13" s="209">
        <f>SUM(L8:L12)</f>
        <v>2680.1040509999998</v>
      </c>
      <c r="M13" s="53"/>
    </row>
    <row r="14" spans="2:14" ht="16.5" thickTop="1" thickBot="1" x14ac:dyDescent="0.3">
      <c r="E14" s="128"/>
      <c r="F14" s="128"/>
      <c r="G14" s="128"/>
      <c r="H14" s="128"/>
      <c r="I14" s="128"/>
      <c r="J14" s="128"/>
      <c r="K14" s="128"/>
      <c r="L14" s="128"/>
    </row>
    <row r="15" spans="2:14" ht="25.5" thickTop="1" thickBot="1" x14ac:dyDescent="0.3">
      <c r="B15" s="159" t="s">
        <v>161</v>
      </c>
      <c r="C15" s="31">
        <f t="shared" ref="C15:L15" si="3">C13</f>
        <v>1</v>
      </c>
      <c r="D15" s="31">
        <f t="shared" si="3"/>
        <v>1</v>
      </c>
      <c r="E15" s="31">
        <f>E13</f>
        <v>58</v>
      </c>
      <c r="F15" s="31">
        <f t="shared" si="3"/>
        <v>3.8</v>
      </c>
      <c r="G15" s="31">
        <f t="shared" si="3"/>
        <v>78</v>
      </c>
      <c r="H15" s="31">
        <f t="shared" si="3"/>
        <v>28.8</v>
      </c>
      <c r="I15" s="31">
        <f t="shared" si="3"/>
        <v>12</v>
      </c>
      <c r="J15" s="31">
        <f t="shared" si="3"/>
        <v>2.7</v>
      </c>
      <c r="K15" s="119">
        <f t="shared" si="3"/>
        <v>11579.408469999998</v>
      </c>
      <c r="L15" s="120">
        <f t="shared" si="3"/>
        <v>2680.1040509999998</v>
      </c>
      <c r="M15" s="121"/>
    </row>
    <row r="16" spans="2:14" ht="15.75" thickTop="1" x14ac:dyDescent="0.25"/>
    <row r="17" spans="2:10" ht="15.75" thickBot="1" x14ac:dyDescent="0.3">
      <c r="B17" s="13" t="s">
        <v>224</v>
      </c>
    </row>
    <row r="18" spans="2:10" ht="48.75" customHeight="1" thickTop="1" x14ac:dyDescent="0.25">
      <c r="B18" s="993" t="s">
        <v>28</v>
      </c>
      <c r="C18" s="995" t="s">
        <v>45</v>
      </c>
      <c r="D18" s="996"/>
      <c r="E18" s="996"/>
      <c r="F18" s="997"/>
      <c r="G18" s="998" t="s">
        <v>133</v>
      </c>
      <c r="H18" s="999"/>
    </row>
    <row r="19" spans="2:10" ht="36" x14ac:dyDescent="0.25">
      <c r="B19" s="994"/>
      <c r="C19" s="306" t="s">
        <v>134</v>
      </c>
      <c r="D19" s="303" t="s">
        <v>46</v>
      </c>
      <c r="E19" s="303" t="s">
        <v>135</v>
      </c>
      <c r="F19" s="303" t="s">
        <v>136</v>
      </c>
      <c r="G19" s="14" t="s">
        <v>3</v>
      </c>
      <c r="H19" s="15" t="s">
        <v>47</v>
      </c>
    </row>
    <row r="20" spans="2:10" ht="48" x14ac:dyDescent="0.25">
      <c r="B20" s="307" t="s">
        <v>48</v>
      </c>
      <c r="C20" s="309">
        <v>0</v>
      </c>
      <c r="D20" s="309"/>
      <c r="E20" s="304">
        <v>0</v>
      </c>
      <c r="F20" s="304">
        <v>0</v>
      </c>
      <c r="G20" s="177">
        <v>0</v>
      </c>
      <c r="H20" s="178">
        <v>0</v>
      </c>
    </row>
    <row r="21" spans="2:10" ht="24" x14ac:dyDescent="0.25">
      <c r="B21" s="308" t="s">
        <v>50</v>
      </c>
      <c r="C21" s="310">
        <v>0</v>
      </c>
      <c r="D21" s="312"/>
      <c r="E21" s="180">
        <v>0</v>
      </c>
      <c r="F21" s="313">
        <f>8835*Inflation</f>
        <v>11022.343612334802</v>
      </c>
      <c r="G21" s="180">
        <v>0</v>
      </c>
      <c r="H21" s="184">
        <f>F21</f>
        <v>11022.343612334802</v>
      </c>
      <c r="I21" s="326" t="s">
        <v>217</v>
      </c>
    </row>
    <row r="22" spans="2:10" x14ac:dyDescent="0.25">
      <c r="B22" s="307" t="s">
        <v>40</v>
      </c>
      <c r="C22" s="311">
        <v>0</v>
      </c>
      <c r="D22" s="311"/>
      <c r="E22" s="177">
        <v>0</v>
      </c>
      <c r="F22" s="314">
        <f>50*Inflation</f>
        <v>62.378854625550659</v>
      </c>
      <c r="G22" s="177">
        <v>0</v>
      </c>
      <c r="H22" s="183">
        <f>F22</f>
        <v>62.378854625550659</v>
      </c>
      <c r="I22" s="326" t="s">
        <v>216</v>
      </c>
    </row>
    <row r="23" spans="2:10" x14ac:dyDescent="0.25">
      <c r="B23" s="308" t="s">
        <v>51</v>
      </c>
      <c r="C23" s="310">
        <v>0</v>
      </c>
      <c r="D23" s="312"/>
      <c r="E23" s="180">
        <v>0</v>
      </c>
      <c r="F23" s="162">
        <v>0</v>
      </c>
      <c r="G23" s="180">
        <v>0</v>
      </c>
      <c r="H23" s="181">
        <v>0</v>
      </c>
    </row>
    <row r="24" spans="2:10" ht="24" x14ac:dyDescent="0.25">
      <c r="B24" s="307" t="s">
        <v>52</v>
      </c>
      <c r="C24" s="311">
        <v>0</v>
      </c>
      <c r="D24" s="311"/>
      <c r="E24" s="177">
        <v>0</v>
      </c>
      <c r="F24" s="160">
        <v>0</v>
      </c>
      <c r="G24" s="177">
        <v>0</v>
      </c>
      <c r="H24" s="178">
        <v>0</v>
      </c>
    </row>
    <row r="25" spans="2:10" ht="15.75" thickBot="1" x14ac:dyDescent="0.3">
      <c r="B25" s="25" t="s">
        <v>43</v>
      </c>
      <c r="C25" s="182">
        <f>SUM(C20:C24)</f>
        <v>0</v>
      </c>
      <c r="D25" s="182">
        <f t="shared" ref="D25:G25" si="4">SUM(D20:D24)</f>
        <v>0</v>
      </c>
      <c r="E25" s="182">
        <f t="shared" si="4"/>
        <v>0</v>
      </c>
      <c r="F25" s="186">
        <f t="shared" si="4"/>
        <v>11084.722466960353</v>
      </c>
      <c r="G25" s="186">
        <f t="shared" si="4"/>
        <v>0</v>
      </c>
      <c r="H25" s="205">
        <f>SUM(H20:H24)</f>
        <v>11084.722466960353</v>
      </c>
      <c r="I25" s="281"/>
    </row>
    <row r="26" spans="2:10" ht="16.5" thickTop="1" thickBot="1" x14ac:dyDescent="0.3">
      <c r="B26" s="29"/>
    </row>
    <row r="27" spans="2:10" ht="16.5" thickTop="1" thickBot="1" x14ac:dyDescent="0.3">
      <c r="B27" s="30" t="s">
        <v>164</v>
      </c>
      <c r="C27" s="31"/>
      <c r="D27" s="31"/>
      <c r="E27" s="31"/>
      <c r="F27" s="31"/>
      <c r="G27" s="32">
        <f>G25</f>
        <v>0</v>
      </c>
      <c r="H27" s="33">
        <f>H25</f>
        <v>11084.722466960353</v>
      </c>
    </row>
    <row r="28" spans="2:10" ht="16.5" thickTop="1" thickBot="1" x14ac:dyDescent="0.3"/>
    <row r="29" spans="2:10" ht="49.5" thickTop="1" thickBot="1" x14ac:dyDescent="0.3">
      <c r="B29" s="34" t="s">
        <v>162</v>
      </c>
      <c r="C29" s="31"/>
      <c r="D29" s="31"/>
      <c r="E29" s="31"/>
      <c r="F29" s="31"/>
      <c r="G29" s="32">
        <f>K15+G27</f>
        <v>11579.408469999998</v>
      </c>
      <c r="H29" s="33">
        <f>L15+H27</f>
        <v>13764.826517960353</v>
      </c>
      <c r="J29" s="122"/>
    </row>
    <row r="30" spans="2:10" ht="15.75" thickTop="1" x14ac:dyDescent="0.25">
      <c r="B30" s="35" t="s">
        <v>165</v>
      </c>
    </row>
    <row r="31" spans="2:10" ht="15.75" thickBot="1" x14ac:dyDescent="0.3"/>
    <row r="32" spans="2:10" ht="15.75" thickTop="1" x14ac:dyDescent="0.25">
      <c r="B32" s="989" t="s">
        <v>152</v>
      </c>
      <c r="C32" s="990"/>
      <c r="D32" s="991"/>
      <c r="E32" s="167"/>
      <c r="F32" s="989" t="s">
        <v>154</v>
      </c>
      <c r="G32" s="991"/>
    </row>
    <row r="33" spans="2:9" ht="24" x14ac:dyDescent="0.25">
      <c r="B33" s="164" t="s">
        <v>57</v>
      </c>
      <c r="C33" s="324" t="s">
        <v>3</v>
      </c>
      <c r="D33" s="169" t="s">
        <v>47</v>
      </c>
      <c r="F33" s="168" t="s">
        <v>3</v>
      </c>
      <c r="G33" s="169" t="s">
        <v>47</v>
      </c>
    </row>
    <row r="34" spans="2:9" ht="15.75" thickBot="1" x14ac:dyDescent="0.3">
      <c r="B34" s="299">
        <v>-1</v>
      </c>
      <c r="C34" s="284">
        <f>D34</f>
        <v>-2680.1040509999998</v>
      </c>
      <c r="D34" s="300">
        <f t="shared" ref="D34" si="5">L15*$B$34</f>
        <v>-2680.1040509999998</v>
      </c>
      <c r="F34" s="287">
        <f>G34</f>
        <v>-11084.722466960353</v>
      </c>
      <c r="G34" s="288">
        <f>B34*H27</f>
        <v>-11084.722466960353</v>
      </c>
      <c r="I34" s="37"/>
    </row>
    <row r="35" spans="2:9" ht="15.75" thickTop="1" x14ac:dyDescent="0.25">
      <c r="B35" s="165" t="s">
        <v>58</v>
      </c>
      <c r="C35" s="166"/>
      <c r="D35" s="166"/>
      <c r="E35" s="166"/>
      <c r="I35" s="269" t="s">
        <v>1151</v>
      </c>
    </row>
    <row r="36" spans="2:9" x14ac:dyDescent="0.25">
      <c r="B36" s="992" t="s">
        <v>153</v>
      </c>
      <c r="C36" s="992"/>
      <c r="D36" s="992"/>
      <c r="E36" s="992"/>
      <c r="I36" s="269" t="s">
        <v>225</v>
      </c>
    </row>
    <row r="38" spans="2:9" x14ac:dyDescent="0.25">
      <c r="B38" s="346" t="s">
        <v>349</v>
      </c>
    </row>
  </sheetData>
  <mergeCells count="19">
    <mergeCell ref="B4:B7"/>
    <mergeCell ref="C4:J4"/>
    <mergeCell ref="K4:L4"/>
    <mergeCell ref="C5:D5"/>
    <mergeCell ref="E5:F5"/>
    <mergeCell ref="G5:H5"/>
    <mergeCell ref="I5:J5"/>
    <mergeCell ref="K5:L5"/>
    <mergeCell ref="C6:D6"/>
    <mergeCell ref="E6:F6"/>
    <mergeCell ref="G6:H6"/>
    <mergeCell ref="I6:J6"/>
    <mergeCell ref="K6:L6"/>
    <mergeCell ref="B32:D32"/>
    <mergeCell ref="B36:E36"/>
    <mergeCell ref="F32:G32"/>
    <mergeCell ref="B18:B19"/>
    <mergeCell ref="C18:F18"/>
    <mergeCell ref="G18:H18"/>
  </mergeCells>
  <hyperlinks>
    <hyperlink ref="B38" location="'Table of Contents'!A1" display="Table of Contents" xr:uid="{7BAFA68B-3BA6-44BE-83E8-2D6A453A0A53}"/>
  </hyperlinks>
  <pageMargins left="0.7" right="0.7" top="0.75" bottom="0.75" header="0.3" footer="0.3"/>
  <pageSetup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2906A-23F0-44BE-A2AC-2AC1C2581777}">
  <sheetPr codeName="Sheet40">
    <tabColor rgb="FF7030A0"/>
  </sheetPr>
  <dimension ref="B1:K33"/>
  <sheetViews>
    <sheetView topLeftCell="A12" zoomScaleNormal="100" zoomScaleSheetLayoutView="118" workbookViewId="0">
      <selection activeCell="B19" sqref="B19"/>
    </sheetView>
  </sheetViews>
  <sheetFormatPr defaultColWidth="8.7109375" defaultRowHeight="11.25" x14ac:dyDescent="0.2"/>
  <cols>
    <col min="1" max="1" width="8.7109375" style="77"/>
    <col min="2" max="2" width="16.7109375" style="77" customWidth="1"/>
    <col min="3" max="3" width="11.28515625" style="77" customWidth="1"/>
    <col min="4" max="4" width="8.28515625" style="77" customWidth="1"/>
    <col min="5" max="5" width="10.42578125" style="77" customWidth="1"/>
    <col min="6" max="6" width="11.140625" style="77" customWidth="1"/>
    <col min="7" max="7" width="10" style="77" customWidth="1"/>
    <col min="8" max="8" width="11.42578125" style="77" customWidth="1"/>
    <col min="9" max="16384" width="8.7109375" style="77"/>
  </cols>
  <sheetData>
    <row r="1" spans="2:10" x14ac:dyDescent="0.2">
      <c r="B1" s="1056"/>
      <c r="C1" s="1056"/>
      <c r="D1" s="1056"/>
      <c r="E1" s="1056"/>
      <c r="F1" s="1056"/>
      <c r="G1" s="1056"/>
      <c r="H1" s="1056"/>
    </row>
    <row r="2" spans="2:10" x14ac:dyDescent="0.2">
      <c r="B2" s="750"/>
      <c r="C2" s="750"/>
      <c r="D2" s="750"/>
      <c r="E2" s="750"/>
      <c r="F2" s="750"/>
      <c r="G2" s="750"/>
      <c r="H2" s="750"/>
    </row>
    <row r="3" spans="2:10" x14ac:dyDescent="0.2">
      <c r="B3" s="750"/>
      <c r="C3" s="750"/>
      <c r="D3" s="750"/>
      <c r="E3" s="750"/>
      <c r="F3" s="750"/>
      <c r="G3" s="750"/>
      <c r="H3" s="750"/>
    </row>
    <row r="4" spans="2:10" x14ac:dyDescent="0.2">
      <c r="B4" s="750"/>
      <c r="C4" s="750"/>
      <c r="D4" s="750"/>
      <c r="E4" s="750"/>
      <c r="F4" s="750"/>
      <c r="G4" s="750"/>
      <c r="H4" s="750"/>
    </row>
    <row r="5" spans="2:10" ht="32.25" customHeight="1" thickBot="1" x14ac:dyDescent="0.25">
      <c r="B5" s="1057" t="s">
        <v>1049</v>
      </c>
      <c r="C5" s="1057"/>
      <c r="D5" s="1057"/>
      <c r="E5" s="1057"/>
      <c r="F5" s="1057"/>
      <c r="G5" s="1057"/>
      <c r="H5" s="1057"/>
    </row>
    <row r="6" spans="2:10" ht="68.25" thickBot="1" x14ac:dyDescent="0.25">
      <c r="B6" s="751" t="s">
        <v>373</v>
      </c>
      <c r="C6" s="740" t="s">
        <v>944</v>
      </c>
      <c r="D6" s="740" t="s">
        <v>1050</v>
      </c>
      <c r="E6" s="740" t="s">
        <v>1051</v>
      </c>
      <c r="F6" s="740" t="s">
        <v>1052</v>
      </c>
      <c r="G6" s="740" t="s">
        <v>1053</v>
      </c>
      <c r="H6" s="742" t="s">
        <v>1054</v>
      </c>
    </row>
    <row r="7" spans="2:10" ht="38.25" customHeight="1" thickTop="1" x14ac:dyDescent="0.2">
      <c r="B7" s="752" t="s">
        <v>384</v>
      </c>
      <c r="C7" s="889">
        <f>'Respondent Burden-All Yrs'!AI4</f>
        <v>7840</v>
      </c>
      <c r="D7" s="890">
        <f>'Respondent Burden-All Yrs'!AN4</f>
        <v>901.6</v>
      </c>
      <c r="E7" s="891">
        <f t="shared" ref="E7:E31" si="0">D7/C7</f>
        <v>0.115</v>
      </c>
      <c r="F7" s="892">
        <f>'Respondent Burden-All Yrs'!AO4</f>
        <v>64133.072192000014</v>
      </c>
      <c r="G7" s="892">
        <f>'Respondent Burden-All Yrs'!AP4+'Respondent Burden-All Yrs'!AQ4</f>
        <v>0</v>
      </c>
      <c r="H7" s="893">
        <f>'Respondent Burden-All Yrs'!AR4</f>
        <v>64133.072192000014</v>
      </c>
      <c r="I7" s="753"/>
      <c r="J7" s="754"/>
    </row>
    <row r="8" spans="2:10" ht="22.5" x14ac:dyDescent="0.2">
      <c r="B8" s="752" t="s">
        <v>400</v>
      </c>
      <c r="C8" s="889">
        <f>'Respondent Burden-All Yrs'!AI5</f>
        <v>7840</v>
      </c>
      <c r="D8" s="890">
        <f>'Respondent Burden-All Yrs'!AN5</f>
        <v>86240</v>
      </c>
      <c r="E8" s="894">
        <f t="shared" si="0"/>
        <v>11</v>
      </c>
      <c r="F8" s="892">
        <f>'Respondent Burden-All Yrs'!AO5</f>
        <v>6057665.4988266677</v>
      </c>
      <c r="G8" s="892">
        <f>'Respondent Burden-All Yrs'!AP5+'Respondent Burden-All Yrs'!AQ5</f>
        <v>489050.22026431718</v>
      </c>
      <c r="H8" s="893">
        <f>'Respondent Burden-All Yrs'!AR5</f>
        <v>6546715.7190909842</v>
      </c>
      <c r="J8" s="753"/>
    </row>
    <row r="9" spans="2:10" ht="33.75" x14ac:dyDescent="0.2">
      <c r="B9" s="752" t="s">
        <v>385</v>
      </c>
      <c r="C9" s="889">
        <f>'Respondent Burden-All Yrs'!AI6</f>
        <v>346</v>
      </c>
      <c r="D9" s="890">
        <f>'Respondent Burden-All Yrs'!AN6</f>
        <v>139.26500000000001</v>
      </c>
      <c r="E9" s="891">
        <f t="shared" si="0"/>
        <v>0.40250000000000002</v>
      </c>
      <c r="F9" s="892">
        <f>'Respondent Burden-All Yrs'!AO6</f>
        <v>9906.2691868000002</v>
      </c>
      <c r="G9" s="892">
        <f>'Respondent Burden-All Yrs'!AP6+'Respondent Burden-All Yrs'!AQ6</f>
        <v>0</v>
      </c>
      <c r="H9" s="893">
        <f>'Respondent Burden-All Yrs'!AR6</f>
        <v>9906.2691868000002</v>
      </c>
      <c r="J9" s="753"/>
    </row>
    <row r="10" spans="2:10" ht="22.5" x14ac:dyDescent="0.2">
      <c r="B10" s="752" t="s">
        <v>401</v>
      </c>
      <c r="C10" s="889">
        <f>'Respondent Burden-All Yrs'!AI7</f>
        <v>7</v>
      </c>
      <c r="D10" s="890">
        <f>'Respondent Burden-All Yrs'!AN7</f>
        <v>0.80500000000000016</v>
      </c>
      <c r="E10" s="891">
        <f t="shared" si="0"/>
        <v>0.11500000000000002</v>
      </c>
      <c r="F10" s="892">
        <f>'Respondent Burden-All Yrs'!AO7</f>
        <v>57.261671600000021</v>
      </c>
      <c r="G10" s="892">
        <f>'Respondent Burden-All Yrs'!AP7+'Respondent Burden-All Yrs'!AQ7</f>
        <v>0</v>
      </c>
      <c r="H10" s="893">
        <f>'Respondent Burden-All Yrs'!AR7</f>
        <v>57.261671600000021</v>
      </c>
      <c r="J10" s="753"/>
    </row>
    <row r="11" spans="2:10" ht="22.5" x14ac:dyDescent="0.2">
      <c r="B11" s="752" t="s">
        <v>386</v>
      </c>
      <c r="C11" s="889">
        <f>'Respondent Burden-All Yrs'!AI8</f>
        <v>29</v>
      </c>
      <c r="D11" s="890">
        <f>'Respondent Burden-All Yrs'!AN8</f>
        <v>1.6675000000000002</v>
      </c>
      <c r="E11" s="891">
        <f t="shared" si="0"/>
        <v>5.7500000000000009E-2</v>
      </c>
      <c r="F11" s="892">
        <f>'Respondent Burden-All Yrs'!AO8</f>
        <v>118.61346260000001</v>
      </c>
      <c r="G11" s="892">
        <f>'Respondent Burden-All Yrs'!AP8+'Respondent Burden-All Yrs'!AQ8</f>
        <v>0</v>
      </c>
      <c r="H11" s="893">
        <f>'Respondent Burden-All Yrs'!AR8</f>
        <v>118.61346260000001</v>
      </c>
      <c r="J11" s="753"/>
    </row>
    <row r="12" spans="2:10" ht="22.5" x14ac:dyDescent="0.2">
      <c r="B12" s="752" t="s">
        <v>387</v>
      </c>
      <c r="C12" s="889">
        <f>'Respondent Burden-All Yrs'!AI9</f>
        <v>46</v>
      </c>
      <c r="D12" s="890">
        <f>'Respondent Burden-All Yrs'!AN9</f>
        <v>0</v>
      </c>
      <c r="E12" s="894">
        <f t="shared" si="0"/>
        <v>0</v>
      </c>
      <c r="F12" s="892">
        <f>'Respondent Burden-All Yrs'!AO9</f>
        <v>0</v>
      </c>
      <c r="G12" s="892">
        <f>'Respondent Burden-All Yrs'!AP9+'Respondent Burden-All Yrs'!AQ9</f>
        <v>0</v>
      </c>
      <c r="H12" s="893">
        <f>'Respondent Burden-All Yrs'!AR9</f>
        <v>0</v>
      </c>
      <c r="J12" s="753"/>
    </row>
    <row r="13" spans="2:10" x14ac:dyDescent="0.2">
      <c r="B13" s="752" t="s">
        <v>388</v>
      </c>
      <c r="C13" s="889">
        <f>'Respondent Burden-All Yrs'!AI10</f>
        <v>100</v>
      </c>
      <c r="D13" s="890">
        <f>'Respondent Burden-All Yrs'!AN10</f>
        <v>16.500000000000004</v>
      </c>
      <c r="E13" s="891">
        <f t="shared" si="0"/>
        <v>0.16500000000000004</v>
      </c>
      <c r="F13" s="892">
        <f>'Respondent Burden-All Yrs'!AO10</f>
        <v>1227.0358200000001</v>
      </c>
      <c r="G13" s="892">
        <f>'Respondent Burden-All Yrs'!AP10+'Respondent Burden-All Yrs'!AQ10</f>
        <v>0</v>
      </c>
      <c r="H13" s="893">
        <f>'Respondent Burden-All Yrs'!AR10</f>
        <v>1227.0358200000001</v>
      </c>
      <c r="J13" s="753"/>
    </row>
    <row r="14" spans="2:10" ht="22.5" customHeight="1" x14ac:dyDescent="0.2">
      <c r="B14" s="752" t="s">
        <v>389</v>
      </c>
      <c r="C14" s="889">
        <f>'Respondent Burden-All Yrs'!AI11</f>
        <v>116</v>
      </c>
      <c r="D14" s="890">
        <f>'Respondent Burden-All Yrs'!AN11</f>
        <v>99.834999999999994</v>
      </c>
      <c r="E14" s="891">
        <f t="shared" si="0"/>
        <v>0.86064655172413784</v>
      </c>
      <c r="F14" s="892">
        <f>'Respondent Burden-All Yrs'!AO11</f>
        <v>7178.6644731999995</v>
      </c>
      <c r="G14" s="892">
        <f>'Respondent Burden-All Yrs'!AP11+'Respondent Burden-All Yrs'!AQ11</f>
        <v>3734.4140969162995</v>
      </c>
      <c r="H14" s="893">
        <f>'Respondent Burden-All Yrs'!AR11</f>
        <v>10913.0785701163</v>
      </c>
      <c r="J14" s="753"/>
    </row>
    <row r="15" spans="2:10" ht="22.5" x14ac:dyDescent="0.2">
      <c r="B15" s="752" t="s">
        <v>402</v>
      </c>
      <c r="C15" s="889">
        <f>'Respondent Burden-All Yrs'!AI12</f>
        <v>1</v>
      </c>
      <c r="D15" s="890">
        <f>'Respondent Burden-All Yrs'!AN12</f>
        <v>-73.866666666666674</v>
      </c>
      <c r="E15" s="891">
        <f t="shared" si="0"/>
        <v>-73.866666666666674</v>
      </c>
      <c r="F15" s="892">
        <f>'Respondent Burden-All Yrs'!AO12</f>
        <v>-2680.1040509999998</v>
      </c>
      <c r="G15" s="892">
        <f>'Respondent Burden-All Yrs'!AP12+'Respondent Burden-All Yrs'!AQ12</f>
        <v>-11084.722466960353</v>
      </c>
      <c r="H15" s="893">
        <f>'Respondent Burden-All Yrs'!AR12</f>
        <v>-13764.826517960353</v>
      </c>
      <c r="J15" s="753"/>
    </row>
    <row r="16" spans="2:10" s="755" customFormat="1" ht="24.75" customHeight="1" x14ac:dyDescent="0.2">
      <c r="B16" s="752" t="s">
        <v>390</v>
      </c>
      <c r="C16" s="889">
        <f>'Respondent Burden-All Yrs'!AI13</f>
        <v>188</v>
      </c>
      <c r="D16" s="890">
        <f>'Respondent Burden-All Yrs'!AN13</f>
        <v>23685.944999999996</v>
      </c>
      <c r="E16" s="891">
        <f t="shared" si="0"/>
        <v>125.98906914893615</v>
      </c>
      <c r="F16" s="892">
        <f>'Respondent Burden-All Yrs'!AO13</f>
        <v>2620418.1941540604</v>
      </c>
      <c r="G16" s="892">
        <f>'Respondent Burden-All Yrs'!AP13+'Respondent Burden-All Yrs'!AQ13</f>
        <v>2717863.5788032156</v>
      </c>
      <c r="H16" s="893">
        <f>'Respondent Burden-All Yrs'!AR13</f>
        <v>5338281.7729572766</v>
      </c>
      <c r="J16" s="753"/>
    </row>
    <row r="17" spans="2:11" ht="22.5" x14ac:dyDescent="0.2">
      <c r="B17" s="752" t="s">
        <v>391</v>
      </c>
      <c r="C17" s="889">
        <f>'Respondent Burden-All Yrs'!AI14</f>
        <v>6</v>
      </c>
      <c r="D17" s="890">
        <f>'Respondent Burden-All Yrs'!AN14</f>
        <v>-91.454999999999998</v>
      </c>
      <c r="E17" s="891">
        <f t="shared" si="0"/>
        <v>-15.2425</v>
      </c>
      <c r="F17" s="892">
        <f>'Respondent Burden-All Yrs'!AO14</f>
        <v>-6880.5018095999994</v>
      </c>
      <c r="G17" s="892">
        <f>'Respondent Burden-All Yrs'!AP14+'Respondent Burden-All Yrs'!AQ14</f>
        <v>-3929.8678414096921</v>
      </c>
      <c r="H17" s="893">
        <f>'Respondent Burden-All Yrs'!AR14</f>
        <v>-10810.369651009692</v>
      </c>
      <c r="J17" s="753"/>
    </row>
    <row r="18" spans="2:11" ht="22.5" x14ac:dyDescent="0.2">
      <c r="B18" s="752" t="s">
        <v>392</v>
      </c>
      <c r="C18" s="889">
        <f>'Respondent Burden-All Yrs'!AI15</f>
        <v>1</v>
      </c>
      <c r="D18" s="890">
        <f>'Respondent Burden-All Yrs'!AN15</f>
        <v>1.415</v>
      </c>
      <c r="E18" s="891">
        <f t="shared" si="0"/>
        <v>1.415</v>
      </c>
      <c r="F18" s="892">
        <f>'Respondent Burden-All Yrs'!AO15</f>
        <v>104.15535180000001</v>
      </c>
      <c r="G18" s="892">
        <f>'Respondent Burden-All Yrs'!AP15+'Respondent Burden-All Yrs'!AQ15</f>
        <v>0</v>
      </c>
      <c r="H18" s="893">
        <f>'Respondent Burden-All Yrs'!AR15</f>
        <v>104.15535180000001</v>
      </c>
      <c r="J18" s="753"/>
    </row>
    <row r="19" spans="2:11" ht="45" customHeight="1" x14ac:dyDescent="0.2">
      <c r="B19" s="752" t="s">
        <v>393</v>
      </c>
      <c r="C19" s="889">
        <f>'Respondent Burden-All Yrs'!AI16</f>
        <v>2</v>
      </c>
      <c r="D19" s="890">
        <f>'Respondent Burden-All Yrs'!AN16</f>
        <v>84</v>
      </c>
      <c r="E19" s="894">
        <f t="shared" si="0"/>
        <v>42</v>
      </c>
      <c r="F19" s="892">
        <f>'Respondent Burden-All Yrs'!AO16</f>
        <v>6200.1288299999987</v>
      </c>
      <c r="G19" s="892">
        <f>'Respondent Burden-All Yrs'!AP16+'Respondent Burden-All Yrs'!AQ16</f>
        <v>3118.9427312775333</v>
      </c>
      <c r="H19" s="893">
        <f>'Respondent Burden-All Yrs'!AR16</f>
        <v>9319.071561277533</v>
      </c>
      <c r="J19" s="753"/>
    </row>
    <row r="20" spans="2:11" x14ac:dyDescent="0.2">
      <c r="B20" s="752" t="s">
        <v>394</v>
      </c>
      <c r="C20" s="889">
        <f>'Respondent Burden-All Yrs'!AI17</f>
        <v>1126</v>
      </c>
      <c r="D20" s="890">
        <f>'Respondent Burden-All Yrs'!AN17</f>
        <v>1808.5116666666665</v>
      </c>
      <c r="E20" s="891">
        <f t="shared" si="0"/>
        <v>1.606138247483718</v>
      </c>
      <c r="F20" s="892">
        <f>'Respondent Burden-All Yrs'!AO17</f>
        <v>128282.84601540001</v>
      </c>
      <c r="G20" s="892">
        <f>'Respondent Burden-All Yrs'!AP17+'Respondent Burden-All Yrs'!AQ17</f>
        <v>374.27312775330392</v>
      </c>
      <c r="H20" s="893">
        <f>'Respondent Burden-All Yrs'!AR17</f>
        <v>128657.11914315331</v>
      </c>
      <c r="J20" s="753"/>
    </row>
    <row r="21" spans="2:11" ht="33.75" x14ac:dyDescent="0.2">
      <c r="B21" s="752" t="s">
        <v>409</v>
      </c>
      <c r="C21" s="889">
        <f>'Respondent Burden-All Yrs'!AI18</f>
        <v>2</v>
      </c>
      <c r="D21" s="890">
        <f>'Respondent Burden-All Yrs'!AN18</f>
        <v>65.066666666666663</v>
      </c>
      <c r="E21" s="891">
        <f t="shared" si="0"/>
        <v>32.533333333333331</v>
      </c>
      <c r="F21" s="892">
        <f>'Respondent Burden-All Yrs'!AO18</f>
        <v>4904.3675753333337</v>
      </c>
      <c r="G21" s="892">
        <f>'Respondent Burden-All Yrs'!AP18+'Respondent Burden-All Yrs'!AQ18</f>
        <v>3076.5251101321587</v>
      </c>
      <c r="H21" s="893">
        <f>'Respondent Burden-All Yrs'!AR18</f>
        <v>7980.8926854654928</v>
      </c>
      <c r="J21" s="753"/>
    </row>
    <row r="22" spans="2:11" ht="22.5" x14ac:dyDescent="0.2">
      <c r="B22" s="752" t="s">
        <v>395</v>
      </c>
      <c r="C22" s="889">
        <f>'Respondent Burden-All Yrs'!AI19</f>
        <v>104</v>
      </c>
      <c r="D22" s="890">
        <f>'Respondent Burden-All Yrs'!AN19</f>
        <v>89.99499999999999</v>
      </c>
      <c r="E22" s="891">
        <f t="shared" si="0"/>
        <v>0.86533653846153835</v>
      </c>
      <c r="F22" s="892">
        <f>'Respondent Burden-All Yrs'!AO19</f>
        <v>6679.9813544000017</v>
      </c>
      <c r="G22" s="892">
        <f>'Respondent Burden-All Yrs'!AP19+'Respondent Burden-All Yrs'!AQ19</f>
        <v>62.378854625550652</v>
      </c>
      <c r="H22" s="893">
        <f>'Respondent Burden-All Yrs'!AR19</f>
        <v>6742.3602090255517</v>
      </c>
      <c r="J22" s="753"/>
    </row>
    <row r="23" spans="2:11" ht="22.5" x14ac:dyDescent="0.2">
      <c r="B23" s="752" t="s">
        <v>1186</v>
      </c>
      <c r="C23" s="889">
        <f>'Respondent Burden-All Yrs'!AI20</f>
        <v>11</v>
      </c>
      <c r="D23" s="890">
        <f>'Respondent Burden-All Yrs'!AN20</f>
        <v>1.8975000000000002</v>
      </c>
      <c r="E23" s="891">
        <f t="shared" si="0"/>
        <v>0.17250000000000001</v>
      </c>
      <c r="F23" s="892">
        <f>'Respondent Burden-All Yrs'!AO20</f>
        <v>134.97394020000002</v>
      </c>
      <c r="G23" s="892">
        <f>'Respondent Burden-All Yrs'!AP20+'Respondent Burden-All Yrs'!AQ20</f>
        <v>0</v>
      </c>
      <c r="H23" s="893">
        <f>'Respondent Burden-All Yrs'!AR20</f>
        <v>134.97394020000002</v>
      </c>
      <c r="J23" s="753"/>
    </row>
    <row r="24" spans="2:11" ht="56.25" x14ac:dyDescent="0.2">
      <c r="B24" s="752" t="s">
        <v>408</v>
      </c>
      <c r="C24" s="889">
        <f>'Respondent Burden-All Yrs'!AI21</f>
        <v>33</v>
      </c>
      <c r="D24" s="890">
        <f>'Respondent Burden-All Yrs'!AN21</f>
        <v>5.4050000000000002</v>
      </c>
      <c r="E24" s="891">
        <f t="shared" si="0"/>
        <v>0.16378787878787879</v>
      </c>
      <c r="F24" s="892">
        <f>'Respondent Burden-All Yrs'!AO21</f>
        <v>384.47122360000003</v>
      </c>
      <c r="G24" s="892">
        <f>'Respondent Burden-All Yrs'!AP21+'Respondent Burden-All Yrs'!AQ21</f>
        <v>0</v>
      </c>
      <c r="H24" s="893">
        <f>'Respondent Burden-All Yrs'!AR21</f>
        <v>384.47122360000003</v>
      </c>
      <c r="J24" s="753"/>
    </row>
    <row r="25" spans="2:11" ht="33.75" x14ac:dyDescent="0.2">
      <c r="B25" s="752" t="s">
        <v>396</v>
      </c>
      <c r="C25" s="889">
        <f>'Respondent Burden-All Yrs'!AI22</f>
        <v>9</v>
      </c>
      <c r="D25" s="890">
        <f>'Respondent Burden-All Yrs'!AN22</f>
        <v>0</v>
      </c>
      <c r="E25" s="894">
        <f t="shared" si="0"/>
        <v>0</v>
      </c>
      <c r="F25" s="892">
        <f>'Respondent Burden-All Yrs'!AO22</f>
        <v>0</v>
      </c>
      <c r="G25" s="892">
        <f>'Respondent Burden-All Yrs'!AP22+'Respondent Burden-All Yrs'!AQ22</f>
        <v>0</v>
      </c>
      <c r="H25" s="893">
        <f>'Respondent Burden-All Yrs'!AR22</f>
        <v>0</v>
      </c>
      <c r="J25" s="753"/>
    </row>
    <row r="26" spans="2:11" ht="40.5" customHeight="1" x14ac:dyDescent="0.2">
      <c r="B26" s="752" t="s">
        <v>407</v>
      </c>
      <c r="C26" s="889">
        <f>'Respondent Burden-All Yrs'!AI23</f>
        <v>1</v>
      </c>
      <c r="D26" s="890">
        <f>'Respondent Burden-All Yrs'!AN23</f>
        <v>58</v>
      </c>
      <c r="E26" s="891">
        <f t="shared" si="0"/>
        <v>58</v>
      </c>
      <c r="F26" s="892">
        <f>'Respondent Burden-All Yrs'!AO23</f>
        <v>4240.1677200000004</v>
      </c>
      <c r="G26" s="892">
        <f>'Respondent Burden-All Yrs'!AP23+'Respondent Burden-All Yrs'!AQ23</f>
        <v>62.378854625550652</v>
      </c>
      <c r="H26" s="893">
        <f>'Respondent Burden-All Yrs'!AR23</f>
        <v>4302.5465746255513</v>
      </c>
      <c r="J26" s="753"/>
    </row>
    <row r="27" spans="2:11" ht="27.75" customHeight="1" x14ac:dyDescent="0.2">
      <c r="B27" s="752" t="s">
        <v>397</v>
      </c>
      <c r="C27" s="889">
        <f>'Respondent Burden-All Yrs'!AI24</f>
        <v>2</v>
      </c>
      <c r="D27" s="890">
        <f>'Respondent Burden-All Yrs'!AN24</f>
        <v>0</v>
      </c>
      <c r="E27" s="894">
        <f t="shared" si="0"/>
        <v>0</v>
      </c>
      <c r="F27" s="892">
        <f>'Respondent Burden-All Yrs'!AO24</f>
        <v>0</v>
      </c>
      <c r="G27" s="892">
        <f>'Respondent Burden-All Yrs'!AP24+'Respondent Burden-All Yrs'!AQ24</f>
        <v>0</v>
      </c>
      <c r="H27" s="893">
        <f>'Respondent Burden-All Yrs'!AR24</f>
        <v>0</v>
      </c>
      <c r="J27" s="753"/>
    </row>
    <row r="28" spans="2:11" ht="22.5" customHeight="1" x14ac:dyDescent="0.2">
      <c r="B28" s="752" t="s">
        <v>403</v>
      </c>
      <c r="C28" s="889">
        <f>'Respondent Burden-All Yrs'!AI25</f>
        <v>15</v>
      </c>
      <c r="D28" s="890">
        <f>'Respondent Burden-All Yrs'!AN25</f>
        <v>474</v>
      </c>
      <c r="E28" s="891">
        <f t="shared" si="0"/>
        <v>31.6</v>
      </c>
      <c r="F28" s="892">
        <f>'Respondent Burden-All Yrs'!AO25</f>
        <v>35632.617779999993</v>
      </c>
      <c r="G28" s="892">
        <f>'Respondent Burden-All Yrs'!AP25+'Respondent Burden-All Yrs'!AQ25</f>
        <v>19649.339207048459</v>
      </c>
      <c r="H28" s="893">
        <f>'Respondent Burden-All Yrs'!AR25</f>
        <v>55281.956987048448</v>
      </c>
      <c r="J28" s="753"/>
    </row>
    <row r="29" spans="2:11" x14ac:dyDescent="0.2">
      <c r="B29" s="752" t="s">
        <v>405</v>
      </c>
      <c r="C29" s="889">
        <f>'Respondent Burden-All Yrs'!AI26</f>
        <v>1</v>
      </c>
      <c r="D29" s="890">
        <f>'Respondent Burden-All Yrs'!AN26</f>
        <v>36</v>
      </c>
      <c r="E29" s="891">
        <f t="shared" si="0"/>
        <v>36</v>
      </c>
      <c r="F29" s="892">
        <f>'Respondent Burden-All Yrs'!AO26</f>
        <v>2701.2937280000001</v>
      </c>
      <c r="G29" s="892">
        <f>'Respondent Burden-All Yrs'!AP26+'Respondent Burden-All Yrs'!AQ26</f>
        <v>62.378854625550652</v>
      </c>
      <c r="H29" s="893">
        <f>'Respondent Burden-All Yrs'!AR26</f>
        <v>2763.6725826255511</v>
      </c>
      <c r="I29" s="757"/>
      <c r="J29" s="754"/>
      <c r="K29" s="758"/>
    </row>
    <row r="30" spans="2:11" ht="34.5" customHeight="1" x14ac:dyDescent="0.2">
      <c r="B30" s="752" t="s">
        <v>404</v>
      </c>
      <c r="C30" s="889">
        <f>'Respondent Burden-All Yrs'!AI27</f>
        <v>6</v>
      </c>
      <c r="D30" s="890">
        <f>'Respondent Burden-All Yrs'!AN27</f>
        <v>155.4</v>
      </c>
      <c r="E30" s="891">
        <f t="shared" si="0"/>
        <v>25.900000000000002</v>
      </c>
      <c r="F30" s="892">
        <f>'Respondent Burden-All Yrs'!AO27</f>
        <v>11488.024361999998</v>
      </c>
      <c r="G30" s="892">
        <f>'Respondent Burden-All Yrs'!AP27+'Respondent Burden-All Yrs'!AQ27</f>
        <v>374.27312775330392</v>
      </c>
      <c r="H30" s="893">
        <f>'Respondent Burden-All Yrs'!AR27</f>
        <v>11862.297489753304</v>
      </c>
      <c r="J30" s="753"/>
    </row>
    <row r="31" spans="2:11" ht="23.25" thickBot="1" x14ac:dyDescent="0.25">
      <c r="B31" s="752" t="s">
        <v>406</v>
      </c>
      <c r="C31" s="889">
        <f>'Respondent Burden-All Yrs'!AI28</f>
        <v>34</v>
      </c>
      <c r="D31" s="890">
        <f>'Respondent Burden-All Yrs'!AN28</f>
        <v>978.06666666666661</v>
      </c>
      <c r="E31" s="891">
        <f t="shared" si="0"/>
        <v>28.766666666666666</v>
      </c>
      <c r="F31" s="892">
        <f>'Respondent Burden-All Yrs'!AO28</f>
        <v>73735.762724666682</v>
      </c>
      <c r="G31" s="892">
        <f>'Respondent Burden-All Yrs'!AP28+'Respondent Burden-All Yrs'!AQ28</f>
        <v>2120.8810572687225</v>
      </c>
      <c r="H31" s="893">
        <f>'Respondent Burden-All Yrs'!AR28</f>
        <v>75856.643781935403</v>
      </c>
    </row>
    <row r="32" spans="2:11" ht="12" thickBot="1" x14ac:dyDescent="0.25">
      <c r="B32" s="756" t="s">
        <v>398</v>
      </c>
      <c r="C32" s="895">
        <f>SUM(C8,C22,C24,C27,C23)</f>
        <v>7990</v>
      </c>
      <c r="D32" s="895">
        <f>SUM(D7:D31)</f>
        <v>114678.05333333332</v>
      </c>
      <c r="E32" s="896">
        <f>D32/C32</f>
        <v>14.352697538589902</v>
      </c>
      <c r="F32" s="897">
        <f>SUM(F7:F31)</f>
        <v>9025632.7945317253</v>
      </c>
      <c r="G32" s="897">
        <f>SUM(G7:G31)</f>
        <v>3224534.993781189</v>
      </c>
      <c r="H32" s="897">
        <f>SUM(H7:H31)</f>
        <v>12250167.788312918</v>
      </c>
    </row>
    <row r="33" spans="2:5" x14ac:dyDescent="0.2">
      <c r="B33" s="861" t="s">
        <v>1127</v>
      </c>
      <c r="E33" s="759"/>
    </row>
  </sheetData>
  <mergeCells count="2">
    <mergeCell ref="B1:H1"/>
    <mergeCell ref="B5:H5"/>
  </mergeCells>
  <pageMargins left="0.7" right="0.7" top="1.25" bottom="0.75" header="0.3" footer="0.3"/>
  <pageSetup scale="79" orientation="portrait" r:id="rId1"/>
  <headerFooter>
    <oddHeader xml:space="preserve">&amp;CSUPPORTING STATEMENT: 
ENVIRONMENTAL PROTECTION AGENCY
OMB control number 2060-0629; ICR number &amp;K0000002300.19&amp;K01+000
Appendix A
</oddHeader>
    <oddFooter>&amp;LSeptember 2019</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B7FE3-C889-4EAE-A12E-65A9E4F8AB8F}">
  <sheetPr codeName="Sheet41">
    <tabColor rgb="FF7030A0"/>
  </sheetPr>
  <dimension ref="B4:K27"/>
  <sheetViews>
    <sheetView zoomScaleNormal="100" zoomScaleSheetLayoutView="106" workbookViewId="0">
      <selection activeCell="B19" sqref="B19"/>
    </sheetView>
  </sheetViews>
  <sheetFormatPr defaultColWidth="8.7109375" defaultRowHeight="14.25" x14ac:dyDescent="0.2"/>
  <cols>
    <col min="1" max="1" width="8.7109375" style="774"/>
    <col min="2" max="4" width="3.5703125" style="774" customWidth="1"/>
    <col min="5" max="5" width="26.28515625" style="774" customWidth="1"/>
    <col min="6" max="6" width="10.140625" style="774" bestFit="1" customWidth="1"/>
    <col min="7" max="7" width="12.28515625" style="774" customWidth="1"/>
    <col min="8" max="8" width="11.140625" style="774" customWidth="1"/>
    <col min="9" max="9" width="10.85546875" style="774" customWidth="1"/>
    <col min="10" max="10" width="14.28515625" style="774" customWidth="1"/>
    <col min="11" max="15" width="8.7109375" style="774"/>
    <col min="16" max="16" width="16.140625" style="774" bestFit="1" customWidth="1"/>
    <col min="17" max="17" width="10.140625" style="774" bestFit="1" customWidth="1"/>
    <col min="18" max="16384" width="8.7109375" style="774"/>
  </cols>
  <sheetData>
    <row r="4" spans="2:11" ht="14.45" customHeight="1" x14ac:dyDescent="0.2">
      <c r="B4" s="1066" t="s">
        <v>1191</v>
      </c>
      <c r="C4" s="1066"/>
      <c r="D4" s="1066"/>
      <c r="E4" s="1066"/>
      <c r="F4" s="1066"/>
      <c r="G4" s="1066"/>
      <c r="H4" s="1066"/>
      <c r="I4" s="1066"/>
      <c r="J4" s="1066"/>
    </row>
    <row r="5" spans="2:11" ht="31.5" customHeight="1" thickBot="1" x14ac:dyDescent="0.25">
      <c r="B5" s="1067"/>
      <c r="C5" s="1067"/>
      <c r="D5" s="1067"/>
      <c r="E5" s="1067"/>
      <c r="F5" s="1067"/>
      <c r="G5" s="1067"/>
      <c r="H5" s="1067"/>
      <c r="I5" s="1067"/>
      <c r="J5" s="1067"/>
    </row>
    <row r="6" spans="2:11" ht="12" customHeight="1" x14ac:dyDescent="0.2">
      <c r="B6" s="775"/>
      <c r="C6" s="776"/>
      <c r="D6" s="776"/>
      <c r="E6" s="776"/>
      <c r="F6" s="776"/>
      <c r="G6" s="777" t="s">
        <v>1062</v>
      </c>
      <c r="H6" s="778" t="s">
        <v>1063</v>
      </c>
      <c r="I6" s="779" t="s">
        <v>1064</v>
      </c>
      <c r="J6" s="780" t="s">
        <v>1065</v>
      </c>
    </row>
    <row r="7" spans="2:11" ht="50.25" customHeight="1" thickBot="1" x14ac:dyDescent="0.25">
      <c r="B7" s="1068" t="s">
        <v>1066</v>
      </c>
      <c r="C7" s="1069"/>
      <c r="D7" s="1069"/>
      <c r="E7" s="1069"/>
      <c r="F7" s="1070"/>
      <c r="G7" s="781" t="s">
        <v>1067</v>
      </c>
      <c r="H7" s="782" t="s">
        <v>1068</v>
      </c>
      <c r="I7" s="783" t="s">
        <v>1069</v>
      </c>
      <c r="J7" s="784" t="s">
        <v>1070</v>
      </c>
    </row>
    <row r="8" spans="2:11" ht="15" thickTop="1" x14ac:dyDescent="0.2">
      <c r="B8" s="785" t="s">
        <v>1071</v>
      </c>
      <c r="C8" s="786" t="s">
        <v>1072</v>
      </c>
      <c r="D8" s="787"/>
      <c r="E8" s="787"/>
      <c r="F8" s="788"/>
      <c r="G8" s="1071" t="s">
        <v>1073</v>
      </c>
      <c r="H8" s="1072"/>
      <c r="I8" s="1072"/>
      <c r="J8" s="1073"/>
    </row>
    <row r="9" spans="2:11" x14ac:dyDescent="0.2">
      <c r="B9" s="789" t="s">
        <v>1074</v>
      </c>
      <c r="C9" s="790" t="s">
        <v>1075</v>
      </c>
      <c r="D9" s="790"/>
      <c r="E9" s="790"/>
      <c r="F9" s="791"/>
      <c r="G9" s="1071" t="s">
        <v>1073</v>
      </c>
      <c r="H9" s="1072"/>
      <c r="I9" s="1072"/>
      <c r="J9" s="1073"/>
      <c r="K9" s="792"/>
    </row>
    <row r="10" spans="2:11" x14ac:dyDescent="0.2">
      <c r="B10" s="793" t="s">
        <v>1076</v>
      </c>
      <c r="C10" s="794" t="s">
        <v>1077</v>
      </c>
      <c r="D10" s="794"/>
      <c r="E10" s="794"/>
      <c r="F10" s="795"/>
      <c r="G10" s="1060"/>
      <c r="H10" s="1060"/>
      <c r="I10" s="1060"/>
      <c r="J10" s="1059"/>
    </row>
    <row r="11" spans="2:11" x14ac:dyDescent="0.2">
      <c r="B11" s="796">
        <v>0.08</v>
      </c>
      <c r="C11" s="797" t="s">
        <v>1078</v>
      </c>
      <c r="D11" s="1064" t="s">
        <v>1079</v>
      </c>
      <c r="E11" s="1065"/>
      <c r="F11" s="1065"/>
      <c r="G11" s="1060" t="s">
        <v>1073</v>
      </c>
      <c r="H11" s="1060"/>
      <c r="I11" s="1060"/>
      <c r="J11" s="1059"/>
    </row>
    <row r="12" spans="2:11" x14ac:dyDescent="0.2">
      <c r="B12" s="798">
        <f>0.1*0.1</f>
        <v>1.0000000000000002E-2</v>
      </c>
      <c r="C12" s="799" t="s">
        <v>1080</v>
      </c>
      <c r="D12" s="800" t="s">
        <v>1081</v>
      </c>
      <c r="E12" s="800"/>
      <c r="F12" s="801"/>
      <c r="G12" s="1058" t="s">
        <v>1073</v>
      </c>
      <c r="H12" s="1058"/>
      <c r="I12" s="1058"/>
      <c r="J12" s="1059"/>
    </row>
    <row r="13" spans="2:11" x14ac:dyDescent="0.2">
      <c r="B13" s="798"/>
      <c r="C13" s="802" t="s">
        <v>1082</v>
      </c>
      <c r="D13" s="786" t="s">
        <v>1083</v>
      </c>
      <c r="E13" s="786"/>
      <c r="F13" s="803"/>
      <c r="G13" s="1058" t="s">
        <v>1073</v>
      </c>
      <c r="H13" s="1058"/>
      <c r="I13" s="1058"/>
      <c r="J13" s="1059"/>
    </row>
    <row r="14" spans="2:11" x14ac:dyDescent="0.2">
      <c r="B14" s="796"/>
      <c r="C14" s="804" t="s">
        <v>1084</v>
      </c>
      <c r="D14" s="805" t="s">
        <v>1085</v>
      </c>
      <c r="E14" s="805"/>
      <c r="F14" s="806"/>
      <c r="G14" s="1058" t="s">
        <v>1073</v>
      </c>
      <c r="H14" s="1058"/>
      <c r="I14" s="1058"/>
      <c r="J14" s="1059"/>
    </row>
    <row r="15" spans="2:11" x14ac:dyDescent="0.2">
      <c r="B15" s="807"/>
      <c r="C15" s="808" t="s">
        <v>1086</v>
      </c>
      <c r="D15" s="794" t="s">
        <v>1087</v>
      </c>
      <c r="E15" s="794"/>
      <c r="F15" s="795"/>
      <c r="G15" s="1060"/>
      <c r="H15" s="1060"/>
      <c r="I15" s="1060"/>
      <c r="J15" s="1059"/>
    </row>
    <row r="16" spans="2:11" x14ac:dyDescent="0.2">
      <c r="B16" s="807"/>
      <c r="C16" s="808"/>
      <c r="D16" s="809" t="s">
        <v>1071</v>
      </c>
      <c r="E16" s="794" t="s">
        <v>1088</v>
      </c>
      <c r="F16" s="794"/>
      <c r="G16" s="810">
        <f>'UPDATE-Input-EPA Burden-Others'!Y10</f>
        <v>154550</v>
      </c>
      <c r="H16" s="811">
        <v>0.02</v>
      </c>
      <c r="I16" s="810">
        <f>(G16*H16)</f>
        <v>3091</v>
      </c>
      <c r="J16" s="898">
        <f>I16*60.93</f>
        <v>188334.63</v>
      </c>
      <c r="K16" s="792"/>
    </row>
    <row r="17" spans="2:10" x14ac:dyDescent="0.2">
      <c r="B17" s="785"/>
      <c r="C17" s="797" t="s">
        <v>1089</v>
      </c>
      <c r="D17" s="790" t="s">
        <v>1090</v>
      </c>
      <c r="E17" s="790"/>
      <c r="F17" s="791"/>
      <c r="G17" s="1061" t="s">
        <v>1073</v>
      </c>
      <c r="H17" s="1062"/>
      <c r="I17" s="1062"/>
      <c r="J17" s="1063"/>
    </row>
    <row r="18" spans="2:10" ht="15" thickBot="1" x14ac:dyDescent="0.25">
      <c r="B18" s="812" t="s">
        <v>1091</v>
      </c>
      <c r="C18" s="813" t="s">
        <v>1092</v>
      </c>
      <c r="D18" s="814"/>
      <c r="E18" s="814"/>
      <c r="F18" s="814"/>
      <c r="G18" s="815"/>
      <c r="H18" s="816"/>
      <c r="I18" s="816"/>
      <c r="J18" s="817">
        <v>0</v>
      </c>
    </row>
    <row r="19" spans="2:10" ht="15.75" thickTop="1" thickBot="1" x14ac:dyDescent="0.25">
      <c r="B19" s="818"/>
      <c r="C19" s="819" t="s">
        <v>398</v>
      </c>
      <c r="D19" s="820"/>
      <c r="E19" s="820"/>
      <c r="F19" s="821"/>
      <c r="G19" s="822"/>
      <c r="H19" s="823"/>
      <c r="I19" s="824">
        <f>SUM(I9:I17)</f>
        <v>3091</v>
      </c>
      <c r="J19" s="825">
        <f>SUM(J9:J18)</f>
        <v>188334.63</v>
      </c>
    </row>
    <row r="20" spans="2:10" x14ac:dyDescent="0.2">
      <c r="B20" s="826" t="s">
        <v>1093</v>
      </c>
      <c r="C20" s="826"/>
      <c r="D20" s="826"/>
      <c r="E20" s="826"/>
      <c r="F20" s="826"/>
      <c r="G20" s="826"/>
      <c r="H20" s="827"/>
      <c r="I20" s="828"/>
      <c r="J20" s="828"/>
    </row>
    <row r="21" spans="2:10" x14ac:dyDescent="0.2">
      <c r="B21" s="829" t="s">
        <v>1094</v>
      </c>
      <c r="C21" s="826" t="s">
        <v>1095</v>
      </c>
      <c r="D21" s="826"/>
      <c r="E21" s="826"/>
      <c r="F21" s="830"/>
      <c r="G21" s="826"/>
      <c r="H21" s="827"/>
      <c r="I21" s="828"/>
      <c r="J21" s="828"/>
    </row>
    <row r="22" spans="2:10" x14ac:dyDescent="0.2">
      <c r="C22" s="826" t="s">
        <v>1096</v>
      </c>
      <c r="D22" s="826"/>
      <c r="E22" s="826"/>
      <c r="F22" s="826"/>
      <c r="G22" s="826"/>
      <c r="H22" s="827"/>
      <c r="I22" s="828"/>
      <c r="J22" s="828"/>
    </row>
    <row r="23" spans="2:10" x14ac:dyDescent="0.2">
      <c r="B23" s="899" t="s">
        <v>1097</v>
      </c>
      <c r="C23" s="900" t="s">
        <v>1140</v>
      </c>
      <c r="D23" s="900"/>
      <c r="E23" s="900"/>
      <c r="F23" s="900"/>
      <c r="G23" s="900"/>
      <c r="H23" s="901"/>
      <c r="I23" s="902"/>
      <c r="J23" s="902"/>
    </row>
    <row r="24" spans="2:10" x14ac:dyDescent="0.2">
      <c r="B24" s="829" t="s">
        <v>1098</v>
      </c>
      <c r="C24" s="826" t="s">
        <v>1099</v>
      </c>
      <c r="D24" s="826"/>
      <c r="E24" s="826"/>
      <c r="F24" s="826"/>
      <c r="G24" s="826"/>
      <c r="H24" s="827"/>
      <c r="I24" s="828"/>
      <c r="J24" s="828"/>
    </row>
    <row r="26" spans="2:10" x14ac:dyDescent="0.2">
      <c r="B26" s="831"/>
      <c r="C26" s="832"/>
      <c r="D26" s="832"/>
      <c r="E26" s="833"/>
      <c r="F26" s="833"/>
      <c r="G26" s="833"/>
      <c r="H26" s="833"/>
    </row>
    <row r="27" spans="2:10" x14ac:dyDescent="0.2">
      <c r="B27" s="834"/>
      <c r="C27" s="832"/>
      <c r="D27" s="832"/>
      <c r="E27" s="833"/>
      <c r="F27" s="833"/>
      <c r="G27" s="833"/>
      <c r="H27" s="833"/>
    </row>
  </sheetData>
  <mergeCells count="12">
    <mergeCell ref="D11:F11"/>
    <mergeCell ref="G11:J11"/>
    <mergeCell ref="B4:J5"/>
    <mergeCell ref="B7:F7"/>
    <mergeCell ref="G8:J8"/>
    <mergeCell ref="G9:J9"/>
    <mergeCell ref="G10:J10"/>
    <mergeCell ref="G12:J12"/>
    <mergeCell ref="G13:J13"/>
    <mergeCell ref="G14:J14"/>
    <mergeCell ref="G15:J15"/>
    <mergeCell ref="G17:J17"/>
  </mergeCells>
  <pageMargins left="0.7" right="0.7" top="1.25" bottom="0.75" header="0.3" footer="0.3"/>
  <pageSetup scale="87" orientation="landscape" r:id="rId1"/>
  <headerFooter>
    <oddHeader xml:space="preserve">&amp;CSUPPORTING STATEMENT: 
ENVIRONMENTAL PROTECTION AGENCY
OMB control number 2060-0629; ICR number &amp;K0000002300.19&amp;K01+000
Appendix A
</oddHeader>
    <oddFooter>&amp;LSeptember 2019</oddFooter>
  </headerFooter>
  <colBreaks count="1" manualBreakCount="1">
    <brk id="10" min="4" max="22"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4CE6B-76B3-42EB-A2D3-2B9DC4837AA3}">
  <sheetPr codeName="Sheet42">
    <tabColor rgb="FF7030A0"/>
  </sheetPr>
  <dimension ref="B4:Y31"/>
  <sheetViews>
    <sheetView zoomScaleNormal="100" zoomScaleSheetLayoutView="99" workbookViewId="0">
      <selection activeCell="B19" sqref="B19"/>
    </sheetView>
  </sheetViews>
  <sheetFormatPr defaultColWidth="8.7109375" defaultRowHeight="14.25" x14ac:dyDescent="0.2"/>
  <cols>
    <col min="1" max="1" width="8.7109375" style="774"/>
    <col min="2" max="4" width="3.5703125" style="774" customWidth="1"/>
    <col min="5" max="5" width="26.28515625" style="774" customWidth="1"/>
    <col min="6" max="6" width="10.140625" style="774" bestFit="1" customWidth="1"/>
    <col min="7" max="7" width="12.28515625" style="774" customWidth="1"/>
    <col min="8" max="8" width="11.140625" style="774" customWidth="1"/>
    <col min="9" max="9" width="10.85546875" style="774" customWidth="1"/>
    <col min="10" max="10" width="9.42578125" style="774" bestFit="1" customWidth="1"/>
    <col min="11" max="15" width="8.7109375" style="774"/>
    <col min="16" max="16" width="16.140625" style="774" bestFit="1" customWidth="1"/>
    <col min="17" max="17" width="10.140625" style="774" bestFit="1" customWidth="1"/>
    <col min="18" max="16384" width="8.7109375" style="774"/>
  </cols>
  <sheetData>
    <row r="4" spans="2:11" x14ac:dyDescent="0.2">
      <c r="B4" s="1066" t="s">
        <v>1192</v>
      </c>
      <c r="C4" s="1066"/>
      <c r="D4" s="1066"/>
      <c r="E4" s="1066"/>
      <c r="F4" s="1066"/>
      <c r="G4" s="1066"/>
      <c r="H4" s="1066"/>
      <c r="I4" s="1066"/>
      <c r="J4" s="1066"/>
    </row>
    <row r="5" spans="2:11" ht="31.5" customHeight="1" thickBot="1" x14ac:dyDescent="0.25">
      <c r="B5" s="1067"/>
      <c r="C5" s="1067"/>
      <c r="D5" s="1067"/>
      <c r="E5" s="1067"/>
      <c r="F5" s="1067"/>
      <c r="G5" s="1067"/>
      <c r="H5" s="1067"/>
      <c r="I5" s="1067"/>
      <c r="J5" s="1067"/>
    </row>
    <row r="6" spans="2:11" ht="12" customHeight="1" thickBot="1" x14ac:dyDescent="0.25">
      <c r="B6" s="775"/>
      <c r="C6" s="776"/>
      <c r="D6" s="776"/>
      <c r="E6" s="776"/>
      <c r="F6" s="776"/>
      <c r="G6" s="835" t="s">
        <v>1062</v>
      </c>
      <c r="H6" s="836" t="s">
        <v>1063</v>
      </c>
      <c r="I6" s="837" t="s">
        <v>1064</v>
      </c>
      <c r="J6" s="838" t="s">
        <v>1065</v>
      </c>
    </row>
    <row r="7" spans="2:11" ht="50.25" customHeight="1" thickBot="1" x14ac:dyDescent="0.25">
      <c r="B7" s="1075" t="s">
        <v>1066</v>
      </c>
      <c r="C7" s="1076"/>
      <c r="D7" s="1076"/>
      <c r="E7" s="1076"/>
      <c r="F7" s="1077"/>
      <c r="G7" s="839" t="s">
        <v>1067</v>
      </c>
      <c r="H7" s="840" t="s">
        <v>1068</v>
      </c>
      <c r="I7" s="841" t="s">
        <v>1069</v>
      </c>
      <c r="J7" s="842" t="s">
        <v>1070</v>
      </c>
    </row>
    <row r="8" spans="2:11" ht="15" thickTop="1" x14ac:dyDescent="0.2">
      <c r="B8" s="785" t="s">
        <v>1071</v>
      </c>
      <c r="C8" s="786" t="s">
        <v>1072</v>
      </c>
      <c r="D8" s="787"/>
      <c r="E8" s="787"/>
      <c r="F8" s="788"/>
      <c r="G8" s="1071" t="s">
        <v>1073</v>
      </c>
      <c r="H8" s="1072"/>
      <c r="I8" s="1072"/>
      <c r="J8" s="1073"/>
    </row>
    <row r="9" spans="2:11" x14ac:dyDescent="0.2">
      <c r="B9" s="789" t="s">
        <v>1074</v>
      </c>
      <c r="C9" s="790" t="s">
        <v>1075</v>
      </c>
      <c r="D9" s="790"/>
      <c r="E9" s="790"/>
      <c r="F9" s="791"/>
      <c r="G9" s="1071" t="s">
        <v>1073</v>
      </c>
      <c r="H9" s="1072"/>
      <c r="I9" s="1072"/>
      <c r="J9" s="1073"/>
    </row>
    <row r="10" spans="2:11" x14ac:dyDescent="0.2">
      <c r="B10" s="793" t="s">
        <v>1076</v>
      </c>
      <c r="C10" s="794" t="s">
        <v>1077</v>
      </c>
      <c r="D10" s="794"/>
      <c r="E10" s="794"/>
      <c r="F10" s="795"/>
      <c r="G10" s="1060"/>
      <c r="H10" s="1060"/>
      <c r="I10" s="1060"/>
      <c r="J10" s="1059"/>
    </row>
    <row r="11" spans="2:11" x14ac:dyDescent="0.2">
      <c r="B11" s="796">
        <v>0.08</v>
      </c>
      <c r="C11" s="797" t="s">
        <v>1078</v>
      </c>
      <c r="D11" s="1064" t="s">
        <v>1079</v>
      </c>
      <c r="E11" s="1065"/>
      <c r="F11" s="1065"/>
      <c r="G11" s="1060" t="s">
        <v>1073</v>
      </c>
      <c r="H11" s="1060"/>
      <c r="I11" s="1060"/>
      <c r="J11" s="1059"/>
    </row>
    <row r="12" spans="2:11" x14ac:dyDescent="0.2">
      <c r="B12" s="798">
        <f>0.1*0.1</f>
        <v>1.0000000000000002E-2</v>
      </c>
      <c r="C12" s="799" t="s">
        <v>1080</v>
      </c>
      <c r="D12" s="800" t="s">
        <v>1081</v>
      </c>
      <c r="E12" s="800"/>
      <c r="F12" s="801"/>
      <c r="G12" s="1060" t="s">
        <v>1073</v>
      </c>
      <c r="H12" s="1060"/>
      <c r="I12" s="1060"/>
      <c r="J12" s="1059"/>
    </row>
    <row r="13" spans="2:11" x14ac:dyDescent="0.2">
      <c r="B13" s="798"/>
      <c r="C13" s="802" t="s">
        <v>1082</v>
      </c>
      <c r="D13" s="786" t="s">
        <v>1083</v>
      </c>
      <c r="E13" s="786"/>
      <c r="F13" s="803"/>
      <c r="G13" s="1060" t="s">
        <v>1073</v>
      </c>
      <c r="H13" s="1060"/>
      <c r="I13" s="1060"/>
      <c r="J13" s="1059"/>
    </row>
    <row r="14" spans="2:11" x14ac:dyDescent="0.2">
      <c r="B14" s="796"/>
      <c r="C14" s="804" t="s">
        <v>1084</v>
      </c>
      <c r="D14" s="805" t="s">
        <v>1085</v>
      </c>
      <c r="E14" s="805"/>
      <c r="F14" s="806"/>
      <c r="G14" s="1060" t="s">
        <v>1073</v>
      </c>
      <c r="H14" s="1060"/>
      <c r="I14" s="1060"/>
      <c r="J14" s="1059"/>
    </row>
    <row r="15" spans="2:11" x14ac:dyDescent="0.2">
      <c r="B15" s="807"/>
      <c r="C15" s="808" t="s">
        <v>1086</v>
      </c>
      <c r="D15" s="794" t="s">
        <v>1087</v>
      </c>
      <c r="E15" s="794"/>
      <c r="F15" s="795"/>
      <c r="G15" s="1060"/>
      <c r="H15" s="1060"/>
      <c r="I15" s="1060"/>
      <c r="J15" s="1059"/>
    </row>
    <row r="16" spans="2:11" x14ac:dyDescent="0.2">
      <c r="B16" s="807"/>
      <c r="C16" s="808"/>
      <c r="D16" s="809" t="s">
        <v>1071</v>
      </c>
      <c r="E16" s="794" t="s">
        <v>1088</v>
      </c>
      <c r="F16" s="794"/>
      <c r="G16" s="810">
        <f>'UPDATE-Input-EPA Burden-Others'!Y11</f>
        <v>146710</v>
      </c>
      <c r="H16" s="811">
        <v>0.02</v>
      </c>
      <c r="I16" s="810">
        <f>(G16*H16)</f>
        <v>2934.2000000000003</v>
      </c>
      <c r="J16" s="898">
        <f>I16*60.93</f>
        <v>178780.80600000001</v>
      </c>
      <c r="K16" s="792"/>
    </row>
    <row r="17" spans="2:25" x14ac:dyDescent="0.2">
      <c r="B17" s="785"/>
      <c r="C17" s="797" t="s">
        <v>1089</v>
      </c>
      <c r="D17" s="790" t="s">
        <v>1090</v>
      </c>
      <c r="E17" s="790"/>
      <c r="F17" s="791"/>
      <c r="G17" s="1074" t="s">
        <v>1073</v>
      </c>
      <c r="H17" s="1062"/>
      <c r="I17" s="1062"/>
      <c r="J17" s="1063"/>
    </row>
    <row r="18" spans="2:25" ht="15" thickBot="1" x14ac:dyDescent="0.25">
      <c r="B18" s="812" t="s">
        <v>1091</v>
      </c>
      <c r="C18" s="813" t="s">
        <v>1092</v>
      </c>
      <c r="D18" s="814"/>
      <c r="E18" s="814"/>
      <c r="F18" s="814"/>
      <c r="G18" s="815"/>
      <c r="H18" s="816"/>
      <c r="I18" s="816"/>
      <c r="J18" s="817">
        <v>0</v>
      </c>
    </row>
    <row r="19" spans="2:25" ht="15.75" thickTop="1" thickBot="1" x14ac:dyDescent="0.25">
      <c r="B19" s="818"/>
      <c r="C19" s="819" t="s">
        <v>398</v>
      </c>
      <c r="D19" s="820"/>
      <c r="E19" s="820"/>
      <c r="F19" s="821"/>
      <c r="G19" s="822"/>
      <c r="H19" s="823"/>
      <c r="I19" s="824">
        <f>SUM(I9:I17)</f>
        <v>2934.2000000000003</v>
      </c>
      <c r="J19" s="825">
        <f>SUM(J9:J18)</f>
        <v>178780.80600000001</v>
      </c>
    </row>
    <row r="20" spans="2:25" x14ac:dyDescent="0.2">
      <c r="B20" s="826" t="s">
        <v>1093</v>
      </c>
      <c r="C20" s="826"/>
      <c r="D20" s="826"/>
      <c r="E20" s="826"/>
      <c r="F20" s="826"/>
      <c r="G20" s="826"/>
      <c r="H20" s="827"/>
      <c r="I20" s="828"/>
      <c r="J20" s="828"/>
    </row>
    <row r="21" spans="2:25" x14ac:dyDescent="0.2">
      <c r="B21" s="829" t="s">
        <v>1094</v>
      </c>
      <c r="C21" s="826" t="s">
        <v>1100</v>
      </c>
      <c r="D21" s="826"/>
      <c r="E21" s="826"/>
      <c r="F21" s="830"/>
      <c r="G21" s="826"/>
      <c r="H21" s="827"/>
      <c r="I21" s="828"/>
      <c r="J21" s="828"/>
    </row>
    <row r="22" spans="2:25" x14ac:dyDescent="0.2">
      <c r="C22" s="826" t="s">
        <v>1101</v>
      </c>
      <c r="D22" s="826"/>
      <c r="E22" s="826"/>
      <c r="F22" s="826"/>
      <c r="G22" s="826"/>
      <c r="H22" s="827"/>
      <c r="I22" s="828"/>
      <c r="J22" s="828"/>
    </row>
    <row r="23" spans="2:25" x14ac:dyDescent="0.2">
      <c r="B23" s="899" t="s">
        <v>1097</v>
      </c>
      <c r="C23" s="900" t="s">
        <v>1140</v>
      </c>
      <c r="D23" s="900"/>
      <c r="E23" s="900"/>
      <c r="F23" s="900"/>
      <c r="G23" s="900"/>
      <c r="H23" s="901"/>
      <c r="I23" s="902"/>
      <c r="J23" s="902"/>
    </row>
    <row r="24" spans="2:25" x14ac:dyDescent="0.2">
      <c r="B24" s="829" t="s">
        <v>1098</v>
      </c>
      <c r="C24" s="826" t="s">
        <v>1099</v>
      </c>
      <c r="D24" s="826"/>
      <c r="E24" s="826"/>
      <c r="F24" s="826"/>
      <c r="G24" s="826"/>
      <c r="H24" s="827"/>
      <c r="I24" s="828"/>
      <c r="J24" s="828"/>
    </row>
    <row r="25" spans="2:25" x14ac:dyDescent="0.2">
      <c r="B25" s="829"/>
      <c r="K25" s="792"/>
    </row>
    <row r="26" spans="2:25" x14ac:dyDescent="0.2">
      <c r="B26" s="831"/>
      <c r="C26" s="832"/>
      <c r="D26" s="832"/>
      <c r="E26" s="833"/>
      <c r="F26" s="833"/>
      <c r="G26" s="833"/>
      <c r="H26" s="833"/>
    </row>
    <row r="27" spans="2:25" x14ac:dyDescent="0.2">
      <c r="B27" s="834"/>
      <c r="C27" s="832"/>
      <c r="D27" s="832"/>
      <c r="E27" s="833"/>
      <c r="F27" s="833"/>
      <c r="G27" s="833"/>
      <c r="H27" s="833"/>
    </row>
    <row r="28" spans="2:25" x14ac:dyDescent="0.2">
      <c r="B28" s="843"/>
      <c r="C28" s="832"/>
      <c r="D28" s="832"/>
      <c r="E28" s="833"/>
      <c r="F28" s="833"/>
      <c r="G28" s="833"/>
      <c r="H28" s="833"/>
    </row>
    <row r="30" spans="2:25" x14ac:dyDescent="0.2">
      <c r="V30" s="844"/>
      <c r="W30" s="844"/>
      <c r="X30" s="844"/>
      <c r="Y30" s="845"/>
    </row>
    <row r="31" spans="2:25" x14ac:dyDescent="0.2">
      <c r="V31" s="846"/>
      <c r="W31" s="846"/>
      <c r="X31" s="846"/>
      <c r="Y31" s="847"/>
    </row>
  </sheetData>
  <mergeCells count="12">
    <mergeCell ref="D11:F11"/>
    <mergeCell ref="G11:J11"/>
    <mergeCell ref="B4:J5"/>
    <mergeCell ref="B7:F7"/>
    <mergeCell ref="G8:J8"/>
    <mergeCell ref="G9:J9"/>
    <mergeCell ref="G10:J10"/>
    <mergeCell ref="G12:J12"/>
    <mergeCell ref="G13:J13"/>
    <mergeCell ref="G14:J14"/>
    <mergeCell ref="G15:J15"/>
    <mergeCell ref="G17:J17"/>
  </mergeCells>
  <pageMargins left="0.7" right="0.7" top="1.25" bottom="0.75" header="0.3" footer="0.3"/>
  <pageSetup scale="87" orientation="landscape" r:id="rId1"/>
  <headerFooter>
    <oddHeader xml:space="preserve">&amp;CSUPPORTING STATEMENT: 
ENVIRONMENTAL PROTECTION AGENCY
OMB control number 2060-0629; ICR number &amp;K0000002300.19&amp;K01+000
Appendix A
</oddHeader>
    <oddFooter>&amp;LSeptember 2019</oddFooter>
  </headerFooter>
  <colBreaks count="1" manualBreakCount="1">
    <brk id="10" min="4" max="22"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646DF-19F1-4B40-B68C-6C690586324B}">
  <sheetPr codeName="Sheet43">
    <tabColor rgb="FF7030A0"/>
  </sheetPr>
  <dimension ref="B4:L30"/>
  <sheetViews>
    <sheetView zoomScaleNormal="100" zoomScaleSheetLayoutView="108" workbookViewId="0">
      <selection activeCell="B19" sqref="B19"/>
    </sheetView>
  </sheetViews>
  <sheetFormatPr defaultColWidth="8.7109375" defaultRowHeight="14.25" x14ac:dyDescent="0.2"/>
  <cols>
    <col min="1" max="1" width="8.7109375" style="774"/>
    <col min="2" max="4" width="3.5703125" style="774" customWidth="1"/>
    <col min="5" max="5" width="26.28515625" style="774" customWidth="1"/>
    <col min="6" max="6" width="10.140625" style="774" bestFit="1" customWidth="1"/>
    <col min="7" max="7" width="12.28515625" style="774" customWidth="1"/>
    <col min="8" max="8" width="11.140625" style="774" customWidth="1"/>
    <col min="9" max="9" width="10.85546875" style="774" customWidth="1"/>
    <col min="10" max="10" width="9.42578125" style="774" customWidth="1"/>
    <col min="11" max="15" width="8.7109375" style="774"/>
    <col min="16" max="16" width="16.140625" style="774" bestFit="1" customWidth="1"/>
    <col min="17" max="17" width="10.140625" style="774" bestFit="1" customWidth="1"/>
    <col min="18" max="16384" width="8.7109375" style="774"/>
  </cols>
  <sheetData>
    <row r="4" spans="2:12" x14ac:dyDescent="0.2">
      <c r="B4" s="1066" t="s">
        <v>1193</v>
      </c>
      <c r="C4" s="1066"/>
      <c r="D4" s="1066"/>
      <c r="E4" s="1066"/>
      <c r="F4" s="1066"/>
      <c r="G4" s="1066"/>
      <c r="H4" s="1066"/>
      <c r="I4" s="1066"/>
      <c r="J4" s="1066"/>
    </row>
    <row r="5" spans="2:12" ht="31.5" customHeight="1" thickBot="1" x14ac:dyDescent="0.25">
      <c r="B5" s="1067"/>
      <c r="C5" s="1067"/>
      <c r="D5" s="1067"/>
      <c r="E5" s="1067"/>
      <c r="F5" s="1067"/>
      <c r="G5" s="1067"/>
      <c r="H5" s="1067"/>
      <c r="I5" s="1067"/>
      <c r="J5" s="1067"/>
    </row>
    <row r="6" spans="2:12" ht="12" customHeight="1" x14ac:dyDescent="0.2">
      <c r="B6" s="775"/>
      <c r="C6" s="776"/>
      <c r="D6" s="776"/>
      <c r="E6" s="776"/>
      <c r="F6" s="776"/>
      <c r="G6" s="777" t="s">
        <v>1062</v>
      </c>
      <c r="H6" s="778" t="s">
        <v>1063</v>
      </c>
      <c r="I6" s="779" t="s">
        <v>1064</v>
      </c>
      <c r="J6" s="780" t="s">
        <v>1065</v>
      </c>
    </row>
    <row r="7" spans="2:12" ht="50.25" customHeight="1" thickBot="1" x14ac:dyDescent="0.25">
      <c r="B7" s="1068" t="s">
        <v>1066</v>
      </c>
      <c r="C7" s="1069"/>
      <c r="D7" s="1069"/>
      <c r="E7" s="1069"/>
      <c r="F7" s="1070"/>
      <c r="G7" s="848" t="s">
        <v>1067</v>
      </c>
      <c r="H7" s="782" t="s">
        <v>1068</v>
      </c>
      <c r="I7" s="783" t="s">
        <v>1069</v>
      </c>
      <c r="J7" s="784" t="s">
        <v>1070</v>
      </c>
    </row>
    <row r="8" spans="2:12" ht="15" thickTop="1" x14ac:dyDescent="0.2">
      <c r="B8" s="785" t="s">
        <v>1071</v>
      </c>
      <c r="C8" s="786" t="s">
        <v>1072</v>
      </c>
      <c r="D8" s="787"/>
      <c r="E8" s="787"/>
      <c r="F8" s="788"/>
      <c r="G8" s="1071" t="s">
        <v>1073</v>
      </c>
      <c r="H8" s="1072"/>
      <c r="I8" s="1072"/>
      <c r="J8" s="1073"/>
    </row>
    <row r="9" spans="2:12" x14ac:dyDescent="0.2">
      <c r="B9" s="789" t="s">
        <v>1074</v>
      </c>
      <c r="C9" s="790" t="s">
        <v>1075</v>
      </c>
      <c r="D9" s="790"/>
      <c r="E9" s="790"/>
      <c r="F9" s="791"/>
      <c r="G9" s="1071" t="s">
        <v>1073</v>
      </c>
      <c r="H9" s="1072"/>
      <c r="I9" s="1072"/>
      <c r="J9" s="1073"/>
    </row>
    <row r="10" spans="2:12" x14ac:dyDescent="0.2">
      <c r="B10" s="793" t="s">
        <v>1076</v>
      </c>
      <c r="C10" s="794" t="s">
        <v>1077</v>
      </c>
      <c r="D10" s="794"/>
      <c r="E10" s="794"/>
      <c r="F10" s="795"/>
      <c r="G10" s="1060"/>
      <c r="H10" s="1060"/>
      <c r="I10" s="1060"/>
      <c r="J10" s="1059"/>
    </row>
    <row r="11" spans="2:12" x14ac:dyDescent="0.2">
      <c r="B11" s="796">
        <v>0.08</v>
      </c>
      <c r="C11" s="797" t="s">
        <v>1078</v>
      </c>
      <c r="D11" s="1064" t="s">
        <v>1079</v>
      </c>
      <c r="E11" s="1065"/>
      <c r="F11" s="1065"/>
      <c r="G11" s="1060" t="s">
        <v>1073</v>
      </c>
      <c r="H11" s="1060"/>
      <c r="I11" s="1060"/>
      <c r="J11" s="1059"/>
    </row>
    <row r="12" spans="2:12" x14ac:dyDescent="0.2">
      <c r="B12" s="798">
        <f>0.1*0.1</f>
        <v>1.0000000000000002E-2</v>
      </c>
      <c r="C12" s="799" t="s">
        <v>1080</v>
      </c>
      <c r="D12" s="800" t="s">
        <v>1081</v>
      </c>
      <c r="E12" s="800"/>
      <c r="F12" s="801"/>
      <c r="G12" s="1060" t="s">
        <v>1073</v>
      </c>
      <c r="H12" s="1060"/>
      <c r="I12" s="1060"/>
      <c r="J12" s="1059"/>
    </row>
    <row r="13" spans="2:12" x14ac:dyDescent="0.2">
      <c r="B13" s="798"/>
      <c r="C13" s="802" t="s">
        <v>1082</v>
      </c>
      <c r="D13" s="786" t="s">
        <v>1083</v>
      </c>
      <c r="E13" s="786"/>
      <c r="F13" s="803"/>
      <c r="G13" s="1060" t="s">
        <v>1073</v>
      </c>
      <c r="H13" s="1060"/>
      <c r="I13" s="1060"/>
      <c r="J13" s="1059"/>
    </row>
    <row r="14" spans="2:12" x14ac:dyDescent="0.2">
      <c r="B14" s="796"/>
      <c r="C14" s="804" t="s">
        <v>1084</v>
      </c>
      <c r="D14" s="805" t="s">
        <v>1085</v>
      </c>
      <c r="E14" s="805"/>
      <c r="F14" s="806"/>
      <c r="G14" s="1060" t="s">
        <v>1073</v>
      </c>
      <c r="H14" s="1060"/>
      <c r="I14" s="1060"/>
      <c r="J14" s="1059"/>
    </row>
    <row r="15" spans="2:12" x14ac:dyDescent="0.2">
      <c r="B15" s="807"/>
      <c r="C15" s="808" t="s">
        <v>1086</v>
      </c>
      <c r="D15" s="794" t="s">
        <v>1087</v>
      </c>
      <c r="E15" s="794"/>
      <c r="F15" s="795"/>
      <c r="G15" s="1060"/>
      <c r="H15" s="1060"/>
      <c r="I15" s="1060"/>
      <c r="J15" s="1059"/>
    </row>
    <row r="16" spans="2:12" x14ac:dyDescent="0.2">
      <c r="B16" s="807"/>
      <c r="C16" s="808"/>
      <c r="D16" s="809" t="s">
        <v>1071</v>
      </c>
      <c r="E16" s="794" t="s">
        <v>1102</v>
      </c>
      <c r="F16" s="794"/>
      <c r="G16" s="810">
        <f>'UPDATE-Input-EPA Burden-Others'!Y12</f>
        <v>146710</v>
      </c>
      <c r="H16" s="811">
        <v>0.02</v>
      </c>
      <c r="I16" s="810">
        <f>(G16*H16)</f>
        <v>2934.2000000000003</v>
      </c>
      <c r="J16" s="898">
        <f>I16*60.93</f>
        <v>178780.80600000001</v>
      </c>
      <c r="K16" s="792"/>
      <c r="L16" s="849"/>
    </row>
    <row r="17" spans="2:11" x14ac:dyDescent="0.2">
      <c r="B17" s="785"/>
      <c r="C17" s="797" t="s">
        <v>1089</v>
      </c>
      <c r="D17" s="790" t="s">
        <v>1090</v>
      </c>
      <c r="E17" s="790"/>
      <c r="F17" s="791"/>
      <c r="G17" s="1074" t="s">
        <v>1073</v>
      </c>
      <c r="H17" s="1062"/>
      <c r="I17" s="1062"/>
      <c r="J17" s="1063"/>
    </row>
    <row r="18" spans="2:11" ht="15" thickBot="1" x14ac:dyDescent="0.25">
      <c r="B18" s="812" t="s">
        <v>1091</v>
      </c>
      <c r="C18" s="813" t="s">
        <v>1092</v>
      </c>
      <c r="D18" s="814"/>
      <c r="E18" s="814"/>
      <c r="F18" s="814"/>
      <c r="G18" s="815"/>
      <c r="H18" s="816"/>
      <c r="I18" s="816"/>
      <c r="J18" s="817">
        <v>0</v>
      </c>
    </row>
    <row r="19" spans="2:11" ht="15.75" thickTop="1" thickBot="1" x14ac:dyDescent="0.25">
      <c r="B19" s="818"/>
      <c r="C19" s="819" t="s">
        <v>398</v>
      </c>
      <c r="D19" s="820"/>
      <c r="E19" s="820"/>
      <c r="F19" s="821"/>
      <c r="G19" s="822"/>
      <c r="H19" s="823"/>
      <c r="I19" s="824">
        <f>SUM(I9:I17)</f>
        <v>2934.2000000000003</v>
      </c>
      <c r="J19" s="825">
        <f>SUM(J9:J18)</f>
        <v>178780.80600000001</v>
      </c>
    </row>
    <row r="20" spans="2:11" x14ac:dyDescent="0.2">
      <c r="B20" s="826" t="s">
        <v>1093</v>
      </c>
      <c r="C20" s="826"/>
      <c r="D20" s="826"/>
      <c r="E20" s="826"/>
      <c r="F20" s="826"/>
      <c r="G20" s="826"/>
      <c r="H20" s="827"/>
      <c r="I20" s="828"/>
      <c r="J20" s="828"/>
    </row>
    <row r="21" spans="2:11" x14ac:dyDescent="0.2">
      <c r="B21" s="829" t="s">
        <v>1094</v>
      </c>
      <c r="C21" s="826" t="s">
        <v>1100</v>
      </c>
      <c r="D21" s="826"/>
      <c r="E21" s="826"/>
      <c r="F21" s="830"/>
      <c r="G21" s="826"/>
      <c r="H21" s="827"/>
      <c r="I21" s="828"/>
      <c r="J21" s="828"/>
    </row>
    <row r="22" spans="2:11" x14ac:dyDescent="0.2">
      <c r="C22" s="826" t="s">
        <v>1101</v>
      </c>
      <c r="D22" s="826"/>
      <c r="E22" s="826"/>
      <c r="F22" s="826"/>
      <c r="G22" s="826"/>
      <c r="H22" s="827"/>
      <c r="I22" s="828"/>
      <c r="J22" s="828"/>
    </row>
    <row r="23" spans="2:11" x14ac:dyDescent="0.2">
      <c r="B23" s="899" t="s">
        <v>1097</v>
      </c>
      <c r="C23" s="900" t="s">
        <v>1141</v>
      </c>
      <c r="D23" s="900"/>
      <c r="E23" s="900"/>
      <c r="F23" s="900"/>
      <c r="G23" s="900"/>
      <c r="H23" s="901"/>
      <c r="I23" s="902"/>
      <c r="J23" s="902"/>
    </row>
    <row r="24" spans="2:11" x14ac:dyDescent="0.2">
      <c r="B24" s="829" t="s">
        <v>1098</v>
      </c>
      <c r="C24" s="826" t="s">
        <v>1103</v>
      </c>
      <c r="D24" s="826"/>
      <c r="E24" s="826"/>
      <c r="F24" s="826"/>
      <c r="G24" s="826"/>
      <c r="H24" s="827"/>
      <c r="I24" s="828"/>
      <c r="J24" s="828"/>
    </row>
    <row r="25" spans="2:11" x14ac:dyDescent="0.2">
      <c r="B25" s="829"/>
      <c r="C25" s="826" t="s">
        <v>1104</v>
      </c>
      <c r="D25" s="826"/>
      <c r="E25" s="826"/>
      <c r="F25" s="826"/>
      <c r="G25" s="826"/>
      <c r="H25" s="827"/>
      <c r="I25" s="828"/>
      <c r="J25" s="828"/>
    </row>
    <row r="26" spans="2:11" x14ac:dyDescent="0.2">
      <c r="C26" s="826" t="s">
        <v>1105</v>
      </c>
      <c r="D26" s="826"/>
      <c r="E26" s="826"/>
      <c r="F26" s="826"/>
      <c r="G26" s="826"/>
      <c r="H26" s="827"/>
      <c r="I26" s="828"/>
      <c r="J26" s="828"/>
    </row>
    <row r="27" spans="2:11" x14ac:dyDescent="0.2">
      <c r="B27" s="829"/>
      <c r="K27" s="792"/>
    </row>
    <row r="28" spans="2:11" x14ac:dyDescent="0.2">
      <c r="B28" s="831"/>
      <c r="C28" s="832"/>
      <c r="D28" s="832"/>
      <c r="E28" s="833"/>
      <c r="F28" s="833"/>
      <c r="G28" s="833"/>
      <c r="H28" s="833"/>
    </row>
    <row r="29" spans="2:11" x14ac:dyDescent="0.2">
      <c r="B29" s="834"/>
      <c r="C29" s="832"/>
      <c r="D29" s="832"/>
      <c r="E29" s="833"/>
      <c r="F29" s="833"/>
      <c r="G29" s="833"/>
      <c r="H29" s="833"/>
    </row>
    <row r="30" spans="2:11" x14ac:dyDescent="0.2">
      <c r="B30" s="843"/>
      <c r="C30" s="832"/>
      <c r="D30" s="832"/>
      <c r="E30" s="833"/>
      <c r="F30" s="833"/>
      <c r="G30" s="833"/>
      <c r="H30" s="833"/>
    </row>
  </sheetData>
  <mergeCells count="12">
    <mergeCell ref="D11:F11"/>
    <mergeCell ref="G11:J11"/>
    <mergeCell ref="B4:J5"/>
    <mergeCell ref="B7:F7"/>
    <mergeCell ref="G8:J8"/>
    <mergeCell ref="G9:J9"/>
    <mergeCell ref="G10:J10"/>
    <mergeCell ref="G12:J12"/>
    <mergeCell ref="G13:J13"/>
    <mergeCell ref="G14:J14"/>
    <mergeCell ref="G15:J15"/>
    <mergeCell ref="G17:J17"/>
  </mergeCells>
  <pageMargins left="0.7" right="0.7" top="1.25" bottom="0.75" header="0.3" footer="0.3"/>
  <pageSetup scale="87" orientation="landscape" r:id="rId1"/>
  <headerFooter>
    <oddHeader xml:space="preserve">&amp;CSUPPORTING STATEMENT: 
ENVIRONMENTAL PROTECTION AGENCY
OMB control number 2060-0629; ICR number &amp;K0000002300.19&amp;K01+000
Appendix A
</oddHeader>
    <oddFooter>&amp;LSeptember 2019</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53079-DEBC-421E-98E6-E1D7A6FB305D}">
  <sheetPr codeName="Sheet44">
    <tabColor rgb="FF7030A0"/>
  </sheetPr>
  <dimension ref="C4:I12"/>
  <sheetViews>
    <sheetView zoomScaleNormal="100" zoomScaleSheetLayoutView="84" workbookViewId="0">
      <selection activeCell="B19" sqref="B19"/>
    </sheetView>
  </sheetViews>
  <sheetFormatPr defaultColWidth="8.7109375" defaultRowHeight="15" x14ac:dyDescent="0.25"/>
  <cols>
    <col min="4" max="4" width="17.42578125" customWidth="1"/>
    <col min="5" max="5" width="17" hidden="1" customWidth="1"/>
    <col min="6" max="6" width="19.42578125" hidden="1" customWidth="1"/>
    <col min="7" max="7" width="20.85546875" hidden="1" customWidth="1"/>
    <col min="8" max="8" width="17.7109375" customWidth="1"/>
    <col min="9" max="9" width="14.42578125" customWidth="1"/>
  </cols>
  <sheetData>
    <row r="4" spans="3:9" ht="48.95" customHeight="1" thickBot="1" x14ac:dyDescent="0.3">
      <c r="C4" s="1055" t="s">
        <v>1106</v>
      </c>
      <c r="D4" s="1055"/>
      <c r="E4" s="1055"/>
      <c r="F4" s="1055"/>
      <c r="G4" s="1055"/>
      <c r="H4" s="1055"/>
      <c r="I4" s="1055"/>
    </row>
    <row r="5" spans="3:9" ht="34.5" thickBot="1" x14ac:dyDescent="0.3">
      <c r="C5" s="739" t="s">
        <v>488</v>
      </c>
      <c r="D5" s="740" t="s">
        <v>1107</v>
      </c>
      <c r="E5" s="740" t="s">
        <v>1108</v>
      </c>
      <c r="F5" s="740" t="s">
        <v>1109</v>
      </c>
      <c r="G5" s="740" t="s">
        <v>1110</v>
      </c>
      <c r="H5" s="741" t="s">
        <v>1111</v>
      </c>
      <c r="I5" s="742" t="s">
        <v>1</v>
      </c>
    </row>
    <row r="6" spans="3:9" ht="15.75" thickTop="1" x14ac:dyDescent="0.25">
      <c r="C6" s="743">
        <v>1</v>
      </c>
      <c r="D6" s="850">
        <f>'EPA-YR1'!G16</f>
        <v>154550</v>
      </c>
      <c r="E6" s="850">
        <f>'EPA-YR1'!I16</f>
        <v>3091</v>
      </c>
      <c r="F6" s="850" t="e">
        <f>'EPA-YR1'!#REF!</f>
        <v>#REF!</v>
      </c>
      <c r="G6" s="850" t="e">
        <f>'EPA-YR1'!#REF!</f>
        <v>#REF!</v>
      </c>
      <c r="H6" s="851">
        <f>'EPA-YR1'!I16</f>
        <v>3091</v>
      </c>
      <c r="I6" s="852">
        <f>'EPA-YR1'!J19</f>
        <v>188334.63</v>
      </c>
    </row>
    <row r="7" spans="3:9" x14ac:dyDescent="0.25">
      <c r="C7" s="744">
        <v>2</v>
      </c>
      <c r="D7" s="853">
        <f>'EPA-YR2'!G16</f>
        <v>146710</v>
      </c>
      <c r="E7" s="853">
        <f>'EPA-YR2'!I16</f>
        <v>2934.2000000000003</v>
      </c>
      <c r="F7" s="853" t="e">
        <f>'EPA-YR2'!#REF!</f>
        <v>#REF!</v>
      </c>
      <c r="G7" s="853" t="e">
        <f>'EPA-YR2'!#REF!</f>
        <v>#REF!</v>
      </c>
      <c r="H7" s="851">
        <f>'EPA-YR2'!I16</f>
        <v>2934.2000000000003</v>
      </c>
      <c r="I7" s="854">
        <f>'EPA-YR2'!J19</f>
        <v>178780.80600000001</v>
      </c>
    </row>
    <row r="8" spans="3:9" ht="15.75" thickBot="1" x14ac:dyDescent="0.3">
      <c r="C8" s="745">
        <v>3</v>
      </c>
      <c r="D8" s="855">
        <f>'EPA-YR3'!G16</f>
        <v>146710</v>
      </c>
      <c r="E8" s="855">
        <f>'EPA-YR3'!I16</f>
        <v>2934.2000000000003</v>
      </c>
      <c r="F8" s="855" t="e">
        <f>'EPA-YR3'!#REF!</f>
        <v>#REF!</v>
      </c>
      <c r="G8" s="855" t="e">
        <f>'EPA-YR3'!#REF!</f>
        <v>#REF!</v>
      </c>
      <c r="H8" s="855">
        <f>'EPA-YR3'!I19</f>
        <v>2934.2000000000003</v>
      </c>
      <c r="I8" s="856">
        <f>'EPA-YR3'!J19</f>
        <v>178780.80600000001</v>
      </c>
    </row>
    <row r="9" spans="3:9" ht="15.75" thickTop="1" x14ac:dyDescent="0.25">
      <c r="C9" s="743" t="s">
        <v>43</v>
      </c>
      <c r="D9" s="746">
        <f>SUM(D6:D8)</f>
        <v>447970</v>
      </c>
      <c r="E9" s="746">
        <f t="shared" ref="E9:G9" si="0">SUM(E6:E8)</f>
        <v>8959.4000000000015</v>
      </c>
      <c r="F9" s="746" t="e">
        <f t="shared" si="0"/>
        <v>#REF!</v>
      </c>
      <c r="G9" s="746" t="e">
        <f t="shared" si="0"/>
        <v>#REF!</v>
      </c>
      <c r="H9" s="746">
        <f>SUM(H6:H8)</f>
        <v>8959.4000000000015</v>
      </c>
      <c r="I9" s="857">
        <f>SUM(I6:I8)</f>
        <v>545896.24199999997</v>
      </c>
    </row>
    <row r="10" spans="3:9" ht="15.75" thickBot="1" x14ac:dyDescent="0.3">
      <c r="C10" s="747" t="s">
        <v>1048</v>
      </c>
      <c r="D10" s="748">
        <f t="shared" ref="D10:G10" si="1">AVERAGE(D6:D8)</f>
        <v>149323.33333333334</v>
      </c>
      <c r="E10" s="748">
        <f t="shared" si="1"/>
        <v>2986.4666666666672</v>
      </c>
      <c r="F10" s="748" t="e">
        <f t="shared" si="1"/>
        <v>#REF!</v>
      </c>
      <c r="G10" s="748" t="e">
        <f t="shared" si="1"/>
        <v>#REF!</v>
      </c>
      <c r="H10" s="748">
        <f>AVERAGE(H6:H8)</f>
        <v>2986.4666666666672</v>
      </c>
      <c r="I10" s="858">
        <f>AVERAGE(I6:I8)</f>
        <v>181965.41399999999</v>
      </c>
    </row>
    <row r="11" spans="3:9" x14ac:dyDescent="0.25">
      <c r="C11" s="1078" t="s">
        <v>1148</v>
      </c>
      <c r="D11" s="1078"/>
      <c r="E11" s="1078"/>
      <c r="F11" s="1078"/>
      <c r="G11" s="1078"/>
      <c r="H11" s="1078"/>
      <c r="I11" s="1078"/>
    </row>
    <row r="12" spans="3:9" x14ac:dyDescent="0.25">
      <c r="C12" s="1079"/>
      <c r="D12" s="1079"/>
      <c r="E12" s="1079"/>
      <c r="F12" s="1079"/>
      <c r="G12" s="1079"/>
      <c r="H12" s="1079"/>
      <c r="I12" s="1079"/>
    </row>
  </sheetData>
  <mergeCells count="2">
    <mergeCell ref="C4:I4"/>
    <mergeCell ref="C11:I12"/>
  </mergeCells>
  <pageMargins left="0.7" right="0.7" top="1.25" bottom="0.75" header="0.3" footer="0.3"/>
  <pageSetup scale="87" orientation="portrait" r:id="rId1"/>
  <headerFooter>
    <oddHeader xml:space="preserve">&amp;CSUPPORTING STATEMENT: 
ENVIRONMENTAL PROTECTION AGENCY
OMB control number 2060-0629; ICR number &amp;K0000002300.19&amp;K01+000
Appendix A
</oddHeader>
    <oddFooter>&amp;LSeptember 2019</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4E52F-E17D-460E-BBDA-08CB9ED3CC84}">
  <sheetPr codeName="Sheet45">
    <tabColor rgb="FF7030A0"/>
  </sheetPr>
  <dimension ref="A3:I21"/>
  <sheetViews>
    <sheetView zoomScaleNormal="100" zoomScaleSheetLayoutView="96" workbookViewId="0">
      <selection activeCell="B19" sqref="B19"/>
    </sheetView>
  </sheetViews>
  <sheetFormatPr defaultColWidth="8.7109375" defaultRowHeight="15" x14ac:dyDescent="0.25"/>
  <cols>
    <col min="1" max="1" width="28.140625" customWidth="1"/>
    <col min="2" max="2" width="14.85546875" customWidth="1"/>
    <col min="3" max="3" width="13.5703125" customWidth="1"/>
    <col min="4" max="4" width="12.42578125" customWidth="1"/>
    <col min="5" max="5" width="12.140625" customWidth="1"/>
    <col min="6" max="6" width="12.28515625" customWidth="1"/>
    <col min="7" max="7" width="11.85546875" customWidth="1"/>
    <col min="8" max="8" width="11.85546875" bestFit="1" customWidth="1"/>
    <col min="9" max="9" width="11.5703125" customWidth="1"/>
  </cols>
  <sheetData>
    <row r="3" spans="1:9" ht="15" customHeight="1" thickBot="1" x14ac:dyDescent="0.3">
      <c r="A3" s="862" t="s">
        <v>1128</v>
      </c>
      <c r="B3" s="863"/>
      <c r="C3" s="863"/>
      <c r="D3" s="863"/>
      <c r="E3" s="863"/>
      <c r="F3" s="863"/>
    </row>
    <row r="4" spans="1:9" x14ac:dyDescent="0.25">
      <c r="A4" s="864"/>
      <c r="B4" s="865" t="s">
        <v>1188</v>
      </c>
      <c r="C4" s="865" t="s">
        <v>1189</v>
      </c>
      <c r="D4" s="865" t="s">
        <v>1190</v>
      </c>
      <c r="E4" s="865" t="s">
        <v>43</v>
      </c>
      <c r="F4" s="866" t="s">
        <v>1129</v>
      </c>
    </row>
    <row r="5" spans="1:9" x14ac:dyDescent="0.25">
      <c r="A5" s="867" t="s">
        <v>1130</v>
      </c>
      <c r="B5" s="868"/>
      <c r="C5" s="869"/>
      <c r="D5" s="868"/>
      <c r="E5" s="870"/>
      <c r="F5" s="871"/>
    </row>
    <row r="6" spans="1:9" x14ac:dyDescent="0.25">
      <c r="A6" s="872" t="s">
        <v>1022</v>
      </c>
      <c r="B6" s="873">
        <f>'Respondent Burden-All Yrs'!$B$29</f>
        <v>7990</v>
      </c>
      <c r="C6" s="873">
        <f>'Respondent Burden-All Yrs'!$M$29</f>
        <v>7990</v>
      </c>
      <c r="D6" s="873">
        <f>'Respondent Burden-All Yrs'!$X$29</f>
        <v>7990</v>
      </c>
      <c r="E6" s="873">
        <f>SUM(B6:D6)</f>
        <v>23970</v>
      </c>
      <c r="F6" s="874">
        <f>AVERAGE(B6:D6)</f>
        <v>7990</v>
      </c>
      <c r="I6" s="401"/>
    </row>
    <row r="7" spans="1:9" x14ac:dyDescent="0.25">
      <c r="A7" s="872" t="s">
        <v>1131</v>
      </c>
      <c r="B7" s="873">
        <f>'Respondent Burden-All Yrs'!$G$29</f>
        <v>152529.12000000002</v>
      </c>
      <c r="C7" s="873">
        <f>'Respondent Burden-All Yrs'!$R$29</f>
        <v>95752.519999999975</v>
      </c>
      <c r="D7" s="873">
        <f>'Respondent Burden-All Yrs'!$AC$29</f>
        <v>95752.519999999975</v>
      </c>
      <c r="E7" s="873">
        <f>SUM(B7:D7)</f>
        <v>344034.16</v>
      </c>
      <c r="F7" s="874">
        <f>AVERAGE(B7:D7)</f>
        <v>114678.05333333333</v>
      </c>
      <c r="I7" s="401"/>
    </row>
    <row r="8" spans="1:9" x14ac:dyDescent="0.25">
      <c r="A8" s="872" t="s">
        <v>1132</v>
      </c>
      <c r="B8" s="875">
        <f>'Respondent Burden-All Yrs'!$H$29</f>
        <v>11748618.595389066</v>
      </c>
      <c r="C8" s="875">
        <f>'Respondent Burden-All Yrs'!$S$29</f>
        <v>7664139.8941030614</v>
      </c>
      <c r="D8" s="875">
        <f>'Respondent Burden-All Yrs'!$AD$29</f>
        <v>7664139.8941030614</v>
      </c>
      <c r="E8" s="875">
        <f>SUM(B8:D8)</f>
        <v>27076898.383595187</v>
      </c>
      <c r="F8" s="876">
        <f>AVERAGE(B8:D8)</f>
        <v>9025632.7945317291</v>
      </c>
      <c r="I8" s="402"/>
    </row>
    <row r="9" spans="1:9" x14ac:dyDescent="0.25">
      <c r="A9" s="877" t="s">
        <v>1133</v>
      </c>
      <c r="B9" s="875">
        <f>'Respondent Burden-All Yrs'!$J$29</f>
        <v>3223041.2281424226</v>
      </c>
      <c r="C9" s="875">
        <f>'Respondent Burden-All Yrs'!$U$29</f>
        <v>3225281.8766005724</v>
      </c>
      <c r="D9" s="875">
        <f>'Respondent Burden-All Yrs'!$AF$29</f>
        <v>3225281.8766005724</v>
      </c>
      <c r="E9" s="875">
        <f>SUM(B9:D9)</f>
        <v>9673604.9813435674</v>
      </c>
      <c r="F9" s="876">
        <f>AVERAGE(B9:D9)</f>
        <v>3224534.993781189</v>
      </c>
      <c r="I9" s="402"/>
    </row>
    <row r="10" spans="1:9" x14ac:dyDescent="0.25">
      <c r="A10" s="877" t="s">
        <v>1134</v>
      </c>
      <c r="B10" s="875">
        <f>SUM(B8:B9)</f>
        <v>14971659.82353149</v>
      </c>
      <c r="C10" s="875">
        <f>SUM(C8:C9)</f>
        <v>10889421.770703634</v>
      </c>
      <c r="D10" s="875">
        <f>SUM(D8:D9)</f>
        <v>10889421.770703634</v>
      </c>
      <c r="E10" s="875">
        <f>SUM(B10:D10)</f>
        <v>36750503.364938758</v>
      </c>
      <c r="F10" s="876">
        <f>AVERAGE(B10:D10)</f>
        <v>12250167.788312919</v>
      </c>
      <c r="I10" s="402"/>
    </row>
    <row r="11" spans="1:9" x14ac:dyDescent="0.25">
      <c r="A11" s="878" t="s">
        <v>1135</v>
      </c>
      <c r="B11" s="879"/>
      <c r="C11" s="879"/>
      <c r="D11" s="879"/>
      <c r="E11" s="880"/>
      <c r="F11" s="881"/>
      <c r="I11" s="402"/>
    </row>
    <row r="12" spans="1:9" x14ac:dyDescent="0.25">
      <c r="A12" s="872" t="s">
        <v>1136</v>
      </c>
      <c r="B12" s="873">
        <f>'EPA-YR1'!I16</f>
        <v>3091</v>
      </c>
      <c r="C12" s="873">
        <f>'EPA-YR2'!I16</f>
        <v>2934.2000000000003</v>
      </c>
      <c r="D12" s="873">
        <f>'EPA-YR3'!I16</f>
        <v>2934.2000000000003</v>
      </c>
      <c r="E12" s="873">
        <f>SUM(B12:D12)</f>
        <v>8959.4000000000015</v>
      </c>
      <c r="F12" s="874">
        <f>AVERAGE(B12:D12)</f>
        <v>2986.4666666666672</v>
      </c>
    </row>
    <row r="13" spans="1:9" x14ac:dyDescent="0.25">
      <c r="A13" s="872" t="s">
        <v>1137</v>
      </c>
      <c r="B13" s="875">
        <f>'EPA-YR1'!J16</f>
        <v>188334.63</v>
      </c>
      <c r="C13" s="875">
        <f>'EPA-YR2'!J16</f>
        <v>178780.80600000001</v>
      </c>
      <c r="D13" s="875">
        <f>'EPA-YR3'!J16</f>
        <v>178780.80600000001</v>
      </c>
      <c r="E13" s="875">
        <f>SUM(B13:D13)</f>
        <v>545896.24199999997</v>
      </c>
      <c r="F13" s="876">
        <f>AVERAGE(B13:D13)</f>
        <v>181965.41399999999</v>
      </c>
    </row>
    <row r="14" spans="1:9" ht="23.25" x14ac:dyDescent="0.25">
      <c r="A14" s="882" t="s">
        <v>1138</v>
      </c>
      <c r="B14" s="873">
        <f>SUM(B12+B7)</f>
        <v>155620.12000000002</v>
      </c>
      <c r="C14" s="873">
        <f>SUM(C7+C12)</f>
        <v>98686.719999999972</v>
      </c>
      <c r="D14" s="873">
        <f>SUM(D7+D12)</f>
        <v>98686.719999999972</v>
      </c>
      <c r="E14" s="873">
        <f>SUM(B14:D14)</f>
        <v>352993.55999999994</v>
      </c>
      <c r="F14" s="874">
        <f>AVERAGE(B14:D14)</f>
        <v>117664.51999999997</v>
      </c>
    </row>
    <row r="15" spans="1:9" ht="24" thickBot="1" x14ac:dyDescent="0.3">
      <c r="A15" s="883" t="s">
        <v>1139</v>
      </c>
      <c r="B15" s="884">
        <f>SUM(B8:B9,B13)</f>
        <v>15159994.453531491</v>
      </c>
      <c r="C15" s="884">
        <f>SUM(C8:C9,C13)</f>
        <v>11068202.576703634</v>
      </c>
      <c r="D15" s="884">
        <f>SUM(D8:D9,D13)</f>
        <v>11068202.576703634</v>
      </c>
      <c r="E15" s="884">
        <f>SUM(B15:D15)</f>
        <v>37296399.606938764</v>
      </c>
      <c r="F15" s="885">
        <f>AVERAGE(B15:D15)</f>
        <v>12432133.202312922</v>
      </c>
    </row>
    <row r="17" spans="3:5" x14ac:dyDescent="0.25">
      <c r="C17" s="402"/>
      <c r="D17" s="402"/>
      <c r="E17" s="402"/>
    </row>
    <row r="18" spans="3:5" x14ac:dyDescent="0.25">
      <c r="E18" s="402"/>
    </row>
    <row r="21" spans="3:5" x14ac:dyDescent="0.25">
      <c r="C21" s="749"/>
    </row>
  </sheetData>
  <pageMargins left="0.7" right="0.7" top="1.25" bottom="0.75" header="0.3" footer="0.3"/>
  <pageSetup scale="87" orientation="portrait" r:id="rId1"/>
  <headerFooter>
    <oddHeader xml:space="preserve">&amp;CSUPPORTING STATEMENT: 
ENVIRONMENTAL PROTECTION AGENCY
OMB control number 2060-0629; ICR number &amp;K0000002300.19&amp;K01+000
Appendix A
</oddHeader>
    <oddFooter>&amp;LSeptember 2019</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B9584-F4B4-46F7-9BDB-0D27A406C2E3}">
  <sheetPr codeName="Sheet46">
    <tabColor theme="7" tint="0.59999389629810485"/>
  </sheetPr>
  <dimension ref="A1"/>
  <sheetViews>
    <sheetView workbookViewId="0">
      <selection activeCell="J28" sqref="J28:O28"/>
    </sheetView>
  </sheetViews>
  <sheetFormatPr defaultRowHeight="15" x14ac:dyDescent="0.25"/>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DA8BC-1DC6-46C0-8471-735D97C41783}">
  <sheetPr codeName="Sheet47">
    <tabColor theme="7" tint="0.59999389629810485"/>
  </sheetPr>
  <dimension ref="A1:L55"/>
  <sheetViews>
    <sheetView topLeftCell="A28" workbookViewId="0">
      <selection activeCell="J28" sqref="J28:O28"/>
    </sheetView>
  </sheetViews>
  <sheetFormatPr defaultRowHeight="15" x14ac:dyDescent="0.25"/>
  <cols>
    <col min="1" max="1" width="41" bestFit="1" customWidth="1"/>
    <col min="2" max="2" width="23.85546875" bestFit="1" customWidth="1"/>
    <col min="3" max="3" width="13.5703125" bestFit="1" customWidth="1"/>
    <col min="8" max="8" width="14.5703125" customWidth="1"/>
    <col min="11" max="11" width="19.85546875" customWidth="1"/>
  </cols>
  <sheetData>
    <row r="1" spans="1:12" ht="15.75" thickBot="1" x14ac:dyDescent="0.3">
      <c r="A1" s="79"/>
      <c r="B1" s="79"/>
      <c r="C1" s="79"/>
      <c r="D1" s="79"/>
      <c r="E1" s="79"/>
      <c r="F1" s="79"/>
      <c r="G1" s="79"/>
      <c r="H1" s="79"/>
      <c r="I1" s="79"/>
      <c r="J1" s="79"/>
      <c r="K1" s="79"/>
      <c r="L1" s="79"/>
    </row>
    <row r="2" spans="1:12" x14ac:dyDescent="0.25">
      <c r="A2" s="80" t="s">
        <v>188</v>
      </c>
      <c r="B2" s="81"/>
      <c r="C2" s="81"/>
      <c r="D2" s="81"/>
      <c r="E2" s="82"/>
      <c r="F2" s="83"/>
      <c r="G2" s="79"/>
      <c r="H2" s="80" t="s">
        <v>108</v>
      </c>
      <c r="I2" s="213"/>
      <c r="J2" s="213"/>
      <c r="K2" s="214"/>
      <c r="L2" s="5" t="s">
        <v>1011</v>
      </c>
    </row>
    <row r="3" spans="1:12" ht="39" x14ac:dyDescent="0.25">
      <c r="A3" s="84" t="s">
        <v>76</v>
      </c>
      <c r="B3" s="84" t="s">
        <v>77</v>
      </c>
      <c r="C3" s="1080" t="s">
        <v>78</v>
      </c>
      <c r="D3" s="1080"/>
      <c r="E3" s="1080"/>
      <c r="F3" s="85"/>
      <c r="G3" s="79"/>
      <c r="H3" s="215" t="s">
        <v>109</v>
      </c>
      <c r="I3" s="216" t="s">
        <v>110</v>
      </c>
      <c r="J3" s="216" t="s">
        <v>111</v>
      </c>
      <c r="K3" s="217" t="s">
        <v>118</v>
      </c>
      <c r="L3" s="131"/>
    </row>
    <row r="4" spans="1:12" x14ac:dyDescent="0.25">
      <c r="A4" s="86" t="s">
        <v>79</v>
      </c>
      <c r="B4" s="132">
        <v>112.23</v>
      </c>
      <c r="C4" s="1081" t="s">
        <v>80</v>
      </c>
      <c r="D4" s="1081"/>
      <c r="E4" s="1081"/>
      <c r="F4" s="85"/>
      <c r="G4" s="79"/>
      <c r="H4" s="218">
        <v>71.17</v>
      </c>
      <c r="I4" s="219">
        <f>ROUND((66.09-45.81)/45.81,3)</f>
        <v>0.443</v>
      </c>
      <c r="J4" s="220">
        <v>0.17</v>
      </c>
      <c r="K4" s="221">
        <f>H4+(I4*H4)+(H4*J4)</f>
        <v>114.79721000000001</v>
      </c>
      <c r="L4" s="129"/>
    </row>
    <row r="5" spans="1:12" x14ac:dyDescent="0.25">
      <c r="A5" s="86" t="s">
        <v>70</v>
      </c>
      <c r="B5" s="132">
        <v>87.45</v>
      </c>
      <c r="C5" s="1081" t="s">
        <v>81</v>
      </c>
      <c r="D5" s="1081"/>
      <c r="E5" s="1081"/>
      <c r="F5" s="85"/>
      <c r="G5" s="79"/>
      <c r="H5" s="218">
        <v>56.62</v>
      </c>
      <c r="I5" s="219">
        <f>ROUND((66.09-45.81)/45.81,3)</f>
        <v>0.443</v>
      </c>
      <c r="J5" s="220">
        <v>0.17</v>
      </c>
      <c r="K5" s="221">
        <f>H5+(I5*H5)+(H5*J5)</f>
        <v>91.328059999999994</v>
      </c>
      <c r="L5" s="129"/>
    </row>
    <row r="6" spans="1:12" x14ac:dyDescent="0.25">
      <c r="A6" s="86" t="s">
        <v>68</v>
      </c>
      <c r="B6" s="132">
        <v>71.45</v>
      </c>
      <c r="C6" s="1081" t="s">
        <v>82</v>
      </c>
      <c r="D6" s="1081"/>
      <c r="E6" s="1081"/>
      <c r="F6" s="85"/>
      <c r="G6" s="79"/>
      <c r="H6" s="218">
        <v>45.77</v>
      </c>
      <c r="I6" s="219">
        <f>ROUND((66.09-45.81)/45.81,3)</f>
        <v>0.443</v>
      </c>
      <c r="J6" s="220">
        <v>0.17</v>
      </c>
      <c r="K6" s="221">
        <f t="shared" ref="K6:K7" si="0">H6+(I6*H6)+(H6*J6)</f>
        <v>73.827010000000001</v>
      </c>
      <c r="L6" s="129"/>
    </row>
    <row r="7" spans="1:12" ht="15.75" thickBot="1" x14ac:dyDescent="0.3">
      <c r="A7" s="86" t="s">
        <v>69</v>
      </c>
      <c r="B7" s="132">
        <v>36.28</v>
      </c>
      <c r="C7" s="1081" t="s">
        <v>83</v>
      </c>
      <c r="D7" s="1081"/>
      <c r="E7" s="1081"/>
      <c r="F7" s="85"/>
      <c r="G7" s="79"/>
      <c r="H7" s="222">
        <v>20.85</v>
      </c>
      <c r="I7" s="223">
        <f>ROUND((30.54-20.85)/20.85,3)</f>
        <v>0.46500000000000002</v>
      </c>
      <c r="J7" s="224">
        <v>0.17</v>
      </c>
      <c r="K7" s="225">
        <f t="shared" si="0"/>
        <v>34.089750000000002</v>
      </c>
      <c r="L7" s="129"/>
    </row>
    <row r="8" spans="1:12" ht="15.75" thickBot="1" x14ac:dyDescent="0.3">
      <c r="A8" s="1082" t="s">
        <v>84</v>
      </c>
      <c r="B8" s="1083"/>
      <c r="C8" s="1083"/>
      <c r="D8" s="1083"/>
      <c r="E8" s="1083"/>
      <c r="F8" s="88"/>
      <c r="G8" s="79"/>
      <c r="H8" s="1084"/>
      <c r="I8" s="1084"/>
      <c r="J8" s="1084"/>
      <c r="K8" s="1084"/>
      <c r="L8" s="1084"/>
    </row>
    <row r="9" spans="1:12" x14ac:dyDescent="0.25">
      <c r="A9" s="135"/>
      <c r="B9" s="135"/>
      <c r="C9" s="135"/>
      <c r="D9" s="135"/>
      <c r="E9" s="135"/>
      <c r="F9" s="79"/>
      <c r="G9" s="79"/>
      <c r="H9" s="136" t="s">
        <v>114</v>
      </c>
      <c r="J9" s="130"/>
      <c r="K9" s="130"/>
      <c r="L9" s="130"/>
    </row>
    <row r="10" spans="1:12" x14ac:dyDescent="0.25">
      <c r="A10" s="135"/>
      <c r="B10" s="135"/>
      <c r="C10" s="135"/>
      <c r="D10" s="135"/>
      <c r="E10" s="135"/>
      <c r="F10" s="79"/>
      <c r="G10" s="79"/>
      <c r="H10" s="136" t="s">
        <v>112</v>
      </c>
      <c r="J10" s="130"/>
      <c r="K10" s="130"/>
      <c r="L10" s="130"/>
    </row>
    <row r="11" spans="1:12" x14ac:dyDescent="0.25">
      <c r="A11" s="135"/>
      <c r="B11" s="135"/>
      <c r="C11" s="135"/>
      <c r="D11" s="135"/>
      <c r="E11" s="135"/>
      <c r="F11" s="79"/>
      <c r="G11" s="79"/>
      <c r="H11" s="136" t="s">
        <v>113</v>
      </c>
      <c r="J11" s="130"/>
      <c r="K11" s="130"/>
      <c r="L11" s="130"/>
    </row>
    <row r="12" spans="1:12" x14ac:dyDescent="0.25">
      <c r="A12" s="135"/>
      <c r="B12" s="135"/>
      <c r="C12" s="135"/>
      <c r="D12" s="135"/>
      <c r="E12" s="135"/>
      <c r="F12" s="79"/>
      <c r="G12" s="79"/>
      <c r="H12" s="136" t="s">
        <v>254</v>
      </c>
      <c r="J12" s="130"/>
      <c r="K12" s="130"/>
      <c r="L12" s="130"/>
    </row>
    <row r="13" spans="1:12" x14ac:dyDescent="0.25">
      <c r="A13" s="135"/>
      <c r="B13" s="135"/>
      <c r="C13" s="135"/>
      <c r="D13" s="135"/>
      <c r="E13" s="135"/>
      <c r="F13" s="79"/>
      <c r="G13" s="79"/>
      <c r="H13" s="136" t="s">
        <v>116</v>
      </c>
      <c r="I13" s="130"/>
      <c r="J13" s="130"/>
      <c r="K13" s="130"/>
      <c r="L13" s="130"/>
    </row>
    <row r="14" spans="1:12" x14ac:dyDescent="0.25">
      <c r="A14" s="135"/>
      <c r="B14" s="135"/>
      <c r="C14" s="135"/>
      <c r="D14" s="135"/>
      <c r="E14" s="135"/>
      <c r="F14" s="79"/>
      <c r="G14" s="79"/>
      <c r="H14" s="136" t="s">
        <v>117</v>
      </c>
      <c r="I14" s="130"/>
      <c r="J14" s="130"/>
      <c r="K14" s="130"/>
      <c r="L14" s="130"/>
    </row>
    <row r="15" spans="1:12" x14ac:dyDescent="0.25">
      <c r="A15" s="79"/>
      <c r="B15" s="79"/>
      <c r="C15" s="79"/>
      <c r="D15" s="79"/>
      <c r="E15" s="79"/>
      <c r="F15" s="79"/>
      <c r="G15" s="79"/>
      <c r="H15" s="79"/>
      <c r="I15" s="79"/>
      <c r="J15" s="79"/>
      <c r="K15" s="79"/>
      <c r="L15" s="79"/>
    </row>
    <row r="16" spans="1:12" x14ac:dyDescent="0.25">
      <c r="A16" s="79"/>
      <c r="B16" s="79"/>
      <c r="C16" s="79"/>
      <c r="D16" s="79"/>
      <c r="E16" s="79"/>
      <c r="F16" s="79"/>
      <c r="G16" s="79"/>
      <c r="H16" s="79"/>
      <c r="I16" s="79"/>
      <c r="J16" s="79"/>
      <c r="K16" s="79"/>
      <c r="L16" s="79"/>
    </row>
    <row r="17" spans="1:12" ht="15.75" thickBot="1" x14ac:dyDescent="0.3">
      <c r="A17" s="79"/>
      <c r="B17" s="79"/>
      <c r="C17" s="79"/>
      <c r="D17" s="79"/>
      <c r="E17" s="79"/>
      <c r="F17" s="79"/>
      <c r="G17" s="79"/>
      <c r="H17" s="79"/>
      <c r="I17" s="79"/>
      <c r="J17" s="79"/>
      <c r="K17" s="79"/>
      <c r="L17" s="79"/>
    </row>
    <row r="18" spans="1:12" x14ac:dyDescent="0.25">
      <c r="A18" s="89" t="s">
        <v>85</v>
      </c>
      <c r="B18" s="82"/>
      <c r="C18" s="83"/>
      <c r="D18" s="79"/>
      <c r="E18" s="89" t="s">
        <v>86</v>
      </c>
      <c r="F18" s="90"/>
      <c r="G18" s="91"/>
      <c r="H18" s="79"/>
      <c r="I18" s="137" t="s">
        <v>87</v>
      </c>
      <c r="J18" s="90"/>
      <c r="K18" s="91"/>
      <c r="L18" s="79"/>
    </row>
    <row r="19" spans="1:12" ht="39" x14ac:dyDescent="0.25">
      <c r="A19" s="92" t="s">
        <v>88</v>
      </c>
      <c r="B19" s="93">
        <v>122.9</v>
      </c>
      <c r="C19" s="94"/>
      <c r="D19" s="79"/>
      <c r="E19" s="147" t="s">
        <v>76</v>
      </c>
      <c r="F19" s="148" t="s">
        <v>89</v>
      </c>
      <c r="G19" s="148" t="s">
        <v>90</v>
      </c>
      <c r="H19" s="79"/>
      <c r="I19" s="138" t="s">
        <v>76</v>
      </c>
      <c r="J19" s="139" t="s">
        <v>89</v>
      </c>
      <c r="K19" s="139" t="s">
        <v>90</v>
      </c>
      <c r="L19" s="79"/>
    </row>
    <row r="20" spans="1:12" ht="39" x14ac:dyDescent="0.25">
      <c r="A20" s="92" t="s">
        <v>91</v>
      </c>
      <c r="B20" s="93">
        <v>115.6</v>
      </c>
      <c r="C20" s="95">
        <f>B19/B20</f>
        <v>1.0631487889273357</v>
      </c>
      <c r="D20" s="79"/>
      <c r="E20" s="149" t="s">
        <v>92</v>
      </c>
      <c r="F20" s="79">
        <v>33.39</v>
      </c>
      <c r="G20" s="96">
        <f>F20*1.6</f>
        <v>53.424000000000007</v>
      </c>
      <c r="H20" s="79"/>
      <c r="I20" s="140" t="s">
        <v>93</v>
      </c>
      <c r="J20" s="141">
        <v>28.88</v>
      </c>
      <c r="K20" s="142">
        <f>J20*1.6</f>
        <v>46.207999999999998</v>
      </c>
      <c r="L20" s="79"/>
    </row>
    <row r="21" spans="1:12" x14ac:dyDescent="0.25">
      <c r="A21" s="92" t="s">
        <v>94</v>
      </c>
      <c r="B21" s="93">
        <v>103.4</v>
      </c>
      <c r="C21" s="95">
        <f>B19/B21</f>
        <v>1.188588007736944</v>
      </c>
      <c r="D21" s="79"/>
      <c r="E21" s="92"/>
      <c r="F21" s="79"/>
      <c r="G21" s="96"/>
      <c r="H21" s="79"/>
      <c r="I21" s="140" t="s">
        <v>95</v>
      </c>
      <c r="J21" s="141">
        <v>38.92</v>
      </c>
      <c r="K21" s="142">
        <f>J21*1.6</f>
        <v>62.272000000000006</v>
      </c>
      <c r="L21" s="79"/>
    </row>
    <row r="22" spans="1:12" ht="15.75" thickBot="1" x14ac:dyDescent="0.3">
      <c r="A22" s="92" t="s">
        <v>96</v>
      </c>
      <c r="B22" s="93">
        <v>109.6</v>
      </c>
      <c r="C22" s="94"/>
      <c r="D22" s="79"/>
      <c r="E22" s="97"/>
      <c r="F22" s="98"/>
      <c r="G22" s="99"/>
      <c r="H22" s="79"/>
      <c r="I22" s="140" t="s">
        <v>97</v>
      </c>
      <c r="J22" s="141">
        <v>15.63</v>
      </c>
      <c r="K22" s="142">
        <f>J22*1.6</f>
        <v>25.008000000000003</v>
      </c>
      <c r="L22" s="79"/>
    </row>
    <row r="23" spans="1:12" x14ac:dyDescent="0.25">
      <c r="A23" s="100" t="s">
        <v>98</v>
      </c>
      <c r="B23" s="79"/>
      <c r="C23" s="85"/>
      <c r="D23" s="79"/>
      <c r="E23" s="79"/>
      <c r="F23" s="79"/>
      <c r="G23" s="79"/>
      <c r="H23" s="79"/>
      <c r="I23" s="140"/>
      <c r="J23" s="141"/>
      <c r="K23" s="143"/>
      <c r="L23" s="79"/>
    </row>
    <row r="24" spans="1:12" ht="15.75" thickBot="1" x14ac:dyDescent="0.3">
      <c r="A24" s="101" t="s">
        <v>99</v>
      </c>
      <c r="B24" s="102"/>
      <c r="C24" s="88"/>
      <c r="D24" s="79"/>
      <c r="E24" s="79"/>
      <c r="F24" s="103"/>
      <c r="G24" s="79"/>
      <c r="H24" s="79"/>
      <c r="I24" s="140" t="s">
        <v>100</v>
      </c>
      <c r="J24" s="141"/>
      <c r="K24" s="143"/>
      <c r="L24" s="79"/>
    </row>
    <row r="25" spans="1:12" ht="15.75" thickBot="1" x14ac:dyDescent="0.3">
      <c r="A25" s="79"/>
      <c r="B25" s="79"/>
      <c r="C25" s="79"/>
      <c r="D25" s="79"/>
      <c r="E25" s="79"/>
      <c r="F25" s="79"/>
      <c r="G25" s="79"/>
      <c r="H25" s="79"/>
      <c r="I25" s="144" t="s">
        <v>101</v>
      </c>
      <c r="J25" s="145"/>
      <c r="K25" s="146"/>
      <c r="L25" s="79"/>
    </row>
    <row r="26" spans="1:12" x14ac:dyDescent="0.25">
      <c r="A26" s="104" t="s">
        <v>102</v>
      </c>
      <c r="B26" s="82"/>
      <c r="C26" s="83" t="s">
        <v>160</v>
      </c>
      <c r="D26" s="79" t="s">
        <v>200</v>
      </c>
      <c r="E26" s="79"/>
      <c r="F26" s="79"/>
      <c r="G26" s="105"/>
      <c r="H26" s="79"/>
      <c r="I26" s="79"/>
      <c r="J26" s="79"/>
      <c r="K26" s="79"/>
      <c r="L26" s="79"/>
    </row>
    <row r="27" spans="1:12" x14ac:dyDescent="0.25">
      <c r="A27" s="174">
        <v>2021</v>
      </c>
      <c r="B27" s="175">
        <v>708</v>
      </c>
      <c r="C27" s="95">
        <f>B27/B29</f>
        <v>1.2475770925110132</v>
      </c>
      <c r="D27" s="232">
        <f>B27/B36</f>
        <v>1.4171337069655725</v>
      </c>
      <c r="E27" s="79"/>
      <c r="F27" s="79"/>
      <c r="G27" s="105"/>
      <c r="H27" s="79"/>
      <c r="I27" s="79"/>
      <c r="J27" s="79"/>
      <c r="K27" s="79"/>
      <c r="L27" s="79"/>
    </row>
    <row r="28" spans="1:12" x14ac:dyDescent="0.25">
      <c r="A28" s="106">
        <v>2020</v>
      </c>
      <c r="B28" s="93">
        <v>596.20000000000005</v>
      </c>
      <c r="C28" s="95"/>
      <c r="D28" s="79"/>
      <c r="E28" s="79"/>
      <c r="F28" s="79"/>
      <c r="G28" s="105"/>
      <c r="H28" s="79"/>
      <c r="I28" s="79"/>
      <c r="J28" s="79"/>
      <c r="K28" s="79"/>
      <c r="L28" s="79"/>
    </row>
    <row r="29" spans="1:12" x14ac:dyDescent="0.25">
      <c r="A29" s="106">
        <v>2017</v>
      </c>
      <c r="B29" s="93">
        <v>567.5</v>
      </c>
      <c r="C29" s="95"/>
      <c r="D29" s="79"/>
      <c r="E29" s="79"/>
      <c r="F29" s="79"/>
      <c r="G29" s="79"/>
      <c r="H29" s="79"/>
      <c r="I29" s="79"/>
      <c r="J29" s="79"/>
      <c r="K29" s="79"/>
      <c r="L29" s="79"/>
    </row>
    <row r="30" spans="1:12" x14ac:dyDescent="0.25">
      <c r="A30" s="100">
        <v>2013</v>
      </c>
      <c r="B30" s="93">
        <v>567.29999999999995</v>
      </c>
      <c r="C30" s="85"/>
      <c r="D30" s="79"/>
      <c r="E30" s="79"/>
      <c r="F30" s="79"/>
      <c r="G30" s="79"/>
      <c r="H30" s="79"/>
      <c r="I30" s="79"/>
      <c r="J30" s="79"/>
      <c r="K30" s="79"/>
      <c r="L30" s="79"/>
    </row>
    <row r="31" spans="1:12" ht="25.5" customHeight="1" x14ac:dyDescent="0.25">
      <c r="A31" s="100">
        <v>2011</v>
      </c>
      <c r="B31" s="93">
        <v>585.70000000000005</v>
      </c>
      <c r="C31" s="95"/>
      <c r="D31" s="79"/>
      <c r="E31" s="79"/>
      <c r="F31" s="79"/>
      <c r="G31" s="79"/>
      <c r="H31" s="338" t="s">
        <v>131</v>
      </c>
      <c r="I31" s="115"/>
      <c r="J31" s="115"/>
    </row>
    <row r="32" spans="1:12" ht="15.75" thickBot="1" x14ac:dyDescent="0.3">
      <c r="A32" s="100">
        <v>2010</v>
      </c>
      <c r="B32" s="93">
        <v>550.79999999999995</v>
      </c>
      <c r="C32" s="94"/>
      <c r="D32" s="79"/>
      <c r="E32" s="79"/>
      <c r="F32" s="79"/>
      <c r="G32" s="79"/>
      <c r="H32" s="150"/>
    </row>
    <row r="33" spans="1:12" ht="15.75" thickBot="1" x14ac:dyDescent="0.3">
      <c r="A33" s="100">
        <v>2009</v>
      </c>
      <c r="B33" s="93">
        <v>521.9</v>
      </c>
      <c r="C33" s="94"/>
      <c r="D33" s="79"/>
      <c r="E33" s="79"/>
      <c r="F33" s="79"/>
      <c r="G33" s="79"/>
      <c r="H33" s="1085" t="s">
        <v>76</v>
      </c>
      <c r="I33" s="1087" t="s">
        <v>128</v>
      </c>
      <c r="J33" s="1088"/>
      <c r="K33" s="1088"/>
      <c r="L33" s="1089"/>
    </row>
    <row r="34" spans="1:12" ht="51.75" thickBot="1" x14ac:dyDescent="0.3">
      <c r="A34" s="100">
        <v>2008</v>
      </c>
      <c r="B34" s="93">
        <v>575.4</v>
      </c>
      <c r="C34" s="94"/>
      <c r="D34" s="79"/>
      <c r="E34" s="79"/>
      <c r="F34" s="79"/>
      <c r="G34" s="79"/>
      <c r="H34" s="1086"/>
      <c r="I34" s="151" t="s">
        <v>119</v>
      </c>
      <c r="J34" s="151" t="s">
        <v>129</v>
      </c>
      <c r="K34" s="151" t="s">
        <v>120</v>
      </c>
      <c r="L34" s="151" t="s">
        <v>118</v>
      </c>
    </row>
    <row r="35" spans="1:12" ht="26.25" thickBot="1" x14ac:dyDescent="0.3">
      <c r="A35" s="100">
        <v>2007</v>
      </c>
      <c r="B35" s="93">
        <v>525.4</v>
      </c>
      <c r="C35" s="94"/>
      <c r="D35" s="79"/>
      <c r="E35" s="79"/>
      <c r="F35" s="79"/>
      <c r="G35" s="79"/>
      <c r="H35" s="152" t="s">
        <v>121</v>
      </c>
      <c r="I35" s="153" t="s">
        <v>122</v>
      </c>
      <c r="J35" s="154">
        <v>36.29</v>
      </c>
      <c r="K35" s="155">
        <v>0.6</v>
      </c>
      <c r="L35" s="156">
        <f>J35+(J35*K35)</f>
        <v>58.063999999999993</v>
      </c>
    </row>
    <row r="36" spans="1:12" ht="26.25" thickBot="1" x14ac:dyDescent="0.3">
      <c r="A36" s="107">
        <v>2006</v>
      </c>
      <c r="B36" s="108">
        <v>499.6</v>
      </c>
      <c r="C36" s="109"/>
      <c r="D36" s="79"/>
      <c r="E36" s="79"/>
      <c r="F36" s="79"/>
      <c r="G36" s="79"/>
      <c r="H36" s="152" t="s">
        <v>123</v>
      </c>
      <c r="I36" s="153" t="s">
        <v>124</v>
      </c>
      <c r="J36" s="154">
        <v>38.08</v>
      </c>
      <c r="K36" s="155">
        <v>0.6</v>
      </c>
      <c r="L36" s="156">
        <f>J36+(J36*K36)</f>
        <v>60.927999999999997</v>
      </c>
    </row>
    <row r="37" spans="1:12" ht="26.25" thickBot="1" x14ac:dyDescent="0.3">
      <c r="A37" s="79"/>
      <c r="B37" s="79"/>
      <c r="C37" s="79"/>
      <c r="D37" s="79"/>
      <c r="E37" s="79"/>
      <c r="F37" s="79"/>
      <c r="G37" s="79"/>
      <c r="H37" s="152" t="s">
        <v>125</v>
      </c>
      <c r="I37" s="153" t="s">
        <v>126</v>
      </c>
      <c r="J37" s="154">
        <v>17.329999999999998</v>
      </c>
      <c r="K37" s="155">
        <v>0.6</v>
      </c>
      <c r="L37" s="156">
        <f>J37+(J37*K37)</f>
        <v>27.727999999999994</v>
      </c>
    </row>
    <row r="38" spans="1:12" ht="15.75" thickBot="1" x14ac:dyDescent="0.3">
      <c r="A38" s="110" t="s">
        <v>193</v>
      </c>
      <c r="B38" s="111"/>
      <c r="C38" s="111"/>
      <c r="D38" s="111"/>
      <c r="E38" s="111"/>
      <c r="F38" s="111"/>
      <c r="G38" s="111"/>
      <c r="H38" s="157" t="s">
        <v>130</v>
      </c>
    </row>
    <row r="39" spans="1:12" x14ac:dyDescent="0.25">
      <c r="A39" s="80" t="s">
        <v>188</v>
      </c>
      <c r="B39" s="81"/>
      <c r="C39" s="81"/>
      <c r="D39" s="81"/>
      <c r="E39" s="82"/>
      <c r="F39" s="111"/>
      <c r="G39" s="111"/>
      <c r="H39" s="157" t="s">
        <v>127</v>
      </c>
    </row>
    <row r="40" spans="1:12" x14ac:dyDescent="0.25">
      <c r="A40" s="84" t="s">
        <v>76</v>
      </c>
      <c r="B40" s="84" t="s">
        <v>77</v>
      </c>
      <c r="C40" s="1080" t="s">
        <v>78</v>
      </c>
      <c r="D40" s="1080"/>
      <c r="E40" s="1080"/>
      <c r="F40" s="111"/>
      <c r="G40" s="111"/>
      <c r="H40" s="111"/>
      <c r="I40" s="111"/>
      <c r="J40" s="111"/>
      <c r="K40" s="111"/>
      <c r="L40" s="111"/>
    </row>
    <row r="41" spans="1:12" x14ac:dyDescent="0.25">
      <c r="A41" s="86" t="s">
        <v>79</v>
      </c>
      <c r="B41" s="87"/>
      <c r="C41" s="1081" t="s">
        <v>103</v>
      </c>
      <c r="D41" s="1081"/>
      <c r="E41" s="1081"/>
      <c r="F41" s="111"/>
      <c r="G41" s="111"/>
      <c r="H41" s="111"/>
      <c r="I41" s="111"/>
      <c r="J41" s="111"/>
      <c r="K41" s="111"/>
      <c r="L41" s="111"/>
    </row>
    <row r="42" spans="1:12" x14ac:dyDescent="0.25">
      <c r="A42" s="86" t="s">
        <v>70</v>
      </c>
      <c r="B42" s="87">
        <v>105.68</v>
      </c>
      <c r="C42" s="1081" t="s">
        <v>104</v>
      </c>
      <c r="D42" s="1081"/>
      <c r="E42" s="1081"/>
      <c r="F42" s="212"/>
      <c r="G42" s="111"/>
      <c r="H42" s="111"/>
      <c r="I42" s="111"/>
      <c r="J42" s="111"/>
      <c r="K42" s="111"/>
      <c r="L42" s="111"/>
    </row>
    <row r="43" spans="1:12" x14ac:dyDescent="0.25">
      <c r="A43" s="86" t="s">
        <v>68</v>
      </c>
      <c r="B43" s="87">
        <v>91.06</v>
      </c>
      <c r="C43" s="1081" t="s">
        <v>105</v>
      </c>
      <c r="D43" s="1081"/>
      <c r="E43" s="1081"/>
      <c r="F43" s="111"/>
      <c r="G43" s="111"/>
      <c r="H43" s="111"/>
      <c r="I43" s="111"/>
      <c r="J43" s="111"/>
      <c r="K43" s="111"/>
      <c r="L43" s="111"/>
    </row>
    <row r="44" spans="1:12" x14ac:dyDescent="0.25">
      <c r="A44" s="86" t="s">
        <v>69</v>
      </c>
      <c r="B44" s="87">
        <v>60.72</v>
      </c>
      <c r="C44" s="1081" t="s">
        <v>106</v>
      </c>
      <c r="D44" s="1081"/>
      <c r="E44" s="1081"/>
      <c r="F44" s="111"/>
      <c r="G44" s="111"/>
      <c r="H44" s="111"/>
      <c r="I44" s="111"/>
      <c r="J44" s="111"/>
      <c r="K44" s="111"/>
      <c r="L44" s="111"/>
    </row>
    <row r="45" spans="1:12" ht="15.75" thickBot="1" x14ac:dyDescent="0.3">
      <c r="A45" s="1082" t="s">
        <v>107</v>
      </c>
      <c r="B45" s="1083"/>
      <c r="C45" s="1083"/>
      <c r="D45" s="1083"/>
      <c r="E45" s="1083"/>
      <c r="F45" s="111"/>
      <c r="G45" s="111"/>
      <c r="H45" s="111"/>
      <c r="I45" s="111"/>
      <c r="J45" s="111"/>
      <c r="K45" s="111"/>
      <c r="L45" s="111"/>
    </row>
    <row r="46" spans="1:12" x14ac:dyDescent="0.25">
      <c r="A46" s="133"/>
      <c r="B46" s="112"/>
      <c r="C46" s="113"/>
      <c r="D46" s="114"/>
      <c r="E46" s="111"/>
      <c r="F46" s="226"/>
      <c r="G46" s="226"/>
      <c r="H46" s="226"/>
      <c r="I46" s="111"/>
      <c r="J46" s="111"/>
      <c r="K46" s="111"/>
      <c r="L46" s="111"/>
    </row>
    <row r="47" spans="1:12" ht="15.75" thickBot="1" x14ac:dyDescent="0.3">
      <c r="A47" s="136"/>
      <c r="H47" s="136"/>
      <c r="J47" s="130"/>
      <c r="K47" s="130"/>
      <c r="L47" s="130"/>
    </row>
    <row r="48" spans="1:12" x14ac:dyDescent="0.25">
      <c r="A48" s="80" t="s">
        <v>247</v>
      </c>
      <c r="B48" s="213"/>
      <c r="C48" s="213"/>
      <c r="D48" s="214"/>
      <c r="E48" s="5" t="s">
        <v>1011</v>
      </c>
      <c r="F48" s="157"/>
      <c r="K48" s="130"/>
      <c r="L48" s="130"/>
    </row>
    <row r="49" spans="1:12" ht="51.75" x14ac:dyDescent="0.25">
      <c r="A49" s="215" t="s">
        <v>109</v>
      </c>
      <c r="B49" s="216" t="s">
        <v>110</v>
      </c>
      <c r="C49" s="216" t="s">
        <v>111</v>
      </c>
      <c r="D49" s="217" t="s">
        <v>118</v>
      </c>
      <c r="E49" s="1080" t="s">
        <v>78</v>
      </c>
      <c r="F49" s="1080"/>
      <c r="G49" s="1080"/>
      <c r="K49" s="130"/>
      <c r="L49" s="130"/>
    </row>
    <row r="50" spans="1:12" x14ac:dyDescent="0.25">
      <c r="A50" s="218">
        <v>71.17</v>
      </c>
      <c r="B50" s="722">
        <v>0.443</v>
      </c>
      <c r="C50" s="220">
        <v>0.17</v>
      </c>
      <c r="D50" s="221">
        <f>A50+(B50*A50)+(A50*C50)</f>
        <v>114.79721000000001</v>
      </c>
      <c r="E50" s="1081" t="s">
        <v>187</v>
      </c>
      <c r="F50" s="1081"/>
      <c r="G50" s="1081"/>
      <c r="H50" t="s">
        <v>471</v>
      </c>
      <c r="J50" s="136" t="s">
        <v>114</v>
      </c>
    </row>
    <row r="51" spans="1:12" x14ac:dyDescent="0.25">
      <c r="A51" s="218">
        <v>76.540000000000006</v>
      </c>
      <c r="B51" s="722">
        <v>0.443</v>
      </c>
      <c r="C51" s="220">
        <v>0.17</v>
      </c>
      <c r="D51" s="221">
        <f>A51+(B51*A51)+(A51*C51)</f>
        <v>123.45902000000002</v>
      </c>
      <c r="E51" s="467" t="s">
        <v>472</v>
      </c>
      <c r="F51" s="409"/>
      <c r="G51" s="409"/>
      <c r="H51" t="s">
        <v>473</v>
      </c>
      <c r="J51" s="136" t="s">
        <v>112</v>
      </c>
    </row>
    <row r="52" spans="1:12" x14ac:dyDescent="0.25">
      <c r="A52" s="218">
        <v>82.03</v>
      </c>
      <c r="B52" s="722">
        <v>0.443</v>
      </c>
      <c r="C52" s="220">
        <v>0.17</v>
      </c>
      <c r="D52" s="221">
        <f>A52+(B52*A52)+(A52*C52)</f>
        <v>132.31439</v>
      </c>
      <c r="E52" s="1081" t="s">
        <v>184</v>
      </c>
      <c r="F52" s="1081"/>
      <c r="G52" s="1081"/>
      <c r="H52" t="s">
        <v>1010</v>
      </c>
      <c r="J52" s="136" t="s">
        <v>113</v>
      </c>
    </row>
    <row r="53" spans="1:12" x14ac:dyDescent="0.25">
      <c r="A53" s="218">
        <v>68.3</v>
      </c>
      <c r="B53" s="722">
        <v>0.443</v>
      </c>
      <c r="C53" s="220">
        <v>0.17</v>
      </c>
      <c r="D53" s="221">
        <f t="shared" ref="D53:D54" si="1">A53+(B53*A53)+(A53*C53)</f>
        <v>110.1679</v>
      </c>
      <c r="E53" s="1081" t="s">
        <v>185</v>
      </c>
      <c r="F53" s="1081"/>
      <c r="G53" s="1081"/>
      <c r="H53" t="s">
        <v>474</v>
      </c>
      <c r="J53" s="136" t="s">
        <v>115</v>
      </c>
    </row>
    <row r="54" spans="1:12" ht="15.75" thickBot="1" x14ac:dyDescent="0.3">
      <c r="A54" s="222">
        <v>48.35</v>
      </c>
      <c r="B54" s="723">
        <v>0.443</v>
      </c>
      <c r="C54" s="224">
        <v>0.17</v>
      </c>
      <c r="D54" s="225">
        <f t="shared" si="1"/>
        <v>77.988550000000004</v>
      </c>
      <c r="E54" s="1081" t="s">
        <v>186</v>
      </c>
      <c r="F54" s="1081"/>
      <c r="G54" s="1081"/>
      <c r="H54" t="s">
        <v>475</v>
      </c>
      <c r="J54" s="136" t="s">
        <v>116</v>
      </c>
    </row>
    <row r="55" spans="1:12" x14ac:dyDescent="0.25">
      <c r="J55" s="136" t="s">
        <v>117</v>
      </c>
    </row>
  </sheetData>
  <mergeCells count="20">
    <mergeCell ref="C43:E43"/>
    <mergeCell ref="C44:E44"/>
    <mergeCell ref="A45:E45"/>
    <mergeCell ref="H33:H34"/>
    <mergeCell ref="I33:L33"/>
    <mergeCell ref="C40:E40"/>
    <mergeCell ref="C41:E41"/>
    <mergeCell ref="C42:E42"/>
    <mergeCell ref="C6:E6"/>
    <mergeCell ref="C7:E7"/>
    <mergeCell ref="A8:E8"/>
    <mergeCell ref="H8:L8"/>
    <mergeCell ref="C3:E3"/>
    <mergeCell ref="C4:E4"/>
    <mergeCell ref="C5:E5"/>
    <mergeCell ref="E49:G49"/>
    <mergeCell ref="E50:G50"/>
    <mergeCell ref="E52:G52"/>
    <mergeCell ref="E53:G53"/>
    <mergeCell ref="E54:G54"/>
  </mergeCells>
  <hyperlinks>
    <hyperlink ref="H38" r:id="rId1" display="https://www.opm.gov/policy-data-oversight/pay-leave/salaries-wages/salary-tables/pdf/2018/GS_h.pdf" xr:uid="{1BC11BE8-50FB-4BCC-94C6-CCA57DFA5411}"/>
  </hyperlinks>
  <pageMargins left="0.7" right="0.7" top="0.75" bottom="0.75" header="0.3" footer="0.3"/>
  <pageSetup orientation="portrait"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A0692-CC98-467F-BE66-89202DFA707C}">
  <sheetPr codeName="Sheet48">
    <tabColor theme="7" tint="0.59999389629810485"/>
  </sheetPr>
  <dimension ref="A1:AO27"/>
  <sheetViews>
    <sheetView zoomScaleNormal="100" workbookViewId="0">
      <pane xSplit="1" ySplit="4" topLeftCell="D5" activePane="bottomRight" state="frozen"/>
      <selection activeCell="J28" sqref="J28:O28"/>
      <selection pane="topRight" activeCell="J28" sqref="J28:O28"/>
      <selection pane="bottomLeft" activeCell="J28" sqref="J28:O28"/>
      <selection pane="bottomRight" activeCell="Y11" sqref="Y11"/>
    </sheetView>
  </sheetViews>
  <sheetFormatPr defaultRowHeight="15" x14ac:dyDescent="0.25"/>
  <cols>
    <col min="1" max="1" width="38.140625" customWidth="1"/>
    <col min="2" max="2" width="6.28515625" bestFit="1" customWidth="1"/>
    <col min="3" max="3" width="8.5703125" customWidth="1"/>
    <col min="4" max="4" width="6.28515625" bestFit="1" customWidth="1"/>
    <col min="5" max="6" width="6.140625" customWidth="1"/>
    <col min="7" max="7" width="5.42578125" customWidth="1"/>
    <col min="8" max="11" width="8.7109375" customWidth="1"/>
    <col min="12" max="12" width="5.85546875" customWidth="1"/>
    <col min="14" max="14" width="7.85546875" customWidth="1"/>
    <col min="15" max="15" width="14.5703125" customWidth="1"/>
  </cols>
  <sheetData>
    <row r="1" spans="1:41" x14ac:dyDescent="0.25">
      <c r="A1" s="6" t="s">
        <v>1126</v>
      </c>
    </row>
    <row r="3" spans="1:41" x14ac:dyDescent="0.25">
      <c r="A3" s="1035" t="s">
        <v>59</v>
      </c>
      <c r="B3" s="1090" t="s">
        <v>1055</v>
      </c>
      <c r="C3" s="1091"/>
      <c r="D3" s="1091"/>
      <c r="E3" s="1091"/>
      <c r="F3" s="1091"/>
      <c r="G3" s="1091"/>
      <c r="H3" s="1091"/>
      <c r="I3" s="1091"/>
      <c r="J3" s="1091"/>
      <c r="K3" s="1091"/>
      <c r="L3" s="1091"/>
      <c r="M3" s="1091"/>
      <c r="N3" s="1091"/>
      <c r="O3" s="1091"/>
      <c r="P3" s="1091"/>
      <c r="Q3" s="760"/>
      <c r="R3" s="760"/>
      <c r="S3" s="760"/>
      <c r="T3" s="760"/>
      <c r="U3" s="760"/>
      <c r="V3" s="760"/>
      <c r="W3" s="760"/>
      <c r="X3" s="760"/>
    </row>
    <row r="4" spans="1:41" x14ac:dyDescent="0.25">
      <c r="A4" s="1035"/>
      <c r="B4" s="55" t="s">
        <v>194</v>
      </c>
      <c r="C4" s="55" t="s">
        <v>1113</v>
      </c>
      <c r="D4" s="55" t="s">
        <v>1114</v>
      </c>
      <c r="E4" s="55" t="s">
        <v>19</v>
      </c>
      <c r="F4" s="761" t="s">
        <v>20</v>
      </c>
      <c r="G4" s="761" t="s">
        <v>21</v>
      </c>
      <c r="H4" s="56" t="s">
        <v>1125</v>
      </c>
      <c r="I4" s="762" t="s">
        <v>1056</v>
      </c>
      <c r="J4" s="762" t="s">
        <v>23</v>
      </c>
      <c r="K4" s="762" t="s">
        <v>24</v>
      </c>
      <c r="L4" s="762" t="s">
        <v>1115</v>
      </c>
      <c r="M4" s="763" t="s">
        <v>1116</v>
      </c>
      <c r="N4" s="761" t="s">
        <v>1116</v>
      </c>
      <c r="O4" s="763" t="s">
        <v>1004</v>
      </c>
      <c r="P4" s="449" t="s">
        <v>1117</v>
      </c>
      <c r="Q4" s="449" t="s">
        <v>1118</v>
      </c>
      <c r="R4" s="449" t="s">
        <v>1185</v>
      </c>
      <c r="S4" s="449" t="s">
        <v>1119</v>
      </c>
      <c r="T4" s="763" t="s">
        <v>1120</v>
      </c>
      <c r="U4" s="763" t="s">
        <v>1121</v>
      </c>
      <c r="V4" s="56" t="s">
        <v>1122</v>
      </c>
      <c r="W4" s="56" t="s">
        <v>1123</v>
      </c>
      <c r="X4" s="56" t="s">
        <v>1124</v>
      </c>
      <c r="Y4" s="764" t="s">
        <v>43</v>
      </c>
    </row>
    <row r="5" spans="1:41" x14ac:dyDescent="0.25">
      <c r="A5" s="451" t="s">
        <v>1057</v>
      </c>
      <c r="B5" s="859">
        <f>'A (Data Elements)'!C6</f>
        <v>7840</v>
      </c>
      <c r="C5" s="859">
        <f>B5</f>
        <v>7840</v>
      </c>
      <c r="D5" s="859">
        <f>'C (Data Elements)'!C6</f>
        <v>346</v>
      </c>
      <c r="E5" s="859">
        <f>'F (Data Elements)'!C6</f>
        <v>7</v>
      </c>
      <c r="F5" s="765">
        <f>'G (Data Elements)'!C6</f>
        <v>29</v>
      </c>
      <c r="G5" s="765">
        <f>'N (Data Elements)'!C6</f>
        <v>100</v>
      </c>
      <c r="H5" s="765">
        <f>'P (Data Elements)'!D6</f>
        <v>116</v>
      </c>
      <c r="I5" s="765">
        <f>'P (Data Elements)'!E6</f>
        <v>3</v>
      </c>
      <c r="J5" s="765">
        <f>'Y (Data Elements)'!C6</f>
        <v>6</v>
      </c>
      <c r="K5" s="765">
        <f>'AA (Data Elements)'!C6</f>
        <v>1</v>
      </c>
      <c r="L5" s="765">
        <f>'HH (Data Elements)'!D6</f>
        <v>839</v>
      </c>
      <c r="M5" s="765">
        <f>'HH (Data Elements)'!E6</f>
        <v>814</v>
      </c>
      <c r="N5" s="765">
        <f>'HH (Data Elements)'!F6</f>
        <v>792</v>
      </c>
      <c r="O5" s="765">
        <f>'HH (Data Elements)'!G6</f>
        <v>1126</v>
      </c>
      <c r="P5" s="765">
        <f>'OO (Data Elements)'!D6</f>
        <v>58</v>
      </c>
      <c r="Q5" s="765">
        <f>'OO (Data Elements)'!E6</f>
        <v>104</v>
      </c>
      <c r="R5" s="765">
        <f>'PP (Data Elements)'!C6</f>
        <v>11</v>
      </c>
      <c r="S5" s="765">
        <f>'QQ (Data Elements)'!D6</f>
        <v>33</v>
      </c>
      <c r="T5" s="765">
        <f>'QQ (Data Elements)'!E6</f>
        <v>28</v>
      </c>
      <c r="U5" s="765">
        <v>15</v>
      </c>
      <c r="V5" s="765">
        <v>1</v>
      </c>
      <c r="W5" s="765">
        <v>6</v>
      </c>
      <c r="X5" s="765">
        <v>34</v>
      </c>
      <c r="Y5" s="452">
        <f t="shared" ref="Y5:Y13" si="0">SUM(B5:X5)</f>
        <v>20149</v>
      </c>
    </row>
    <row r="6" spans="1:41" x14ac:dyDescent="0.25">
      <c r="A6" s="58" t="s">
        <v>62</v>
      </c>
      <c r="B6" s="859">
        <f>'A (Data Elements)'!C7</f>
        <v>2</v>
      </c>
      <c r="C6" s="452">
        <v>15</v>
      </c>
      <c r="D6" s="859">
        <f>'C (Data Elements)'!C7</f>
        <v>7</v>
      </c>
      <c r="E6" s="859">
        <f>'F (Data Elements)'!C7</f>
        <v>2</v>
      </c>
      <c r="F6" s="765">
        <f>'G (Data Elements)'!C7</f>
        <v>1</v>
      </c>
      <c r="G6" s="765">
        <f>'N (Data Elements)'!C7</f>
        <v>2</v>
      </c>
      <c r="H6" s="765">
        <f>'P (Data Elements)'!D7</f>
        <v>5</v>
      </c>
      <c r="I6" s="765">
        <f>'P (Data Elements)'!E7</f>
        <v>2</v>
      </c>
      <c r="J6" s="765">
        <f>'Y (Data Elements)'!C7</f>
        <v>1</v>
      </c>
      <c r="K6" s="765">
        <f>'AA (Data Elements)'!C7</f>
        <v>2</v>
      </c>
      <c r="L6" s="765">
        <f>'HH (Data Elements)'!D7</f>
        <v>4</v>
      </c>
      <c r="M6" s="765">
        <f>'HH (Data Elements)'!E7</f>
        <v>4</v>
      </c>
      <c r="N6" s="765">
        <f>'HH (Data Elements)'!F7</f>
        <v>8</v>
      </c>
      <c r="O6" s="765">
        <f>'HH (Data Elements)'!G7</f>
        <v>1</v>
      </c>
      <c r="P6" s="765">
        <f>'OO (Data Elements)'!D7</f>
        <v>1</v>
      </c>
      <c r="Q6" s="765">
        <f>'OO (Data Elements)'!E7</f>
        <v>2</v>
      </c>
      <c r="R6" s="765">
        <f>'PP (Data Elements)'!C7</f>
        <v>0</v>
      </c>
      <c r="S6" s="765">
        <f>'QQ (Data Elements)'!D7</f>
        <v>2</v>
      </c>
      <c r="T6" s="765">
        <f>'QQ (Data Elements)'!E7</f>
        <v>1</v>
      </c>
      <c r="U6" s="452">
        <v>9</v>
      </c>
      <c r="V6" s="9">
        <v>15</v>
      </c>
      <c r="W6" s="9">
        <v>10</v>
      </c>
      <c r="X6" s="9">
        <v>15</v>
      </c>
      <c r="Y6" s="452">
        <f t="shared" si="0"/>
        <v>111</v>
      </c>
    </row>
    <row r="7" spans="1:41" x14ac:dyDescent="0.25">
      <c r="A7" s="58" t="s">
        <v>63</v>
      </c>
      <c r="B7" s="859">
        <f>'A (Data Elements)'!C8</f>
        <v>0</v>
      </c>
      <c r="C7" s="452">
        <v>0</v>
      </c>
      <c r="D7" s="859">
        <f>'C (Data Elements)'!C8</f>
        <v>0</v>
      </c>
      <c r="E7" s="859">
        <f>'F (Data Elements)'!C8</f>
        <v>0</v>
      </c>
      <c r="F7" s="765">
        <f>'G (Data Elements)'!C8</f>
        <v>0</v>
      </c>
      <c r="G7" s="765">
        <f>'N (Data Elements)'!C8</f>
        <v>1</v>
      </c>
      <c r="H7" s="765">
        <f>'P (Data Elements)'!D8</f>
        <v>2</v>
      </c>
      <c r="I7" s="765">
        <f>'P (Data Elements)'!E8</f>
        <v>0</v>
      </c>
      <c r="J7" s="765">
        <f>'Y (Data Elements)'!C8</f>
        <v>0</v>
      </c>
      <c r="K7" s="765">
        <f>'AA (Data Elements)'!C8</f>
        <v>0</v>
      </c>
      <c r="L7" s="765">
        <f>'HH (Data Elements)'!D8</f>
        <v>2</v>
      </c>
      <c r="M7" s="765">
        <f>'HH (Data Elements)'!E8</f>
        <v>1</v>
      </c>
      <c r="N7" s="765">
        <f>'HH (Data Elements)'!F8</f>
        <v>0</v>
      </c>
      <c r="O7" s="765">
        <f>'HH (Data Elements)'!G8</f>
        <v>0</v>
      </c>
      <c r="P7" s="765">
        <f>'OO (Data Elements)'!D8</f>
        <v>0</v>
      </c>
      <c r="Q7" s="765">
        <f>'OO (Data Elements)'!E8</f>
        <v>0</v>
      </c>
      <c r="R7" s="765">
        <f>'PP (Data Elements)'!C8</f>
        <v>3</v>
      </c>
      <c r="S7" s="765">
        <f>'QQ (Data Elements)'!D8</f>
        <v>0</v>
      </c>
      <c r="T7" s="765">
        <f>'QQ (Data Elements)'!E8</f>
        <v>0</v>
      </c>
      <c r="U7" s="452">
        <v>0</v>
      </c>
      <c r="V7" s="452">
        <v>0</v>
      </c>
      <c r="W7" s="452">
        <v>0</v>
      </c>
      <c r="X7" s="452">
        <v>0</v>
      </c>
      <c r="Y7" s="452">
        <f t="shared" si="0"/>
        <v>9</v>
      </c>
    </row>
    <row r="8" spans="1:41" x14ac:dyDescent="0.25">
      <c r="A8" s="58" t="s">
        <v>64</v>
      </c>
      <c r="B8" s="859">
        <f>'A (Data Elements)'!C9</f>
        <v>0</v>
      </c>
      <c r="C8" s="766">
        <v>0</v>
      </c>
      <c r="D8" s="859">
        <f>'C (Data Elements)'!C9</f>
        <v>0</v>
      </c>
      <c r="E8" s="859">
        <f>'F (Data Elements)'!C9</f>
        <v>0</v>
      </c>
      <c r="F8" s="765">
        <f>'G (Data Elements)'!C9</f>
        <v>0</v>
      </c>
      <c r="G8" s="765">
        <f>'N (Data Elements)'!C9</f>
        <v>0</v>
      </c>
      <c r="H8" s="765">
        <f>'P (Data Elements)'!D9</f>
        <v>0</v>
      </c>
      <c r="I8" s="765">
        <f>'P (Data Elements)'!E9</f>
        <v>0</v>
      </c>
      <c r="J8" s="765">
        <f>'Y (Data Elements)'!C9</f>
        <v>0</v>
      </c>
      <c r="K8" s="765">
        <f>'AA (Data Elements)'!C9</f>
        <v>0</v>
      </c>
      <c r="L8" s="765">
        <f>'HH (Data Elements)'!D9</f>
        <v>0</v>
      </c>
      <c r="M8" s="765">
        <f>'HH (Data Elements)'!E9</f>
        <v>0</v>
      </c>
      <c r="N8" s="765">
        <f>'HH (Data Elements)'!F9</f>
        <v>0</v>
      </c>
      <c r="O8" s="765">
        <f>'HH (Data Elements)'!G9</f>
        <v>0</v>
      </c>
      <c r="P8" s="765">
        <f>'OO (Data Elements)'!D9</f>
        <v>0</v>
      </c>
      <c r="Q8" s="765">
        <f>'OO (Data Elements)'!E9</f>
        <v>0</v>
      </c>
      <c r="R8" s="765">
        <f>'PP (Data Elements)'!C9</f>
        <v>0</v>
      </c>
      <c r="S8" s="765">
        <f>'QQ (Data Elements)'!D9</f>
        <v>0</v>
      </c>
      <c r="T8" s="765">
        <f>'QQ (Data Elements)'!E9</f>
        <v>0</v>
      </c>
      <c r="U8" s="452">
        <v>0</v>
      </c>
      <c r="V8" s="452">
        <v>0</v>
      </c>
      <c r="W8" s="452">
        <v>0</v>
      </c>
      <c r="X8" s="452">
        <v>0</v>
      </c>
      <c r="Y8" s="452">
        <f t="shared" si="0"/>
        <v>0</v>
      </c>
    </row>
    <row r="9" spans="1:41" x14ac:dyDescent="0.25">
      <c r="A9" s="59" t="s">
        <v>65</v>
      </c>
      <c r="B9" s="767">
        <f t="shared" ref="B9:O9" si="1">B6+B7-B8</f>
        <v>2</v>
      </c>
      <c r="C9" s="767">
        <f t="shared" si="1"/>
        <v>15</v>
      </c>
      <c r="D9" s="767">
        <f t="shared" si="1"/>
        <v>7</v>
      </c>
      <c r="E9" s="767">
        <f t="shared" si="1"/>
        <v>2</v>
      </c>
      <c r="F9" s="768">
        <f t="shared" si="1"/>
        <v>1</v>
      </c>
      <c r="G9" s="768">
        <f t="shared" si="1"/>
        <v>3</v>
      </c>
      <c r="H9" s="60">
        <f t="shared" si="1"/>
        <v>7</v>
      </c>
      <c r="I9" s="60">
        <f t="shared" si="1"/>
        <v>2</v>
      </c>
      <c r="J9" s="60">
        <f t="shared" si="1"/>
        <v>1</v>
      </c>
      <c r="K9" s="60">
        <f t="shared" si="1"/>
        <v>2</v>
      </c>
      <c r="L9" s="767">
        <f>L6+L7-L8</f>
        <v>6</v>
      </c>
      <c r="M9" s="261">
        <f t="shared" si="1"/>
        <v>5</v>
      </c>
      <c r="N9" s="261">
        <f t="shared" si="1"/>
        <v>8</v>
      </c>
      <c r="O9" s="261">
        <f t="shared" si="1"/>
        <v>1</v>
      </c>
      <c r="P9" s="261">
        <f>P6+P7-P8</f>
        <v>1</v>
      </c>
      <c r="Q9" s="261">
        <f t="shared" ref="Q9:U9" si="2">Q6+Q7-Q8</f>
        <v>2</v>
      </c>
      <c r="R9" s="261">
        <f t="shared" si="2"/>
        <v>3</v>
      </c>
      <c r="S9" s="261">
        <f t="shared" si="2"/>
        <v>2</v>
      </c>
      <c r="T9" s="261">
        <f t="shared" si="2"/>
        <v>1</v>
      </c>
      <c r="U9" s="261">
        <f t="shared" si="2"/>
        <v>9</v>
      </c>
      <c r="V9" s="261">
        <f>V6+V7-V8</f>
        <v>15</v>
      </c>
      <c r="W9" s="261">
        <f>W6+W7-W8</f>
        <v>10</v>
      </c>
      <c r="X9" s="261">
        <f>X6+X7-X8</f>
        <v>15</v>
      </c>
      <c r="Y9" s="261">
        <f t="shared" si="0"/>
        <v>120</v>
      </c>
    </row>
    <row r="10" spans="1:41" x14ac:dyDescent="0.25">
      <c r="A10" s="769" t="s">
        <v>1058</v>
      </c>
      <c r="B10" s="452">
        <f>B9*B5</f>
        <v>15680</v>
      </c>
      <c r="C10" s="452">
        <f t="shared" ref="C10" si="3">C9*C5</f>
        <v>117600</v>
      </c>
      <c r="D10" s="452">
        <f>D9*D5</f>
        <v>2422</v>
      </c>
      <c r="E10" s="452">
        <f>E9*E5</f>
        <v>14</v>
      </c>
      <c r="F10" s="765">
        <f>F5*F9</f>
        <v>29</v>
      </c>
      <c r="G10" s="765">
        <f>G5*G9</f>
        <v>300</v>
      </c>
      <c r="H10" s="452">
        <f t="shared" ref="H10:X10" si="4">H9*H5</f>
        <v>812</v>
      </c>
      <c r="I10" s="452">
        <f t="shared" si="4"/>
        <v>6</v>
      </c>
      <c r="J10" s="452">
        <f t="shared" si="4"/>
        <v>6</v>
      </c>
      <c r="K10" s="452">
        <f t="shared" si="4"/>
        <v>2</v>
      </c>
      <c r="L10" s="452">
        <f t="shared" si="4"/>
        <v>5034</v>
      </c>
      <c r="M10" s="452">
        <f t="shared" si="4"/>
        <v>4070</v>
      </c>
      <c r="N10" s="452">
        <f t="shared" si="4"/>
        <v>6336</v>
      </c>
      <c r="O10" s="452">
        <f t="shared" si="4"/>
        <v>1126</v>
      </c>
      <c r="P10" s="452">
        <f t="shared" si="4"/>
        <v>58</v>
      </c>
      <c r="Q10" s="452">
        <f t="shared" si="4"/>
        <v>208</v>
      </c>
      <c r="R10" s="452">
        <f t="shared" si="4"/>
        <v>33</v>
      </c>
      <c r="S10" s="452">
        <f t="shared" si="4"/>
        <v>66</v>
      </c>
      <c r="T10" s="452">
        <f t="shared" si="4"/>
        <v>28</v>
      </c>
      <c r="U10" s="452">
        <f t="shared" si="4"/>
        <v>135</v>
      </c>
      <c r="V10" s="452">
        <f t="shared" si="4"/>
        <v>15</v>
      </c>
      <c r="W10" s="452">
        <f t="shared" si="4"/>
        <v>60</v>
      </c>
      <c r="X10" s="452">
        <f t="shared" si="4"/>
        <v>510</v>
      </c>
      <c r="Y10" s="452">
        <f>SUM(B10:X10)</f>
        <v>154550</v>
      </c>
      <c r="Z10" s="770"/>
    </row>
    <row r="11" spans="1:41" x14ac:dyDescent="0.25">
      <c r="A11" s="769" t="s">
        <v>1059</v>
      </c>
      <c r="B11" s="452">
        <f>B9*B5</f>
        <v>15680</v>
      </c>
      <c r="C11" s="9">
        <f>14*C5</f>
        <v>109760</v>
      </c>
      <c r="D11" s="452">
        <f>D9*D5</f>
        <v>2422</v>
      </c>
      <c r="E11" s="9">
        <f>E9*E5</f>
        <v>14</v>
      </c>
      <c r="F11" s="765">
        <f>F5*F9</f>
        <v>29</v>
      </c>
      <c r="G11" s="765">
        <f>G5*G9</f>
        <v>300</v>
      </c>
      <c r="H11" s="9">
        <f t="shared" ref="H11:X11" si="5">H9*H5</f>
        <v>812</v>
      </c>
      <c r="I11" s="9">
        <f t="shared" si="5"/>
        <v>6</v>
      </c>
      <c r="J11" s="9">
        <f t="shared" si="5"/>
        <v>6</v>
      </c>
      <c r="K11" s="9">
        <f t="shared" si="5"/>
        <v>2</v>
      </c>
      <c r="L11" s="9">
        <f t="shared" si="5"/>
        <v>5034</v>
      </c>
      <c r="M11" s="9">
        <f t="shared" si="5"/>
        <v>4070</v>
      </c>
      <c r="N11" s="9">
        <f t="shared" si="5"/>
        <v>6336</v>
      </c>
      <c r="O11" s="9">
        <f t="shared" si="5"/>
        <v>1126</v>
      </c>
      <c r="P11" s="9">
        <f t="shared" si="5"/>
        <v>58</v>
      </c>
      <c r="Q11" s="9">
        <f t="shared" si="5"/>
        <v>208</v>
      </c>
      <c r="R11" s="9">
        <f t="shared" si="5"/>
        <v>33</v>
      </c>
      <c r="S11" s="9">
        <f t="shared" si="5"/>
        <v>66</v>
      </c>
      <c r="T11" s="9">
        <f t="shared" si="5"/>
        <v>28</v>
      </c>
      <c r="U11" s="9">
        <f t="shared" si="5"/>
        <v>135</v>
      </c>
      <c r="V11" s="9">
        <f t="shared" si="5"/>
        <v>15</v>
      </c>
      <c r="W11" s="9">
        <f t="shared" si="5"/>
        <v>60</v>
      </c>
      <c r="X11" s="9">
        <f t="shared" si="5"/>
        <v>510</v>
      </c>
      <c r="Y11" s="452">
        <f t="shared" si="0"/>
        <v>146710</v>
      </c>
    </row>
    <row r="12" spans="1:41" x14ac:dyDescent="0.25">
      <c r="A12" s="769" t="s">
        <v>1060</v>
      </c>
      <c r="B12" s="452">
        <f>B9*B5</f>
        <v>15680</v>
      </c>
      <c r="C12" s="9">
        <f>14*C5</f>
        <v>109760</v>
      </c>
      <c r="D12" s="452">
        <f>D9*D5</f>
        <v>2422</v>
      </c>
      <c r="E12" s="9">
        <f>E9*E5</f>
        <v>14</v>
      </c>
      <c r="F12" s="765">
        <f>F5*F9</f>
        <v>29</v>
      </c>
      <c r="G12" s="765">
        <f>G5*G9</f>
        <v>300</v>
      </c>
      <c r="H12" s="9">
        <f t="shared" ref="H12:O12" si="6">H9*H5</f>
        <v>812</v>
      </c>
      <c r="I12" s="9">
        <f t="shared" si="6"/>
        <v>6</v>
      </c>
      <c r="J12" s="9">
        <f t="shared" si="6"/>
        <v>6</v>
      </c>
      <c r="K12" s="9">
        <f t="shared" si="6"/>
        <v>2</v>
      </c>
      <c r="L12" s="9">
        <f t="shared" si="6"/>
        <v>5034</v>
      </c>
      <c r="M12" s="9">
        <f t="shared" si="6"/>
        <v>4070</v>
      </c>
      <c r="N12" s="9">
        <f t="shared" si="6"/>
        <v>6336</v>
      </c>
      <c r="O12" s="9">
        <f t="shared" si="6"/>
        <v>1126</v>
      </c>
      <c r="P12" s="9">
        <f>P5*P9</f>
        <v>58</v>
      </c>
      <c r="Q12" s="9">
        <f t="shared" ref="Q12:X12" si="7">Q9*Q5</f>
        <v>208</v>
      </c>
      <c r="R12" s="9">
        <f t="shared" si="7"/>
        <v>33</v>
      </c>
      <c r="S12" s="9">
        <f t="shared" si="7"/>
        <v>66</v>
      </c>
      <c r="T12" s="9">
        <f t="shared" si="7"/>
        <v>28</v>
      </c>
      <c r="U12" s="9">
        <f t="shared" si="7"/>
        <v>135</v>
      </c>
      <c r="V12" s="9">
        <f t="shared" si="7"/>
        <v>15</v>
      </c>
      <c r="W12" s="9">
        <f t="shared" si="7"/>
        <v>60</v>
      </c>
      <c r="X12" s="9">
        <f t="shared" si="7"/>
        <v>510</v>
      </c>
      <c r="Y12" s="452">
        <f t="shared" si="0"/>
        <v>146710</v>
      </c>
    </row>
    <row r="13" spans="1:41" x14ac:dyDescent="0.25">
      <c r="A13" s="71" t="s">
        <v>1061</v>
      </c>
      <c r="B13" s="771">
        <f t="shared" ref="B13:E13" si="8">SUM(B10:B12)</f>
        <v>47040</v>
      </c>
      <c r="C13" s="771">
        <f t="shared" si="8"/>
        <v>337120</v>
      </c>
      <c r="D13" s="771">
        <f t="shared" si="8"/>
        <v>7266</v>
      </c>
      <c r="E13" s="771">
        <f t="shared" si="8"/>
        <v>42</v>
      </c>
      <c r="F13" s="772">
        <f>SUM(F10:F12)</f>
        <v>87</v>
      </c>
      <c r="G13" s="772">
        <f>SUM(G10:G12)</f>
        <v>900</v>
      </c>
      <c r="H13" s="771">
        <f>SUM(H10:H12)</f>
        <v>2436</v>
      </c>
      <c r="I13" s="771">
        <f t="shared" ref="I13:X13" si="9">SUM(I10:I12)</f>
        <v>18</v>
      </c>
      <c r="J13" s="771">
        <f t="shared" si="9"/>
        <v>18</v>
      </c>
      <c r="K13" s="771">
        <f t="shared" si="9"/>
        <v>6</v>
      </c>
      <c r="L13" s="771">
        <f t="shared" si="9"/>
        <v>15102</v>
      </c>
      <c r="M13" s="771">
        <f t="shared" si="9"/>
        <v>12210</v>
      </c>
      <c r="N13" s="771">
        <f t="shared" si="9"/>
        <v>19008</v>
      </c>
      <c r="O13" s="771">
        <f t="shared" si="9"/>
        <v>3378</v>
      </c>
      <c r="P13" s="771">
        <f t="shared" si="9"/>
        <v>174</v>
      </c>
      <c r="Q13" s="771">
        <f t="shared" si="9"/>
        <v>624</v>
      </c>
      <c r="R13" s="771">
        <f t="shared" si="9"/>
        <v>99</v>
      </c>
      <c r="S13" s="771">
        <f t="shared" si="9"/>
        <v>198</v>
      </c>
      <c r="T13" s="771">
        <f t="shared" si="9"/>
        <v>84</v>
      </c>
      <c r="U13" s="771">
        <f t="shared" si="9"/>
        <v>405</v>
      </c>
      <c r="V13" s="771">
        <f t="shared" si="9"/>
        <v>45</v>
      </c>
      <c r="W13" s="771">
        <f t="shared" si="9"/>
        <v>180</v>
      </c>
      <c r="X13" s="771">
        <f t="shared" si="9"/>
        <v>1530</v>
      </c>
      <c r="Y13" s="261">
        <f t="shared" si="0"/>
        <v>447970</v>
      </c>
    </row>
    <row r="14" spans="1:41" x14ac:dyDescent="0.25">
      <c r="B14" s="1092" t="e">
        <f>#REF!/F5</f>
        <v>#REF!</v>
      </c>
      <c r="C14" s="1092"/>
      <c r="D14" s="1092" t="e">
        <f>#REF!/G5</f>
        <v>#REF!</v>
      </c>
      <c r="E14" s="1092"/>
      <c r="F14" s="74" t="e">
        <f>#REF!/H5</f>
        <v>#REF!</v>
      </c>
      <c r="G14" s="74" t="e">
        <f>#REF!/M5</f>
        <v>#REF!</v>
      </c>
      <c r="H14" s="74" t="e">
        <f>#REF!/O5</f>
        <v>#REF!</v>
      </c>
      <c r="I14" s="74"/>
      <c r="J14" s="74"/>
      <c r="K14" s="74"/>
      <c r="L14" s="74" t="e">
        <f>#REF!/P5</f>
        <v>#REF!</v>
      </c>
      <c r="M14" s="74" t="e">
        <f>#REF!/V5</f>
        <v>#REF!</v>
      </c>
      <c r="N14" s="74" t="e">
        <f>#REF!/#REF!</f>
        <v>#REF!</v>
      </c>
      <c r="O14" s="74"/>
      <c r="P14" s="74" t="e">
        <f>#REF!/#REF!</f>
        <v>#REF!</v>
      </c>
      <c r="Q14" s="74"/>
      <c r="R14" s="74"/>
      <c r="S14" s="74"/>
      <c r="T14" s="74"/>
      <c r="U14" s="74"/>
      <c r="V14" s="74"/>
      <c r="W14" s="74"/>
      <c r="X14" s="74"/>
      <c r="Y14" s="12"/>
      <c r="Z14" s="74"/>
      <c r="AA14" s="74"/>
    </row>
    <row r="15" spans="1:41" x14ac:dyDescent="0.25">
      <c r="A15" s="1093"/>
      <c r="B15" s="1093"/>
      <c r="C15" s="1093"/>
      <c r="D15" s="1093"/>
      <c r="E15" s="1093"/>
      <c r="F15" s="1093"/>
      <c r="G15" s="1093"/>
      <c r="H15" s="1093"/>
      <c r="I15" s="1093"/>
      <c r="J15" s="1093"/>
      <c r="K15" s="1093"/>
      <c r="L15" s="1093"/>
      <c r="M15" s="1093"/>
      <c r="N15" s="1093"/>
      <c r="O15" s="1093"/>
      <c r="P15" s="1093"/>
      <c r="Q15" s="1093"/>
      <c r="R15" s="1093"/>
      <c r="S15" s="1093"/>
      <c r="T15" s="1093"/>
      <c r="U15" s="1093"/>
      <c r="V15" s="1093"/>
      <c r="W15" s="1093"/>
      <c r="X15" s="1093"/>
      <c r="Y15" s="1093"/>
      <c r="Z15" s="1093"/>
      <c r="AA15" s="1093"/>
      <c r="AB15" s="1093"/>
      <c r="AC15" s="1093"/>
      <c r="AD15" s="1093"/>
      <c r="AE15" s="1093"/>
      <c r="AF15" s="1093"/>
      <c r="AG15" s="1093"/>
      <c r="AH15" s="773"/>
      <c r="AI15" s="773"/>
      <c r="AJ15" s="773"/>
      <c r="AK15" s="773"/>
      <c r="AL15" s="773"/>
      <c r="AM15" s="773"/>
      <c r="AN15" s="773"/>
      <c r="AO15" s="773"/>
    </row>
    <row r="16" spans="1:41" x14ac:dyDescent="0.25">
      <c r="U16" s="401">
        <f>C6+SUM(U6:X6)</f>
        <v>64</v>
      </c>
    </row>
    <row r="17" spans="17:21" x14ac:dyDescent="0.25">
      <c r="U17" s="401">
        <f>SUM(B6,D6:T6)</f>
        <v>47</v>
      </c>
    </row>
    <row r="18" spans="17:21" x14ac:dyDescent="0.25">
      <c r="U18" s="401">
        <f>SUM(B7:X7)</f>
        <v>9</v>
      </c>
    </row>
    <row r="19" spans="17:21" x14ac:dyDescent="0.25">
      <c r="U19" s="401">
        <f>SUM(U16:U18)</f>
        <v>120</v>
      </c>
    </row>
    <row r="27" spans="17:21" x14ac:dyDescent="0.25">
      <c r="Q27" s="860"/>
      <c r="R27" s="860"/>
      <c r="S27" s="860"/>
      <c r="T27" s="860"/>
      <c r="U27" s="860"/>
    </row>
  </sheetData>
  <mergeCells count="5">
    <mergeCell ref="A3:A4"/>
    <mergeCell ref="B3:P3"/>
    <mergeCell ref="B14:C14"/>
    <mergeCell ref="D14:E14"/>
    <mergeCell ref="A15:AG15"/>
  </mergeCells>
  <pageMargins left="0.7" right="0.7" top="0.75" bottom="0.75" header="0.3" footer="0.3"/>
  <pageSetup orientation="portrait"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DA569-3F7D-4872-84A1-0E58F6E64257}">
  <sheetPr codeName="Sheet49">
    <tabColor theme="7" tint="0.59999389629810485"/>
  </sheetPr>
  <dimension ref="A1:N124"/>
  <sheetViews>
    <sheetView topLeftCell="A121" workbookViewId="0">
      <selection activeCell="J28" sqref="J28:O28"/>
    </sheetView>
  </sheetViews>
  <sheetFormatPr defaultRowHeight="15" x14ac:dyDescent="0.25"/>
  <cols>
    <col min="1" max="1" width="57.85546875" bestFit="1" customWidth="1"/>
    <col min="2" max="2" width="15.5703125" bestFit="1" customWidth="1"/>
    <col min="3" max="3" width="17.28515625" bestFit="1" customWidth="1"/>
    <col min="4" max="4" width="23.5703125" bestFit="1" customWidth="1"/>
    <col min="5" max="5" width="22.85546875" bestFit="1" customWidth="1"/>
    <col min="6" max="6" width="14.85546875" bestFit="1" customWidth="1"/>
    <col min="7" max="7" width="23" customWidth="1"/>
    <col min="8" max="8" width="25" bestFit="1" customWidth="1"/>
    <col min="9" max="9" width="24.28515625" bestFit="1" customWidth="1"/>
    <col min="10" max="10" width="17" bestFit="1" customWidth="1"/>
    <col min="11" max="11" width="17.28515625" bestFit="1" customWidth="1"/>
    <col min="12" max="13" width="17.28515625" customWidth="1"/>
    <col min="14" max="14" width="20.140625" customWidth="1"/>
    <col min="15" max="15" width="24.28515625" bestFit="1" customWidth="1"/>
    <col min="16" max="16" width="17" bestFit="1" customWidth="1"/>
    <col min="17" max="17" width="17.28515625" bestFit="1" customWidth="1"/>
    <col min="18" max="18" width="25" bestFit="1" customWidth="1"/>
    <col min="19" max="19" width="24.28515625" bestFit="1" customWidth="1"/>
    <col min="20" max="20" width="17" bestFit="1" customWidth="1"/>
    <col min="21" max="21" width="17.28515625" bestFit="1" customWidth="1"/>
    <col min="22" max="22" width="25" bestFit="1" customWidth="1"/>
    <col min="23" max="23" width="24.28515625" bestFit="1" customWidth="1"/>
    <col min="24" max="24" width="17" bestFit="1" customWidth="1"/>
    <col min="25" max="25" width="17.28515625" bestFit="1" customWidth="1"/>
    <col min="26" max="26" width="25" bestFit="1" customWidth="1"/>
    <col min="27" max="27" width="24.28515625" bestFit="1" customWidth="1"/>
    <col min="28" max="28" width="17" bestFit="1" customWidth="1"/>
    <col min="29" max="29" width="17.28515625" bestFit="1" customWidth="1"/>
    <col min="30" max="30" width="25" bestFit="1" customWidth="1"/>
    <col min="31" max="31" width="24.28515625" bestFit="1" customWidth="1"/>
    <col min="32" max="32" width="17" bestFit="1" customWidth="1"/>
    <col min="33" max="33" width="17.28515625" bestFit="1" customWidth="1"/>
    <col min="34" max="34" width="25" bestFit="1" customWidth="1"/>
    <col min="35" max="35" width="24.28515625" bestFit="1" customWidth="1"/>
    <col min="36" max="36" width="17" bestFit="1" customWidth="1"/>
    <col min="37" max="37" width="17.28515625" bestFit="1" customWidth="1"/>
    <col min="38" max="38" width="25" bestFit="1" customWidth="1"/>
    <col min="39" max="39" width="24.28515625" bestFit="1" customWidth="1"/>
    <col min="40" max="40" width="17" bestFit="1" customWidth="1"/>
    <col min="41" max="41" width="17.28515625" bestFit="1" customWidth="1"/>
    <col min="42" max="42" width="25" bestFit="1" customWidth="1"/>
    <col min="43" max="43" width="24.28515625" bestFit="1" customWidth="1"/>
    <col min="44" max="44" width="22.140625" bestFit="1" customWidth="1"/>
    <col min="45" max="45" width="22.28515625" bestFit="1" customWidth="1"/>
    <col min="46" max="46" width="30.140625" bestFit="1" customWidth="1"/>
    <col min="47" max="47" width="29.28515625" bestFit="1" customWidth="1"/>
    <col min="48" max="48" width="25" bestFit="1" customWidth="1"/>
    <col min="49" max="49" width="20.140625" bestFit="1" customWidth="1"/>
    <col min="50" max="50" width="20.28515625" bestFit="1" customWidth="1"/>
    <col min="51" max="51" width="28.140625" bestFit="1" customWidth="1"/>
    <col min="52" max="52" width="17" bestFit="1" customWidth="1"/>
    <col min="53" max="53" width="17.28515625" bestFit="1" customWidth="1"/>
    <col min="54" max="54" width="25" bestFit="1" customWidth="1"/>
    <col min="55" max="55" width="20.140625" bestFit="1" customWidth="1"/>
    <col min="56" max="56" width="20.28515625" bestFit="1" customWidth="1"/>
    <col min="57" max="57" width="28.140625" bestFit="1" customWidth="1"/>
    <col min="58" max="58" width="17" bestFit="1" customWidth="1"/>
    <col min="59" max="59" width="17.28515625" bestFit="1" customWidth="1"/>
    <col min="60" max="60" width="25" bestFit="1" customWidth="1"/>
    <col min="61" max="61" width="20.140625" bestFit="1" customWidth="1"/>
    <col min="62" max="62" width="20.28515625" bestFit="1" customWidth="1"/>
    <col min="63" max="63" width="28.140625" bestFit="1" customWidth="1"/>
    <col min="64" max="64" width="17" bestFit="1" customWidth="1"/>
    <col min="65" max="65" width="17.28515625" bestFit="1" customWidth="1"/>
    <col min="66" max="66" width="25" bestFit="1" customWidth="1"/>
    <col min="67" max="67" width="20.140625" bestFit="1" customWidth="1"/>
    <col min="68" max="68" width="20.28515625" bestFit="1" customWidth="1"/>
    <col min="69" max="69" width="28.140625" bestFit="1" customWidth="1"/>
    <col min="70" max="70" width="17" bestFit="1" customWidth="1"/>
    <col min="71" max="71" width="17.28515625" bestFit="1" customWidth="1"/>
    <col min="72" max="72" width="25" bestFit="1" customWidth="1"/>
    <col min="73" max="73" width="20.140625" bestFit="1" customWidth="1"/>
    <col min="74" max="74" width="20.28515625" bestFit="1" customWidth="1"/>
    <col min="75" max="75" width="28.140625" bestFit="1" customWidth="1"/>
    <col min="76" max="76" width="17" bestFit="1" customWidth="1"/>
    <col min="77" max="77" width="17.28515625" bestFit="1" customWidth="1"/>
    <col min="78" max="78" width="25" bestFit="1" customWidth="1"/>
    <col min="79" max="79" width="20.140625" bestFit="1" customWidth="1"/>
    <col min="80" max="80" width="20.28515625" bestFit="1" customWidth="1"/>
    <col min="81" max="81" width="28.140625" bestFit="1" customWidth="1"/>
    <col min="82" max="82" width="17" bestFit="1" customWidth="1"/>
    <col min="83" max="83" width="17.28515625" bestFit="1" customWidth="1"/>
    <col min="84" max="84" width="25" bestFit="1" customWidth="1"/>
    <col min="85" max="85" width="20.140625" bestFit="1" customWidth="1"/>
    <col min="86" max="86" width="20.28515625" bestFit="1" customWidth="1"/>
    <col min="87" max="87" width="28.140625" bestFit="1" customWidth="1"/>
    <col min="88" max="88" width="17" bestFit="1" customWidth="1"/>
    <col min="89" max="89" width="17.28515625" bestFit="1" customWidth="1"/>
    <col min="90" max="90" width="25" bestFit="1" customWidth="1"/>
    <col min="91" max="91" width="20.140625" bestFit="1" customWidth="1"/>
    <col min="92" max="92" width="20.28515625" bestFit="1" customWidth="1"/>
    <col min="93" max="93" width="28.140625" bestFit="1" customWidth="1"/>
    <col min="94" max="94" width="17" bestFit="1" customWidth="1"/>
    <col min="95" max="95" width="17.28515625" bestFit="1" customWidth="1"/>
    <col min="96" max="96" width="25" bestFit="1" customWidth="1"/>
    <col min="97" max="97" width="20.140625" bestFit="1" customWidth="1"/>
    <col min="98" max="98" width="20.28515625" bestFit="1" customWidth="1"/>
    <col min="99" max="99" width="28.140625" bestFit="1" customWidth="1"/>
    <col min="100" max="100" width="17" bestFit="1" customWidth="1"/>
    <col min="101" max="101" width="17.28515625" bestFit="1" customWidth="1"/>
    <col min="102" max="102" width="25" bestFit="1" customWidth="1"/>
    <col min="103" max="103" width="20.140625" bestFit="1" customWidth="1"/>
    <col min="104" max="104" width="20.28515625" bestFit="1" customWidth="1"/>
    <col min="105" max="105" width="28.140625" bestFit="1" customWidth="1"/>
    <col min="106" max="106" width="17" bestFit="1" customWidth="1"/>
    <col min="107" max="107" width="17.28515625" bestFit="1" customWidth="1"/>
    <col min="108" max="108" width="25" bestFit="1" customWidth="1"/>
    <col min="109" max="109" width="20.140625" bestFit="1" customWidth="1"/>
    <col min="110" max="110" width="20.28515625" bestFit="1" customWidth="1"/>
    <col min="111" max="111" width="28.140625" bestFit="1" customWidth="1"/>
    <col min="112" max="112" width="17" bestFit="1" customWidth="1"/>
    <col min="113" max="113" width="17.28515625" bestFit="1" customWidth="1"/>
    <col min="114" max="114" width="25" bestFit="1" customWidth="1"/>
    <col min="115" max="115" width="18.5703125" bestFit="1" customWidth="1"/>
    <col min="116" max="116" width="18.7109375" bestFit="1" customWidth="1"/>
    <col min="117" max="117" width="26.5703125" bestFit="1" customWidth="1"/>
    <col min="118" max="118" width="17" bestFit="1" customWidth="1"/>
    <col min="119" max="119" width="17.28515625" bestFit="1" customWidth="1"/>
    <col min="120" max="120" width="25" bestFit="1" customWidth="1"/>
    <col min="121" max="121" width="20.140625" bestFit="1" customWidth="1"/>
    <col min="122" max="122" width="20.28515625" bestFit="1" customWidth="1"/>
    <col min="123" max="123" width="28.140625" bestFit="1" customWidth="1"/>
    <col min="124" max="124" width="17" bestFit="1" customWidth="1"/>
    <col min="125" max="125" width="17.28515625" bestFit="1" customWidth="1"/>
    <col min="126" max="126" width="25" bestFit="1" customWidth="1"/>
    <col min="127" max="127" width="20.140625" bestFit="1" customWidth="1"/>
    <col min="128" max="128" width="20.28515625" bestFit="1" customWidth="1"/>
    <col min="129" max="129" width="28.140625" bestFit="1" customWidth="1"/>
    <col min="130" max="130" width="17" bestFit="1" customWidth="1"/>
    <col min="131" max="131" width="17.28515625" bestFit="1" customWidth="1"/>
    <col min="132" max="132" width="25" bestFit="1" customWidth="1"/>
    <col min="133" max="133" width="18.5703125" bestFit="1" customWidth="1"/>
    <col min="134" max="134" width="18.7109375" bestFit="1" customWidth="1"/>
    <col min="135" max="135" width="26.5703125" bestFit="1" customWidth="1"/>
    <col min="136" max="136" width="17" bestFit="1" customWidth="1"/>
    <col min="137" max="137" width="17.28515625" bestFit="1" customWidth="1"/>
    <col min="138" max="138" width="25" bestFit="1" customWidth="1"/>
    <col min="139" max="139" width="20.140625" bestFit="1" customWidth="1"/>
    <col min="140" max="140" width="20.28515625" bestFit="1" customWidth="1"/>
    <col min="141" max="141" width="28.140625" bestFit="1" customWidth="1"/>
    <col min="142" max="142" width="17" bestFit="1" customWidth="1"/>
    <col min="143" max="143" width="17.28515625" bestFit="1" customWidth="1"/>
    <col min="144" max="144" width="25" bestFit="1" customWidth="1"/>
    <col min="145" max="145" width="20.140625" bestFit="1" customWidth="1"/>
    <col min="146" max="146" width="20.28515625" bestFit="1" customWidth="1"/>
    <col min="147" max="147" width="28.140625" bestFit="1" customWidth="1"/>
    <col min="148" max="148" width="17" bestFit="1" customWidth="1"/>
    <col min="149" max="149" width="17.28515625" bestFit="1" customWidth="1"/>
    <col min="150" max="150" width="25" bestFit="1" customWidth="1"/>
    <col min="151" max="151" width="18.5703125" bestFit="1" customWidth="1"/>
    <col min="152" max="152" width="18.7109375" bestFit="1" customWidth="1"/>
    <col min="153" max="153" width="26.5703125" bestFit="1" customWidth="1"/>
    <col min="154" max="154" width="17" bestFit="1" customWidth="1"/>
    <col min="155" max="155" width="17.28515625" bestFit="1" customWidth="1"/>
    <col min="156" max="156" width="25" bestFit="1" customWidth="1"/>
    <col min="157" max="157" width="17" bestFit="1" customWidth="1"/>
    <col min="158" max="158" width="17.28515625" bestFit="1" customWidth="1"/>
    <col min="159" max="159" width="25" bestFit="1" customWidth="1"/>
    <col min="160" max="160" width="20.140625" bestFit="1" customWidth="1"/>
    <col min="161" max="161" width="20.28515625" bestFit="1" customWidth="1"/>
    <col min="162" max="162" width="28.140625" bestFit="1" customWidth="1"/>
    <col min="163" max="163" width="17" bestFit="1" customWidth="1"/>
    <col min="164" max="164" width="17.28515625" bestFit="1" customWidth="1"/>
    <col min="165" max="165" width="25" bestFit="1" customWidth="1"/>
    <col min="166" max="166" width="20.140625" bestFit="1" customWidth="1"/>
    <col min="167" max="167" width="20.28515625" bestFit="1" customWidth="1"/>
    <col min="168" max="168" width="28.140625" bestFit="1" customWidth="1"/>
    <col min="169" max="169" width="17" bestFit="1" customWidth="1"/>
    <col min="170" max="170" width="17.28515625" bestFit="1" customWidth="1"/>
    <col min="171" max="171" width="25" bestFit="1" customWidth="1"/>
    <col min="172" max="172" width="20.140625" bestFit="1" customWidth="1"/>
    <col min="173" max="173" width="20.28515625" bestFit="1" customWidth="1"/>
    <col min="174" max="174" width="28.140625" bestFit="1" customWidth="1"/>
    <col min="175" max="175" width="17" bestFit="1" customWidth="1"/>
    <col min="176" max="176" width="17.28515625" bestFit="1" customWidth="1"/>
    <col min="177" max="177" width="25" bestFit="1" customWidth="1"/>
    <col min="178" max="178" width="20.140625" bestFit="1" customWidth="1"/>
    <col min="179" max="179" width="20.28515625" bestFit="1" customWidth="1"/>
    <col min="180" max="180" width="28.140625" bestFit="1" customWidth="1"/>
    <col min="181" max="181" width="17" bestFit="1" customWidth="1"/>
    <col min="182" max="182" width="17.28515625" bestFit="1" customWidth="1"/>
    <col min="183" max="183" width="25" bestFit="1" customWidth="1"/>
    <col min="184" max="184" width="21.140625" bestFit="1" customWidth="1"/>
    <col min="185" max="185" width="21.42578125" bestFit="1" customWidth="1"/>
    <col min="186" max="186" width="29.140625" bestFit="1" customWidth="1"/>
    <col min="187" max="187" width="17" bestFit="1" customWidth="1"/>
    <col min="188" max="188" width="17.28515625" bestFit="1" customWidth="1"/>
    <col min="189" max="189" width="25" bestFit="1" customWidth="1"/>
    <col min="190" max="190" width="21.140625" bestFit="1" customWidth="1"/>
    <col min="191" max="191" width="21.42578125" bestFit="1" customWidth="1"/>
    <col min="192" max="192" width="29.140625" bestFit="1" customWidth="1"/>
    <col min="193" max="193" width="17" bestFit="1" customWidth="1"/>
    <col min="194" max="194" width="17.28515625" bestFit="1" customWidth="1"/>
    <col min="195" max="195" width="25" bestFit="1" customWidth="1"/>
    <col min="196" max="196" width="19.5703125" bestFit="1" customWidth="1"/>
    <col min="197" max="197" width="19.7109375" bestFit="1" customWidth="1"/>
    <col min="198" max="198" width="27.5703125" bestFit="1" customWidth="1"/>
    <col min="199" max="199" width="17" bestFit="1" customWidth="1"/>
    <col min="200" max="200" width="17.28515625" bestFit="1" customWidth="1"/>
    <col min="201" max="201" width="25" bestFit="1" customWidth="1"/>
    <col min="202" max="202" width="21.140625" bestFit="1" customWidth="1"/>
    <col min="203" max="203" width="21.42578125" bestFit="1" customWidth="1"/>
    <col min="204" max="204" width="29.140625" bestFit="1" customWidth="1"/>
    <col min="205" max="205" width="17" bestFit="1" customWidth="1"/>
    <col min="206" max="206" width="17.28515625" bestFit="1" customWidth="1"/>
    <col min="207" max="207" width="25" bestFit="1" customWidth="1"/>
    <col min="208" max="208" width="21.140625" bestFit="1" customWidth="1"/>
    <col min="209" max="209" width="21.42578125" bestFit="1" customWidth="1"/>
    <col min="210" max="210" width="29.140625" bestFit="1" customWidth="1"/>
    <col min="211" max="211" width="17" bestFit="1" customWidth="1"/>
    <col min="212" max="212" width="17.28515625" bestFit="1" customWidth="1"/>
    <col min="213" max="213" width="25" bestFit="1" customWidth="1"/>
    <col min="214" max="214" width="21.140625" bestFit="1" customWidth="1"/>
    <col min="215" max="215" width="21.42578125" bestFit="1" customWidth="1"/>
    <col min="216" max="216" width="29.140625" bestFit="1" customWidth="1"/>
    <col min="217" max="217" width="17" bestFit="1" customWidth="1"/>
    <col min="218" max="218" width="17.28515625" bestFit="1" customWidth="1"/>
    <col min="219" max="219" width="25" bestFit="1" customWidth="1"/>
    <col min="220" max="220" width="21.140625" bestFit="1" customWidth="1"/>
    <col min="221" max="221" width="21.42578125" bestFit="1" customWidth="1"/>
    <col min="222" max="222" width="29.140625" bestFit="1" customWidth="1"/>
    <col min="223" max="223" width="17" bestFit="1" customWidth="1"/>
    <col min="224" max="224" width="17.28515625" bestFit="1" customWidth="1"/>
    <col min="225" max="225" width="25" bestFit="1" customWidth="1"/>
    <col min="226" max="226" width="21.140625" bestFit="1" customWidth="1"/>
    <col min="227" max="227" width="21.42578125" bestFit="1" customWidth="1"/>
    <col min="228" max="228" width="29.140625" bestFit="1" customWidth="1"/>
    <col min="229" max="229" width="17" bestFit="1" customWidth="1"/>
    <col min="230" max="230" width="17.28515625" bestFit="1" customWidth="1"/>
    <col min="231" max="231" width="25" bestFit="1" customWidth="1"/>
    <col min="232" max="232" width="21.140625" bestFit="1" customWidth="1"/>
    <col min="233" max="233" width="21.42578125" bestFit="1" customWidth="1"/>
    <col min="234" max="234" width="29.140625" bestFit="1" customWidth="1"/>
    <col min="235" max="235" width="17" bestFit="1" customWidth="1"/>
    <col min="236" max="236" width="17.28515625" bestFit="1" customWidth="1"/>
    <col min="237" max="237" width="25" bestFit="1" customWidth="1"/>
    <col min="238" max="238" width="21.140625" bestFit="1" customWidth="1"/>
    <col min="239" max="239" width="21.42578125" bestFit="1" customWidth="1"/>
    <col min="240" max="240" width="29.140625" bestFit="1" customWidth="1"/>
    <col min="241" max="241" width="17" bestFit="1" customWidth="1"/>
    <col min="242" max="242" width="17.28515625" bestFit="1" customWidth="1"/>
    <col min="243" max="243" width="25" bestFit="1" customWidth="1"/>
    <col min="244" max="244" width="21.140625" bestFit="1" customWidth="1"/>
    <col min="245" max="245" width="21.42578125" bestFit="1" customWidth="1"/>
    <col min="246" max="246" width="29.140625" bestFit="1" customWidth="1"/>
    <col min="247" max="247" width="17" bestFit="1" customWidth="1"/>
    <col min="248" max="248" width="17.28515625" bestFit="1" customWidth="1"/>
    <col min="249" max="249" width="25" bestFit="1" customWidth="1"/>
    <col min="250" max="250" width="21.140625" bestFit="1" customWidth="1"/>
    <col min="251" max="251" width="21.42578125" bestFit="1" customWidth="1"/>
    <col min="252" max="252" width="29.140625" bestFit="1" customWidth="1"/>
    <col min="253" max="253" width="17" bestFit="1" customWidth="1"/>
    <col min="254" max="254" width="17.28515625" bestFit="1" customWidth="1"/>
    <col min="255" max="255" width="25" bestFit="1" customWidth="1"/>
    <col min="256" max="256" width="21.140625" bestFit="1" customWidth="1"/>
    <col min="257" max="257" width="21.42578125" bestFit="1" customWidth="1"/>
    <col min="258" max="258" width="29.140625" bestFit="1" customWidth="1"/>
    <col min="259" max="259" width="17" bestFit="1" customWidth="1"/>
    <col min="260" max="260" width="17.28515625" bestFit="1" customWidth="1"/>
    <col min="261" max="261" width="25" bestFit="1" customWidth="1"/>
    <col min="262" max="262" width="21.140625" bestFit="1" customWidth="1"/>
    <col min="263" max="263" width="21.42578125" bestFit="1" customWidth="1"/>
    <col min="264" max="264" width="29.140625" bestFit="1" customWidth="1"/>
    <col min="265" max="265" width="17" bestFit="1" customWidth="1"/>
    <col min="266" max="266" width="17.28515625" bestFit="1" customWidth="1"/>
    <col min="267" max="267" width="25" bestFit="1" customWidth="1"/>
    <col min="268" max="268" width="21.140625" bestFit="1" customWidth="1"/>
    <col min="269" max="269" width="21.42578125" bestFit="1" customWidth="1"/>
    <col min="270" max="270" width="29.140625" bestFit="1" customWidth="1"/>
    <col min="271" max="271" width="17" bestFit="1" customWidth="1"/>
    <col min="272" max="272" width="17.28515625" bestFit="1" customWidth="1"/>
    <col min="273" max="273" width="25" bestFit="1" customWidth="1"/>
    <col min="274" max="274" width="21.140625" bestFit="1" customWidth="1"/>
    <col min="275" max="275" width="21.42578125" bestFit="1" customWidth="1"/>
    <col min="276" max="276" width="29.140625" bestFit="1" customWidth="1"/>
    <col min="277" max="277" width="17" bestFit="1" customWidth="1"/>
    <col min="278" max="278" width="17.28515625" bestFit="1" customWidth="1"/>
    <col min="279" max="279" width="25" bestFit="1" customWidth="1"/>
    <col min="280" max="280" width="21.140625" bestFit="1" customWidth="1"/>
    <col min="281" max="281" width="21.42578125" bestFit="1" customWidth="1"/>
    <col min="282" max="282" width="29.140625" bestFit="1" customWidth="1"/>
    <col min="283" max="283" width="17" bestFit="1" customWidth="1"/>
    <col min="284" max="284" width="17.28515625" bestFit="1" customWidth="1"/>
    <col min="285" max="285" width="25" bestFit="1" customWidth="1"/>
    <col min="286" max="286" width="21.140625" bestFit="1" customWidth="1"/>
    <col min="287" max="287" width="21.42578125" bestFit="1" customWidth="1"/>
    <col min="288" max="288" width="29.140625" bestFit="1" customWidth="1"/>
    <col min="289" max="289" width="17" bestFit="1" customWidth="1"/>
    <col min="290" max="290" width="17.28515625" bestFit="1" customWidth="1"/>
    <col min="291" max="291" width="25" bestFit="1" customWidth="1"/>
    <col min="292" max="292" width="21.140625" bestFit="1" customWidth="1"/>
    <col min="293" max="293" width="21.42578125" bestFit="1" customWidth="1"/>
    <col min="294" max="294" width="29.140625" bestFit="1" customWidth="1"/>
    <col min="295" max="295" width="17" bestFit="1" customWidth="1"/>
    <col min="296" max="296" width="17.28515625" bestFit="1" customWidth="1"/>
    <col min="297" max="297" width="25" bestFit="1" customWidth="1"/>
    <col min="298" max="298" width="21.140625" bestFit="1" customWidth="1"/>
    <col min="299" max="299" width="21.42578125" bestFit="1" customWidth="1"/>
    <col min="300" max="300" width="29.140625" bestFit="1" customWidth="1"/>
    <col min="301" max="301" width="17" bestFit="1" customWidth="1"/>
    <col min="302" max="302" width="17.28515625" bestFit="1" customWidth="1"/>
    <col min="303" max="303" width="25" bestFit="1" customWidth="1"/>
    <col min="304" max="304" width="21.140625" bestFit="1" customWidth="1"/>
    <col min="305" max="305" width="21.42578125" bestFit="1" customWidth="1"/>
    <col min="306" max="306" width="29.140625" bestFit="1" customWidth="1"/>
    <col min="307" max="307" width="17" bestFit="1" customWidth="1"/>
    <col min="308" max="308" width="17.28515625" bestFit="1" customWidth="1"/>
    <col min="309" max="309" width="25" bestFit="1" customWidth="1"/>
    <col min="310" max="310" width="21.140625" bestFit="1" customWidth="1"/>
    <col min="311" max="311" width="21.42578125" bestFit="1" customWidth="1"/>
    <col min="312" max="312" width="29.140625" bestFit="1" customWidth="1"/>
    <col min="313" max="313" width="17" bestFit="1" customWidth="1"/>
    <col min="314" max="314" width="17.28515625" bestFit="1" customWidth="1"/>
    <col min="315" max="315" width="25" bestFit="1" customWidth="1"/>
    <col min="316" max="316" width="21.140625" bestFit="1" customWidth="1"/>
    <col min="317" max="317" width="21.42578125" bestFit="1" customWidth="1"/>
    <col min="318" max="318" width="29.140625" bestFit="1" customWidth="1"/>
    <col min="319" max="319" width="17" bestFit="1" customWidth="1"/>
    <col min="320" max="320" width="17.28515625" bestFit="1" customWidth="1"/>
    <col min="321" max="321" width="25" bestFit="1" customWidth="1"/>
    <col min="322" max="322" width="20.5703125" bestFit="1" customWidth="1"/>
    <col min="323" max="323" width="20.7109375" bestFit="1" customWidth="1"/>
    <col min="324" max="324" width="28.5703125" bestFit="1" customWidth="1"/>
    <col min="325" max="325" width="17" bestFit="1" customWidth="1"/>
    <col min="326" max="326" width="17.28515625" bestFit="1" customWidth="1"/>
    <col min="327" max="327" width="25" bestFit="1" customWidth="1"/>
    <col min="328" max="328" width="22.28515625" bestFit="1" customWidth="1"/>
    <col min="329" max="329" width="22.42578125" bestFit="1" customWidth="1"/>
    <col min="330" max="330" width="30.28515625" bestFit="1" customWidth="1"/>
    <col min="331" max="331" width="17" bestFit="1" customWidth="1"/>
    <col min="332" max="332" width="17.28515625" bestFit="1" customWidth="1"/>
    <col min="333" max="333" width="25" bestFit="1" customWidth="1"/>
    <col min="334" max="334" width="22.28515625" bestFit="1" customWidth="1"/>
    <col min="335" max="335" width="22.42578125" bestFit="1" customWidth="1"/>
    <col min="336" max="336" width="30.28515625" bestFit="1" customWidth="1"/>
    <col min="337" max="337" width="17" bestFit="1" customWidth="1"/>
    <col min="338" max="338" width="17.28515625" bestFit="1" customWidth="1"/>
    <col min="339" max="339" width="25" bestFit="1" customWidth="1"/>
    <col min="340" max="340" width="22.28515625" bestFit="1" customWidth="1"/>
    <col min="341" max="341" width="22.42578125" bestFit="1" customWidth="1"/>
    <col min="342" max="342" width="30.28515625" bestFit="1" customWidth="1"/>
    <col min="343" max="343" width="17" bestFit="1" customWidth="1"/>
    <col min="344" max="344" width="17.28515625" bestFit="1" customWidth="1"/>
    <col min="345" max="345" width="25" bestFit="1" customWidth="1"/>
    <col min="346" max="346" width="20.5703125" bestFit="1" customWidth="1"/>
    <col min="347" max="347" width="20.7109375" bestFit="1" customWidth="1"/>
    <col min="348" max="348" width="28.5703125" bestFit="1" customWidth="1"/>
    <col min="349" max="349" width="17" bestFit="1" customWidth="1"/>
    <col min="350" max="350" width="17.28515625" bestFit="1" customWidth="1"/>
    <col min="351" max="351" width="25" bestFit="1" customWidth="1"/>
    <col min="352" max="352" width="22.28515625" bestFit="1" customWidth="1"/>
    <col min="353" max="353" width="22.42578125" bestFit="1" customWidth="1"/>
    <col min="354" max="354" width="30.28515625" bestFit="1" customWidth="1"/>
    <col min="355" max="355" width="17" bestFit="1" customWidth="1"/>
    <col min="356" max="356" width="17.28515625" bestFit="1" customWidth="1"/>
    <col min="357" max="357" width="25" bestFit="1" customWidth="1"/>
    <col min="358" max="358" width="22.28515625" bestFit="1" customWidth="1"/>
    <col min="359" max="359" width="22.42578125" bestFit="1" customWidth="1"/>
    <col min="360" max="360" width="30.28515625" bestFit="1" customWidth="1"/>
    <col min="361" max="361" width="17" bestFit="1" customWidth="1"/>
    <col min="362" max="362" width="17.28515625" bestFit="1" customWidth="1"/>
    <col min="363" max="363" width="25" bestFit="1" customWidth="1"/>
    <col min="364" max="364" width="22.28515625" bestFit="1" customWidth="1"/>
    <col min="365" max="365" width="22.42578125" bestFit="1" customWidth="1"/>
    <col min="366" max="366" width="30.28515625" bestFit="1" customWidth="1"/>
    <col min="367" max="367" width="17" bestFit="1" customWidth="1"/>
    <col min="368" max="368" width="17.28515625" bestFit="1" customWidth="1"/>
    <col min="369" max="369" width="25" bestFit="1" customWidth="1"/>
    <col min="370" max="370" width="22.28515625" bestFit="1" customWidth="1"/>
    <col min="371" max="371" width="22.42578125" bestFit="1" customWidth="1"/>
    <col min="372" max="372" width="30.28515625" bestFit="1" customWidth="1"/>
    <col min="373" max="373" width="17" bestFit="1" customWidth="1"/>
    <col min="374" max="374" width="17.28515625" bestFit="1" customWidth="1"/>
    <col min="375" max="375" width="25" bestFit="1" customWidth="1"/>
    <col min="376" max="376" width="23.28515625" bestFit="1" customWidth="1"/>
    <col min="377" max="377" width="23.42578125" bestFit="1" customWidth="1"/>
    <col min="378" max="378" width="31.28515625" bestFit="1" customWidth="1"/>
    <col min="379" max="379" width="17" bestFit="1" customWidth="1"/>
    <col min="380" max="380" width="17.28515625" bestFit="1" customWidth="1"/>
    <col min="381" max="381" width="25" bestFit="1" customWidth="1"/>
    <col min="382" max="382" width="23.28515625" bestFit="1" customWidth="1"/>
    <col min="383" max="383" width="23.42578125" bestFit="1" customWidth="1"/>
    <col min="384" max="384" width="31.28515625" bestFit="1" customWidth="1"/>
    <col min="385" max="385" width="17" bestFit="1" customWidth="1"/>
    <col min="386" max="386" width="17.28515625" bestFit="1" customWidth="1"/>
    <col min="387" max="387" width="25" bestFit="1" customWidth="1"/>
    <col min="388" max="388" width="27.5703125" bestFit="1" customWidth="1"/>
    <col min="389" max="389" width="27.7109375" bestFit="1" customWidth="1"/>
    <col min="390" max="390" width="35.5703125" bestFit="1" customWidth="1"/>
    <col min="391" max="391" width="17" bestFit="1" customWidth="1"/>
    <col min="392" max="392" width="17.28515625" bestFit="1" customWidth="1"/>
    <col min="393" max="393" width="25" bestFit="1" customWidth="1"/>
    <col min="394" max="394" width="24" bestFit="1" customWidth="1"/>
    <col min="395" max="395" width="24.140625" bestFit="1" customWidth="1"/>
    <col min="396" max="396" width="32" bestFit="1" customWidth="1"/>
    <col min="397" max="397" width="22.140625" bestFit="1" customWidth="1"/>
    <col min="398" max="398" width="22.28515625" bestFit="1" customWidth="1"/>
    <col min="399" max="399" width="30.140625" bestFit="1" customWidth="1"/>
    <col min="400" max="400" width="20.5703125" bestFit="1" customWidth="1"/>
    <col min="401" max="401" width="20.7109375" bestFit="1" customWidth="1"/>
    <col min="402" max="402" width="17" bestFit="1" customWidth="1"/>
    <col min="403" max="403" width="17.28515625" bestFit="1" customWidth="1"/>
    <col min="404" max="404" width="21.140625" bestFit="1" customWidth="1"/>
    <col min="405" max="405" width="21.42578125" bestFit="1" customWidth="1"/>
    <col min="406" max="406" width="22.28515625" bestFit="1" customWidth="1"/>
    <col min="407" max="407" width="22.42578125" bestFit="1" customWidth="1"/>
    <col min="408" max="408" width="17" bestFit="1" customWidth="1"/>
    <col min="409" max="409" width="17.28515625" bestFit="1" customWidth="1"/>
    <col min="410" max="410" width="20.5703125" bestFit="1" customWidth="1"/>
    <col min="411" max="411" width="20.7109375" bestFit="1" customWidth="1"/>
    <col min="412" max="412" width="20.5703125" bestFit="1" customWidth="1"/>
    <col min="413" max="413" width="20.7109375" bestFit="1" customWidth="1"/>
    <col min="414" max="414" width="17" bestFit="1" customWidth="1"/>
    <col min="415" max="415" width="17.28515625" bestFit="1" customWidth="1"/>
    <col min="416" max="416" width="22.28515625" bestFit="1" customWidth="1"/>
    <col min="417" max="417" width="22.42578125" bestFit="1" customWidth="1"/>
    <col min="418" max="418" width="22.28515625" bestFit="1" customWidth="1"/>
    <col min="419" max="419" width="22.42578125" bestFit="1" customWidth="1"/>
    <col min="420" max="420" width="17" bestFit="1" customWidth="1"/>
    <col min="421" max="421" width="17.28515625" bestFit="1" customWidth="1"/>
    <col min="422" max="422" width="22.28515625" bestFit="1" customWidth="1"/>
    <col min="423" max="423" width="22.42578125" bestFit="1" customWidth="1"/>
    <col min="424" max="424" width="22.28515625" bestFit="1" customWidth="1"/>
    <col min="425" max="425" width="22.42578125" bestFit="1" customWidth="1"/>
    <col min="426" max="426" width="17" bestFit="1" customWidth="1"/>
    <col min="427" max="427" width="17.28515625" bestFit="1" customWidth="1"/>
    <col min="428" max="428" width="22.28515625" bestFit="1" customWidth="1"/>
    <col min="429" max="429" width="22.42578125" bestFit="1" customWidth="1"/>
    <col min="430" max="430" width="22.28515625" bestFit="1" customWidth="1"/>
    <col min="431" max="431" width="22.42578125" bestFit="1" customWidth="1"/>
    <col min="432" max="432" width="17" bestFit="1" customWidth="1"/>
    <col min="433" max="433" width="17.28515625" bestFit="1" customWidth="1"/>
    <col min="434" max="434" width="20.5703125" bestFit="1" customWidth="1"/>
    <col min="435" max="435" width="20.7109375" bestFit="1" customWidth="1"/>
    <col min="436" max="436" width="20.5703125" bestFit="1" customWidth="1"/>
    <col min="437" max="437" width="20.7109375" bestFit="1" customWidth="1"/>
    <col min="438" max="438" width="17" bestFit="1" customWidth="1"/>
    <col min="439" max="439" width="17.28515625" bestFit="1" customWidth="1"/>
    <col min="440" max="440" width="18.5703125" bestFit="1" customWidth="1"/>
    <col min="441" max="441" width="18.7109375" bestFit="1" customWidth="1"/>
    <col min="442" max="442" width="20.5703125" bestFit="1" customWidth="1"/>
    <col min="443" max="443" width="20.7109375" bestFit="1" customWidth="1"/>
    <col min="444" max="444" width="17" bestFit="1" customWidth="1"/>
    <col min="445" max="445" width="17.28515625" bestFit="1" customWidth="1"/>
    <col min="446" max="446" width="18.5703125" bestFit="1" customWidth="1"/>
    <col min="447" max="447" width="18.7109375" bestFit="1" customWidth="1"/>
    <col min="448" max="448" width="20.5703125" bestFit="1" customWidth="1"/>
    <col min="449" max="449" width="20.7109375" bestFit="1" customWidth="1"/>
    <col min="450" max="450" width="17" bestFit="1" customWidth="1"/>
    <col min="451" max="451" width="17.28515625" bestFit="1" customWidth="1"/>
    <col min="452" max="452" width="18.5703125" bestFit="1" customWidth="1"/>
    <col min="453" max="453" width="18.7109375" bestFit="1" customWidth="1"/>
    <col min="454" max="454" width="20.5703125" bestFit="1" customWidth="1"/>
    <col min="455" max="455" width="20.7109375" bestFit="1" customWidth="1"/>
    <col min="456" max="456" width="17" bestFit="1" customWidth="1"/>
    <col min="457" max="457" width="17.28515625" bestFit="1" customWidth="1"/>
    <col min="458" max="458" width="18.5703125" bestFit="1" customWidth="1"/>
    <col min="459" max="459" width="18.7109375" bestFit="1" customWidth="1"/>
    <col min="460" max="460" width="20.5703125" bestFit="1" customWidth="1"/>
    <col min="461" max="461" width="20.7109375" bestFit="1" customWidth="1"/>
    <col min="462" max="462" width="17" bestFit="1" customWidth="1"/>
    <col min="463" max="463" width="17.28515625" bestFit="1" customWidth="1"/>
    <col min="464" max="464" width="22.28515625" bestFit="1" customWidth="1"/>
    <col min="465" max="465" width="22.42578125" bestFit="1" customWidth="1"/>
    <col min="466" max="466" width="22.28515625" bestFit="1" customWidth="1"/>
    <col min="467" max="467" width="22.42578125" bestFit="1" customWidth="1"/>
    <col min="468" max="468" width="17" bestFit="1" customWidth="1"/>
    <col min="469" max="469" width="17.28515625" bestFit="1" customWidth="1"/>
    <col min="470" max="470" width="18.5703125" bestFit="1" customWidth="1"/>
    <col min="471" max="471" width="18.7109375" bestFit="1" customWidth="1"/>
    <col min="472" max="472" width="20.5703125" bestFit="1" customWidth="1"/>
    <col min="473" max="473" width="20.7109375" bestFit="1" customWidth="1"/>
    <col min="474" max="474" width="17" bestFit="1" customWidth="1"/>
    <col min="475" max="475" width="17.28515625" bestFit="1" customWidth="1"/>
    <col min="476" max="476" width="22.28515625" bestFit="1" customWidth="1"/>
    <col min="477" max="477" width="22.42578125" bestFit="1" customWidth="1"/>
    <col min="478" max="478" width="22.28515625" bestFit="1" customWidth="1"/>
    <col min="479" max="479" width="22.42578125" bestFit="1" customWidth="1"/>
    <col min="480" max="480" width="17" bestFit="1" customWidth="1"/>
    <col min="481" max="481" width="17.28515625" bestFit="1" customWidth="1"/>
    <col min="482" max="482" width="22.28515625" bestFit="1" customWidth="1"/>
    <col min="483" max="483" width="22.42578125" bestFit="1" customWidth="1"/>
    <col min="484" max="484" width="20.5703125" bestFit="1" customWidth="1"/>
    <col min="485" max="485" width="20.7109375" bestFit="1" customWidth="1"/>
    <col min="486" max="486" width="17" bestFit="1" customWidth="1"/>
    <col min="487" max="487" width="17.28515625" bestFit="1" customWidth="1"/>
    <col min="488" max="488" width="18.5703125" bestFit="1" customWidth="1"/>
    <col min="489" max="489" width="18.7109375" bestFit="1" customWidth="1"/>
    <col min="490" max="490" width="20.5703125" bestFit="1" customWidth="1"/>
    <col min="491" max="491" width="20.7109375" bestFit="1" customWidth="1"/>
    <col min="492" max="492" width="17" bestFit="1" customWidth="1"/>
    <col min="493" max="493" width="17.28515625" bestFit="1" customWidth="1"/>
    <col min="494" max="494" width="18.5703125" bestFit="1" customWidth="1"/>
    <col min="495" max="495" width="18.7109375" bestFit="1" customWidth="1"/>
    <col min="496" max="496" width="20.5703125" bestFit="1" customWidth="1"/>
    <col min="497" max="497" width="20.7109375" bestFit="1" customWidth="1"/>
    <col min="498" max="498" width="17" bestFit="1" customWidth="1"/>
    <col min="499" max="499" width="17.28515625" bestFit="1" customWidth="1"/>
    <col min="500" max="500" width="18.5703125" bestFit="1" customWidth="1"/>
    <col min="501" max="501" width="18.7109375" bestFit="1" customWidth="1"/>
    <col min="502" max="502" width="20.5703125" bestFit="1" customWidth="1"/>
    <col min="503" max="503" width="20.7109375" bestFit="1" customWidth="1"/>
    <col min="504" max="504" width="17" bestFit="1" customWidth="1"/>
    <col min="505" max="505" width="17.28515625" bestFit="1" customWidth="1"/>
    <col min="506" max="506" width="22.28515625" bestFit="1" customWidth="1"/>
    <col min="507" max="507" width="22.42578125" bestFit="1" customWidth="1"/>
    <col min="508" max="508" width="23.28515625" bestFit="1" customWidth="1"/>
    <col min="509" max="509" width="23.42578125" bestFit="1" customWidth="1"/>
    <col min="510" max="510" width="17" bestFit="1" customWidth="1"/>
    <col min="511" max="511" width="17.28515625" bestFit="1" customWidth="1"/>
    <col min="512" max="512" width="18.5703125" bestFit="1" customWidth="1"/>
    <col min="513" max="513" width="18.7109375" bestFit="1" customWidth="1"/>
    <col min="514" max="514" width="21.7109375" bestFit="1" customWidth="1"/>
    <col min="515" max="515" width="21.85546875" bestFit="1" customWidth="1"/>
    <col min="516" max="516" width="17" bestFit="1" customWidth="1"/>
    <col min="517" max="517" width="17.28515625" bestFit="1" customWidth="1"/>
    <col min="518" max="518" width="23.28515625" bestFit="1" customWidth="1"/>
    <col min="519" max="519" width="23.42578125" bestFit="1" customWidth="1"/>
    <col min="520" max="520" width="23.28515625" bestFit="1" customWidth="1"/>
    <col min="521" max="521" width="23.42578125" bestFit="1" customWidth="1"/>
    <col min="522" max="522" width="17" bestFit="1" customWidth="1"/>
    <col min="523" max="523" width="17.28515625" bestFit="1" customWidth="1"/>
    <col min="524" max="524" width="23.28515625" bestFit="1" customWidth="1"/>
    <col min="525" max="525" width="23.42578125" bestFit="1" customWidth="1"/>
    <col min="526" max="526" width="23.28515625" bestFit="1" customWidth="1"/>
    <col min="527" max="527" width="23.42578125" bestFit="1" customWidth="1"/>
    <col min="528" max="528" width="17" bestFit="1" customWidth="1"/>
    <col min="529" max="529" width="17.28515625" bestFit="1" customWidth="1"/>
    <col min="530" max="530" width="27.5703125" bestFit="1" customWidth="1"/>
    <col min="531" max="531" width="27.7109375" bestFit="1" customWidth="1"/>
    <col min="532" max="532" width="28" bestFit="1" customWidth="1"/>
    <col min="533" max="533" width="28.140625" bestFit="1" customWidth="1"/>
    <col min="534" max="534" width="17" bestFit="1" customWidth="1"/>
    <col min="535" max="535" width="17.28515625" bestFit="1" customWidth="1"/>
    <col min="536" max="536" width="24" bestFit="1" customWidth="1"/>
    <col min="537" max="537" width="24.140625" bestFit="1" customWidth="1"/>
    <col min="538" max="538" width="24" bestFit="1" customWidth="1"/>
    <col min="539" max="539" width="24.140625" bestFit="1" customWidth="1"/>
    <col min="540" max="540" width="22.140625" bestFit="1" customWidth="1"/>
    <col min="541" max="541" width="22.28515625" bestFit="1" customWidth="1"/>
  </cols>
  <sheetData>
    <row r="1" spans="1:10" x14ac:dyDescent="0.25">
      <c r="A1" t="s">
        <v>1037</v>
      </c>
    </row>
    <row r="3" spans="1:10" ht="15" customHeight="1" x14ac:dyDescent="0.25">
      <c r="A3" s="724" t="s">
        <v>1016</v>
      </c>
      <c r="B3" t="s">
        <v>1019</v>
      </c>
      <c r="C3" t="s">
        <v>1017</v>
      </c>
      <c r="D3" t="s">
        <v>1020</v>
      </c>
      <c r="E3" t="s">
        <v>1021</v>
      </c>
      <c r="F3" t="s">
        <v>1018</v>
      </c>
    </row>
    <row r="4" spans="1:10" x14ac:dyDescent="0.25">
      <c r="A4" s="470">
        <v>0</v>
      </c>
    </row>
    <row r="5" spans="1:10" x14ac:dyDescent="0.25">
      <c r="A5" s="470">
        <v>1</v>
      </c>
      <c r="B5">
        <v>26394.800000000003</v>
      </c>
      <c r="C5">
        <v>1519</v>
      </c>
      <c r="D5">
        <v>2350.6999999999998</v>
      </c>
      <c r="E5">
        <v>693.89999999999986</v>
      </c>
      <c r="F5">
        <v>642</v>
      </c>
    </row>
    <row r="6" spans="1:10" x14ac:dyDescent="0.25">
      <c r="A6" s="470">
        <v>2</v>
      </c>
      <c r="B6">
        <v>336.1</v>
      </c>
      <c r="C6">
        <v>20.7</v>
      </c>
      <c r="D6">
        <v>28.200000000000003</v>
      </c>
      <c r="E6">
        <v>5.0999999999999996</v>
      </c>
      <c r="F6">
        <v>12</v>
      </c>
    </row>
    <row r="7" spans="1:10" x14ac:dyDescent="0.25">
      <c r="A7" s="470">
        <v>3</v>
      </c>
      <c r="B7">
        <v>319.7</v>
      </c>
      <c r="C7">
        <v>20.3</v>
      </c>
      <c r="D7">
        <v>26.5</v>
      </c>
      <c r="E7">
        <v>4.2</v>
      </c>
      <c r="F7">
        <v>12</v>
      </c>
    </row>
    <row r="8" spans="1:10" x14ac:dyDescent="0.25">
      <c r="A8" s="470">
        <v>4</v>
      </c>
      <c r="B8">
        <v>9295</v>
      </c>
      <c r="C8">
        <v>582.20000000000005</v>
      </c>
      <c r="D8">
        <v>777.4</v>
      </c>
      <c r="E8">
        <v>135.29999999999998</v>
      </c>
      <c r="F8">
        <v>338</v>
      </c>
    </row>
    <row r="9" spans="1:10" x14ac:dyDescent="0.25">
      <c r="A9" s="470">
        <v>5</v>
      </c>
      <c r="B9">
        <v>26118</v>
      </c>
      <c r="C9">
        <v>1412.3</v>
      </c>
      <c r="D9">
        <v>2207.8000000000002</v>
      </c>
      <c r="E9">
        <v>430.40000000000003</v>
      </c>
      <c r="F9">
        <v>898</v>
      </c>
    </row>
    <row r="10" spans="1:10" x14ac:dyDescent="0.25">
      <c r="A10" s="470">
        <v>6</v>
      </c>
      <c r="B10">
        <v>31263.799999999996</v>
      </c>
      <c r="C10">
        <v>1596</v>
      </c>
      <c r="D10">
        <v>2647.5</v>
      </c>
      <c r="E10">
        <v>525.6</v>
      </c>
      <c r="F10">
        <v>1064</v>
      </c>
    </row>
    <row r="11" spans="1:10" x14ac:dyDescent="0.25">
      <c r="A11" s="470">
        <v>7</v>
      </c>
      <c r="B11">
        <v>1749</v>
      </c>
      <c r="C11">
        <v>99</v>
      </c>
      <c r="D11">
        <v>145.19999999999999</v>
      </c>
      <c r="E11">
        <v>23.200000000000003</v>
      </c>
      <c r="F11">
        <v>66</v>
      </c>
    </row>
    <row r="12" spans="1:10" x14ac:dyDescent="0.25">
      <c r="A12" s="470">
        <v>8</v>
      </c>
      <c r="B12">
        <v>3595.5</v>
      </c>
      <c r="C12">
        <v>282</v>
      </c>
      <c r="D12">
        <v>366.6</v>
      </c>
      <c r="E12">
        <v>42.4</v>
      </c>
      <c r="F12">
        <v>282</v>
      </c>
    </row>
    <row r="13" spans="1:10" x14ac:dyDescent="0.25">
      <c r="A13" s="470">
        <v>9</v>
      </c>
      <c r="B13">
        <v>124928.4</v>
      </c>
      <c r="C13">
        <v>6012.6999999999989</v>
      </c>
      <c r="D13">
        <v>12045.300000000001</v>
      </c>
      <c r="E13">
        <v>5277.5</v>
      </c>
      <c r="F13">
        <v>994</v>
      </c>
    </row>
    <row r="14" spans="1:10" x14ac:dyDescent="0.25">
      <c r="A14" s="470">
        <v>10</v>
      </c>
      <c r="B14">
        <v>2635.5</v>
      </c>
      <c r="C14">
        <v>163.80000000000001</v>
      </c>
      <c r="D14">
        <v>220.4</v>
      </c>
      <c r="E14">
        <v>38.200000000000003</v>
      </c>
      <c r="F14">
        <v>96</v>
      </c>
      <c r="J14" s="403"/>
    </row>
    <row r="15" spans="1:10" hidden="1" x14ac:dyDescent="0.25">
      <c r="A15" s="470" t="s">
        <v>542</v>
      </c>
    </row>
    <row r="16" spans="1:10" hidden="1" x14ac:dyDescent="0.25">
      <c r="A16" s="470" t="s">
        <v>511</v>
      </c>
    </row>
    <row r="17" spans="1:14" hidden="1" x14ac:dyDescent="0.25">
      <c r="A17" s="470" t="s">
        <v>553</v>
      </c>
    </row>
    <row r="18" spans="1:14" hidden="1" x14ac:dyDescent="0.25">
      <c r="A18" s="470" t="s">
        <v>526</v>
      </c>
    </row>
    <row r="19" spans="1:14" hidden="1" x14ac:dyDescent="0.25">
      <c r="A19" s="470" t="s">
        <v>560</v>
      </c>
    </row>
    <row r="20" spans="1:14" hidden="1" x14ac:dyDescent="0.25">
      <c r="A20" s="470" t="s">
        <v>564</v>
      </c>
    </row>
    <row r="21" spans="1:14" hidden="1" x14ac:dyDescent="0.25">
      <c r="A21" s="470" t="s">
        <v>572</v>
      </c>
    </row>
    <row r="22" spans="1:14" hidden="1" x14ac:dyDescent="0.25">
      <c r="A22" s="470" t="s">
        <v>576</v>
      </c>
    </row>
    <row r="23" spans="1:14" hidden="1" x14ac:dyDescent="0.25">
      <c r="A23" s="470" t="s">
        <v>580</v>
      </c>
    </row>
    <row r="24" spans="1:14" hidden="1" x14ac:dyDescent="0.25">
      <c r="A24" s="470" t="s">
        <v>584</v>
      </c>
    </row>
    <row r="25" spans="1:14" hidden="1" x14ac:dyDescent="0.25">
      <c r="A25" s="470" t="s">
        <v>592</v>
      </c>
    </row>
    <row r="26" spans="1:14" hidden="1" x14ac:dyDescent="0.25">
      <c r="A26" s="470" t="s">
        <v>600</v>
      </c>
    </row>
    <row r="27" spans="1:14" x14ac:dyDescent="0.25">
      <c r="A27" s="470" t="s">
        <v>640</v>
      </c>
      <c r="B27">
        <v>226635.8</v>
      </c>
      <c r="C27">
        <v>11707.999999999998</v>
      </c>
      <c r="D27">
        <v>20815.600000000002</v>
      </c>
      <c r="E27">
        <v>7175.8</v>
      </c>
      <c r="F27">
        <v>4404</v>
      </c>
      <c r="H27">
        <f>SUM(B27:F27)</f>
        <v>270739.20000000001</v>
      </c>
    </row>
    <row r="28" spans="1:14" ht="12.75" customHeight="1" x14ac:dyDescent="0.25">
      <c r="A28" s="470"/>
    </row>
    <row r="30" spans="1:14" x14ac:dyDescent="0.25">
      <c r="A30" t="s">
        <v>1038</v>
      </c>
    </row>
    <row r="31" spans="1:14" x14ac:dyDescent="0.25">
      <c r="B31" s="726" t="s">
        <v>1019</v>
      </c>
      <c r="C31" s="726" t="s">
        <v>1017</v>
      </c>
      <c r="D31" s="726" t="s">
        <v>1020</v>
      </c>
      <c r="E31" s="726" t="s">
        <v>1021</v>
      </c>
      <c r="F31" s="726" t="s">
        <v>1018</v>
      </c>
      <c r="G31" t="s">
        <v>1023</v>
      </c>
      <c r="K31" t="s">
        <v>1034</v>
      </c>
      <c r="L31" t="s">
        <v>1035</v>
      </c>
    </row>
    <row r="32" spans="1:14" x14ac:dyDescent="0.25">
      <c r="A32">
        <v>1</v>
      </c>
      <c r="B32">
        <v>26394.800000000003</v>
      </c>
      <c r="C32">
        <v>1519</v>
      </c>
      <c r="D32">
        <v>2350.6999999999998</v>
      </c>
      <c r="E32">
        <v>693.89999999999986</v>
      </c>
      <c r="F32">
        <v>642</v>
      </c>
      <c r="G32">
        <v>321</v>
      </c>
      <c r="I32" s="403">
        <f>SUM(B32:F32)</f>
        <v>31600.400000000005</v>
      </c>
      <c r="K32" s="128">
        <f t="shared" ref="K32:K41" si="0">H43+E70+H97</f>
        <v>104.8425</v>
      </c>
      <c r="L32" s="731">
        <v>0</v>
      </c>
      <c r="M32" s="732">
        <f>K32*L32</f>
        <v>0</v>
      </c>
      <c r="N32" s="568">
        <f>'Subpart W (Applicability)'!T6</f>
        <v>0</v>
      </c>
    </row>
    <row r="33" spans="1:14" x14ac:dyDescent="0.25">
      <c r="A33">
        <v>2</v>
      </c>
      <c r="B33">
        <v>336.1</v>
      </c>
      <c r="C33">
        <v>20.7</v>
      </c>
      <c r="D33">
        <v>28.200000000000003</v>
      </c>
      <c r="E33">
        <v>5.0999999999999996</v>
      </c>
      <c r="F33">
        <v>12</v>
      </c>
      <c r="G33">
        <v>6</v>
      </c>
      <c r="I33" s="403">
        <f t="shared" ref="I33:I41" si="1">SUM(B33:F33)</f>
        <v>402.1</v>
      </c>
      <c r="K33" s="128">
        <f t="shared" si="0"/>
        <v>70.047499999999999</v>
      </c>
      <c r="L33" s="731">
        <v>0</v>
      </c>
      <c r="M33" s="732">
        <f t="shared" ref="M33:M41" si="2">K33*L33</f>
        <v>0</v>
      </c>
      <c r="N33" s="568">
        <f>'Subpart W (Applicability)'!T7</f>
        <v>0</v>
      </c>
    </row>
    <row r="34" spans="1:14" x14ac:dyDescent="0.25">
      <c r="A34">
        <v>3</v>
      </c>
      <c r="B34">
        <v>319.7</v>
      </c>
      <c r="C34">
        <v>20.3</v>
      </c>
      <c r="D34">
        <v>26.5</v>
      </c>
      <c r="E34">
        <v>4.2</v>
      </c>
      <c r="F34">
        <v>12</v>
      </c>
      <c r="G34">
        <v>6</v>
      </c>
      <c r="I34" s="403">
        <f t="shared" si="1"/>
        <v>382.7</v>
      </c>
      <c r="K34" s="128">
        <f t="shared" si="0"/>
        <v>71.302499999999995</v>
      </c>
      <c r="L34" s="731">
        <v>1</v>
      </c>
      <c r="M34" s="732">
        <f t="shared" si="2"/>
        <v>71.302499999999995</v>
      </c>
      <c r="N34" s="568">
        <f>'Subpart W (Applicability)'!T8</f>
        <v>71.302499999999995</v>
      </c>
    </row>
    <row r="35" spans="1:14" x14ac:dyDescent="0.25">
      <c r="A35">
        <v>4</v>
      </c>
      <c r="B35">
        <v>9295</v>
      </c>
      <c r="C35">
        <v>582.20000000000005</v>
      </c>
      <c r="D35">
        <v>777.4</v>
      </c>
      <c r="E35">
        <v>135.29999999999998</v>
      </c>
      <c r="F35">
        <v>338</v>
      </c>
      <c r="G35">
        <v>169</v>
      </c>
      <c r="I35" s="403">
        <f t="shared" si="1"/>
        <v>11127.9</v>
      </c>
      <c r="K35" s="128">
        <f t="shared" si="0"/>
        <v>66.69</v>
      </c>
      <c r="L35" s="731">
        <v>0</v>
      </c>
      <c r="M35" s="732">
        <f t="shared" si="2"/>
        <v>0</v>
      </c>
      <c r="N35" s="568">
        <f>'Subpart W (Applicability)'!T9</f>
        <v>0</v>
      </c>
    </row>
    <row r="36" spans="1:14" x14ac:dyDescent="0.25">
      <c r="A36">
        <v>5</v>
      </c>
      <c r="B36">
        <v>26118</v>
      </c>
      <c r="C36">
        <v>1412.3</v>
      </c>
      <c r="D36">
        <v>2207.8000000000002</v>
      </c>
      <c r="E36">
        <v>430.40000000000003</v>
      </c>
      <c r="F36">
        <v>898</v>
      </c>
      <c r="G36">
        <v>449</v>
      </c>
      <c r="I36" s="403">
        <f t="shared" si="1"/>
        <v>31066.5</v>
      </c>
      <c r="K36" s="128">
        <f t="shared" si="0"/>
        <v>82.860000000000014</v>
      </c>
      <c r="L36" s="731">
        <v>0</v>
      </c>
      <c r="M36" s="732">
        <f t="shared" si="2"/>
        <v>0</v>
      </c>
      <c r="N36" s="568">
        <f>'Subpart W (Applicability)'!T10</f>
        <v>0</v>
      </c>
    </row>
    <row r="37" spans="1:14" x14ac:dyDescent="0.25">
      <c r="A37">
        <v>6</v>
      </c>
      <c r="B37">
        <v>31263.799999999996</v>
      </c>
      <c r="C37">
        <v>1596</v>
      </c>
      <c r="D37">
        <v>2647.5</v>
      </c>
      <c r="E37">
        <v>525.6</v>
      </c>
      <c r="F37">
        <v>1064</v>
      </c>
      <c r="G37">
        <v>532</v>
      </c>
      <c r="I37" s="403">
        <f t="shared" si="1"/>
        <v>37096.899999999994</v>
      </c>
      <c r="K37" s="128">
        <f t="shared" si="0"/>
        <v>77.1875</v>
      </c>
      <c r="L37" s="731">
        <v>14</v>
      </c>
      <c r="M37" s="732">
        <f t="shared" si="2"/>
        <v>1080.625</v>
      </c>
      <c r="N37" s="568">
        <f>'Subpart W (Applicability)'!T11</f>
        <v>10034.375</v>
      </c>
    </row>
    <row r="38" spans="1:14" x14ac:dyDescent="0.25">
      <c r="A38">
        <v>7</v>
      </c>
      <c r="B38">
        <v>1749</v>
      </c>
      <c r="C38">
        <v>99</v>
      </c>
      <c r="D38">
        <v>145.19999999999999</v>
      </c>
      <c r="E38">
        <v>23.200000000000003</v>
      </c>
      <c r="F38">
        <v>66</v>
      </c>
      <c r="G38">
        <v>33</v>
      </c>
      <c r="I38" s="403">
        <f t="shared" si="1"/>
        <v>2082.4</v>
      </c>
      <c r="K38" s="128">
        <f t="shared" si="0"/>
        <v>75.362499999999997</v>
      </c>
      <c r="L38" s="731">
        <v>1</v>
      </c>
      <c r="M38" s="732">
        <f t="shared" si="2"/>
        <v>75.362499999999997</v>
      </c>
      <c r="N38" s="568">
        <f>'Subpart W (Applicability)'!T12</f>
        <v>75.362499999999997</v>
      </c>
    </row>
    <row r="39" spans="1:14" x14ac:dyDescent="0.25">
      <c r="A39">
        <v>8</v>
      </c>
      <c r="B39">
        <v>3595.5</v>
      </c>
      <c r="C39">
        <v>282</v>
      </c>
      <c r="D39">
        <v>366.6</v>
      </c>
      <c r="E39">
        <v>42.4</v>
      </c>
      <c r="F39">
        <v>282</v>
      </c>
      <c r="G39">
        <v>141</v>
      </c>
      <c r="I39" s="403">
        <f t="shared" si="1"/>
        <v>4568.5</v>
      </c>
      <c r="K39" s="128">
        <f t="shared" si="0"/>
        <v>38.497500000000002</v>
      </c>
      <c r="L39" s="731">
        <v>7</v>
      </c>
      <c r="M39" s="732">
        <f t="shared" si="2"/>
        <v>269.48250000000002</v>
      </c>
      <c r="N39" s="568">
        <f>'Subpart W (Applicability)'!T13</f>
        <v>269.48250000000002</v>
      </c>
    </row>
    <row r="40" spans="1:14" x14ac:dyDescent="0.25">
      <c r="A40">
        <v>9</v>
      </c>
      <c r="B40">
        <v>124928.4</v>
      </c>
      <c r="C40">
        <v>6012.6999999999989</v>
      </c>
      <c r="D40">
        <v>12045.300000000001</v>
      </c>
      <c r="E40">
        <v>5277.5</v>
      </c>
      <c r="F40">
        <v>994</v>
      </c>
      <c r="G40">
        <v>497</v>
      </c>
      <c r="I40" s="403">
        <f t="shared" si="1"/>
        <v>149257.9</v>
      </c>
      <c r="K40" s="128">
        <f t="shared" si="0"/>
        <v>314.39249999999998</v>
      </c>
      <c r="L40" s="731">
        <v>42</v>
      </c>
      <c r="M40" s="732">
        <f t="shared" si="2"/>
        <v>13204.484999999999</v>
      </c>
      <c r="N40" s="568">
        <f>'Subpart W (Applicability)'!T14</f>
        <v>12575.699999999999</v>
      </c>
    </row>
    <row r="41" spans="1:14" x14ac:dyDescent="0.25">
      <c r="A41">
        <v>10</v>
      </c>
      <c r="B41">
        <v>2635.5</v>
      </c>
      <c r="C41">
        <v>163.80000000000001</v>
      </c>
      <c r="D41">
        <v>220.4</v>
      </c>
      <c r="E41">
        <v>38.200000000000003</v>
      </c>
      <c r="F41">
        <v>96</v>
      </c>
      <c r="G41">
        <v>48</v>
      </c>
      <c r="I41" s="403">
        <f t="shared" si="1"/>
        <v>3153.9</v>
      </c>
      <c r="K41" s="128">
        <f t="shared" si="0"/>
        <v>73.302499999999995</v>
      </c>
      <c r="L41" s="731">
        <v>3</v>
      </c>
      <c r="M41" s="732">
        <f t="shared" si="2"/>
        <v>219.90749999999997</v>
      </c>
      <c r="N41" s="568">
        <f>'Subpart W (Applicability)'!T15</f>
        <v>659.72249999999997</v>
      </c>
    </row>
    <row r="42" spans="1:14" x14ac:dyDescent="0.25">
      <c r="A42" t="s">
        <v>1039</v>
      </c>
      <c r="H42" s="5" t="s">
        <v>1036</v>
      </c>
      <c r="I42" s="5"/>
    </row>
    <row r="43" spans="1:14" x14ac:dyDescent="0.25">
      <c r="A43">
        <v>1</v>
      </c>
      <c r="B43" s="128">
        <f>B32/G32</f>
        <v>82.22679127725857</v>
      </c>
      <c r="C43" s="128">
        <f>C32/G32</f>
        <v>4.73208722741433</v>
      </c>
      <c r="D43" s="128">
        <f>D32/G32</f>
        <v>7.323052959501557</v>
      </c>
      <c r="E43" s="128">
        <f>E32/G32</f>
        <v>2.1616822429906537</v>
      </c>
      <c r="F43">
        <f>F32/G32</f>
        <v>2</v>
      </c>
      <c r="H43" s="733">
        <f>ROUND(SUM(B43:F43),0)</f>
        <v>98</v>
      </c>
      <c r="I43" s="5">
        <f>'Subpart W (Applicability)'!G6</f>
        <v>98</v>
      </c>
      <c r="M43" s="736">
        <f>SUM(M32:M41)</f>
        <v>14921.164999999999</v>
      </c>
    </row>
    <row r="44" spans="1:14" x14ac:dyDescent="0.25">
      <c r="A44">
        <v>2</v>
      </c>
      <c r="B44" s="128">
        <f t="shared" ref="B44:B51" si="3">B33/G33</f>
        <v>56.016666666666673</v>
      </c>
      <c r="C44" s="128">
        <f t="shared" ref="C44:C52" si="4">C33/G33</f>
        <v>3.4499999999999997</v>
      </c>
      <c r="D44" s="128">
        <f t="shared" ref="D44:D52" si="5">D33/G33</f>
        <v>4.7</v>
      </c>
      <c r="E44" s="128">
        <f t="shared" ref="E44:E52" si="6">E33/G33</f>
        <v>0.85</v>
      </c>
      <c r="F44">
        <f t="shared" ref="F44:F52" si="7">F33/G33</f>
        <v>2</v>
      </c>
      <c r="H44" s="733">
        <f t="shared" ref="H44:H52" si="8">ROUND(SUM(B44:F44),0)</f>
        <v>67</v>
      </c>
      <c r="I44" s="5">
        <f>'Subpart W (Applicability)'!G7</f>
        <v>67</v>
      </c>
    </row>
    <row r="45" spans="1:14" x14ac:dyDescent="0.25">
      <c r="A45">
        <v>3</v>
      </c>
      <c r="B45" s="128">
        <f t="shared" si="3"/>
        <v>53.283333333333331</v>
      </c>
      <c r="C45" s="128">
        <f t="shared" si="4"/>
        <v>3.3833333333333333</v>
      </c>
      <c r="D45" s="128">
        <f t="shared" si="5"/>
        <v>4.416666666666667</v>
      </c>
      <c r="E45" s="128">
        <f t="shared" si="6"/>
        <v>0.70000000000000007</v>
      </c>
      <c r="F45">
        <f t="shared" si="7"/>
        <v>2</v>
      </c>
      <c r="H45" s="733">
        <f t="shared" si="8"/>
        <v>64</v>
      </c>
      <c r="I45" s="5">
        <f>'Subpart W (Applicability)'!G8</f>
        <v>64</v>
      </c>
    </row>
    <row r="46" spans="1:14" x14ac:dyDescent="0.25">
      <c r="A46">
        <v>4</v>
      </c>
      <c r="B46" s="128">
        <f t="shared" si="3"/>
        <v>55</v>
      </c>
      <c r="C46" s="128">
        <f t="shared" si="4"/>
        <v>3.4449704142011837</v>
      </c>
      <c r="D46" s="128">
        <f t="shared" si="5"/>
        <v>4.5999999999999996</v>
      </c>
      <c r="E46" s="128">
        <f t="shared" si="6"/>
        <v>0.80059171597633128</v>
      </c>
      <c r="F46">
        <f t="shared" si="7"/>
        <v>2</v>
      </c>
      <c r="H46" s="733">
        <f t="shared" si="8"/>
        <v>66</v>
      </c>
      <c r="I46" s="5">
        <f>'Subpart W (Applicability)'!G9</f>
        <v>66</v>
      </c>
    </row>
    <row r="47" spans="1:14" x14ac:dyDescent="0.25">
      <c r="A47">
        <v>5</v>
      </c>
      <c r="B47" s="128">
        <f t="shared" si="3"/>
        <v>58.169265033407569</v>
      </c>
      <c r="C47" s="128">
        <f t="shared" si="4"/>
        <v>3.1454342984409798</v>
      </c>
      <c r="D47" s="128">
        <f t="shared" si="5"/>
        <v>4.9171492204899785</v>
      </c>
      <c r="E47" s="128">
        <f t="shared" si="6"/>
        <v>0.95857461024498891</v>
      </c>
      <c r="F47">
        <f t="shared" si="7"/>
        <v>2</v>
      </c>
      <c r="H47" s="733">
        <f t="shared" si="8"/>
        <v>69</v>
      </c>
      <c r="I47" s="5">
        <f>'Subpart W (Applicability)'!G10</f>
        <v>69</v>
      </c>
    </row>
    <row r="48" spans="1:14" x14ac:dyDescent="0.25">
      <c r="A48">
        <v>6</v>
      </c>
      <c r="B48" s="128">
        <f t="shared" si="3"/>
        <v>58.766541353383452</v>
      </c>
      <c r="C48" s="128">
        <f t="shared" si="4"/>
        <v>3</v>
      </c>
      <c r="D48" s="128">
        <f t="shared" si="5"/>
        <v>4.9765037593984962</v>
      </c>
      <c r="E48" s="128">
        <f t="shared" si="6"/>
        <v>0.98796992481203016</v>
      </c>
      <c r="F48">
        <f t="shared" si="7"/>
        <v>2</v>
      </c>
      <c r="H48" s="733">
        <f t="shared" si="8"/>
        <v>70</v>
      </c>
      <c r="I48" s="5">
        <f>'Subpart W (Applicability)'!G11</f>
        <v>70</v>
      </c>
    </row>
    <row r="49" spans="1:9" x14ac:dyDescent="0.25">
      <c r="A49">
        <v>7</v>
      </c>
      <c r="B49" s="128">
        <f t="shared" si="3"/>
        <v>53</v>
      </c>
      <c r="C49" s="128">
        <f t="shared" si="4"/>
        <v>3</v>
      </c>
      <c r="D49" s="128">
        <f t="shared" si="5"/>
        <v>4.3999999999999995</v>
      </c>
      <c r="E49" s="128">
        <f t="shared" si="6"/>
        <v>0.70303030303030312</v>
      </c>
      <c r="F49">
        <f t="shared" si="7"/>
        <v>2</v>
      </c>
      <c r="H49" s="733">
        <f t="shared" si="8"/>
        <v>63</v>
      </c>
      <c r="I49" s="5">
        <f>'Subpart W (Applicability)'!G12</f>
        <v>63</v>
      </c>
    </row>
    <row r="50" spans="1:9" x14ac:dyDescent="0.25">
      <c r="A50">
        <v>8</v>
      </c>
      <c r="B50" s="128">
        <f t="shared" si="3"/>
        <v>25.5</v>
      </c>
      <c r="C50" s="128">
        <f t="shared" si="4"/>
        <v>2</v>
      </c>
      <c r="D50" s="128">
        <f t="shared" si="5"/>
        <v>2.6</v>
      </c>
      <c r="E50" s="128">
        <f t="shared" si="6"/>
        <v>0.30070921985815602</v>
      </c>
      <c r="F50">
        <f t="shared" si="7"/>
        <v>2</v>
      </c>
      <c r="H50" s="733">
        <f t="shared" si="8"/>
        <v>32</v>
      </c>
      <c r="I50" s="5">
        <f>'Subpart W (Applicability)'!G13</f>
        <v>32</v>
      </c>
    </row>
    <row r="51" spans="1:9" x14ac:dyDescent="0.25">
      <c r="A51">
        <v>9</v>
      </c>
      <c r="B51" s="128">
        <f t="shared" si="3"/>
        <v>251.36498993963781</v>
      </c>
      <c r="C51" s="128">
        <f t="shared" si="4"/>
        <v>12.09798792756539</v>
      </c>
      <c r="D51" s="128">
        <f t="shared" si="5"/>
        <v>24.23601609657948</v>
      </c>
      <c r="E51" s="128">
        <f t="shared" si="6"/>
        <v>10.618712273641851</v>
      </c>
      <c r="F51">
        <f t="shared" si="7"/>
        <v>2</v>
      </c>
      <c r="H51" s="733">
        <f t="shared" si="8"/>
        <v>300</v>
      </c>
      <c r="I51" s="5">
        <f>'Subpart W (Applicability)'!G14</f>
        <v>300</v>
      </c>
    </row>
    <row r="52" spans="1:9" x14ac:dyDescent="0.25">
      <c r="A52">
        <v>10</v>
      </c>
      <c r="B52" s="128">
        <f>B41/G41</f>
        <v>54.90625</v>
      </c>
      <c r="C52" s="128">
        <f t="shared" si="4"/>
        <v>3.4125000000000001</v>
      </c>
      <c r="D52" s="128">
        <f t="shared" si="5"/>
        <v>4.5916666666666668</v>
      </c>
      <c r="E52" s="128">
        <f t="shared" si="6"/>
        <v>0.79583333333333339</v>
      </c>
      <c r="F52">
        <f t="shared" si="7"/>
        <v>2</v>
      </c>
      <c r="H52" s="733">
        <f t="shared" si="8"/>
        <v>66</v>
      </c>
      <c r="I52" s="5">
        <f>'Subpart W (Applicability)'!G15</f>
        <v>66</v>
      </c>
    </row>
    <row r="54" spans="1:9" x14ac:dyDescent="0.25">
      <c r="A54" s="731" t="s">
        <v>1026</v>
      </c>
      <c r="B54" s="732"/>
      <c r="C54" s="732"/>
      <c r="D54" s="732"/>
      <c r="E54" s="732"/>
      <c r="F54" s="732"/>
      <c r="G54" s="731" t="s">
        <v>1024</v>
      </c>
      <c r="H54" s="731"/>
    </row>
    <row r="55" spans="1:9" x14ac:dyDescent="0.25">
      <c r="A55" s="731">
        <v>1</v>
      </c>
      <c r="B55" s="731">
        <f>B43*G55</f>
        <v>0</v>
      </c>
      <c r="C55" s="731">
        <f>C43*G55</f>
        <v>0</v>
      </c>
      <c r="D55" s="731">
        <f>D43*G55</f>
        <v>0</v>
      </c>
      <c r="E55" s="731">
        <f>E43*G55</f>
        <v>0</v>
      </c>
      <c r="F55" s="731">
        <f>F43*G55</f>
        <v>0</v>
      </c>
      <c r="G55" s="731">
        <v>0</v>
      </c>
      <c r="H55" s="731"/>
    </row>
    <row r="56" spans="1:9" x14ac:dyDescent="0.25">
      <c r="A56" s="731">
        <v>2</v>
      </c>
      <c r="B56" s="731">
        <f t="shared" ref="B56:B64" si="9">B44*G56</f>
        <v>0</v>
      </c>
      <c r="C56" s="731">
        <f t="shared" ref="C56:C64" si="10">C44*G56</f>
        <v>0</v>
      </c>
      <c r="D56" s="731">
        <f t="shared" ref="D56:D64" si="11">D44*G56</f>
        <v>0</v>
      </c>
      <c r="E56" s="731">
        <f t="shared" ref="E56:E62" si="12">E44*G56</f>
        <v>0</v>
      </c>
      <c r="F56" s="731">
        <f t="shared" ref="F56:F64" si="13">F44*G56</f>
        <v>0</v>
      </c>
      <c r="G56" s="731">
        <v>0</v>
      </c>
      <c r="H56" s="731"/>
    </row>
    <row r="57" spans="1:9" x14ac:dyDescent="0.25">
      <c r="A57" s="731">
        <v>3</v>
      </c>
      <c r="B57" s="732">
        <f>B45*G57</f>
        <v>53.283333333333331</v>
      </c>
      <c r="C57" s="732">
        <f>C45*G57</f>
        <v>3.3833333333333333</v>
      </c>
      <c r="D57" s="732">
        <f t="shared" si="11"/>
        <v>4.416666666666667</v>
      </c>
      <c r="E57" s="732">
        <f t="shared" si="12"/>
        <v>0.70000000000000007</v>
      </c>
      <c r="F57" s="732">
        <f t="shared" si="13"/>
        <v>2</v>
      </c>
      <c r="G57" s="731">
        <v>1</v>
      </c>
      <c r="H57" s="731"/>
    </row>
    <row r="58" spans="1:9" x14ac:dyDescent="0.25">
      <c r="A58" s="731">
        <v>4</v>
      </c>
      <c r="B58" s="732">
        <f t="shared" si="9"/>
        <v>0</v>
      </c>
      <c r="C58" s="732">
        <f t="shared" si="10"/>
        <v>0</v>
      </c>
      <c r="D58" s="732">
        <f t="shared" si="11"/>
        <v>0</v>
      </c>
      <c r="E58" s="732">
        <f t="shared" si="12"/>
        <v>0</v>
      </c>
      <c r="F58" s="732">
        <f t="shared" si="13"/>
        <v>0</v>
      </c>
      <c r="G58" s="731">
        <v>0</v>
      </c>
      <c r="H58" s="731"/>
    </row>
    <row r="59" spans="1:9" x14ac:dyDescent="0.25">
      <c r="A59" s="731">
        <v>5</v>
      </c>
      <c r="B59" s="732">
        <f t="shared" si="9"/>
        <v>0</v>
      </c>
      <c r="C59" s="732">
        <f t="shared" si="10"/>
        <v>0</v>
      </c>
      <c r="D59" s="732">
        <f t="shared" si="11"/>
        <v>0</v>
      </c>
      <c r="E59" s="732">
        <f t="shared" si="12"/>
        <v>0</v>
      </c>
      <c r="F59" s="732">
        <f t="shared" si="13"/>
        <v>0</v>
      </c>
      <c r="G59" s="731">
        <v>0</v>
      </c>
      <c r="H59" s="731"/>
    </row>
    <row r="60" spans="1:9" x14ac:dyDescent="0.25">
      <c r="A60" s="731">
        <v>6</v>
      </c>
      <c r="B60" s="732">
        <f t="shared" si="9"/>
        <v>822.73157894736835</v>
      </c>
      <c r="C60" s="732">
        <f t="shared" si="10"/>
        <v>42</v>
      </c>
      <c r="D60" s="732">
        <f>D48*G60</f>
        <v>69.671052631578945</v>
      </c>
      <c r="E60" s="732">
        <f t="shared" si="12"/>
        <v>13.831578947368422</v>
      </c>
      <c r="F60" s="732">
        <f t="shared" si="13"/>
        <v>28</v>
      </c>
      <c r="G60" s="731">
        <v>14</v>
      </c>
      <c r="H60" s="731"/>
    </row>
    <row r="61" spans="1:9" x14ac:dyDescent="0.25">
      <c r="A61" s="731">
        <v>7</v>
      </c>
      <c r="B61" s="732">
        <f t="shared" si="9"/>
        <v>53</v>
      </c>
      <c r="C61" s="732">
        <f t="shared" si="10"/>
        <v>3</v>
      </c>
      <c r="D61" s="732">
        <f t="shared" si="11"/>
        <v>4.3999999999999995</v>
      </c>
      <c r="E61" s="732">
        <f t="shared" si="12"/>
        <v>0.70303030303030312</v>
      </c>
      <c r="F61" s="732">
        <f t="shared" si="13"/>
        <v>2</v>
      </c>
      <c r="G61" s="731">
        <v>1</v>
      </c>
      <c r="H61" s="731"/>
    </row>
    <row r="62" spans="1:9" x14ac:dyDescent="0.25">
      <c r="A62" s="731">
        <v>8</v>
      </c>
      <c r="B62" s="732">
        <f t="shared" si="9"/>
        <v>178.5</v>
      </c>
      <c r="C62" s="732">
        <f t="shared" si="10"/>
        <v>14</v>
      </c>
      <c r="D62" s="732">
        <f t="shared" si="11"/>
        <v>18.2</v>
      </c>
      <c r="E62" s="732">
        <f t="shared" si="12"/>
        <v>2.1049645390070921</v>
      </c>
      <c r="F62" s="732">
        <f t="shared" si="13"/>
        <v>14</v>
      </c>
      <c r="G62" s="731">
        <v>7</v>
      </c>
      <c r="H62" s="731"/>
    </row>
    <row r="63" spans="1:9" x14ac:dyDescent="0.25">
      <c r="A63" s="731">
        <v>9</v>
      </c>
      <c r="B63" s="732">
        <f>B51*G63</f>
        <v>10557.329577464789</v>
      </c>
      <c r="C63" s="732">
        <f>C51*G63</f>
        <v>508.11549295774637</v>
      </c>
      <c r="D63" s="732">
        <f>D51*G63</f>
        <v>1017.9126760563381</v>
      </c>
      <c r="E63" s="732">
        <f>E51*G63</f>
        <v>445.98591549295776</v>
      </c>
      <c r="F63" s="732">
        <f>F51*G63</f>
        <v>84</v>
      </c>
      <c r="G63" s="731">
        <v>42</v>
      </c>
      <c r="H63" s="731"/>
    </row>
    <row r="64" spans="1:9" x14ac:dyDescent="0.25">
      <c r="A64" s="731">
        <v>10</v>
      </c>
      <c r="B64" s="732">
        <f t="shared" si="9"/>
        <v>164.71875</v>
      </c>
      <c r="C64" s="732">
        <f t="shared" si="10"/>
        <v>10.237500000000001</v>
      </c>
      <c r="D64" s="732">
        <f t="shared" si="11"/>
        <v>13.775</v>
      </c>
      <c r="E64" s="732">
        <f>E52*G64</f>
        <v>2.3875000000000002</v>
      </c>
      <c r="F64" s="732">
        <f t="shared" si="13"/>
        <v>6</v>
      </c>
      <c r="G64" s="731">
        <v>3</v>
      </c>
      <c r="H64" s="731"/>
    </row>
    <row r="65" spans="1:8" x14ac:dyDescent="0.25">
      <c r="A65" s="731"/>
      <c r="B65" s="731"/>
      <c r="C65" s="731"/>
      <c r="D65" s="731"/>
      <c r="E65" s="731"/>
      <c r="F65" s="731"/>
      <c r="G65" s="731"/>
      <c r="H65" s="731" t="s">
        <v>1028</v>
      </c>
    </row>
    <row r="66" spans="1:8" x14ac:dyDescent="0.25">
      <c r="A66" s="731" t="s">
        <v>1025</v>
      </c>
      <c r="B66" s="735">
        <f>SUM(B55:B64)</f>
        <v>11829.56323974549</v>
      </c>
      <c r="C66" s="735">
        <f t="shared" ref="C66:F66" si="14">SUM(C55:C64)</f>
        <v>580.73632629107965</v>
      </c>
      <c r="D66" s="887">
        <f t="shared" si="14"/>
        <v>1128.3753953545838</v>
      </c>
      <c r="E66" s="887">
        <f t="shared" si="14"/>
        <v>465.71298928236359</v>
      </c>
      <c r="F66" s="731">
        <f t="shared" si="14"/>
        <v>136</v>
      </c>
      <c r="G66" s="731"/>
      <c r="H66" s="735">
        <f>SUM(B66:F66)</f>
        <v>14140.387950673517</v>
      </c>
    </row>
    <row r="68" spans="1:8" x14ac:dyDescent="0.25">
      <c r="A68" t="s">
        <v>1027</v>
      </c>
    </row>
    <row r="69" spans="1:8" x14ac:dyDescent="0.25">
      <c r="B69" t="s">
        <v>68</v>
      </c>
      <c r="C69" t="s">
        <v>69</v>
      </c>
      <c r="D69" t="s">
        <v>70</v>
      </c>
      <c r="E69" s="729" t="s">
        <v>1028</v>
      </c>
      <c r="F69" s="729"/>
    </row>
    <row r="70" spans="1:8" x14ac:dyDescent="0.25">
      <c r="A70">
        <v>1</v>
      </c>
      <c r="B70" s="728">
        <f>'W (Data Elements) - Pkg 1'!D12</f>
        <v>5.95</v>
      </c>
      <c r="C70" s="728">
        <f>'W (Data Elements) - Pkg 1'!D13</f>
        <v>0.59500000000000008</v>
      </c>
      <c r="D70" s="728">
        <f>'W (Data Elements) - Pkg 1'!D14</f>
        <v>0.29750000000000004</v>
      </c>
      <c r="E70" s="727">
        <f>SUM(B70:D70)</f>
        <v>6.8425000000000002</v>
      </c>
      <c r="F70" s="730">
        <f>'Subpart W (Applicability)'!L6</f>
        <v>6.8425000000000002</v>
      </c>
    </row>
    <row r="71" spans="1:8" x14ac:dyDescent="0.25">
      <c r="A71">
        <v>2</v>
      </c>
      <c r="B71" s="728">
        <f>'W (Data Elements) - Pkg 1'!H12</f>
        <v>2.6500000000000004</v>
      </c>
      <c r="C71" s="728">
        <f>'W (Data Elements) - Pkg 1'!H13</f>
        <v>0.26500000000000007</v>
      </c>
      <c r="D71" s="728">
        <f>'W (Data Elements) - Pkg 1'!H14</f>
        <v>0.13250000000000003</v>
      </c>
      <c r="E71" s="727">
        <f t="shared" ref="E71:E79" si="15">SUM(B71:D71)</f>
        <v>3.0475000000000003</v>
      </c>
      <c r="F71" s="730">
        <f>'Subpart W (Applicability)'!L7</f>
        <v>3.0475000000000003</v>
      </c>
    </row>
    <row r="72" spans="1:8" x14ac:dyDescent="0.25">
      <c r="A72">
        <v>3</v>
      </c>
      <c r="B72" s="728">
        <f>'W (Data Elements) - Pkg 1'!K12</f>
        <v>1.35</v>
      </c>
      <c r="C72" s="728">
        <f>'W (Data Elements) - Pkg 1'!K13</f>
        <v>0.13500000000000001</v>
      </c>
      <c r="D72" s="728">
        <f>'W (Data Elements) - Pkg 1'!K14</f>
        <v>6.7500000000000004E-2</v>
      </c>
      <c r="E72" s="727">
        <f t="shared" si="15"/>
        <v>1.5525000000000002</v>
      </c>
      <c r="F72" s="730">
        <f>'Subpart W (Applicability)'!L8</f>
        <v>1.5525000000000002</v>
      </c>
    </row>
    <row r="73" spans="1:8" x14ac:dyDescent="0.25">
      <c r="A73">
        <v>4</v>
      </c>
      <c r="B73" s="728">
        <f>'W (Data Elements) - Pkg 1'!J12</f>
        <v>0.60000000000000009</v>
      </c>
      <c r="C73" s="728">
        <f>'W (Data Elements) - Pkg 1'!J13</f>
        <v>6.0000000000000012E-2</v>
      </c>
      <c r="D73" s="728">
        <f>'W (Data Elements) - Pkg 1'!J14</f>
        <v>3.0000000000000006E-2</v>
      </c>
      <c r="E73" s="727">
        <f t="shared" si="15"/>
        <v>0.69000000000000017</v>
      </c>
      <c r="F73" s="730">
        <f>'Subpart W (Applicability)'!L9</f>
        <v>0.69000000000000017</v>
      </c>
    </row>
    <row r="74" spans="1:8" x14ac:dyDescent="0.25">
      <c r="A74">
        <v>5</v>
      </c>
      <c r="B74" s="728">
        <f>'W (Data Elements) - Pkg 1'!E12</f>
        <v>3.2</v>
      </c>
      <c r="C74" s="728">
        <f>'W (Data Elements) - Pkg 1'!E13</f>
        <v>0.32000000000000006</v>
      </c>
      <c r="D74" s="728">
        <f>'W (Data Elements) - Pkg 1'!E14</f>
        <v>0.16000000000000003</v>
      </c>
      <c r="E74" s="727">
        <f t="shared" si="15"/>
        <v>3.6800000000000006</v>
      </c>
      <c r="F74" s="730">
        <f>'Subpart W (Applicability)'!L10</f>
        <v>3.68</v>
      </c>
    </row>
    <row r="75" spans="1:8" x14ac:dyDescent="0.25">
      <c r="A75">
        <v>6</v>
      </c>
      <c r="B75" s="728">
        <f>'W (Data Elements) - Pkg 1'!F12</f>
        <v>1.25</v>
      </c>
      <c r="C75" s="728">
        <f>'W (Data Elements) - Pkg 1'!F13</f>
        <v>0.125</v>
      </c>
      <c r="D75" s="728">
        <f>'W (Data Elements) - Pkg 1'!F14</f>
        <v>6.25E-2</v>
      </c>
      <c r="E75" s="727">
        <f t="shared" si="15"/>
        <v>1.4375</v>
      </c>
      <c r="F75" s="730">
        <f>'Subpart W (Applicability)'!L11</f>
        <v>1.4375</v>
      </c>
    </row>
    <row r="76" spans="1:8" x14ac:dyDescent="0.25">
      <c r="A76">
        <v>7</v>
      </c>
      <c r="B76" s="728">
        <f>'W (Data Elements) - Pkg 1'!C12</f>
        <v>0.75</v>
      </c>
      <c r="C76" s="728">
        <f>'W (Data Elements) - Pkg 1'!C13</f>
        <v>7.5000000000000011E-2</v>
      </c>
      <c r="D76" s="728">
        <f>'W (Data Elements) - Pkg 1'!C14</f>
        <v>3.7500000000000006E-2</v>
      </c>
      <c r="E76" s="727">
        <f t="shared" si="15"/>
        <v>0.86249999999999993</v>
      </c>
      <c r="F76" s="730">
        <f>'Subpart W (Applicability)'!L12</f>
        <v>0.86250000000000004</v>
      </c>
    </row>
    <row r="77" spans="1:8" x14ac:dyDescent="0.25">
      <c r="A77">
        <v>8</v>
      </c>
      <c r="B77" s="728">
        <f>'W (Data Elements) - Pkg 1'!L12</f>
        <v>0.65</v>
      </c>
      <c r="C77" s="728">
        <f>'W (Data Elements) - Pkg 1'!L13</f>
        <v>6.5000000000000002E-2</v>
      </c>
      <c r="D77" s="728">
        <f>'W (Data Elements) - Pkg 1'!L14</f>
        <v>3.2500000000000001E-2</v>
      </c>
      <c r="E77" s="727">
        <f t="shared" si="15"/>
        <v>0.74750000000000005</v>
      </c>
      <c r="F77" s="730">
        <f>'Subpart W (Applicability)'!L13</f>
        <v>0.74750000000000005</v>
      </c>
    </row>
    <row r="78" spans="1:8" x14ac:dyDescent="0.25">
      <c r="A78">
        <v>9</v>
      </c>
      <c r="B78" s="728">
        <f>'W (Data Elements) - Pkg 1'!I12</f>
        <v>9.75</v>
      </c>
      <c r="C78" s="728">
        <f>'W (Data Elements) - Pkg 1'!I13</f>
        <v>0.97500000000000009</v>
      </c>
      <c r="D78" s="728">
        <f>'W (Data Elements) - Pkg 1'!I14</f>
        <v>0.48750000000000004</v>
      </c>
      <c r="E78" s="727">
        <f t="shared" si="15"/>
        <v>11.2125</v>
      </c>
      <c r="F78" s="730">
        <f>'Subpart W (Applicability)'!L14</f>
        <v>11.2125</v>
      </c>
    </row>
    <row r="79" spans="1:8" x14ac:dyDescent="0.25">
      <c r="A79">
        <v>10</v>
      </c>
      <c r="B79" s="728">
        <f>'W (Data Elements) - Pkg 1'!G12</f>
        <v>1.35</v>
      </c>
      <c r="C79" s="728">
        <f>'W (Data Elements) - Pkg 1'!G13</f>
        <v>0.13500000000000001</v>
      </c>
      <c r="D79" s="728">
        <f>'W (Data Elements) - Pkg 1'!G14</f>
        <v>6.7500000000000004E-2</v>
      </c>
      <c r="E79" s="727">
        <f t="shared" si="15"/>
        <v>1.5525000000000002</v>
      </c>
      <c r="F79" s="730">
        <f>'Subpart W (Applicability)'!L15</f>
        <v>1.5525000000000002</v>
      </c>
    </row>
    <row r="81" spans="1:9" x14ac:dyDescent="0.25">
      <c r="A81" s="731" t="s">
        <v>1029</v>
      </c>
      <c r="B81" s="731"/>
      <c r="C81" s="731"/>
      <c r="D81" s="731"/>
      <c r="E81" s="731"/>
    </row>
    <row r="82" spans="1:9" x14ac:dyDescent="0.25">
      <c r="A82" s="731"/>
      <c r="B82" s="731" t="s">
        <v>68</v>
      </c>
      <c r="C82" s="731" t="s">
        <v>69</v>
      </c>
      <c r="D82" s="731" t="s">
        <v>70</v>
      </c>
      <c r="E82" s="731" t="s">
        <v>1024</v>
      </c>
    </row>
    <row r="83" spans="1:9" x14ac:dyDescent="0.25">
      <c r="A83" s="731">
        <v>1</v>
      </c>
      <c r="B83" s="731">
        <f t="shared" ref="B83:B92" si="16">B70*E83</f>
        <v>0</v>
      </c>
      <c r="C83" s="732">
        <f t="shared" ref="C83:C92" si="17">C70*E83</f>
        <v>0</v>
      </c>
      <c r="D83" s="732">
        <f t="shared" ref="D83:D92" si="18">D70*E83</f>
        <v>0</v>
      </c>
      <c r="E83" s="731">
        <v>0</v>
      </c>
    </row>
    <row r="84" spans="1:9" x14ac:dyDescent="0.25">
      <c r="A84" s="731">
        <v>2</v>
      </c>
      <c r="B84" s="731">
        <f t="shared" si="16"/>
        <v>0</v>
      </c>
      <c r="C84" s="732">
        <f t="shared" si="17"/>
        <v>0</v>
      </c>
      <c r="D84" s="732">
        <f t="shared" si="18"/>
        <v>0</v>
      </c>
      <c r="E84" s="731">
        <v>0</v>
      </c>
    </row>
    <row r="85" spans="1:9" x14ac:dyDescent="0.25">
      <c r="A85" s="731">
        <v>3</v>
      </c>
      <c r="B85" s="731">
        <f t="shared" si="16"/>
        <v>1.35</v>
      </c>
      <c r="C85" s="732">
        <f t="shared" si="17"/>
        <v>0.13500000000000001</v>
      </c>
      <c r="D85" s="732">
        <f t="shared" si="18"/>
        <v>6.7500000000000004E-2</v>
      </c>
      <c r="E85" s="731">
        <v>1</v>
      </c>
    </row>
    <row r="86" spans="1:9" x14ac:dyDescent="0.25">
      <c r="A86" s="731">
        <v>4</v>
      </c>
      <c r="B86" s="731">
        <f t="shared" si="16"/>
        <v>0</v>
      </c>
      <c r="C86" s="732">
        <f t="shared" si="17"/>
        <v>0</v>
      </c>
      <c r="D86" s="732">
        <f t="shared" si="18"/>
        <v>0</v>
      </c>
      <c r="E86" s="731">
        <v>0</v>
      </c>
    </row>
    <row r="87" spans="1:9" x14ac:dyDescent="0.25">
      <c r="A87" s="731">
        <v>5</v>
      </c>
      <c r="B87" s="731">
        <f t="shared" si="16"/>
        <v>0</v>
      </c>
      <c r="C87" s="732">
        <f t="shared" si="17"/>
        <v>0</v>
      </c>
      <c r="D87" s="732">
        <f t="shared" si="18"/>
        <v>0</v>
      </c>
      <c r="E87" s="731">
        <v>0</v>
      </c>
    </row>
    <row r="88" spans="1:9" x14ac:dyDescent="0.25">
      <c r="A88" s="731">
        <v>6</v>
      </c>
      <c r="B88" s="731">
        <f t="shared" si="16"/>
        <v>17.5</v>
      </c>
      <c r="C88" s="732">
        <f t="shared" si="17"/>
        <v>1.75</v>
      </c>
      <c r="D88" s="732">
        <f t="shared" si="18"/>
        <v>0.875</v>
      </c>
      <c r="E88" s="731">
        <v>14</v>
      </c>
    </row>
    <row r="89" spans="1:9" x14ac:dyDescent="0.25">
      <c r="A89" s="731">
        <v>7</v>
      </c>
      <c r="B89" s="731">
        <f t="shared" si="16"/>
        <v>0.75</v>
      </c>
      <c r="C89" s="732">
        <f t="shared" si="17"/>
        <v>7.5000000000000011E-2</v>
      </c>
      <c r="D89" s="732">
        <f t="shared" si="18"/>
        <v>3.7500000000000006E-2</v>
      </c>
      <c r="E89" s="731">
        <v>1</v>
      </c>
    </row>
    <row r="90" spans="1:9" x14ac:dyDescent="0.25">
      <c r="A90" s="731">
        <v>8</v>
      </c>
      <c r="B90" s="731">
        <f t="shared" si="16"/>
        <v>4.55</v>
      </c>
      <c r="C90" s="732">
        <f t="shared" si="17"/>
        <v>0.45500000000000002</v>
      </c>
      <c r="D90" s="732">
        <f t="shared" si="18"/>
        <v>0.22750000000000001</v>
      </c>
      <c r="E90" s="731">
        <v>7</v>
      </c>
    </row>
    <row r="91" spans="1:9" x14ac:dyDescent="0.25">
      <c r="A91" s="731">
        <v>9</v>
      </c>
      <c r="B91" s="731">
        <f t="shared" si="16"/>
        <v>409.5</v>
      </c>
      <c r="C91" s="732">
        <f t="shared" si="17"/>
        <v>40.950000000000003</v>
      </c>
      <c r="D91" s="732">
        <f t="shared" si="18"/>
        <v>20.475000000000001</v>
      </c>
      <c r="E91" s="731">
        <v>42</v>
      </c>
    </row>
    <row r="92" spans="1:9" x14ac:dyDescent="0.25">
      <c r="A92" s="731">
        <v>10</v>
      </c>
      <c r="B92" s="731">
        <f t="shared" si="16"/>
        <v>4.0500000000000007</v>
      </c>
      <c r="C92" s="732">
        <f t="shared" si="17"/>
        <v>0.40500000000000003</v>
      </c>
      <c r="D92" s="732">
        <f t="shared" si="18"/>
        <v>0.20250000000000001</v>
      </c>
      <c r="E92" s="731">
        <v>3</v>
      </c>
    </row>
    <row r="93" spans="1:9" x14ac:dyDescent="0.25">
      <c r="A93" s="731"/>
      <c r="B93" s="731"/>
      <c r="C93" s="731"/>
      <c r="D93" s="731"/>
      <c r="E93" s="731"/>
    </row>
    <row r="94" spans="1:9" x14ac:dyDescent="0.25">
      <c r="A94" s="731"/>
      <c r="B94" s="731">
        <f>SUM(B83:B92)</f>
        <v>437.7</v>
      </c>
      <c r="C94" s="731">
        <f>SUM(C83:C92)</f>
        <v>43.77</v>
      </c>
      <c r="D94" s="886">
        <f>SUM(D83:D92)</f>
        <v>21.885000000000002</v>
      </c>
      <c r="E94" s="731"/>
      <c r="F94">
        <f>SUM(B94:D94)</f>
        <v>503.35499999999996</v>
      </c>
    </row>
    <row r="96" spans="1:9" x14ac:dyDescent="0.25">
      <c r="A96" t="s">
        <v>1033</v>
      </c>
      <c r="B96" s="726" t="s">
        <v>1019</v>
      </c>
      <c r="C96" s="726" t="s">
        <v>1017</v>
      </c>
      <c r="D96" s="726" t="s">
        <v>1020</v>
      </c>
      <c r="E96" s="726" t="s">
        <v>1021</v>
      </c>
      <c r="F96" s="726" t="s">
        <v>1018</v>
      </c>
      <c r="H96" s="734" t="s">
        <v>1028</v>
      </c>
      <c r="I96" s="5"/>
    </row>
    <row r="97" spans="1:9" x14ac:dyDescent="0.25">
      <c r="A97">
        <v>1</v>
      </c>
      <c r="B97">
        <f>VLOOKUP(A97,'Subpart W Revised'!$AW$5:$BK$22,11,FALSE)</f>
        <v>0</v>
      </c>
      <c r="C97">
        <f>VLOOKUP(A97,'Subpart W Revised'!$AW$5:$BK$22,12,FALSE)</f>
        <v>0</v>
      </c>
      <c r="D97">
        <f>VLOOKUP(A97,'Subpart W Revised'!$AW$5:$BK$22,13,FALSE)</f>
        <v>0</v>
      </c>
      <c r="E97">
        <f>VLOOKUP(A97,'Subpart W Revised'!$AW$5:$BK$22,14,FALSE)</f>
        <v>0</v>
      </c>
      <c r="F97">
        <f>0</f>
        <v>0</v>
      </c>
      <c r="G97" t="s">
        <v>1030</v>
      </c>
      <c r="H97" s="5">
        <f>SUM(B97:F97)</f>
        <v>0</v>
      </c>
      <c r="I97" s="5">
        <f>'Subpart W (Applicability)'!O6</f>
        <v>0</v>
      </c>
    </row>
    <row r="98" spans="1:9" x14ac:dyDescent="0.25">
      <c r="A98">
        <v>2</v>
      </c>
      <c r="B98">
        <f>VLOOKUP(A98,'Subpart W Revised'!$AW$5:$BK$22,11,FALSE)</f>
        <v>0</v>
      </c>
      <c r="C98">
        <f>VLOOKUP(A98,'Subpart W Revised'!$AW$5:$BK$22,12,FALSE)</f>
        <v>0</v>
      </c>
      <c r="D98">
        <f>VLOOKUP(A98,'Subpart W Revised'!$AW$5:$BK$22,13,FALSE)</f>
        <v>0</v>
      </c>
      <c r="E98">
        <f>VLOOKUP(A98,'Subpart W Revised'!$AW$5:$BK$22,14,FALSE)</f>
        <v>0</v>
      </c>
      <c r="F98">
        <f>0</f>
        <v>0</v>
      </c>
      <c r="H98" s="5">
        <f t="shared" ref="H98:H106" si="19">SUM(B98:F98)</f>
        <v>0</v>
      </c>
      <c r="I98" s="5">
        <f>'Subpart W (Applicability)'!O7</f>
        <v>0</v>
      </c>
    </row>
    <row r="99" spans="1:9" x14ac:dyDescent="0.25">
      <c r="A99">
        <v>3</v>
      </c>
      <c r="B99">
        <f>VLOOKUP(A99,'Subpart W Revised'!$AW$5:$BK$22,11,FALSE)</f>
        <v>5</v>
      </c>
      <c r="C99">
        <f>VLOOKUP(A99,'Subpart W Revised'!$AW$5:$BK$22,12,FALSE)</f>
        <v>0</v>
      </c>
      <c r="D99">
        <f>VLOOKUP(A99,'Subpart W Revised'!$AW$5:$BK$22,13,FALSE)</f>
        <v>0.25</v>
      </c>
      <c r="E99">
        <f>VLOOKUP(A99,'Subpart W Revised'!$AW$5:$BK$22,14,FALSE)</f>
        <v>0.5</v>
      </c>
      <c r="F99">
        <f>0</f>
        <v>0</v>
      </c>
      <c r="H99" s="5">
        <f t="shared" si="19"/>
        <v>5.75</v>
      </c>
      <c r="I99" s="5">
        <f>'Subpart W (Applicability)'!O8</f>
        <v>5.75</v>
      </c>
    </row>
    <row r="100" spans="1:9" x14ac:dyDescent="0.25">
      <c r="A100">
        <v>4</v>
      </c>
      <c r="B100">
        <f>VLOOKUP(A100,'Subpart W Revised'!$AW$5:$BK$22,11,FALSE)</f>
        <v>0</v>
      </c>
      <c r="C100">
        <f>VLOOKUP(A100,'Subpart W Revised'!$AW$5:$BK$22,12,FALSE)</f>
        <v>0</v>
      </c>
      <c r="D100">
        <f>VLOOKUP(A100,'Subpart W Revised'!$AW$5:$BK$22,13,FALSE)</f>
        <v>0</v>
      </c>
      <c r="E100">
        <f>VLOOKUP(A100,'Subpart W Revised'!$AW$5:$BK$22,14,FALSE)</f>
        <v>0</v>
      </c>
      <c r="F100">
        <f>0</f>
        <v>0</v>
      </c>
      <c r="H100" s="5">
        <f t="shared" si="19"/>
        <v>0</v>
      </c>
      <c r="I100" s="5">
        <f>'Subpart W (Applicability)'!O9</f>
        <v>0</v>
      </c>
    </row>
    <row r="101" spans="1:9" x14ac:dyDescent="0.25">
      <c r="A101">
        <v>5</v>
      </c>
      <c r="B101">
        <f>VLOOKUP(A101,'Subpart W Revised'!$AW$5:$BK$22,11,FALSE)</f>
        <v>9.3800000000000008</v>
      </c>
      <c r="C101">
        <f>VLOOKUP(A101,'Subpart W Revised'!$AW$5:$BK$22,12,FALSE)</f>
        <v>-0.61</v>
      </c>
      <c r="D101">
        <f>VLOOKUP(A101,'Subpart W Revised'!$AW$5:$BK$22,13,FALSE)</f>
        <v>0.47</v>
      </c>
      <c r="E101">
        <f>VLOOKUP(A101,'Subpart W Revised'!$AW$5:$BK$22,14,FALSE)</f>
        <v>0.94</v>
      </c>
      <c r="F101">
        <f>0</f>
        <v>0</v>
      </c>
      <c r="H101" s="5">
        <f t="shared" si="19"/>
        <v>10.180000000000001</v>
      </c>
      <c r="I101" s="5">
        <f>'Subpart W (Applicability)'!O10</f>
        <v>10.180000000000001</v>
      </c>
    </row>
    <row r="102" spans="1:9" x14ac:dyDescent="0.25">
      <c r="A102">
        <v>6</v>
      </c>
      <c r="B102">
        <f>VLOOKUP(A102,'Subpart W Revised'!$AW$5:$BK$22,11,FALSE)</f>
        <v>5</v>
      </c>
      <c r="C102">
        <f>VLOOKUP(A102,'Subpart W Revised'!$AW$5:$BK$22,12,FALSE)</f>
        <v>0</v>
      </c>
      <c r="D102">
        <f>VLOOKUP(A102,'Subpart W Revised'!$AW$5:$BK$22,13,FALSE)</f>
        <v>0.25</v>
      </c>
      <c r="E102">
        <f>VLOOKUP(A102,'Subpart W Revised'!$AW$5:$BK$22,14,FALSE)</f>
        <v>0.5</v>
      </c>
      <c r="F102">
        <f>0</f>
        <v>0</v>
      </c>
      <c r="H102" s="5">
        <f t="shared" si="19"/>
        <v>5.75</v>
      </c>
      <c r="I102" s="5">
        <f>'Subpart W (Applicability)'!O11</f>
        <v>5.75</v>
      </c>
    </row>
    <row r="103" spans="1:9" x14ac:dyDescent="0.25">
      <c r="A103">
        <v>7</v>
      </c>
      <c r="B103">
        <f>VLOOKUP(A103,'Subpart W Revised'!$AW$5:$BK$22,11,FALSE)</f>
        <v>10</v>
      </c>
      <c r="C103">
        <f>VLOOKUP(A103,'Subpart W Revised'!$AW$5:$BK$22,12,FALSE)</f>
        <v>0</v>
      </c>
      <c r="D103">
        <f>VLOOKUP(A103,'Subpart W Revised'!$AW$5:$BK$22,13,FALSE)</f>
        <v>0.5</v>
      </c>
      <c r="E103">
        <f>VLOOKUP(A103,'Subpart W Revised'!$AW$5:$BK$22,14,FALSE)</f>
        <v>1</v>
      </c>
      <c r="F103">
        <f>0</f>
        <v>0</v>
      </c>
      <c r="H103" s="5">
        <f t="shared" si="19"/>
        <v>11.5</v>
      </c>
      <c r="I103" s="5">
        <f>'Subpart W (Applicability)'!O12</f>
        <v>11.5</v>
      </c>
    </row>
    <row r="104" spans="1:9" x14ac:dyDescent="0.25">
      <c r="A104">
        <v>8</v>
      </c>
      <c r="B104">
        <f>VLOOKUP(A104,'Subpart W Revised'!$AW$5:$BK$22,11,FALSE)</f>
        <v>5</v>
      </c>
      <c r="C104">
        <f>VLOOKUP(A104,'Subpart W Revised'!$AW$5:$BK$22,12,FALSE)</f>
        <v>0</v>
      </c>
      <c r="D104">
        <f>VLOOKUP(A104,'Subpart W Revised'!$AW$5:$BK$22,13,FALSE)</f>
        <v>0.25</v>
      </c>
      <c r="E104">
        <f>VLOOKUP(A104,'Subpart W Revised'!$AW$5:$BK$22,14,FALSE)</f>
        <v>0.5</v>
      </c>
      <c r="F104">
        <f>0</f>
        <v>0</v>
      </c>
      <c r="H104" s="5">
        <f t="shared" si="19"/>
        <v>5.75</v>
      </c>
      <c r="I104" s="5">
        <f>'Subpart W (Applicability)'!O13</f>
        <v>5.75</v>
      </c>
    </row>
    <row r="105" spans="1:9" x14ac:dyDescent="0.25">
      <c r="A105">
        <v>9</v>
      </c>
      <c r="B105">
        <f>VLOOKUP(A105,'Subpart W Revised'!$AW$5:$BK$22,11,FALSE)</f>
        <v>6.13</v>
      </c>
      <c r="C105">
        <f>VLOOKUP(A105,'Subpart W Revised'!$AW$5:$BK$22,12,FALSE)</f>
        <v>-3.87</v>
      </c>
      <c r="D105">
        <f>VLOOKUP(A105,'Subpart W Revised'!$AW$5:$BK$22,13,FALSE)</f>
        <v>0.31</v>
      </c>
      <c r="E105">
        <f>VLOOKUP(A105,'Subpart W Revised'!$AW$5:$BK$22,14,FALSE)</f>
        <v>0.61</v>
      </c>
      <c r="F105">
        <f>0</f>
        <v>0</v>
      </c>
      <c r="H105" s="5">
        <f t="shared" si="19"/>
        <v>3.1799999999999997</v>
      </c>
      <c r="I105" s="5">
        <f>'Subpart W (Applicability)'!O14</f>
        <v>3.1799999999999997</v>
      </c>
    </row>
    <row r="106" spans="1:9" x14ac:dyDescent="0.25">
      <c r="A106">
        <v>10</v>
      </c>
      <c r="B106">
        <f>VLOOKUP(A106,'Subpart W Revised'!$AW$5:$BK$22,11,FALSE)</f>
        <v>5</v>
      </c>
      <c r="C106">
        <f>VLOOKUP(A106,'Subpart W Revised'!$AW$5:$BK$22,12,FALSE)</f>
        <v>0</v>
      </c>
      <c r="D106">
        <f>VLOOKUP(A106,'Subpart W Revised'!$AW$5:$BK$22,13,FALSE)</f>
        <v>0.25</v>
      </c>
      <c r="E106">
        <f>VLOOKUP(A106,'Subpart W Revised'!$AW$5:$BK$22,14,FALSE)</f>
        <v>0.5</v>
      </c>
      <c r="F106">
        <f>0</f>
        <v>0</v>
      </c>
      <c r="H106" s="5">
        <f t="shared" si="19"/>
        <v>5.75</v>
      </c>
      <c r="I106" s="5">
        <f>'Subpart W (Applicability)'!O15</f>
        <v>5.75</v>
      </c>
    </row>
    <row r="108" spans="1:9" x14ac:dyDescent="0.25">
      <c r="B108">
        <f>SUM(B97:B106)</f>
        <v>45.510000000000005</v>
      </c>
      <c r="C108">
        <f>SUM(C97:C106)</f>
        <v>-4.4800000000000004</v>
      </c>
      <c r="D108">
        <f>SUM(D97:D106)</f>
        <v>2.2799999999999998</v>
      </c>
      <c r="E108">
        <f>SUM(E97:E106)</f>
        <v>4.55</v>
      </c>
      <c r="F108">
        <f>SUM(F97:F106)</f>
        <v>0</v>
      </c>
      <c r="H108" s="5">
        <f>SUM(B108:F108)</f>
        <v>47.86</v>
      </c>
      <c r="I108">
        <f>SUM(I97:I106)</f>
        <v>47.86</v>
      </c>
    </row>
    <row r="110" spans="1:9" x14ac:dyDescent="0.25">
      <c r="A110" s="731" t="s">
        <v>1032</v>
      </c>
      <c r="B110" s="731"/>
      <c r="C110" s="731"/>
      <c r="D110" s="731"/>
      <c r="E110" s="731"/>
      <c r="F110" s="731"/>
      <c r="G110" s="731" t="s">
        <v>1024</v>
      </c>
    </row>
    <row r="111" spans="1:9" x14ac:dyDescent="0.25">
      <c r="A111" s="731">
        <v>1</v>
      </c>
      <c r="B111" s="731">
        <f>B97*G111</f>
        <v>0</v>
      </c>
      <c r="C111" s="731">
        <f>C97*G111</f>
        <v>0</v>
      </c>
      <c r="D111" s="731">
        <f>D97*G111</f>
        <v>0</v>
      </c>
      <c r="E111" s="731">
        <f>E97*G111</f>
        <v>0</v>
      </c>
      <c r="F111" s="731">
        <f>F97*G111</f>
        <v>0</v>
      </c>
      <c r="G111" s="731">
        <v>0</v>
      </c>
    </row>
    <row r="112" spans="1:9" x14ac:dyDescent="0.25">
      <c r="A112" s="731">
        <v>2</v>
      </c>
      <c r="B112" s="731">
        <f t="shared" ref="B112:B120" si="20">B98*G112</f>
        <v>0</v>
      </c>
      <c r="C112" s="731">
        <f t="shared" ref="C112:C120" si="21">C98*G112</f>
        <v>0</v>
      </c>
      <c r="D112" s="731">
        <f t="shared" ref="D112:D120" si="22">D98*G112</f>
        <v>0</v>
      </c>
      <c r="E112" s="731">
        <f t="shared" ref="E112:E120" si="23">E98*G112</f>
        <v>0</v>
      </c>
      <c r="F112" s="731">
        <f t="shared" ref="F112:F120" si="24">F98*G112</f>
        <v>0</v>
      </c>
      <c r="G112" s="731">
        <v>0</v>
      </c>
    </row>
    <row r="113" spans="1:8" x14ac:dyDescent="0.25">
      <c r="A113" s="731">
        <v>3</v>
      </c>
      <c r="B113" s="731">
        <f t="shared" si="20"/>
        <v>5</v>
      </c>
      <c r="C113" s="731">
        <f t="shared" si="21"/>
        <v>0</v>
      </c>
      <c r="D113" s="731">
        <f t="shared" si="22"/>
        <v>0.25</v>
      </c>
      <c r="E113" s="731">
        <f t="shared" si="23"/>
        <v>0.5</v>
      </c>
      <c r="F113" s="731">
        <f t="shared" si="24"/>
        <v>0</v>
      </c>
      <c r="G113" s="731">
        <v>1</v>
      </c>
    </row>
    <row r="114" spans="1:8" x14ac:dyDescent="0.25">
      <c r="A114" s="731">
        <v>4</v>
      </c>
      <c r="B114" s="731">
        <f t="shared" si="20"/>
        <v>0</v>
      </c>
      <c r="C114" s="731">
        <f t="shared" si="21"/>
        <v>0</v>
      </c>
      <c r="D114" s="731">
        <f t="shared" si="22"/>
        <v>0</v>
      </c>
      <c r="E114" s="731">
        <f t="shared" si="23"/>
        <v>0</v>
      </c>
      <c r="F114" s="731">
        <f t="shared" si="24"/>
        <v>0</v>
      </c>
      <c r="G114" s="731">
        <v>0</v>
      </c>
    </row>
    <row r="115" spans="1:8" x14ac:dyDescent="0.25">
      <c r="A115" s="731">
        <v>5</v>
      </c>
      <c r="B115" s="731">
        <f t="shared" si="20"/>
        <v>0</v>
      </c>
      <c r="C115" s="731">
        <f t="shared" si="21"/>
        <v>0</v>
      </c>
      <c r="D115" s="731">
        <f t="shared" si="22"/>
        <v>0</v>
      </c>
      <c r="E115" s="731">
        <f t="shared" si="23"/>
        <v>0</v>
      </c>
      <c r="F115" s="731">
        <f t="shared" si="24"/>
        <v>0</v>
      </c>
      <c r="G115" s="731">
        <v>0</v>
      </c>
    </row>
    <row r="116" spans="1:8" x14ac:dyDescent="0.25">
      <c r="A116" s="731">
        <v>6</v>
      </c>
      <c r="B116" s="731">
        <f t="shared" si="20"/>
        <v>70</v>
      </c>
      <c r="C116" s="731">
        <f t="shared" si="21"/>
        <v>0</v>
      </c>
      <c r="D116" s="731">
        <f t="shared" si="22"/>
        <v>3.5</v>
      </c>
      <c r="E116" s="731">
        <f t="shared" si="23"/>
        <v>7</v>
      </c>
      <c r="F116" s="731">
        <f t="shared" si="24"/>
        <v>0</v>
      </c>
      <c r="G116" s="731">
        <v>14</v>
      </c>
    </row>
    <row r="117" spans="1:8" x14ac:dyDescent="0.25">
      <c r="A117" s="731">
        <v>7</v>
      </c>
      <c r="B117" s="731">
        <f t="shared" si="20"/>
        <v>10</v>
      </c>
      <c r="C117" s="731">
        <f t="shared" si="21"/>
        <v>0</v>
      </c>
      <c r="D117" s="731">
        <f t="shared" si="22"/>
        <v>0.5</v>
      </c>
      <c r="E117" s="731">
        <f t="shared" si="23"/>
        <v>1</v>
      </c>
      <c r="F117" s="731">
        <f t="shared" si="24"/>
        <v>0</v>
      </c>
      <c r="G117" s="731">
        <v>1</v>
      </c>
    </row>
    <row r="118" spans="1:8" x14ac:dyDescent="0.25">
      <c r="A118" s="731">
        <v>8</v>
      </c>
      <c r="B118" s="731">
        <f t="shared" si="20"/>
        <v>35</v>
      </c>
      <c r="C118" s="731">
        <f t="shared" si="21"/>
        <v>0</v>
      </c>
      <c r="D118" s="731">
        <f t="shared" si="22"/>
        <v>1.75</v>
      </c>
      <c r="E118" s="731">
        <f t="shared" si="23"/>
        <v>3.5</v>
      </c>
      <c r="F118" s="731">
        <f t="shared" si="24"/>
        <v>0</v>
      </c>
      <c r="G118" s="731">
        <v>7</v>
      </c>
    </row>
    <row r="119" spans="1:8" x14ac:dyDescent="0.25">
      <c r="A119" s="731">
        <v>9</v>
      </c>
      <c r="B119" s="731">
        <f t="shared" si="20"/>
        <v>257.45999999999998</v>
      </c>
      <c r="C119" s="731">
        <f t="shared" si="21"/>
        <v>-162.54</v>
      </c>
      <c r="D119" s="731">
        <f t="shared" si="22"/>
        <v>13.02</v>
      </c>
      <c r="E119" s="731">
        <f t="shared" si="23"/>
        <v>25.62</v>
      </c>
      <c r="F119" s="731">
        <f t="shared" si="24"/>
        <v>0</v>
      </c>
      <c r="G119" s="731">
        <v>42</v>
      </c>
    </row>
    <row r="120" spans="1:8" x14ac:dyDescent="0.25">
      <c r="A120" s="731">
        <v>10</v>
      </c>
      <c r="B120" s="731">
        <f t="shared" si="20"/>
        <v>15</v>
      </c>
      <c r="C120" s="731">
        <f t="shared" si="21"/>
        <v>0</v>
      </c>
      <c r="D120" s="731">
        <f t="shared" si="22"/>
        <v>0.75</v>
      </c>
      <c r="E120" s="731">
        <f t="shared" si="23"/>
        <v>1.5</v>
      </c>
      <c r="F120" s="731">
        <f t="shared" si="24"/>
        <v>0</v>
      </c>
      <c r="G120" s="731">
        <v>3</v>
      </c>
    </row>
    <row r="121" spans="1:8" x14ac:dyDescent="0.25">
      <c r="A121" s="731"/>
      <c r="B121" s="731"/>
      <c r="C121" s="731"/>
      <c r="D121" s="731"/>
      <c r="E121" s="731"/>
      <c r="F121" s="731"/>
    </row>
    <row r="122" spans="1:8" x14ac:dyDescent="0.25">
      <c r="A122" s="731"/>
      <c r="B122" s="731">
        <f>SUM(B111:B120)</f>
        <v>392.46</v>
      </c>
      <c r="C122" s="731">
        <f>SUM(C111:C120)</f>
        <v>-162.54</v>
      </c>
      <c r="D122" s="886">
        <f>SUM(D111:D120)</f>
        <v>19.77</v>
      </c>
      <c r="E122" s="886">
        <f>SUM(E111:E120)</f>
        <v>39.120000000000005</v>
      </c>
      <c r="F122" s="731">
        <f>SUM(F111:F120)</f>
        <v>0</v>
      </c>
      <c r="H122" s="731">
        <f>SUM(B122:F122)</f>
        <v>288.81</v>
      </c>
    </row>
    <row r="124" spans="1:8" x14ac:dyDescent="0.25">
      <c r="B124" t="s">
        <v>1031</v>
      </c>
      <c r="C124">
        <f>F94+H122+H66</f>
        <v>14932.552950673518</v>
      </c>
    </row>
  </sheetData>
  <pageMargins left="0.7" right="0.7" top="0.75" bottom="0.75" header="0.3" footer="0.3"/>
  <pageSetup orientation="portrait" horizontalDpi="300" verticalDpi="300"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51A5B-BD12-455B-B644-DD3ECC99DDFA}">
  <sheetPr codeName="Sheet5"/>
  <dimension ref="A1:AB67"/>
  <sheetViews>
    <sheetView topLeftCell="L3" workbookViewId="0">
      <selection activeCell="X17" sqref="X17"/>
    </sheetView>
  </sheetViews>
  <sheetFormatPr defaultRowHeight="15" x14ac:dyDescent="0.25"/>
  <cols>
    <col min="2" max="2" width="38.5703125" customWidth="1"/>
    <col min="3" max="3" width="13.42578125" customWidth="1"/>
    <col min="4" max="4" width="17.5703125" customWidth="1"/>
    <col min="5" max="5" width="15.140625" customWidth="1"/>
    <col min="6" max="6" width="3.140625" customWidth="1"/>
    <col min="7" max="7" width="12" customWidth="1"/>
    <col min="8" max="8" width="15.5703125" customWidth="1"/>
    <col min="9" max="9" width="15" customWidth="1"/>
    <col min="10" max="10" width="13.42578125" customWidth="1"/>
    <col min="11" max="11" width="5.42578125" customWidth="1"/>
    <col min="12" max="12" width="10.42578125" customWidth="1"/>
    <col min="13" max="13" width="19" customWidth="1"/>
    <col min="14" max="14" width="7.7109375" customWidth="1"/>
    <col min="15" max="15" width="12" customWidth="1"/>
    <col min="16" max="16" width="11.5703125" customWidth="1"/>
    <col min="17" max="17" width="11.28515625" customWidth="1"/>
    <col min="18" max="18" width="11.42578125" customWidth="1"/>
    <col min="19" max="19" width="7.140625" customWidth="1"/>
    <col min="20" max="20" width="11" customWidth="1"/>
    <col min="21" max="21" width="12.42578125" customWidth="1"/>
    <col min="22" max="22" width="13" customWidth="1"/>
    <col min="23" max="24" width="13.7109375" customWidth="1"/>
    <col min="25" max="25" width="12.28515625" bestFit="1" customWidth="1"/>
    <col min="26" max="26" width="12.85546875" customWidth="1"/>
    <col min="27" max="28" width="12.28515625" bestFit="1" customWidth="1"/>
  </cols>
  <sheetData>
    <row r="1" spans="1:28" x14ac:dyDescent="0.25">
      <c r="G1" s="709" t="s">
        <v>977</v>
      </c>
    </row>
    <row r="2" spans="1:28" x14ac:dyDescent="0.25">
      <c r="G2" s="13" t="s">
        <v>246</v>
      </c>
    </row>
    <row r="3" spans="1:28" ht="15.75" thickBot="1" x14ac:dyDescent="0.3"/>
    <row r="4" spans="1:28" ht="73.5" customHeight="1" thickBot="1" x14ac:dyDescent="0.3">
      <c r="B4" s="1014" t="s">
        <v>415</v>
      </c>
      <c r="C4" s="1014"/>
      <c r="D4" s="1014"/>
      <c r="E4" s="1015"/>
      <c r="G4" s="1016" t="s">
        <v>416</v>
      </c>
      <c r="H4" s="1017"/>
      <c r="I4" s="1017"/>
      <c r="J4" s="1018"/>
      <c r="L4" s="1019" t="s">
        <v>995</v>
      </c>
      <c r="M4" s="1020"/>
      <c r="O4" s="1021" t="s">
        <v>996</v>
      </c>
      <c r="P4" s="1022"/>
      <c r="Q4" s="1022"/>
      <c r="R4" s="1023"/>
      <c r="T4" s="1021" t="s">
        <v>417</v>
      </c>
      <c r="U4" s="1022"/>
      <c r="V4" s="1022"/>
      <c r="W4" s="1023"/>
      <c r="X4" s="713"/>
    </row>
    <row r="5" spans="1:28" ht="48" thickBot="1" x14ac:dyDescent="0.3">
      <c r="A5" s="411" t="s">
        <v>418</v>
      </c>
      <c r="B5" s="412" t="s">
        <v>419</v>
      </c>
      <c r="C5" s="413" t="s">
        <v>420</v>
      </c>
      <c r="D5" s="965" t="s">
        <v>421</v>
      </c>
      <c r="E5" s="908"/>
      <c r="G5" s="414" t="s">
        <v>422</v>
      </c>
      <c r="H5" s="414" t="s">
        <v>423</v>
      </c>
      <c r="I5" s="414" t="s">
        <v>424</v>
      </c>
      <c r="J5" s="414" t="s">
        <v>425</v>
      </c>
      <c r="L5" s="414" t="s">
        <v>422</v>
      </c>
      <c r="M5" s="415" t="s">
        <v>423</v>
      </c>
      <c r="O5" s="414" t="s">
        <v>422</v>
      </c>
      <c r="P5" s="416" t="s">
        <v>426</v>
      </c>
      <c r="Q5" s="417" t="s">
        <v>427</v>
      </c>
      <c r="R5" s="416" t="s">
        <v>428</v>
      </c>
      <c r="T5" s="414" t="s">
        <v>429</v>
      </c>
      <c r="U5" s="418" t="s">
        <v>430</v>
      </c>
      <c r="V5" s="419" t="s">
        <v>431</v>
      </c>
      <c r="W5" s="420" t="s">
        <v>43</v>
      </c>
      <c r="X5" s="713"/>
    </row>
    <row r="6" spans="1:28" ht="15.75" x14ac:dyDescent="0.25">
      <c r="A6" s="189">
        <v>1</v>
      </c>
      <c r="B6" s="421" t="s">
        <v>432</v>
      </c>
      <c r="C6" s="422">
        <v>361</v>
      </c>
      <c r="D6" s="422">
        <v>0</v>
      </c>
      <c r="G6" s="423">
        <v>98</v>
      </c>
      <c r="H6" s="424">
        <f>'Sub W Baseline'!M7</f>
        <v>10847.514569236762</v>
      </c>
      <c r="I6" s="425">
        <f>'Sub W Baseline'!N7</f>
        <v>229.49977356004774</v>
      </c>
      <c r="J6" s="425">
        <f t="shared" ref="J6:J14" si="0">H6+I6</f>
        <v>11077.014342796811</v>
      </c>
      <c r="L6" s="426">
        <f>'W (Data Elements) - Pkg 1'!D15</f>
        <v>6.8425000000000002</v>
      </c>
      <c r="M6" s="427">
        <f>'W (Data Elements) - Pkg 1'!D25</f>
        <v>738.63125070000001</v>
      </c>
      <c r="N6" s="435"/>
      <c r="O6" s="428">
        <f>VLOOKUP(A6,'Subpart W Revised'!$AW$7:$BP$22,15,FALSE)</f>
        <v>0</v>
      </c>
      <c r="P6" s="429">
        <f>VLOOKUP(A6,'Subpart W Revised'!$AW$7:$BP$22,20,FALSE)</f>
        <v>0</v>
      </c>
      <c r="Q6" s="430">
        <v>0</v>
      </c>
      <c r="R6" s="431">
        <f>P6+Q6</f>
        <v>0</v>
      </c>
      <c r="T6" s="432">
        <f t="shared" ref="T6:T15" si="1">(G6+L6+O6)*D6</f>
        <v>0</v>
      </c>
      <c r="U6" s="433">
        <f t="shared" ref="U6:U15" si="2">(H6+M6+P6)*D6</f>
        <v>0</v>
      </c>
      <c r="V6" s="434">
        <f t="shared" ref="V6:V15" si="3">(I6+Q6)*D6</f>
        <v>0</v>
      </c>
      <c r="W6" s="434">
        <f>SUM(U6:V6)</f>
        <v>0</v>
      </c>
      <c r="X6" s="305"/>
      <c r="Y6" t="s">
        <v>982</v>
      </c>
      <c r="AA6" s="435"/>
      <c r="AB6" s="435"/>
    </row>
    <row r="7" spans="1:28" ht="15.75" x14ac:dyDescent="0.25">
      <c r="A7" s="189">
        <v>2</v>
      </c>
      <c r="B7" s="421" t="s">
        <v>433</v>
      </c>
      <c r="C7" s="422">
        <v>11</v>
      </c>
      <c r="D7" s="422">
        <v>0</v>
      </c>
      <c r="G7" s="436">
        <v>67</v>
      </c>
      <c r="H7" s="424">
        <f>'Sub W Baseline'!M8</f>
        <v>7362.6180746666678</v>
      </c>
      <c r="I7" s="425">
        <f>'Sub W Baseline'!N8</f>
        <v>24421.113656387664</v>
      </c>
      <c r="J7" s="425">
        <f t="shared" si="0"/>
        <v>31783.731731054333</v>
      </c>
      <c r="L7" s="426">
        <f>'W (Data Elements) - Pkg 1'!H15</f>
        <v>3.0475000000000003</v>
      </c>
      <c r="M7" s="437">
        <f>'W (Data Elements) - Pkg 1'!H25</f>
        <v>328.97022090000007</v>
      </c>
      <c r="N7" s="435"/>
      <c r="O7" s="428">
        <f>VLOOKUP(A7,'Subpart W Revised'!$AW$7:$BP$22,15,FALSE)</f>
        <v>0</v>
      </c>
      <c r="P7" s="429">
        <f>VLOOKUP(A7,'Subpart W Revised'!$AW$7:$BP$22,20,FALSE)</f>
        <v>0</v>
      </c>
      <c r="Q7" s="438">
        <v>0</v>
      </c>
      <c r="R7" s="439">
        <f t="shared" ref="R7:R15" si="4">P7+Q7</f>
        <v>0</v>
      </c>
      <c r="T7" s="440">
        <f t="shared" si="1"/>
        <v>0</v>
      </c>
      <c r="U7" s="441">
        <f t="shared" si="2"/>
        <v>0</v>
      </c>
      <c r="V7" s="442">
        <f t="shared" si="3"/>
        <v>0</v>
      </c>
      <c r="W7" s="434">
        <f t="shared" ref="W7:W15" si="5">SUM(U7:V7)</f>
        <v>0</v>
      </c>
      <c r="X7" s="305"/>
      <c r="Y7" t="s">
        <v>430</v>
      </c>
      <c r="Z7" t="s">
        <v>431</v>
      </c>
      <c r="AA7" s="435"/>
      <c r="AB7" s="435"/>
    </row>
    <row r="8" spans="1:28" ht="15.75" x14ac:dyDescent="0.25">
      <c r="A8" s="189">
        <v>3</v>
      </c>
      <c r="B8" s="421" t="s">
        <v>434</v>
      </c>
      <c r="C8" s="422">
        <v>5</v>
      </c>
      <c r="D8" s="422">
        <v>1</v>
      </c>
      <c r="G8" s="436">
        <v>64</v>
      </c>
      <c r="H8" s="424">
        <f>'Sub W Baseline'!M9</f>
        <v>7001.4660304999998</v>
      </c>
      <c r="I8" s="425">
        <f>'Sub W Baseline'!N9</f>
        <v>6897.2299559471367</v>
      </c>
      <c r="J8" s="425">
        <f t="shared" si="0"/>
        <v>13898.695986447136</v>
      </c>
      <c r="L8" s="426">
        <f>'W (Data Elements) - Pkg 1'!G15</f>
        <v>1.5525000000000002</v>
      </c>
      <c r="M8" s="437">
        <f>'W (Data Elements) - Pkg 1'!G25</f>
        <v>167.58860310000003</v>
      </c>
      <c r="N8" s="435"/>
      <c r="O8" s="428">
        <f>VLOOKUP(A8,'Subpart W Revised'!$AW$7:$BP$22,15,FALSE)</f>
        <v>5.75</v>
      </c>
      <c r="P8" s="429">
        <f>VLOOKUP(A8,'Subpart W Revised'!$AW$7:$BP$22,20,FALSE)</f>
        <v>645.64760750000005</v>
      </c>
      <c r="Q8" s="438">
        <v>0</v>
      </c>
      <c r="R8" s="439">
        <f t="shared" si="4"/>
        <v>645.64760750000005</v>
      </c>
      <c r="T8" s="440">
        <f t="shared" si="1"/>
        <v>71.302499999999995</v>
      </c>
      <c r="U8" s="441">
        <f t="shared" si="2"/>
        <v>7814.7022410999998</v>
      </c>
      <c r="V8" s="442">
        <f t="shared" si="3"/>
        <v>6897.2299559471367</v>
      </c>
      <c r="W8" s="434">
        <f t="shared" si="5"/>
        <v>14711.932197047136</v>
      </c>
      <c r="X8" s="305"/>
      <c r="Y8" s="305">
        <f>U8/D8</f>
        <v>7814.7022410999998</v>
      </c>
      <c r="Z8" s="305">
        <f>V8/D8</f>
        <v>6897.2299559471367</v>
      </c>
      <c r="AA8" s="435"/>
      <c r="AB8" s="435"/>
    </row>
    <row r="9" spans="1:28" ht="15.75" x14ac:dyDescent="0.25">
      <c r="A9" s="189">
        <v>4</v>
      </c>
      <c r="B9" s="421" t="s">
        <v>435</v>
      </c>
      <c r="C9" s="422">
        <v>164</v>
      </c>
      <c r="D9" s="422">
        <v>0</v>
      </c>
      <c r="G9" s="436">
        <v>66</v>
      </c>
      <c r="H9" s="424">
        <f>'Sub W Baseline'!M10</f>
        <v>7231.3384639349124</v>
      </c>
      <c r="I9" s="425">
        <f>'Sub W Baseline'!N10</f>
        <v>8002.956056617053</v>
      </c>
      <c r="J9" s="425">
        <f t="shared" si="0"/>
        <v>15234.294520551965</v>
      </c>
      <c r="L9" s="426">
        <f>'W (Data Elements) - Pkg 1'!J15</f>
        <v>0.69000000000000017</v>
      </c>
      <c r="M9" s="437">
        <f>'W (Data Elements) - Pkg 1'!J25</f>
        <v>74.483823600000022</v>
      </c>
      <c r="N9" s="435"/>
      <c r="O9" s="428">
        <f>VLOOKUP(A9,'Subpart W Revised'!$AW$7:$BP$22,15,FALSE)</f>
        <v>0</v>
      </c>
      <c r="P9" s="429">
        <f>VLOOKUP(A9,'Subpart W Revised'!$AW$7:$BP$22,20,FALSE)</f>
        <v>0</v>
      </c>
      <c r="Q9" s="438">
        <v>0</v>
      </c>
      <c r="R9" s="439">
        <f t="shared" si="4"/>
        <v>0</v>
      </c>
      <c r="T9" s="440">
        <f t="shared" si="1"/>
        <v>0</v>
      </c>
      <c r="U9" s="441">
        <f t="shared" si="2"/>
        <v>0</v>
      </c>
      <c r="V9" s="442">
        <f t="shared" si="3"/>
        <v>0</v>
      </c>
      <c r="W9" s="434">
        <f t="shared" si="5"/>
        <v>0</v>
      </c>
      <c r="X9" s="305"/>
      <c r="Y9" s="305"/>
      <c r="Z9" s="305"/>
      <c r="AA9" s="435"/>
      <c r="AB9" s="435"/>
    </row>
    <row r="10" spans="1:28" ht="15.75" x14ac:dyDescent="0.25">
      <c r="A10" s="189">
        <v>5</v>
      </c>
      <c r="B10" s="421" t="s">
        <v>436</v>
      </c>
      <c r="C10" s="422">
        <v>462</v>
      </c>
      <c r="D10" s="422">
        <v>0</v>
      </c>
      <c r="G10" s="436">
        <v>69</v>
      </c>
      <c r="H10" s="424">
        <f>'Sub W Baseline'!M11</f>
        <v>7617.1876921091325</v>
      </c>
      <c r="I10" s="425">
        <f>'Sub W Baseline'!N11</f>
        <v>26686.432557911365</v>
      </c>
      <c r="J10" s="425">
        <f t="shared" si="0"/>
        <v>34303.620250020496</v>
      </c>
      <c r="L10" s="426">
        <f>'W (Data Elements) - Pkg 1'!E15</f>
        <v>3.68</v>
      </c>
      <c r="M10" s="437">
        <f>'W (Data Elements) - Pkg 1'!E25</f>
        <v>397.24705920000002</v>
      </c>
      <c r="N10" s="435"/>
      <c r="O10" s="428">
        <f>VLOOKUP(A10,'Subpart W Revised'!$AW$7:$BP$22,15,FALSE)</f>
        <v>10.180000000000001</v>
      </c>
      <c r="P10" s="429">
        <f>VLOOKUP(A10,'Subpart W Revised'!$AW$7:$BP$22,20,FALSE)</f>
        <v>1166.5796680000001</v>
      </c>
      <c r="Q10" s="438">
        <v>0</v>
      </c>
      <c r="R10" s="439">
        <f t="shared" si="4"/>
        <v>1166.5796680000001</v>
      </c>
      <c r="T10" s="440">
        <f t="shared" si="1"/>
        <v>0</v>
      </c>
      <c r="U10" s="441">
        <f t="shared" si="2"/>
        <v>0</v>
      </c>
      <c r="V10" s="442">
        <f t="shared" si="3"/>
        <v>0</v>
      </c>
      <c r="W10" s="434">
        <f t="shared" si="5"/>
        <v>0</v>
      </c>
      <c r="X10" s="305"/>
      <c r="Y10" s="305"/>
      <c r="Z10" s="305"/>
      <c r="AA10" s="435"/>
      <c r="AB10" s="435"/>
    </row>
    <row r="11" spans="1:28" ht="15.75" x14ac:dyDescent="0.25">
      <c r="A11" s="189">
        <v>6</v>
      </c>
      <c r="B11" s="421" t="s">
        <v>437</v>
      </c>
      <c r="C11" s="422">
        <v>644</v>
      </c>
      <c r="D11" s="422">
        <v>130</v>
      </c>
      <c r="E11" s="731"/>
      <c r="G11" s="436">
        <v>70</v>
      </c>
      <c r="H11" s="424">
        <f>'Sub W Baseline'!M12</f>
        <v>7682.8634362669172</v>
      </c>
      <c r="I11" s="425">
        <f>'Sub W Baseline'!N12</f>
        <v>18400.603650094399</v>
      </c>
      <c r="J11" s="425">
        <f t="shared" si="0"/>
        <v>26083.467086361317</v>
      </c>
      <c r="L11" s="426">
        <f>'W (Data Elements) - Pkg 1'!F15</f>
        <v>1.4375</v>
      </c>
      <c r="M11" s="437">
        <f>'W (Data Elements) - Pkg 1'!F25</f>
        <v>155.1746325</v>
      </c>
      <c r="N11" s="435"/>
      <c r="O11" s="428">
        <f>VLOOKUP(A11,'Subpart W Revised'!$AW$7:$BP$22,15,FALSE)</f>
        <v>5.75</v>
      </c>
      <c r="P11" s="429">
        <f>VLOOKUP(A11,'Subpart W Revised'!$AW$7:$BP$22,20,FALSE)</f>
        <v>645.64760750000005</v>
      </c>
      <c r="Q11" s="438">
        <v>0</v>
      </c>
      <c r="R11" s="439">
        <f t="shared" si="4"/>
        <v>645.64760750000005</v>
      </c>
      <c r="T11" s="440">
        <f t="shared" si="1"/>
        <v>10034.375</v>
      </c>
      <c r="U11" s="441">
        <f t="shared" si="2"/>
        <v>1102879.1379146993</v>
      </c>
      <c r="V11" s="442">
        <f t="shared" si="3"/>
        <v>2392078.474512272</v>
      </c>
      <c r="W11" s="434">
        <f t="shared" si="5"/>
        <v>3494957.6124269711</v>
      </c>
      <c r="X11" s="305"/>
      <c r="Y11" s="305">
        <f>U11/D11</f>
        <v>8483.6856762669177</v>
      </c>
      <c r="Z11" s="305">
        <f>V11/D11</f>
        <v>18400.603650094399</v>
      </c>
      <c r="AA11" s="435"/>
      <c r="AB11" s="435"/>
    </row>
    <row r="12" spans="1:28" ht="15.75" x14ac:dyDescent="0.25">
      <c r="A12" s="189">
        <v>7</v>
      </c>
      <c r="B12" s="421" t="s">
        <v>438</v>
      </c>
      <c r="C12" s="422">
        <v>49</v>
      </c>
      <c r="D12" s="422">
        <v>1</v>
      </c>
      <c r="G12" s="436">
        <v>63</v>
      </c>
      <c r="H12" s="424">
        <f>'Sub W Baseline'!M13</f>
        <v>6938.6994836969707</v>
      </c>
      <c r="I12" s="425">
        <f>'Sub W Baseline'!N13</f>
        <v>62.378854625550666</v>
      </c>
      <c r="J12" s="425">
        <f t="shared" si="0"/>
        <v>7001.0783383225216</v>
      </c>
      <c r="L12" s="426">
        <f>'W (Data Elements) - Pkg 1'!C15</f>
        <v>0.86250000000000004</v>
      </c>
      <c r="M12" s="437">
        <f>'W (Data Elements) - Pkg 1'!C25</f>
        <v>93.104779500000006</v>
      </c>
      <c r="N12" s="435"/>
      <c r="O12" s="428">
        <f>VLOOKUP(A12,'Subpart W Revised'!$AW$7:$BP$22,15,FALSE)</f>
        <v>11.5</v>
      </c>
      <c r="P12" s="429">
        <f>VLOOKUP(A12,'Subpart W Revised'!$AW$7:$BP$22,20,FALSE)</f>
        <v>1291.2952150000001</v>
      </c>
      <c r="Q12" s="438">
        <v>0</v>
      </c>
      <c r="R12" s="439">
        <f t="shared" si="4"/>
        <v>1291.2952150000001</v>
      </c>
      <c r="T12" s="440">
        <f t="shared" si="1"/>
        <v>75.362499999999997</v>
      </c>
      <c r="U12" s="441">
        <f t="shared" si="2"/>
        <v>8323.0994781969712</v>
      </c>
      <c r="V12" s="442">
        <f t="shared" si="3"/>
        <v>62.378854625550666</v>
      </c>
      <c r="W12" s="434">
        <f t="shared" si="5"/>
        <v>8385.4783328225221</v>
      </c>
      <c r="X12" s="305"/>
      <c r="Y12" s="305">
        <f>U12/D12</f>
        <v>8323.0994781969712</v>
      </c>
      <c r="Z12" s="305">
        <f>V12/D12</f>
        <v>62.378854625550666</v>
      </c>
      <c r="AA12" s="435"/>
      <c r="AB12" s="435"/>
    </row>
    <row r="13" spans="1:28" ht="15.75" x14ac:dyDescent="0.25">
      <c r="A13" s="189">
        <v>8</v>
      </c>
      <c r="B13" s="421" t="s">
        <v>439</v>
      </c>
      <c r="C13" s="422">
        <v>134</v>
      </c>
      <c r="D13" s="422">
        <v>7</v>
      </c>
      <c r="G13" s="436">
        <v>32</v>
      </c>
      <c r="H13" s="424">
        <f>'Sub W Baseline'!M14</f>
        <v>3555.6345789929082</v>
      </c>
      <c r="I13" s="425">
        <f>'Sub W Baseline'!N14</f>
        <v>62.378854625550659</v>
      </c>
      <c r="J13" s="425">
        <f t="shared" si="0"/>
        <v>3618.0134336184587</v>
      </c>
      <c r="L13" s="426">
        <f>'W (Data Elements) - Pkg 1'!L15</f>
        <v>0.74750000000000005</v>
      </c>
      <c r="M13" s="437">
        <f>'W (Data Elements) - Pkg 1'!L25</f>
        <v>80.690808900000007</v>
      </c>
      <c r="N13" s="435"/>
      <c r="O13" s="428">
        <f>VLOOKUP(A13,'Subpart W Revised'!$AW$7:$BP$22,15,FALSE)</f>
        <v>5.75</v>
      </c>
      <c r="P13" s="429">
        <f>VLOOKUP(A13,'Subpart W Revised'!$AW$7:$BP$22,20,FALSE)</f>
        <v>645.64760750000005</v>
      </c>
      <c r="Q13" s="438">
        <v>0</v>
      </c>
      <c r="R13" s="439">
        <f t="shared" si="4"/>
        <v>645.64760750000005</v>
      </c>
      <c r="T13" s="440">
        <f t="shared" si="1"/>
        <v>269.48250000000002</v>
      </c>
      <c r="U13" s="441">
        <f t="shared" si="2"/>
        <v>29973.810967750356</v>
      </c>
      <c r="V13" s="442">
        <f t="shared" si="3"/>
        <v>436.6519823788546</v>
      </c>
      <c r="W13" s="434">
        <f t="shared" si="5"/>
        <v>30410.462950129211</v>
      </c>
      <c r="X13" s="305"/>
      <c r="Y13" s="305">
        <f>U13/D13</f>
        <v>4281.9729953929082</v>
      </c>
      <c r="Z13" s="305">
        <f>V13/D13</f>
        <v>62.378854625550659</v>
      </c>
      <c r="AA13" s="435"/>
      <c r="AB13" s="435"/>
    </row>
    <row r="14" spans="1:28" ht="15.75" x14ac:dyDescent="0.25">
      <c r="A14" s="189">
        <v>9</v>
      </c>
      <c r="B14" s="421" t="s">
        <v>440</v>
      </c>
      <c r="C14" s="422">
        <v>468</v>
      </c>
      <c r="D14" s="422">
        <v>40</v>
      </c>
      <c r="E14" s="731"/>
      <c r="G14" s="436">
        <v>300</v>
      </c>
      <c r="H14" s="424">
        <f>'Sub W Baseline'!M15</f>
        <v>33262.615264619715</v>
      </c>
      <c r="I14" s="425">
        <f>'Sub W Baseline'!N15</f>
        <v>205.96317996082223</v>
      </c>
      <c r="J14" s="425">
        <f t="shared" si="0"/>
        <v>33468.57844458054</v>
      </c>
      <c r="L14" s="426">
        <f>'W (Data Elements) - Pkg 1'!I15</f>
        <v>11.2125</v>
      </c>
      <c r="M14" s="437">
        <f>'W (Data Elements) - Pkg 1'!I25</f>
        <v>1210.3621335</v>
      </c>
      <c r="N14" s="435"/>
      <c r="O14" s="428">
        <f>VLOOKUP(A14,'Subpart W Revised'!$AW$7:$BP$22,15,FALSE)</f>
        <v>3.1799999999999997</v>
      </c>
      <c r="P14" s="429">
        <f>VLOOKUP(A14,'Subpart W Revised'!$AW$7:$BP$22,20,FALSE)</f>
        <v>505.94616140000005</v>
      </c>
      <c r="Q14" s="438">
        <v>0</v>
      </c>
      <c r="R14" s="439">
        <f t="shared" si="4"/>
        <v>505.94616140000005</v>
      </c>
      <c r="T14" s="440">
        <f t="shared" si="1"/>
        <v>12575.699999999999</v>
      </c>
      <c r="U14" s="441">
        <f t="shared" si="2"/>
        <v>1399156.9423807887</v>
      </c>
      <c r="V14" s="442">
        <f t="shared" si="3"/>
        <v>8238.5271984328901</v>
      </c>
      <c r="W14" s="434">
        <f t="shared" si="5"/>
        <v>1407395.4695792217</v>
      </c>
      <c r="X14" s="305"/>
      <c r="Y14" s="305">
        <f>U14/D14</f>
        <v>34978.923559519717</v>
      </c>
      <c r="Z14" s="305">
        <f>V14/D14</f>
        <v>205.96317996082226</v>
      </c>
      <c r="AA14" s="435"/>
      <c r="AB14" s="435"/>
    </row>
    <row r="15" spans="1:28" ht="15.75" x14ac:dyDescent="0.25">
      <c r="A15" s="189">
        <v>10</v>
      </c>
      <c r="B15" s="421" t="s">
        <v>441</v>
      </c>
      <c r="C15" s="422">
        <v>52</v>
      </c>
      <c r="D15" s="422">
        <v>9</v>
      </c>
      <c r="E15" s="731"/>
      <c r="G15" s="436">
        <v>66</v>
      </c>
      <c r="H15" s="424">
        <f>'Sub W Baseline'!M16</f>
        <v>7216.8194751250012</v>
      </c>
      <c r="I15" s="425">
        <f>'Sub W Baseline'!N16</f>
        <v>34461.14625550661</v>
      </c>
      <c r="J15" s="425">
        <f>H15+I15</f>
        <v>41677.965730631608</v>
      </c>
      <c r="L15" s="426">
        <f>'W (Data Elements) - Pkg 1'!G15</f>
        <v>1.5525000000000002</v>
      </c>
      <c r="M15" s="437">
        <f>'W (Data Elements) - Pkg 1'!G25</f>
        <v>167.58860310000003</v>
      </c>
      <c r="N15" s="435"/>
      <c r="O15" s="428">
        <f>VLOOKUP(A15,'Subpart W Revised'!$AW$7:$BP$22,15,FALSE)</f>
        <v>5.75</v>
      </c>
      <c r="P15" s="429">
        <f>VLOOKUP(A15,'Subpart W Revised'!$AW$7:$BP$22,20,FALSE)</f>
        <v>645.64760750000005</v>
      </c>
      <c r="Q15" s="438">
        <v>0</v>
      </c>
      <c r="R15" s="711">
        <f t="shared" si="4"/>
        <v>645.64760750000005</v>
      </c>
      <c r="T15" s="440">
        <f t="shared" si="1"/>
        <v>659.72249999999997</v>
      </c>
      <c r="U15" s="441">
        <f t="shared" si="2"/>
        <v>72270.501171525015</v>
      </c>
      <c r="V15" s="442">
        <f t="shared" si="3"/>
        <v>310150.31629955949</v>
      </c>
      <c r="W15" s="434">
        <f t="shared" si="5"/>
        <v>382420.81747108453</v>
      </c>
      <c r="X15" s="305"/>
      <c r="Y15" s="305">
        <f>U15/D15</f>
        <v>8030.0556857250012</v>
      </c>
      <c r="Z15" s="305">
        <f>V15/D15</f>
        <v>34461.14625550661</v>
      </c>
      <c r="AA15" s="435"/>
      <c r="AB15" s="435"/>
    </row>
    <row r="16" spans="1:28" ht="15.75" x14ac:dyDescent="0.25">
      <c r="B16" s="421"/>
      <c r="C16" s="422"/>
      <c r="D16" s="422"/>
      <c r="P16" s="716"/>
      <c r="Q16" s="717"/>
      <c r="R16" s="712"/>
    </row>
    <row r="17" spans="2:28" ht="15.75" x14ac:dyDescent="0.25">
      <c r="B17" s="443" t="s">
        <v>43</v>
      </c>
      <c r="C17" s="444">
        <f>SUM(C6:C15)</f>
        <v>2350</v>
      </c>
      <c r="D17" s="444">
        <f>SUM(D6:D15)</f>
        <v>188</v>
      </c>
      <c r="J17" s="305"/>
      <c r="L17" s="364" t="s">
        <v>442</v>
      </c>
      <c r="M17" s="305">
        <f>'W (Data Elements) - Pkg 1'!B25</f>
        <v>499.18949278057823</v>
      </c>
      <c r="O17" s="445"/>
      <c r="P17" s="716"/>
      <c r="Q17" s="717"/>
      <c r="R17" s="305"/>
      <c r="S17" t="s">
        <v>443</v>
      </c>
      <c r="T17" s="964">
        <f>SUM(T6:T15)</f>
        <v>23685.944999999996</v>
      </c>
      <c r="U17" s="447">
        <f>SUM(U6:U15)</f>
        <v>2620418.1941540604</v>
      </c>
      <c r="V17" s="442">
        <f>SUM(V6:V15)</f>
        <v>2717863.5788032156</v>
      </c>
      <c r="W17" s="442">
        <f>SUM(W6:W15)</f>
        <v>5338281.7729572756</v>
      </c>
      <c r="X17" s="305"/>
      <c r="AA17" s="435"/>
      <c r="AB17" s="435"/>
    </row>
    <row r="18" spans="2:28" x14ac:dyDescent="0.25">
      <c r="J18" s="435"/>
      <c r="O18" s="435"/>
      <c r="P18" s="716"/>
      <c r="Q18" s="717"/>
      <c r="Y18" t="s">
        <v>430</v>
      </c>
      <c r="Z18" t="s">
        <v>431</v>
      </c>
      <c r="AA18" t="s">
        <v>43</v>
      </c>
    </row>
    <row r="19" spans="2:28" x14ac:dyDescent="0.25">
      <c r="G19" s="958" t="s">
        <v>1152</v>
      </c>
      <c r="O19" s="435"/>
      <c r="P19" s="716"/>
      <c r="Q19" s="717"/>
      <c r="U19" s="305"/>
      <c r="V19" s="305"/>
      <c r="W19" s="305"/>
      <c r="X19" s="714" t="s">
        <v>985</v>
      </c>
      <c r="Y19" s="977">
        <f>Y8*($D$8/$D$17)+Y11*($D$11/$D$17)+Y12*($D$12/$D$17)+Y13*($D$13/$D$17)+Y14*($D$14/$D$17)+Y15*($D$15/$D$17)</f>
        <v>13938.394649755641</v>
      </c>
      <c r="Z19" s="978">
        <f>Z8*($D$8/$D$17)+Z11*($D$11/$D$17)+Z12*($D$12/$D$17)+Z13*($D$13/$D$17)+Z14*($D$14/$D$17)+Z15*($D$15/$D$17)</f>
        <v>14456.721163846894</v>
      </c>
      <c r="AA19" s="435">
        <f>SUM(Y19:Z19)</f>
        <v>28395.115813602533</v>
      </c>
    </row>
    <row r="20" spans="2:28" x14ac:dyDescent="0.25">
      <c r="G20" s="346"/>
      <c r="O20" s="435"/>
      <c r="P20" s="716"/>
      <c r="Q20" s="717"/>
    </row>
    <row r="21" spans="2:28" x14ac:dyDescent="0.25">
      <c r="O21" s="435"/>
      <c r="P21" s="716"/>
      <c r="Q21" s="717"/>
      <c r="T21" s="958" t="s">
        <v>994</v>
      </c>
      <c r="U21" s="959">
        <f>U17/D17</f>
        <v>13938.394649755641</v>
      </c>
      <c r="V21" s="959">
        <f>V17/D17</f>
        <v>14456.721163846893</v>
      </c>
      <c r="X21" s="364" t="s">
        <v>991</v>
      </c>
      <c r="Y21" s="305">
        <f>AVERAGE(Y8:Y15)</f>
        <v>11985.406606033588</v>
      </c>
      <c r="Z21" s="305">
        <f>AVERAGE(Z8:Z15)</f>
        <v>10014.950125126677</v>
      </c>
    </row>
    <row r="22" spans="2:28" x14ac:dyDescent="0.25">
      <c r="O22" s="435"/>
      <c r="P22" s="716"/>
      <c r="Q22" s="717"/>
    </row>
    <row r="23" spans="2:28" x14ac:dyDescent="0.25">
      <c r="B23" s="346" t="s">
        <v>349</v>
      </c>
      <c r="O23" s="435"/>
      <c r="P23" s="716"/>
      <c r="Q23" s="717"/>
    </row>
    <row r="24" spans="2:28" x14ac:dyDescent="0.25">
      <c r="O24" s="435"/>
      <c r="P24" s="716"/>
      <c r="Q24" s="717"/>
    </row>
    <row r="25" spans="2:28" x14ac:dyDescent="0.25">
      <c r="O25" s="435"/>
      <c r="P25" s="716"/>
      <c r="Q25" s="717"/>
    </row>
    <row r="26" spans="2:28" x14ac:dyDescent="0.25">
      <c r="O26" s="435"/>
      <c r="P26" s="716"/>
      <c r="Q26" s="717"/>
    </row>
    <row r="27" spans="2:28" x14ac:dyDescent="0.25">
      <c r="O27" s="718"/>
      <c r="P27" s="719"/>
      <c r="Q27" s="720"/>
      <c r="R27" s="134"/>
      <c r="S27" s="134"/>
      <c r="T27" s="134"/>
      <c r="U27" s="134"/>
      <c r="V27" s="134"/>
    </row>
    <row r="28" spans="2:28" x14ac:dyDescent="0.25">
      <c r="O28" s="718"/>
      <c r="P28" s="957">
        <f t="shared" ref="P28:P37" si="6">M6+P6</f>
        <v>738.63125070000001</v>
      </c>
      <c r="Q28" s="957" t="e">
        <f>P28*(#REF!/#REF!)</f>
        <v>#REF!</v>
      </c>
      <c r="R28" s="134"/>
      <c r="S28" s="134"/>
      <c r="T28" s="134"/>
      <c r="U28" s="134"/>
      <c r="V28" s="134"/>
    </row>
    <row r="29" spans="2:28" x14ac:dyDescent="0.25">
      <c r="O29" s="134"/>
      <c r="P29" s="957">
        <f t="shared" si="6"/>
        <v>328.97022090000007</v>
      </c>
      <c r="Q29" s="957" t="e">
        <f>P29*(#REF!/#REF!)</f>
        <v>#REF!</v>
      </c>
      <c r="R29" s="134"/>
      <c r="S29" s="134"/>
      <c r="T29" s="134"/>
      <c r="U29" s="134"/>
      <c r="V29" s="134"/>
    </row>
    <row r="30" spans="2:28" x14ac:dyDescent="0.25">
      <c r="O30" s="134"/>
      <c r="P30" s="957">
        <f t="shared" si="6"/>
        <v>813.23621060000005</v>
      </c>
      <c r="Q30" s="957" t="e">
        <f>P30*(#REF!/#REF!)</f>
        <v>#REF!</v>
      </c>
      <c r="R30" s="134"/>
      <c r="S30" s="134"/>
      <c r="T30" s="134"/>
      <c r="U30" s="134"/>
      <c r="V30" s="134"/>
    </row>
    <row r="31" spans="2:28" x14ac:dyDescent="0.25">
      <c r="O31" s="134"/>
      <c r="P31" s="957">
        <f t="shared" si="6"/>
        <v>74.483823600000022</v>
      </c>
      <c r="Q31" s="957" t="e">
        <f>P31*(#REF!/#REF!)</f>
        <v>#REF!</v>
      </c>
      <c r="R31" s="134"/>
      <c r="S31" s="134"/>
      <c r="T31" s="134"/>
      <c r="U31" s="134"/>
      <c r="V31" s="134"/>
    </row>
    <row r="32" spans="2:28" x14ac:dyDescent="0.25">
      <c r="O32" s="134"/>
      <c r="P32" s="957">
        <f t="shared" si="6"/>
        <v>1563.8267272000001</v>
      </c>
      <c r="Q32" s="957" t="e">
        <f>P32*(#REF!/#REF!)</f>
        <v>#REF!</v>
      </c>
      <c r="R32" s="134"/>
      <c r="S32" s="134"/>
      <c r="T32" s="134"/>
      <c r="U32" s="134"/>
      <c r="V32" s="134"/>
    </row>
    <row r="33" spans="15:22" x14ac:dyDescent="0.25">
      <c r="O33" s="134"/>
      <c r="P33" s="957">
        <f t="shared" si="6"/>
        <v>800.82224000000008</v>
      </c>
      <c r="Q33" s="957" t="e">
        <f>P33*(#REF!/#REF!)</f>
        <v>#REF!</v>
      </c>
      <c r="R33" s="134"/>
      <c r="S33" s="134"/>
      <c r="T33" s="134"/>
      <c r="U33" s="134"/>
      <c r="V33" s="134"/>
    </row>
    <row r="34" spans="15:22" x14ac:dyDescent="0.25">
      <c r="O34" s="134"/>
      <c r="P34" s="957">
        <f t="shared" si="6"/>
        <v>1384.3999945</v>
      </c>
      <c r="Q34" s="957" t="e">
        <f>P34*(#REF!/#REF!)</f>
        <v>#REF!</v>
      </c>
      <c r="R34" s="134"/>
      <c r="S34" s="134"/>
      <c r="T34" s="134"/>
      <c r="U34" s="134"/>
      <c r="V34" s="134"/>
    </row>
    <row r="35" spans="15:22" x14ac:dyDescent="0.25">
      <c r="O35" s="134"/>
      <c r="P35" s="957">
        <f t="shared" si="6"/>
        <v>726.33841640000003</v>
      </c>
      <c r="Q35" s="957" t="e">
        <f>P35*(#REF!/#REF!)</f>
        <v>#REF!</v>
      </c>
      <c r="R35" s="134"/>
      <c r="S35" s="134"/>
      <c r="T35" s="134"/>
      <c r="U35" s="134"/>
      <c r="V35" s="134"/>
    </row>
    <row r="36" spans="15:22" x14ac:dyDescent="0.25">
      <c r="O36" s="134"/>
      <c r="P36" s="957">
        <f t="shared" si="6"/>
        <v>1716.3082949</v>
      </c>
      <c r="Q36" s="957" t="e">
        <f>P36*(#REF!/#REF!)</f>
        <v>#REF!</v>
      </c>
      <c r="R36" s="134"/>
      <c r="S36" s="134"/>
      <c r="T36" s="134"/>
      <c r="U36" s="134"/>
      <c r="V36" s="134"/>
    </row>
    <row r="37" spans="15:22" x14ac:dyDescent="0.25">
      <c r="O37" s="134"/>
      <c r="P37" s="957">
        <f t="shared" si="6"/>
        <v>813.23621060000005</v>
      </c>
      <c r="Q37" s="957" t="e">
        <f>P37*(#REF!/#REF!)</f>
        <v>#REF!</v>
      </c>
      <c r="R37" s="134"/>
      <c r="S37" s="134"/>
      <c r="T37" s="134"/>
      <c r="U37" s="134"/>
      <c r="V37" s="134"/>
    </row>
    <row r="38" spans="15:22" x14ac:dyDescent="0.25">
      <c r="O38" s="134"/>
      <c r="P38" s="958"/>
      <c r="Q38" s="958"/>
      <c r="R38" s="134"/>
      <c r="S38" s="134"/>
      <c r="T38" s="134"/>
      <c r="U38" s="134"/>
      <c r="V38" s="134"/>
    </row>
    <row r="39" spans="15:22" x14ac:dyDescent="0.25">
      <c r="O39" s="134"/>
      <c r="P39" s="957"/>
      <c r="Q39" s="957" t="e">
        <f>SUM(Q28:Q37)</f>
        <v>#REF!</v>
      </c>
      <c r="R39" s="134"/>
      <c r="S39" s="134"/>
      <c r="T39" s="134"/>
      <c r="U39" s="134"/>
      <c r="V39" s="134"/>
    </row>
    <row r="40" spans="15:22" x14ac:dyDescent="0.25">
      <c r="O40" s="134"/>
      <c r="P40" s="718"/>
      <c r="Q40" s="134"/>
      <c r="R40" s="134"/>
      <c r="S40" s="134"/>
      <c r="T40" s="134"/>
      <c r="U40" s="134"/>
      <c r="V40" s="134"/>
    </row>
    <row r="41" spans="15:22" x14ac:dyDescent="0.25">
      <c r="O41" s="134"/>
      <c r="P41" s="134"/>
      <c r="Q41" s="134"/>
      <c r="R41" s="134"/>
      <c r="S41" s="134"/>
      <c r="T41" s="134"/>
      <c r="U41" s="134"/>
      <c r="V41" s="134"/>
    </row>
    <row r="42" spans="15:22" x14ac:dyDescent="0.25">
      <c r="O42" s="134"/>
      <c r="P42" s="134"/>
      <c r="Q42" s="134"/>
      <c r="R42" s="134"/>
      <c r="S42" s="134"/>
      <c r="T42" s="134"/>
      <c r="U42" s="134"/>
      <c r="V42" s="134"/>
    </row>
    <row r="43" spans="15:22" x14ac:dyDescent="0.25">
      <c r="O43" s="134"/>
      <c r="P43" s="134"/>
      <c r="Q43" s="134"/>
      <c r="R43" s="134"/>
      <c r="S43" s="134"/>
      <c r="T43" s="134"/>
      <c r="U43" s="134"/>
      <c r="V43" s="134"/>
    </row>
    <row r="44" spans="15:22" x14ac:dyDescent="0.25">
      <c r="O44" s="134"/>
      <c r="P44" s="134"/>
      <c r="Q44" s="134"/>
      <c r="R44" s="134"/>
      <c r="S44" s="134"/>
      <c r="T44" s="134"/>
      <c r="U44" s="134"/>
      <c r="V44" s="134"/>
    </row>
    <row r="45" spans="15:22" x14ac:dyDescent="0.25">
      <c r="O45" s="134"/>
      <c r="P45" s="134"/>
      <c r="Q45" s="134"/>
      <c r="R45" s="134"/>
      <c r="S45" s="134"/>
      <c r="T45" s="134"/>
      <c r="U45" s="134"/>
      <c r="V45" s="134"/>
    </row>
    <row r="46" spans="15:22" x14ac:dyDescent="0.25">
      <c r="O46" s="134"/>
      <c r="P46" s="134"/>
      <c r="Q46" s="134"/>
      <c r="R46" s="134"/>
      <c r="S46" s="134"/>
      <c r="T46" s="134"/>
      <c r="U46" s="134"/>
      <c r="V46" s="134"/>
    </row>
    <row r="56" spans="2:5" x14ac:dyDescent="0.25">
      <c r="C56" s="966"/>
      <c r="D56" s="967"/>
      <c r="E56" s="968"/>
    </row>
    <row r="57" spans="2:5" x14ac:dyDescent="0.25">
      <c r="B57" s="966"/>
      <c r="C57" s="966"/>
      <c r="D57" s="969"/>
      <c r="E57" s="968"/>
    </row>
    <row r="58" spans="2:5" x14ac:dyDescent="0.25">
      <c r="B58" s="966"/>
      <c r="C58" s="966"/>
      <c r="D58" s="967"/>
      <c r="E58" s="968"/>
    </row>
    <row r="59" spans="2:5" x14ac:dyDescent="0.25">
      <c r="B59" s="966"/>
      <c r="C59" s="966"/>
      <c r="D59" s="967"/>
      <c r="E59" s="968"/>
    </row>
    <row r="60" spans="2:5" x14ac:dyDescent="0.25">
      <c r="B60" s="966"/>
      <c r="C60" s="966"/>
      <c r="D60" s="967"/>
      <c r="E60" s="968"/>
    </row>
    <row r="61" spans="2:5" x14ac:dyDescent="0.25">
      <c r="B61" s="966"/>
      <c r="C61" s="966"/>
      <c r="D61" s="967"/>
      <c r="E61" s="968"/>
    </row>
    <row r="62" spans="2:5" x14ac:dyDescent="0.25">
      <c r="B62" s="966"/>
      <c r="C62" s="966"/>
      <c r="D62" s="967"/>
      <c r="E62" s="968"/>
    </row>
    <row r="63" spans="2:5" x14ac:dyDescent="0.25">
      <c r="B63" s="966"/>
      <c r="C63" s="966"/>
      <c r="D63" s="967"/>
      <c r="E63" s="968"/>
    </row>
    <row r="64" spans="2:5" x14ac:dyDescent="0.25">
      <c r="B64" s="966"/>
      <c r="C64" s="966"/>
      <c r="D64" s="967"/>
      <c r="E64" s="968"/>
    </row>
    <row r="65" spans="2:5" x14ac:dyDescent="0.25">
      <c r="B65" s="966"/>
      <c r="C65" s="966"/>
      <c r="D65" s="967"/>
      <c r="E65" s="968"/>
    </row>
    <row r="67" spans="2:5" x14ac:dyDescent="0.25">
      <c r="B67" s="970"/>
      <c r="C67" s="970"/>
      <c r="D67" s="971"/>
      <c r="E67" s="972"/>
    </row>
  </sheetData>
  <sortState xmlns:xlrd2="http://schemas.microsoft.com/office/spreadsheetml/2017/richdata2" ref="B56:E66">
    <sortCondition ref="B56:B66"/>
  </sortState>
  <mergeCells count="5">
    <mergeCell ref="B4:E4"/>
    <mergeCell ref="G4:J4"/>
    <mergeCell ref="L4:M4"/>
    <mergeCell ref="O4:R4"/>
    <mergeCell ref="T4:W4"/>
  </mergeCells>
  <hyperlinks>
    <hyperlink ref="B23" location="'Table of Contents'!A1" display="Table of Contents" xr:uid="{DADA6D47-CE24-475B-A978-14788131CDD2}"/>
  </hyperlinks>
  <pageMargins left="0.7" right="0.7" top="0.75" bottom="0.75" header="0.3" footer="0.3"/>
  <pageSetup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E09F0-A97E-4BEF-89B9-EFB1A831FAA9}">
  <sheetPr codeName="Sheet50">
    <tabColor theme="7" tint="0.59999389629810485"/>
  </sheetPr>
  <dimension ref="B2:Q18"/>
  <sheetViews>
    <sheetView topLeftCell="B1" zoomScale="80" zoomScaleNormal="80" workbookViewId="0">
      <selection activeCell="I12" sqref="I12"/>
    </sheetView>
  </sheetViews>
  <sheetFormatPr defaultRowHeight="15" x14ac:dyDescent="0.25"/>
  <cols>
    <col min="2" max="2" width="12.85546875" customWidth="1"/>
    <col min="3" max="3" width="38.42578125" bestFit="1" customWidth="1"/>
    <col min="4" max="4" width="19.7109375" bestFit="1" customWidth="1"/>
    <col min="5" max="5" width="13.42578125" customWidth="1"/>
    <col min="6" max="7" width="15.7109375" customWidth="1"/>
    <col min="9" max="9" width="13.28515625" bestFit="1" customWidth="1"/>
    <col min="10" max="10" width="17.28515625" bestFit="1" customWidth="1"/>
    <col min="11" max="11" width="13.28515625" bestFit="1" customWidth="1"/>
    <col min="12" max="12" width="9.85546875" customWidth="1"/>
    <col min="13" max="13" width="12.28515625" bestFit="1" customWidth="1"/>
    <col min="17" max="17" width="11.28515625" bestFit="1" customWidth="1"/>
  </cols>
  <sheetData>
    <row r="2" spans="2:17" x14ac:dyDescent="0.25">
      <c r="C2" t="s">
        <v>939</v>
      </c>
    </row>
    <row r="3" spans="2:17" ht="15.75" x14ac:dyDescent="0.25">
      <c r="C3" s="468" t="s">
        <v>940</v>
      </c>
      <c r="J3" t="s">
        <v>941</v>
      </c>
    </row>
    <row r="4" spans="2:17" ht="16.5" thickBot="1" x14ac:dyDescent="0.3">
      <c r="C4" s="468" t="s">
        <v>942</v>
      </c>
    </row>
    <row r="5" spans="2:17" ht="29.25" thickBot="1" x14ac:dyDescent="0.3">
      <c r="C5" s="1094" t="s">
        <v>943</v>
      </c>
      <c r="D5" s="1094" t="s">
        <v>944</v>
      </c>
      <c r="E5" s="1094" t="s">
        <v>379</v>
      </c>
      <c r="F5" s="690" t="s">
        <v>945</v>
      </c>
      <c r="G5" s="690" t="s">
        <v>945</v>
      </c>
      <c r="H5" s="690" t="s">
        <v>946</v>
      </c>
      <c r="I5" s="690" t="s">
        <v>947</v>
      </c>
      <c r="J5" s="690" t="s">
        <v>947</v>
      </c>
      <c r="K5" s="690" t="s">
        <v>891</v>
      </c>
      <c r="L5" s="1096" t="s">
        <v>948</v>
      </c>
      <c r="M5" s="1097"/>
      <c r="N5" s="1097"/>
      <c r="O5" s="1097"/>
    </row>
    <row r="6" spans="2:17" ht="57.75" thickBot="1" x14ac:dyDescent="0.3">
      <c r="B6" s="411" t="s">
        <v>418</v>
      </c>
      <c r="C6" s="1095"/>
      <c r="D6" s="1095"/>
      <c r="E6" s="1095"/>
      <c r="F6" s="691" t="s">
        <v>949</v>
      </c>
      <c r="G6" s="691" t="s">
        <v>132</v>
      </c>
      <c r="H6" s="691" t="s">
        <v>950</v>
      </c>
      <c r="I6" s="691" t="s">
        <v>951</v>
      </c>
      <c r="J6" s="691" t="s">
        <v>132</v>
      </c>
      <c r="K6" s="692" t="s">
        <v>132</v>
      </c>
      <c r="L6" s="693" t="s">
        <v>952</v>
      </c>
      <c r="M6" s="693" t="s">
        <v>423</v>
      </c>
      <c r="N6" s="693" t="s">
        <v>424</v>
      </c>
      <c r="O6" s="693" t="s">
        <v>425</v>
      </c>
    </row>
    <row r="7" spans="2:17" ht="30.75" thickBot="1" x14ac:dyDescent="0.3">
      <c r="B7" s="189">
        <v>1</v>
      </c>
      <c r="C7" s="694" t="s">
        <v>953</v>
      </c>
      <c r="D7" s="695">
        <v>321</v>
      </c>
      <c r="E7" s="696">
        <v>31600</v>
      </c>
      <c r="F7" s="697">
        <v>2914390</v>
      </c>
      <c r="G7" s="698">
        <f>'W_2019 ICR_revised rates'!AC14</f>
        <v>3482052.1767250006</v>
      </c>
      <c r="H7" s="697">
        <v>0</v>
      </c>
      <c r="I7" s="697">
        <v>59050</v>
      </c>
      <c r="J7" s="699">
        <f>I7*CEPCI!$G$3</f>
        <v>73669.427312775326</v>
      </c>
      <c r="K7" s="700">
        <f>SUM(G7,J7)</f>
        <v>3555721.6040377761</v>
      </c>
      <c r="L7" s="701">
        <f t="shared" ref="L7:L16" si="0">ROUND(E7/$D7,0)</f>
        <v>98</v>
      </c>
      <c r="M7" s="702">
        <f>G7/D7</f>
        <v>10847.514569236762</v>
      </c>
      <c r="N7" s="703">
        <f>J7/$D7</f>
        <v>229.49977356004774</v>
      </c>
      <c r="O7" s="703">
        <f>K7/$D7</f>
        <v>11077.014342796811</v>
      </c>
      <c r="Q7" s="305"/>
    </row>
    <row r="8" spans="2:17" ht="30.75" thickBot="1" x14ac:dyDescent="0.3">
      <c r="B8" s="189">
        <v>2</v>
      </c>
      <c r="C8" s="694" t="s">
        <v>954</v>
      </c>
      <c r="D8" s="695">
        <v>6</v>
      </c>
      <c r="E8" s="695">
        <v>402</v>
      </c>
      <c r="F8" s="697">
        <v>36909</v>
      </c>
      <c r="G8" s="704">
        <f>'W_2019 ICR_revised rates'!AC17</f>
        <v>44175.708448000005</v>
      </c>
      <c r="H8" s="697">
        <v>0</v>
      </c>
      <c r="I8" s="697">
        <v>117449</v>
      </c>
      <c r="J8" s="699">
        <f>I8*CEPCI!$G$3</f>
        <v>146526.68193832599</v>
      </c>
      <c r="K8" s="700">
        <f t="shared" ref="K8:K16" si="1">SUM(G8,J8)</f>
        <v>190702.39038632601</v>
      </c>
      <c r="L8" s="701">
        <f t="shared" si="0"/>
        <v>67</v>
      </c>
      <c r="M8" s="702">
        <f t="shared" ref="M8:M16" si="2">G8/D8</f>
        <v>7362.6180746666678</v>
      </c>
      <c r="N8" s="703">
        <f t="shared" ref="N8:O16" si="3">J8/$D8</f>
        <v>24421.113656387664</v>
      </c>
      <c r="O8" s="703">
        <f t="shared" si="3"/>
        <v>31783.731731054333</v>
      </c>
      <c r="Q8" s="305"/>
    </row>
    <row r="9" spans="2:17" ht="15.75" thickBot="1" x14ac:dyDescent="0.3">
      <c r="B9" s="189">
        <v>3</v>
      </c>
      <c r="C9" s="694" t="s">
        <v>955</v>
      </c>
      <c r="D9" s="695">
        <v>6</v>
      </c>
      <c r="E9" s="695">
        <v>383</v>
      </c>
      <c r="F9" s="697">
        <v>35094</v>
      </c>
      <c r="G9" s="704">
        <f>'W_2019 ICR_revised rates'!AC20</f>
        <v>42008.796182999999</v>
      </c>
      <c r="H9" s="697">
        <v>0</v>
      </c>
      <c r="I9" s="697">
        <v>33171</v>
      </c>
      <c r="J9" s="699">
        <f>I9*CEPCI!$G$3</f>
        <v>41383.379735682822</v>
      </c>
      <c r="K9" s="700">
        <f t="shared" si="1"/>
        <v>83392.175918682828</v>
      </c>
      <c r="L9" s="701">
        <f t="shared" si="0"/>
        <v>64</v>
      </c>
      <c r="M9" s="702">
        <f t="shared" si="2"/>
        <v>7001.4660304999998</v>
      </c>
      <c r="N9" s="703">
        <f t="shared" si="3"/>
        <v>6897.2299559471367</v>
      </c>
      <c r="O9" s="703">
        <f t="shared" si="3"/>
        <v>13898.695986447137</v>
      </c>
      <c r="Q9" s="305"/>
    </row>
    <row r="10" spans="2:17" ht="15.75" thickBot="1" x14ac:dyDescent="0.3">
      <c r="B10" s="189">
        <v>4</v>
      </c>
      <c r="C10" s="694" t="s">
        <v>956</v>
      </c>
      <c r="D10" s="695">
        <v>169</v>
      </c>
      <c r="E10" s="696">
        <v>11128</v>
      </c>
      <c r="F10" s="697">
        <v>1020976</v>
      </c>
      <c r="G10" s="704">
        <f>'W_2019 ICR_revised rates'!AC23</f>
        <v>1222096.2004050002</v>
      </c>
      <c r="H10" s="697">
        <v>0</v>
      </c>
      <c r="I10" s="697">
        <v>1084101</v>
      </c>
      <c r="J10" s="699">
        <f>I10*CEPCI!$G$3</f>
        <v>1352499.573568282</v>
      </c>
      <c r="K10" s="700">
        <f t="shared" si="1"/>
        <v>2574595.7739732824</v>
      </c>
      <c r="L10" s="701">
        <f t="shared" si="0"/>
        <v>66</v>
      </c>
      <c r="M10" s="702">
        <f t="shared" si="2"/>
        <v>7231.3384639349124</v>
      </c>
      <c r="N10" s="703">
        <f t="shared" si="3"/>
        <v>8002.956056617053</v>
      </c>
      <c r="O10" s="703">
        <f t="shared" si="3"/>
        <v>15234.294520551966</v>
      </c>
      <c r="Q10" s="305"/>
    </row>
    <row r="11" spans="2:17" ht="15.75" thickBot="1" x14ac:dyDescent="0.3">
      <c r="B11" s="189">
        <v>5</v>
      </c>
      <c r="C11" s="694" t="s">
        <v>957</v>
      </c>
      <c r="D11" s="695">
        <v>449</v>
      </c>
      <c r="E11" s="696">
        <v>31066</v>
      </c>
      <c r="F11" s="697">
        <v>2859045</v>
      </c>
      <c r="G11" s="704">
        <f>'W_2019 ICR_revised rates'!AC26</f>
        <v>3420117.2737570005</v>
      </c>
      <c r="H11" s="697">
        <v>0</v>
      </c>
      <c r="I11" s="697">
        <v>9604383</v>
      </c>
      <c r="J11" s="699">
        <f>I11*CEPCI!$G$3</f>
        <v>11982208.218502203</v>
      </c>
      <c r="K11" s="700">
        <f t="shared" si="1"/>
        <v>15402325.492259204</v>
      </c>
      <c r="L11" s="701">
        <f t="shared" si="0"/>
        <v>69</v>
      </c>
      <c r="M11" s="702">
        <f t="shared" si="2"/>
        <v>7617.1876921091325</v>
      </c>
      <c r="N11" s="703">
        <f t="shared" si="3"/>
        <v>26686.432557911365</v>
      </c>
      <c r="O11" s="703">
        <f t="shared" si="3"/>
        <v>34303.620250020496</v>
      </c>
      <c r="Q11" s="305"/>
    </row>
    <row r="12" spans="2:17" ht="30.75" thickBot="1" x14ac:dyDescent="0.3">
      <c r="B12" s="189">
        <v>6</v>
      </c>
      <c r="C12" s="694" t="s">
        <v>958</v>
      </c>
      <c r="D12" s="695">
        <v>532</v>
      </c>
      <c r="E12" s="696">
        <v>37025</v>
      </c>
      <c r="F12" s="697">
        <v>3410626</v>
      </c>
      <c r="G12" s="704">
        <f>'W_2019 ICR_revised rates'!AC29</f>
        <v>4087283.348094</v>
      </c>
      <c r="H12" s="697">
        <v>0</v>
      </c>
      <c r="I12" s="697">
        <v>7846506</v>
      </c>
      <c r="J12" s="699">
        <f>I12*CEPCI!$G$3</f>
        <v>9789121.14185022</v>
      </c>
      <c r="K12" s="700">
        <f t="shared" si="1"/>
        <v>13876404.48994422</v>
      </c>
      <c r="L12" s="701">
        <f t="shared" si="0"/>
        <v>70</v>
      </c>
      <c r="M12" s="702">
        <f t="shared" si="2"/>
        <v>7682.8634362669172</v>
      </c>
      <c r="N12" s="703">
        <f t="shared" si="3"/>
        <v>18400.603650094399</v>
      </c>
      <c r="O12" s="703">
        <f t="shared" si="3"/>
        <v>26083.467086361314</v>
      </c>
      <c r="Q12" s="305"/>
    </row>
    <row r="13" spans="2:17" ht="30.75" thickBot="1" x14ac:dyDescent="0.3">
      <c r="B13" s="189">
        <v>7</v>
      </c>
      <c r="C13" s="694" t="s">
        <v>959</v>
      </c>
      <c r="D13" s="695">
        <v>33</v>
      </c>
      <c r="E13" s="696">
        <v>2082</v>
      </c>
      <c r="F13" s="697">
        <v>191297</v>
      </c>
      <c r="G13" s="704">
        <f>'W_2019 ICR_revised rates'!AC32</f>
        <v>228977.08296200004</v>
      </c>
      <c r="H13" s="697">
        <v>0</v>
      </c>
      <c r="I13" s="697">
        <v>1650</v>
      </c>
      <c r="J13" s="699">
        <f>I13*CEPCI!$G$3</f>
        <v>2058.502202643172</v>
      </c>
      <c r="K13" s="700">
        <f t="shared" si="1"/>
        <v>231035.58516464321</v>
      </c>
      <c r="L13" s="701">
        <f t="shared" si="0"/>
        <v>63</v>
      </c>
      <c r="M13" s="702">
        <f t="shared" si="2"/>
        <v>6938.6994836969707</v>
      </c>
      <c r="N13" s="703">
        <f t="shared" si="3"/>
        <v>62.378854625550666</v>
      </c>
      <c r="O13" s="703">
        <f t="shared" si="3"/>
        <v>7001.0783383225216</v>
      </c>
      <c r="Q13" s="305"/>
    </row>
    <row r="14" spans="2:17" ht="30.75" thickBot="1" x14ac:dyDescent="0.3">
      <c r="B14" s="189">
        <v>8</v>
      </c>
      <c r="C14" s="694" t="s">
        <v>960</v>
      </c>
      <c r="D14" s="695">
        <v>141</v>
      </c>
      <c r="E14" s="696">
        <v>4568</v>
      </c>
      <c r="F14" s="697">
        <v>420908</v>
      </c>
      <c r="G14" s="704">
        <f>'W_2019 ICR_revised rates'!AC35</f>
        <v>501344.47563800006</v>
      </c>
      <c r="H14" s="697">
        <v>0</v>
      </c>
      <c r="I14" s="697">
        <v>7050</v>
      </c>
      <c r="J14" s="699">
        <f>I14*CEPCI!$G$3</f>
        <v>8795.4185022026431</v>
      </c>
      <c r="K14" s="700">
        <f t="shared" si="1"/>
        <v>510139.89414020273</v>
      </c>
      <c r="L14" s="701">
        <f t="shared" si="0"/>
        <v>32</v>
      </c>
      <c r="M14" s="702">
        <f t="shared" si="2"/>
        <v>3555.6345789929082</v>
      </c>
      <c r="N14" s="703">
        <f t="shared" si="3"/>
        <v>62.378854625550659</v>
      </c>
      <c r="O14" s="703">
        <f t="shared" si="3"/>
        <v>3618.0134336184592</v>
      </c>
      <c r="Q14" s="305"/>
    </row>
    <row r="15" spans="2:17" ht="30.75" thickBot="1" x14ac:dyDescent="0.3">
      <c r="B15" s="189">
        <v>9</v>
      </c>
      <c r="C15" s="694" t="s">
        <v>961</v>
      </c>
      <c r="D15" s="695">
        <v>497</v>
      </c>
      <c r="E15" s="696">
        <v>149257</v>
      </c>
      <c r="F15" s="697">
        <v>13872494</v>
      </c>
      <c r="G15" s="704">
        <f>'W_2019 ICR_revised rates'!AC38</f>
        <v>16531519.786516</v>
      </c>
      <c r="H15" s="697">
        <v>0</v>
      </c>
      <c r="I15" s="697">
        <v>82050</v>
      </c>
      <c r="J15" s="699">
        <f>I15*CEPCI!$G$3</f>
        <v>102363.70044052864</v>
      </c>
      <c r="K15" s="700">
        <f t="shared" si="1"/>
        <v>16633883.486956527</v>
      </c>
      <c r="L15" s="701">
        <f t="shared" si="0"/>
        <v>300</v>
      </c>
      <c r="M15" s="702">
        <f t="shared" si="2"/>
        <v>33262.615264619715</v>
      </c>
      <c r="N15" s="703">
        <f t="shared" si="3"/>
        <v>205.96317996082223</v>
      </c>
      <c r="O15" s="703">
        <f t="shared" si="3"/>
        <v>33468.57844458054</v>
      </c>
      <c r="Q15" s="305"/>
    </row>
    <row r="16" spans="2:17" ht="30.75" thickBot="1" x14ac:dyDescent="0.3">
      <c r="B16" s="189">
        <v>10</v>
      </c>
      <c r="C16" s="694" t="s">
        <v>962</v>
      </c>
      <c r="D16" s="695">
        <v>48</v>
      </c>
      <c r="E16" s="696">
        <v>3154</v>
      </c>
      <c r="F16" s="697">
        <v>289397</v>
      </c>
      <c r="G16" s="704">
        <f>'W_2019 ICR_revised rates'!AC41</f>
        <v>346407.33480600006</v>
      </c>
      <c r="H16" s="697">
        <v>0</v>
      </c>
      <c r="I16" s="697">
        <v>1325878</v>
      </c>
      <c r="J16" s="699">
        <f>I16*CEPCI!$G$3</f>
        <v>1654135.0202643173</v>
      </c>
      <c r="K16" s="700">
        <f t="shared" si="1"/>
        <v>2000542.3550703174</v>
      </c>
      <c r="L16" s="701">
        <f t="shared" si="0"/>
        <v>66</v>
      </c>
      <c r="M16" s="702">
        <f t="shared" si="2"/>
        <v>7216.8194751250012</v>
      </c>
      <c r="N16" s="703">
        <f t="shared" si="3"/>
        <v>34461.14625550661</v>
      </c>
      <c r="O16" s="703">
        <f t="shared" si="3"/>
        <v>41677.965730631615</v>
      </c>
      <c r="Q16" s="305"/>
    </row>
    <row r="17" spans="3:11" ht="15.75" thickBot="1" x14ac:dyDescent="0.3">
      <c r="C17" s="694"/>
      <c r="D17" s="695"/>
      <c r="E17" s="696"/>
      <c r="F17" s="697"/>
      <c r="G17" s="697"/>
      <c r="H17" s="697"/>
      <c r="I17" s="697"/>
      <c r="J17" s="697"/>
      <c r="K17" s="697"/>
    </row>
    <row r="18" spans="3:11" ht="15.75" thickBot="1" x14ac:dyDescent="0.3">
      <c r="C18" s="705" t="s">
        <v>398</v>
      </c>
      <c r="D18" s="706">
        <v>2202</v>
      </c>
      <c r="E18" s="706">
        <v>270666</v>
      </c>
      <c r="F18" s="707">
        <v>25051135</v>
      </c>
      <c r="G18" s="708">
        <f>SUM(G7:G16)</f>
        <v>29905982.183534</v>
      </c>
      <c r="H18" s="707">
        <v>0</v>
      </c>
      <c r="I18" s="707">
        <v>20161288</v>
      </c>
      <c r="J18" s="708">
        <f>SUM(J7:J16)</f>
        <v>25152761.064317182</v>
      </c>
      <c r="K18" s="708">
        <f>SUM(K7:K16)</f>
        <v>55058743.247851186</v>
      </c>
    </row>
  </sheetData>
  <autoFilter ref="C5:K16" xr:uid="{20903BEF-82B7-4B31-89D8-E021CC192B49}">
    <sortState xmlns:xlrd2="http://schemas.microsoft.com/office/spreadsheetml/2017/richdata2" ref="C8:K16">
      <sortCondition ref="C5:C16"/>
    </sortState>
  </autoFilter>
  <mergeCells count="4">
    <mergeCell ref="C5:C6"/>
    <mergeCell ref="D5:D6"/>
    <mergeCell ref="E5:E6"/>
    <mergeCell ref="L5:O5"/>
  </mergeCell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FA9DD-5967-4B24-B15B-9C8AE08A05BA}">
  <sheetPr codeName="Sheet51">
    <tabColor theme="7" tint="0.59999389629810485"/>
  </sheetPr>
  <dimension ref="B1:AK383"/>
  <sheetViews>
    <sheetView topLeftCell="J381" workbookViewId="0">
      <selection activeCell="U231" sqref="U231"/>
    </sheetView>
  </sheetViews>
  <sheetFormatPr defaultRowHeight="15" x14ac:dyDescent="0.25"/>
  <cols>
    <col min="2" max="2" width="19" customWidth="1"/>
    <col min="5" max="5" width="16.28515625" customWidth="1"/>
    <col min="7" max="7" width="54.140625" customWidth="1"/>
    <col min="15" max="15" width="10.28515625" customWidth="1"/>
    <col min="20" max="20" width="14.140625" customWidth="1"/>
    <col min="21" max="21" width="15.28515625" bestFit="1" customWidth="1"/>
    <col min="22" max="22" width="12.85546875" style="5" customWidth="1"/>
    <col min="23" max="23" width="22.5703125" hidden="1" customWidth="1"/>
    <col min="24" max="24" width="7.5703125" style="469" hidden="1" customWidth="1"/>
    <col min="25" max="25" width="26.85546875" hidden="1" customWidth="1"/>
    <col min="27" max="27" width="9.140625" style="470"/>
    <col min="29" max="29" width="15.28515625" style="132" bestFit="1" customWidth="1"/>
    <col min="31" max="31" width="17.42578125" customWidth="1"/>
    <col min="32" max="32" width="7.5703125" bestFit="1" customWidth="1"/>
    <col min="33" max="33" width="25.28515625" bestFit="1" customWidth="1"/>
  </cols>
  <sheetData>
    <row r="1" spans="2:37" ht="16.5" thickBot="1" x14ac:dyDescent="0.3">
      <c r="B1" s="468" t="s">
        <v>476</v>
      </c>
      <c r="L1" s="128">
        <f>Eng</f>
        <v>110.1679</v>
      </c>
      <c r="M1" s="128">
        <f>Tech2</f>
        <v>77.988550000000004</v>
      </c>
      <c r="N1" s="128">
        <f>MdManager</f>
        <v>123.45902000000002</v>
      </c>
      <c r="O1" s="128" cm="1">
        <f t="array" ref="O1">SrManager</f>
        <v>132.31439</v>
      </c>
      <c r="P1" s="128">
        <f>Legal</f>
        <v>114.79721000000001</v>
      </c>
    </row>
    <row r="2" spans="2:37" ht="27" x14ac:dyDescent="0.25">
      <c r="B2" s="471"/>
      <c r="C2" s="472"/>
      <c r="D2" s="472"/>
      <c r="E2" s="472"/>
      <c r="F2" s="472"/>
      <c r="G2" s="473"/>
      <c r="H2" s="1100" t="s">
        <v>477</v>
      </c>
      <c r="I2" s="1100" t="s">
        <v>478</v>
      </c>
      <c r="J2" s="473" t="s">
        <v>479</v>
      </c>
      <c r="K2" s="1100" t="s">
        <v>480</v>
      </c>
      <c r="L2" s="1100" t="s">
        <v>481</v>
      </c>
      <c r="M2" s="1100" t="s">
        <v>482</v>
      </c>
      <c r="N2" s="1100" t="s">
        <v>483</v>
      </c>
      <c r="O2" s="1100" t="s">
        <v>484</v>
      </c>
      <c r="P2" s="1100" t="s">
        <v>485</v>
      </c>
      <c r="Q2" s="1103" t="s">
        <v>486</v>
      </c>
      <c r="R2" s="474"/>
      <c r="S2" s="474"/>
      <c r="T2" s="1106" t="s">
        <v>487</v>
      </c>
    </row>
    <row r="3" spans="2:37" x14ac:dyDescent="0.25">
      <c r="B3" s="475"/>
      <c r="C3" s="476"/>
      <c r="D3" s="476"/>
      <c r="E3" s="476"/>
      <c r="F3" s="476"/>
      <c r="G3" s="477"/>
      <c r="H3" s="1101"/>
      <c r="I3" s="1101"/>
      <c r="J3" s="477" t="s">
        <v>488</v>
      </c>
      <c r="K3" s="1101"/>
      <c r="L3" s="1101"/>
      <c r="M3" s="1101"/>
      <c r="N3" s="1101"/>
      <c r="O3" s="1101"/>
      <c r="P3" s="1101"/>
      <c r="Q3" s="1104"/>
      <c r="R3" s="478"/>
      <c r="S3" s="478"/>
      <c r="T3" s="1107"/>
    </row>
    <row r="4" spans="2:37" x14ac:dyDescent="0.25">
      <c r="B4" s="475"/>
      <c r="C4" s="476"/>
      <c r="D4" s="476"/>
      <c r="E4" s="476"/>
      <c r="F4" s="476"/>
      <c r="G4" s="477"/>
      <c r="H4" s="1101"/>
      <c r="I4" s="1101"/>
      <c r="J4" s="479"/>
      <c r="K4" s="1101"/>
      <c r="L4" s="1101"/>
      <c r="M4" s="1101"/>
      <c r="N4" s="1101"/>
      <c r="O4" s="1101"/>
      <c r="P4" s="1101"/>
      <c r="Q4" s="1104"/>
      <c r="R4" s="478"/>
      <c r="S4" s="478"/>
      <c r="T4" s="1107"/>
    </row>
    <row r="5" spans="2:37" ht="15.75" customHeight="1" thickBot="1" x14ac:dyDescent="0.3">
      <c r="B5" s="480"/>
      <c r="C5" s="481" t="s">
        <v>489</v>
      </c>
      <c r="D5" s="481"/>
      <c r="E5" s="481"/>
      <c r="F5" s="481"/>
      <c r="G5" s="482"/>
      <c r="H5" s="1102"/>
      <c r="I5" s="1102"/>
      <c r="J5" s="483"/>
      <c r="K5" s="1102"/>
      <c r="L5" s="1102"/>
      <c r="M5" s="1102"/>
      <c r="N5" s="1102"/>
      <c r="O5" s="1102"/>
      <c r="P5" s="1102"/>
      <c r="Q5" s="1105"/>
      <c r="R5" s="484"/>
      <c r="S5" s="484"/>
      <c r="T5" s="1108"/>
      <c r="AE5" s="1109" t="s">
        <v>490</v>
      </c>
      <c r="AF5" s="1109"/>
      <c r="AG5" s="1109"/>
      <c r="AH5" s="1109"/>
      <c r="AI5" s="1109"/>
      <c r="AJ5" s="1109"/>
      <c r="AK5" s="1109"/>
    </row>
    <row r="6" spans="2:37" ht="15.75" customHeight="1" thickBot="1" x14ac:dyDescent="0.3">
      <c r="B6" s="485" t="s">
        <v>491</v>
      </c>
      <c r="C6" s="486"/>
      <c r="D6" s="486"/>
      <c r="E6" s="486"/>
      <c r="F6" s="486"/>
      <c r="G6" s="487"/>
      <c r="H6" s="488"/>
      <c r="I6" s="488"/>
      <c r="J6" s="488"/>
      <c r="K6" s="488"/>
      <c r="L6" s="489"/>
      <c r="M6" s="490"/>
      <c r="N6" s="490"/>
      <c r="O6" s="491"/>
      <c r="P6" s="488"/>
      <c r="Q6" s="492"/>
      <c r="R6" s="493"/>
      <c r="S6" s="493"/>
      <c r="AE6" s="1109"/>
      <c r="AF6" s="1109"/>
      <c r="AG6" s="1109"/>
      <c r="AH6" s="1109"/>
      <c r="AI6" s="1109"/>
      <c r="AJ6" s="1109"/>
      <c r="AK6" s="1109"/>
    </row>
    <row r="7" spans="2:37" ht="15.75" customHeight="1" thickBot="1" x14ac:dyDescent="0.3">
      <c r="B7" s="485" t="s">
        <v>492</v>
      </c>
      <c r="C7" s="486"/>
      <c r="D7" s="486"/>
      <c r="E7" s="486"/>
      <c r="F7" s="486"/>
      <c r="G7" s="487"/>
      <c r="H7" s="488"/>
      <c r="I7" s="488"/>
      <c r="J7" s="488"/>
      <c r="K7" s="488"/>
      <c r="L7" s="489"/>
      <c r="M7" s="490"/>
      <c r="N7" s="490"/>
      <c r="O7" s="491"/>
      <c r="P7" s="488"/>
      <c r="Q7" s="492"/>
      <c r="R7" s="493"/>
      <c r="S7" s="493"/>
      <c r="AE7" s="1109"/>
      <c r="AF7" s="1109"/>
      <c r="AG7" s="1109"/>
      <c r="AH7" s="1109"/>
      <c r="AI7" s="1109"/>
      <c r="AJ7" s="1109"/>
      <c r="AK7" s="1109"/>
    </row>
    <row r="8" spans="2:37" ht="18" customHeight="1" thickBot="1" x14ac:dyDescent="0.3">
      <c r="B8" s="485" t="s">
        <v>493</v>
      </c>
      <c r="C8" s="486"/>
      <c r="D8" s="486"/>
      <c r="E8" s="486"/>
      <c r="F8" s="486"/>
      <c r="G8" s="487"/>
      <c r="H8" s="488"/>
      <c r="I8" s="488"/>
      <c r="J8" s="488"/>
      <c r="K8" s="488"/>
      <c r="L8" s="489"/>
      <c r="M8" s="490"/>
      <c r="N8" s="490"/>
      <c r="O8" s="491"/>
      <c r="P8" s="488"/>
      <c r="Q8" s="492"/>
      <c r="R8" s="493"/>
      <c r="S8" s="493"/>
      <c r="AE8" s="1109"/>
      <c r="AF8" s="1109"/>
      <c r="AG8" s="1109"/>
      <c r="AH8" s="1109"/>
      <c r="AI8" s="1109"/>
      <c r="AJ8" s="1109"/>
      <c r="AK8" s="1109"/>
    </row>
    <row r="9" spans="2:37" ht="18.75" thickBot="1" x14ac:dyDescent="0.3">
      <c r="B9" s="485" t="s">
        <v>494</v>
      </c>
      <c r="C9" s="486"/>
      <c r="D9" s="486"/>
      <c r="E9" s="486"/>
      <c r="F9" s="486"/>
      <c r="G9" s="487"/>
      <c r="H9" s="488"/>
      <c r="I9" s="488"/>
      <c r="J9" s="488"/>
      <c r="K9" s="488"/>
      <c r="L9" s="489"/>
      <c r="M9" s="490"/>
      <c r="N9" s="490"/>
      <c r="O9" s="491"/>
      <c r="P9" s="488"/>
      <c r="Q9" s="492"/>
      <c r="R9" s="493"/>
      <c r="S9" s="493"/>
      <c r="W9" t="s">
        <v>1012</v>
      </c>
    </row>
    <row r="10" spans="2:37" ht="72.75" thickBot="1" x14ac:dyDescent="0.3">
      <c r="B10" s="490"/>
      <c r="C10" s="486" t="s">
        <v>495</v>
      </c>
      <c r="D10" s="486"/>
      <c r="E10" s="486"/>
      <c r="F10" s="486"/>
      <c r="G10" s="487"/>
      <c r="H10" s="488"/>
      <c r="I10" s="488"/>
      <c r="J10" s="488"/>
      <c r="K10" s="488"/>
      <c r="L10" s="489"/>
      <c r="M10" s="490"/>
      <c r="N10" s="490"/>
      <c r="O10" s="491"/>
      <c r="P10" s="488"/>
      <c r="Q10" s="492"/>
      <c r="R10" s="493"/>
      <c r="S10" s="493"/>
      <c r="W10" s="724" t="s">
        <v>418</v>
      </c>
      <c r="X10" s="724" t="s">
        <v>496</v>
      </c>
      <c r="Y10" s="305" t="s">
        <v>497</v>
      </c>
      <c r="AA10" s="494" t="str">
        <f t="shared" ref="AA10" si="0">W10</f>
        <v>Segment Number</v>
      </c>
      <c r="AB10" t="str">
        <f t="shared" ref="AB10" si="1">X10</f>
        <v>Type</v>
      </c>
      <c r="AC10" s="495" t="str">
        <f t="shared" ref="AC10" si="2">Y10</f>
        <v>Sum of Updated Cost/ Year</v>
      </c>
      <c r="AE10" s="724" t="s">
        <v>418</v>
      </c>
      <c r="AF10" s="724" t="s">
        <v>496</v>
      </c>
      <c r="AG10" t="s">
        <v>497</v>
      </c>
    </row>
    <row r="11" spans="2:37" ht="18.75" thickBot="1" x14ac:dyDescent="0.3">
      <c r="B11" s="490"/>
      <c r="C11" s="496" t="s">
        <v>418</v>
      </c>
      <c r="D11" s="486"/>
      <c r="E11" s="486"/>
      <c r="F11" s="486"/>
      <c r="G11" s="487"/>
      <c r="H11" s="488"/>
      <c r="I11" s="488"/>
      <c r="J11" s="488"/>
      <c r="K11" s="488"/>
      <c r="L11" s="489" t="s">
        <v>474</v>
      </c>
      <c r="M11" s="490" t="s">
        <v>475</v>
      </c>
      <c r="N11" s="490" t="s">
        <v>1013</v>
      </c>
      <c r="O11" s="491" t="s">
        <v>1014</v>
      </c>
      <c r="P11" s="488" t="s">
        <v>1015</v>
      </c>
      <c r="Q11" s="492" t="s">
        <v>891</v>
      </c>
      <c r="R11" s="493" t="str">
        <f>C11</f>
        <v>Segment Number</v>
      </c>
      <c r="S11" s="493" t="s">
        <v>496</v>
      </c>
      <c r="T11" t="str">
        <f>T2</f>
        <v>Updated Cost/ Year</v>
      </c>
      <c r="W11">
        <v>0</v>
      </c>
      <c r="X11" t="s">
        <v>430</v>
      </c>
      <c r="Y11" s="305"/>
      <c r="AA11" s="470">
        <v>0</v>
      </c>
      <c r="AB11" t="s">
        <v>430</v>
      </c>
      <c r="AE11">
        <v>0</v>
      </c>
      <c r="AF11" t="s">
        <v>430</v>
      </c>
      <c r="AG11" s="435"/>
    </row>
    <row r="12" spans="2:37" ht="45.75" thickBot="1" x14ac:dyDescent="0.3">
      <c r="B12" s="497"/>
      <c r="C12" s="498">
        <v>5</v>
      </c>
      <c r="D12" s="499" t="s">
        <v>498</v>
      </c>
      <c r="E12" s="499"/>
      <c r="F12" s="499"/>
      <c r="G12" s="500"/>
      <c r="H12" s="501">
        <v>5</v>
      </c>
      <c r="I12" s="501">
        <v>1</v>
      </c>
      <c r="J12" s="501">
        <v>5</v>
      </c>
      <c r="K12" s="501">
        <v>449</v>
      </c>
      <c r="L12" s="502">
        <v>2245</v>
      </c>
      <c r="M12" s="503"/>
      <c r="N12" s="503">
        <v>224.5</v>
      </c>
      <c r="O12" s="504">
        <v>112.3</v>
      </c>
      <c r="P12" s="492">
        <v>449</v>
      </c>
      <c r="Q12" s="505">
        <v>294434</v>
      </c>
      <c r="R12" s="493">
        <f t="shared" ref="R12:R75" si="3">C12</f>
        <v>5</v>
      </c>
      <c r="S12" s="493" t="s">
        <v>430</v>
      </c>
      <c r="T12" s="506">
        <f>L12*$L$1+M12*$M$1+N12*$N$1+$O12*O$1+P12*$P$1</f>
        <v>341446.33877699997</v>
      </c>
      <c r="U12" s="53"/>
      <c r="V12" s="507"/>
      <c r="W12">
        <v>0</v>
      </c>
      <c r="X12" t="s">
        <v>431</v>
      </c>
      <c r="Y12" s="305">
        <v>0</v>
      </c>
      <c r="AA12" s="470">
        <v>0</v>
      </c>
      <c r="AB12" t="s">
        <v>431</v>
      </c>
      <c r="AC12" s="132">
        <v>0</v>
      </c>
      <c r="AF12" t="s">
        <v>431</v>
      </c>
      <c r="AG12" s="435">
        <v>0</v>
      </c>
    </row>
    <row r="13" spans="2:37" ht="54.75" thickBot="1" x14ac:dyDescent="0.3">
      <c r="B13" s="497"/>
      <c r="C13" s="498">
        <v>6</v>
      </c>
      <c r="D13" s="499" t="s">
        <v>499</v>
      </c>
      <c r="E13" s="499"/>
      <c r="F13" s="499"/>
      <c r="G13" s="500"/>
      <c r="H13" s="501">
        <v>5</v>
      </c>
      <c r="I13" s="501">
        <v>1</v>
      </c>
      <c r="J13" s="501">
        <v>5</v>
      </c>
      <c r="K13" s="501">
        <v>532</v>
      </c>
      <c r="L13" s="502">
        <v>2660</v>
      </c>
      <c r="M13" s="503"/>
      <c r="N13" s="503">
        <v>266</v>
      </c>
      <c r="O13" s="504">
        <v>133</v>
      </c>
      <c r="P13" s="492">
        <v>532</v>
      </c>
      <c r="Q13" s="505">
        <v>348862</v>
      </c>
      <c r="R13" s="493">
        <f t="shared" si="3"/>
        <v>6</v>
      </c>
      <c r="S13" s="493" t="s">
        <v>430</v>
      </c>
      <c r="T13" s="506">
        <f t="shared" ref="T13:T21" si="4">L13*$L$1+M13*$M$1+N13*$N$1+$O13*O$1+P13*$P$1</f>
        <v>404556.64291</v>
      </c>
      <c r="W13" t="s">
        <v>500</v>
      </c>
      <c r="X13"/>
      <c r="Y13" s="305">
        <v>0</v>
      </c>
      <c r="AA13" s="470" t="s">
        <v>500</v>
      </c>
      <c r="AC13" s="132">
        <v>0</v>
      </c>
      <c r="AE13" t="s">
        <v>500</v>
      </c>
      <c r="AG13" s="435">
        <v>0</v>
      </c>
    </row>
    <row r="14" spans="2:37" ht="45.75" thickBot="1" x14ac:dyDescent="0.3">
      <c r="B14" s="497"/>
      <c r="C14" s="498">
        <v>10</v>
      </c>
      <c r="D14" s="499" t="s">
        <v>501</v>
      </c>
      <c r="E14" s="499"/>
      <c r="F14" s="499"/>
      <c r="G14" s="500"/>
      <c r="H14" s="501">
        <v>5</v>
      </c>
      <c r="I14" s="501">
        <v>1</v>
      </c>
      <c r="J14" s="501">
        <v>5</v>
      </c>
      <c r="K14" s="501">
        <v>48</v>
      </c>
      <c r="L14" s="498">
        <v>240</v>
      </c>
      <c r="M14" s="503"/>
      <c r="N14" s="503">
        <v>24</v>
      </c>
      <c r="O14" s="504">
        <v>12</v>
      </c>
      <c r="P14" s="492">
        <v>48</v>
      </c>
      <c r="Q14" s="505">
        <v>31476</v>
      </c>
      <c r="R14" s="493">
        <f t="shared" si="3"/>
        <v>10</v>
      </c>
      <c r="S14" s="493" t="s">
        <v>430</v>
      </c>
      <c r="T14" s="506">
        <f t="shared" si="4"/>
        <v>36501.351240000004</v>
      </c>
      <c r="W14">
        <v>1</v>
      </c>
      <c r="X14" t="s">
        <v>430</v>
      </c>
      <c r="Y14" s="305">
        <v>3497688.7249660385</v>
      </c>
      <c r="AA14" s="508">
        <v>1</v>
      </c>
      <c r="AB14" s="509" t="s">
        <v>430</v>
      </c>
      <c r="AC14" s="510">
        <v>3482052.1767250006</v>
      </c>
      <c r="AE14">
        <v>1</v>
      </c>
      <c r="AF14" s="509" t="s">
        <v>430</v>
      </c>
      <c r="AG14" s="725">
        <v>3482052.1767250006</v>
      </c>
    </row>
    <row r="15" spans="2:37" ht="45.75" thickBot="1" x14ac:dyDescent="0.3">
      <c r="B15" s="497"/>
      <c r="C15" s="498">
        <v>2</v>
      </c>
      <c r="D15" s="499" t="s">
        <v>502</v>
      </c>
      <c r="E15" s="499"/>
      <c r="F15" s="499"/>
      <c r="G15" s="500"/>
      <c r="H15" s="501">
        <v>5</v>
      </c>
      <c r="I15" s="501">
        <v>1</v>
      </c>
      <c r="J15" s="501">
        <v>5</v>
      </c>
      <c r="K15" s="501">
        <v>6</v>
      </c>
      <c r="L15" s="498">
        <v>30</v>
      </c>
      <c r="M15" s="503"/>
      <c r="N15" s="503">
        <v>3</v>
      </c>
      <c r="O15" s="504">
        <v>1.5</v>
      </c>
      <c r="P15" s="492">
        <v>6</v>
      </c>
      <c r="Q15" s="505">
        <v>3935</v>
      </c>
      <c r="R15" s="493">
        <f t="shared" si="3"/>
        <v>2</v>
      </c>
      <c r="S15" s="493" t="s">
        <v>430</v>
      </c>
      <c r="T15" s="506">
        <f t="shared" si="4"/>
        <v>4562.6689050000004</v>
      </c>
      <c r="W15">
        <v>1</v>
      </c>
      <c r="X15" t="s">
        <v>431</v>
      </c>
      <c r="Y15" s="305">
        <v>109849.1629955947</v>
      </c>
      <c r="AA15" s="470">
        <v>1</v>
      </c>
      <c r="AB15" t="s">
        <v>431</v>
      </c>
      <c r="AC15" s="132">
        <v>109849.1629955947</v>
      </c>
      <c r="AF15" t="s">
        <v>431</v>
      </c>
      <c r="AG15" s="435">
        <v>109849.1629955947</v>
      </c>
    </row>
    <row r="16" spans="2:37" ht="63.75" thickBot="1" x14ac:dyDescent="0.3">
      <c r="B16" s="497"/>
      <c r="C16" s="498">
        <v>9</v>
      </c>
      <c r="D16" s="499" t="s">
        <v>503</v>
      </c>
      <c r="E16" s="499"/>
      <c r="F16" s="499"/>
      <c r="G16" s="500"/>
      <c r="H16" s="501">
        <v>5</v>
      </c>
      <c r="I16" s="501">
        <v>1</v>
      </c>
      <c r="J16" s="501">
        <v>5</v>
      </c>
      <c r="K16" s="501">
        <v>497</v>
      </c>
      <c r="L16" s="502">
        <v>2485</v>
      </c>
      <c r="M16" s="503"/>
      <c r="N16" s="503">
        <v>248.5</v>
      </c>
      <c r="O16" s="504">
        <v>124.3</v>
      </c>
      <c r="P16" s="492">
        <v>497</v>
      </c>
      <c r="Q16" s="505">
        <v>325910</v>
      </c>
      <c r="R16" s="493">
        <f t="shared" si="3"/>
        <v>9</v>
      </c>
      <c r="S16" s="493" t="s">
        <v>430</v>
      </c>
      <c r="T16" s="506">
        <f t="shared" si="4"/>
        <v>377947.69001700002</v>
      </c>
      <c r="W16" t="s">
        <v>504</v>
      </c>
      <c r="X16"/>
      <c r="Y16" s="305">
        <v>3607537.887961633</v>
      </c>
      <c r="AA16" s="470" t="s">
        <v>504</v>
      </c>
      <c r="AC16" s="132">
        <v>3591901.3397205952</v>
      </c>
      <c r="AE16" t="s">
        <v>504</v>
      </c>
      <c r="AG16" s="435">
        <v>3591901.3397205952</v>
      </c>
    </row>
    <row r="17" spans="2:33" ht="36.75" thickBot="1" x14ac:dyDescent="0.3">
      <c r="B17" s="497"/>
      <c r="C17" s="498">
        <v>4</v>
      </c>
      <c r="D17" s="499" t="s">
        <v>505</v>
      </c>
      <c r="E17" s="499"/>
      <c r="F17" s="499"/>
      <c r="G17" s="500"/>
      <c r="H17" s="501">
        <v>5</v>
      </c>
      <c r="I17" s="501">
        <v>1</v>
      </c>
      <c r="J17" s="501">
        <v>5</v>
      </c>
      <c r="K17" s="501">
        <v>169</v>
      </c>
      <c r="L17" s="498">
        <v>845</v>
      </c>
      <c r="M17" s="503"/>
      <c r="N17" s="503">
        <v>84.5</v>
      </c>
      <c r="O17" s="504">
        <v>42.3</v>
      </c>
      <c r="P17" s="492">
        <v>169</v>
      </c>
      <c r="Q17" s="505">
        <v>110823</v>
      </c>
      <c r="R17" s="493">
        <f t="shared" si="3"/>
        <v>4</v>
      </c>
      <c r="S17" s="493" t="s">
        <v>430</v>
      </c>
      <c r="T17" s="506">
        <f t="shared" si="4"/>
        <v>128521.789877</v>
      </c>
      <c r="W17">
        <v>2</v>
      </c>
      <c r="X17" t="s">
        <v>430</v>
      </c>
      <c r="Y17" s="305">
        <v>44394.029740027938</v>
      </c>
      <c r="AA17" s="508">
        <v>2</v>
      </c>
      <c r="AB17" s="509" t="s">
        <v>430</v>
      </c>
      <c r="AC17" s="510">
        <v>44175.708448000005</v>
      </c>
      <c r="AE17">
        <v>2</v>
      </c>
      <c r="AF17" s="509" t="s">
        <v>430</v>
      </c>
      <c r="AG17" s="725">
        <v>44175.708448000005</v>
      </c>
    </row>
    <row r="18" spans="2:33" ht="27.75" thickBot="1" x14ac:dyDescent="0.3">
      <c r="B18" s="497"/>
      <c r="C18" s="498">
        <v>3</v>
      </c>
      <c r="D18" s="499" t="s">
        <v>506</v>
      </c>
      <c r="E18" s="499"/>
      <c r="F18" s="499"/>
      <c r="G18" s="500"/>
      <c r="H18" s="501">
        <v>5</v>
      </c>
      <c r="I18" s="501">
        <v>1</v>
      </c>
      <c r="J18" s="501">
        <v>5</v>
      </c>
      <c r="K18" s="501">
        <v>6</v>
      </c>
      <c r="L18" s="498">
        <v>30</v>
      </c>
      <c r="M18" s="503"/>
      <c r="N18" s="503">
        <v>3</v>
      </c>
      <c r="O18" s="504">
        <v>1.5</v>
      </c>
      <c r="P18" s="492">
        <v>6</v>
      </c>
      <c r="Q18" s="505">
        <v>3935</v>
      </c>
      <c r="R18" s="493">
        <f t="shared" si="3"/>
        <v>3</v>
      </c>
      <c r="S18" s="493" t="s">
        <v>430</v>
      </c>
      <c r="T18" s="506">
        <f t="shared" si="4"/>
        <v>4562.6689050000004</v>
      </c>
      <c r="W18">
        <v>2</v>
      </c>
      <c r="X18" t="s">
        <v>431</v>
      </c>
      <c r="Y18" s="305">
        <v>146526.68193832599</v>
      </c>
      <c r="AA18" s="470">
        <v>2</v>
      </c>
      <c r="AB18" t="s">
        <v>431</v>
      </c>
      <c r="AC18" s="132">
        <v>146526.68193832599</v>
      </c>
      <c r="AF18" t="s">
        <v>431</v>
      </c>
      <c r="AG18" s="435">
        <v>146526.68193832599</v>
      </c>
    </row>
    <row r="19" spans="2:33" ht="72.75" thickBot="1" x14ac:dyDescent="0.3">
      <c r="B19" s="497"/>
      <c r="C19" s="498">
        <v>1</v>
      </c>
      <c r="D19" s="499" t="s">
        <v>507</v>
      </c>
      <c r="E19" s="499"/>
      <c r="F19" s="499"/>
      <c r="G19" s="500"/>
      <c r="H19" s="501">
        <v>5</v>
      </c>
      <c r="I19" s="501">
        <v>1</v>
      </c>
      <c r="J19" s="501">
        <v>5</v>
      </c>
      <c r="K19" s="501">
        <v>321</v>
      </c>
      <c r="L19" s="502">
        <v>1605</v>
      </c>
      <c r="M19" s="503"/>
      <c r="N19" s="503">
        <v>160.5</v>
      </c>
      <c r="O19" s="504">
        <v>80.3</v>
      </c>
      <c r="P19" s="492">
        <v>321</v>
      </c>
      <c r="Q19" s="505">
        <v>210497</v>
      </c>
      <c r="R19" s="493">
        <f t="shared" si="3"/>
        <v>1</v>
      </c>
      <c r="S19" s="493" t="s">
        <v>430</v>
      </c>
      <c r="T19" s="506">
        <f t="shared" si="4"/>
        <v>244109.40213700006</v>
      </c>
      <c r="W19" t="s">
        <v>508</v>
      </c>
      <c r="X19"/>
      <c r="Y19" s="305">
        <v>190920.71167835392</v>
      </c>
      <c r="AA19" s="470" t="s">
        <v>508</v>
      </c>
      <c r="AC19" s="132">
        <v>190702.39038632601</v>
      </c>
      <c r="AE19" t="s">
        <v>508</v>
      </c>
      <c r="AG19" s="435">
        <v>190702.39038632601</v>
      </c>
    </row>
    <row r="20" spans="2:33" ht="45.75" thickBot="1" x14ac:dyDescent="0.3">
      <c r="B20" s="497"/>
      <c r="C20" s="498">
        <v>7</v>
      </c>
      <c r="D20" s="499" t="s">
        <v>509</v>
      </c>
      <c r="E20" s="499"/>
      <c r="F20" s="499"/>
      <c r="G20" s="500"/>
      <c r="H20" s="501">
        <v>5</v>
      </c>
      <c r="I20" s="501">
        <v>1</v>
      </c>
      <c r="J20" s="501">
        <v>5</v>
      </c>
      <c r="K20" s="501">
        <v>33</v>
      </c>
      <c r="L20" s="498">
        <v>165</v>
      </c>
      <c r="M20" s="503"/>
      <c r="N20" s="503">
        <v>16.5</v>
      </c>
      <c r="O20" s="504">
        <v>8.3000000000000007</v>
      </c>
      <c r="P20" s="492">
        <v>33</v>
      </c>
      <c r="Q20" s="505">
        <v>21640</v>
      </c>
      <c r="R20" s="493">
        <f t="shared" si="3"/>
        <v>7</v>
      </c>
      <c r="S20" s="493" t="s">
        <v>430</v>
      </c>
      <c r="T20" s="506">
        <f t="shared" si="4"/>
        <v>25101.294697000001</v>
      </c>
      <c r="W20">
        <v>3</v>
      </c>
      <c r="X20" t="s">
        <v>430</v>
      </c>
      <c r="Y20" s="305">
        <v>42220.01362884944</v>
      </c>
      <c r="AA20" s="508">
        <v>3</v>
      </c>
      <c r="AB20" s="509" t="s">
        <v>430</v>
      </c>
      <c r="AC20" s="510">
        <v>42008.796182999999</v>
      </c>
      <c r="AE20">
        <v>3</v>
      </c>
      <c r="AF20" s="509" t="s">
        <v>430</v>
      </c>
      <c r="AG20" s="725">
        <v>42008.796182999999</v>
      </c>
    </row>
    <row r="21" spans="2:33" ht="63.75" thickBot="1" x14ac:dyDescent="0.3">
      <c r="B21" s="497"/>
      <c r="C21" s="498">
        <v>8</v>
      </c>
      <c r="D21" s="499" t="s">
        <v>510</v>
      </c>
      <c r="E21" s="499"/>
      <c r="F21" s="499"/>
      <c r="G21" s="500"/>
      <c r="H21" s="501">
        <v>1</v>
      </c>
      <c r="I21" s="501">
        <v>1</v>
      </c>
      <c r="J21" s="501">
        <v>1</v>
      </c>
      <c r="K21" s="501">
        <v>141</v>
      </c>
      <c r="L21" s="498">
        <v>141</v>
      </c>
      <c r="M21" s="503"/>
      <c r="N21" s="503">
        <v>14.1</v>
      </c>
      <c r="O21" s="504">
        <v>7.1</v>
      </c>
      <c r="P21" s="492">
        <v>141</v>
      </c>
      <c r="Q21" s="505">
        <v>31152</v>
      </c>
      <c r="R21" s="493">
        <f t="shared" si="3"/>
        <v>8</v>
      </c>
      <c r="S21" s="493" t="s">
        <v>430</v>
      </c>
      <c r="T21" s="506">
        <f t="shared" si="4"/>
        <v>34400.284861</v>
      </c>
      <c r="W21">
        <v>3</v>
      </c>
      <c r="X21" t="s">
        <v>431</v>
      </c>
      <c r="Y21" s="305">
        <v>41383.379735682822</v>
      </c>
      <c r="AA21" s="470">
        <v>3</v>
      </c>
      <c r="AB21" t="s">
        <v>431</v>
      </c>
      <c r="AC21" s="132">
        <v>41383.379735682822</v>
      </c>
      <c r="AF21" t="s">
        <v>431</v>
      </c>
      <c r="AG21" s="435">
        <v>41383.379735682822</v>
      </c>
    </row>
    <row r="22" spans="2:33" ht="72.75" thickBot="1" x14ac:dyDescent="0.3">
      <c r="B22" s="503"/>
      <c r="C22" s="486" t="s">
        <v>511</v>
      </c>
      <c r="D22" s="486"/>
      <c r="E22" s="486"/>
      <c r="F22" s="486"/>
      <c r="G22" s="487"/>
      <c r="H22" s="492"/>
      <c r="I22" s="492"/>
      <c r="J22" s="492"/>
      <c r="K22" s="492"/>
      <c r="L22" s="498"/>
      <c r="M22" s="503"/>
      <c r="N22" s="503"/>
      <c r="O22" s="504"/>
      <c r="P22" s="492"/>
      <c r="Q22" s="492"/>
      <c r="R22" s="493" t="str">
        <f t="shared" si="3"/>
        <v>A2. Read Rule, Instructions, Guidance Documents for Subpart A</v>
      </c>
      <c r="S22" s="493" t="s">
        <v>430</v>
      </c>
      <c r="W22" t="s">
        <v>512</v>
      </c>
      <c r="X22"/>
      <c r="Y22" s="305">
        <v>83603.393364532269</v>
      </c>
      <c r="AA22" s="470" t="s">
        <v>512</v>
      </c>
      <c r="AC22" s="132">
        <v>83392.175918682828</v>
      </c>
      <c r="AE22" t="s">
        <v>512</v>
      </c>
      <c r="AG22" s="435">
        <v>83392.175918682828</v>
      </c>
    </row>
    <row r="23" spans="2:33" ht="36.75" thickBot="1" x14ac:dyDescent="0.3">
      <c r="B23" s="497"/>
      <c r="C23" s="498">
        <v>5</v>
      </c>
      <c r="D23" s="499" t="s">
        <v>513</v>
      </c>
      <c r="E23" s="499"/>
      <c r="F23" s="499"/>
      <c r="G23" s="500"/>
      <c r="H23" s="501">
        <v>5</v>
      </c>
      <c r="I23" s="501">
        <v>1</v>
      </c>
      <c r="J23" s="501">
        <v>5</v>
      </c>
      <c r="K23" s="501">
        <v>449</v>
      </c>
      <c r="L23" s="502">
        <v>2245</v>
      </c>
      <c r="M23" s="503"/>
      <c r="N23" s="503">
        <v>224.5</v>
      </c>
      <c r="O23" s="504">
        <v>112.3</v>
      </c>
      <c r="P23" s="492">
        <v>449</v>
      </c>
      <c r="Q23" s="505">
        <v>294434</v>
      </c>
      <c r="R23" s="493">
        <f t="shared" si="3"/>
        <v>5</v>
      </c>
      <c r="S23" s="493" t="s">
        <v>430</v>
      </c>
      <c r="T23" s="506">
        <f t="shared" ref="T23:T32" si="5">L23*$L$1+M23*$M$1+N23*$N$1+$O23*O$1+P23*$P$1</f>
        <v>341446.33877699997</v>
      </c>
      <c r="U23" s="53"/>
      <c r="V23" s="507"/>
      <c r="W23">
        <v>4</v>
      </c>
      <c r="X23" t="s">
        <v>430</v>
      </c>
      <c r="Y23" s="305">
        <v>1228173.1305351024</v>
      </c>
      <c r="AA23" s="508">
        <v>4</v>
      </c>
      <c r="AB23" s="509" t="s">
        <v>430</v>
      </c>
      <c r="AC23" s="510">
        <v>1222096.2004050002</v>
      </c>
      <c r="AE23">
        <v>4</v>
      </c>
      <c r="AF23" s="509" t="s">
        <v>430</v>
      </c>
      <c r="AG23" s="725">
        <v>1222096.2004050002</v>
      </c>
    </row>
    <row r="24" spans="2:33" ht="45.75" thickBot="1" x14ac:dyDescent="0.3">
      <c r="B24" s="497"/>
      <c r="C24" s="498">
        <v>6</v>
      </c>
      <c r="D24" s="499" t="s">
        <v>514</v>
      </c>
      <c r="E24" s="499"/>
      <c r="F24" s="499"/>
      <c r="G24" s="500"/>
      <c r="H24" s="501">
        <v>5</v>
      </c>
      <c r="I24" s="501">
        <v>1</v>
      </c>
      <c r="J24" s="501">
        <v>5</v>
      </c>
      <c r="K24" s="501">
        <v>532</v>
      </c>
      <c r="L24" s="502">
        <v>2660</v>
      </c>
      <c r="M24" s="503"/>
      <c r="N24" s="503">
        <v>266</v>
      </c>
      <c r="O24" s="504">
        <v>133</v>
      </c>
      <c r="P24" s="492">
        <v>532</v>
      </c>
      <c r="Q24" s="505">
        <v>348862</v>
      </c>
      <c r="R24" s="493">
        <f t="shared" si="3"/>
        <v>6</v>
      </c>
      <c r="S24" s="493" t="s">
        <v>430</v>
      </c>
      <c r="T24" s="506">
        <f t="shared" si="5"/>
        <v>404556.64291</v>
      </c>
      <c r="W24">
        <v>4</v>
      </c>
      <c r="X24" t="s">
        <v>431</v>
      </c>
      <c r="Y24" s="305">
        <v>1352499.573568282</v>
      </c>
      <c r="AA24" s="470">
        <v>4</v>
      </c>
      <c r="AB24" t="s">
        <v>431</v>
      </c>
      <c r="AC24" s="132">
        <v>1352499.573568282</v>
      </c>
      <c r="AF24" t="s">
        <v>431</v>
      </c>
      <c r="AG24" s="435">
        <v>1352499.573568282</v>
      </c>
    </row>
    <row r="25" spans="2:33" ht="36.75" thickBot="1" x14ac:dyDescent="0.3">
      <c r="B25" s="497"/>
      <c r="C25" s="498">
        <v>10</v>
      </c>
      <c r="D25" s="499" t="s">
        <v>515</v>
      </c>
      <c r="E25" s="499"/>
      <c r="F25" s="499"/>
      <c r="G25" s="500"/>
      <c r="H25" s="501">
        <v>5</v>
      </c>
      <c r="I25" s="501">
        <v>1</v>
      </c>
      <c r="J25" s="501">
        <v>5</v>
      </c>
      <c r="K25" s="501">
        <v>48</v>
      </c>
      <c r="L25" s="498">
        <v>240</v>
      </c>
      <c r="M25" s="503"/>
      <c r="N25" s="503">
        <v>24</v>
      </c>
      <c r="O25" s="504">
        <v>12</v>
      </c>
      <c r="P25" s="492">
        <v>48</v>
      </c>
      <c r="Q25" s="505">
        <v>31476</v>
      </c>
      <c r="R25" s="493">
        <f t="shared" si="3"/>
        <v>10</v>
      </c>
      <c r="S25" s="493" t="s">
        <v>430</v>
      </c>
      <c r="T25" s="506">
        <f t="shared" si="5"/>
        <v>36501.351240000004</v>
      </c>
      <c r="W25" t="s">
        <v>516</v>
      </c>
      <c r="X25"/>
      <c r="Y25" s="305">
        <v>2580672.7041033842</v>
      </c>
      <c r="AA25" s="470" t="s">
        <v>516</v>
      </c>
      <c r="AC25" s="132">
        <v>2574595.7739732824</v>
      </c>
      <c r="AE25" t="s">
        <v>516</v>
      </c>
      <c r="AG25" s="435">
        <v>2574595.7739732824</v>
      </c>
    </row>
    <row r="26" spans="2:33" ht="36.75" thickBot="1" x14ac:dyDescent="0.3">
      <c r="B26" s="497"/>
      <c r="C26" s="498">
        <v>2</v>
      </c>
      <c r="D26" s="499" t="s">
        <v>517</v>
      </c>
      <c r="E26" s="499"/>
      <c r="F26" s="499"/>
      <c r="G26" s="500"/>
      <c r="H26" s="501">
        <v>5</v>
      </c>
      <c r="I26" s="501">
        <v>1</v>
      </c>
      <c r="J26" s="501">
        <v>5</v>
      </c>
      <c r="K26" s="501">
        <v>6</v>
      </c>
      <c r="L26" s="498">
        <v>30</v>
      </c>
      <c r="M26" s="503"/>
      <c r="N26" s="503">
        <v>3</v>
      </c>
      <c r="O26" s="504">
        <v>1.5</v>
      </c>
      <c r="P26" s="492">
        <v>6</v>
      </c>
      <c r="Q26" s="505">
        <v>3935</v>
      </c>
      <c r="R26" s="493">
        <f t="shared" si="3"/>
        <v>2</v>
      </c>
      <c r="S26" s="493" t="s">
        <v>430</v>
      </c>
      <c r="T26" s="506">
        <f t="shared" si="5"/>
        <v>4562.6689050000004</v>
      </c>
      <c r="W26">
        <v>5</v>
      </c>
      <c r="X26" t="s">
        <v>430</v>
      </c>
      <c r="Y26" s="305">
        <v>3436719.416601297</v>
      </c>
      <c r="AA26" s="508">
        <v>5</v>
      </c>
      <c r="AB26" s="509" t="s">
        <v>430</v>
      </c>
      <c r="AC26" s="510">
        <v>3420117.2737570005</v>
      </c>
      <c r="AE26">
        <v>5</v>
      </c>
      <c r="AF26" s="509" t="s">
        <v>430</v>
      </c>
      <c r="AG26" s="725">
        <v>3420117.2737570005</v>
      </c>
    </row>
    <row r="27" spans="2:33" ht="54.75" thickBot="1" x14ac:dyDescent="0.3">
      <c r="B27" s="497"/>
      <c r="C27" s="498">
        <v>9</v>
      </c>
      <c r="D27" s="499" t="s">
        <v>518</v>
      </c>
      <c r="E27" s="499"/>
      <c r="F27" s="499"/>
      <c r="G27" s="500"/>
      <c r="H27" s="501">
        <v>5</v>
      </c>
      <c r="I27" s="501">
        <v>1</v>
      </c>
      <c r="J27" s="501">
        <v>5</v>
      </c>
      <c r="K27" s="501">
        <v>497</v>
      </c>
      <c r="L27" s="502">
        <v>2485</v>
      </c>
      <c r="M27" s="503"/>
      <c r="N27" s="503">
        <v>248.5</v>
      </c>
      <c r="O27" s="504">
        <v>124.3</v>
      </c>
      <c r="P27" s="492">
        <v>497</v>
      </c>
      <c r="Q27" s="505">
        <v>325910</v>
      </c>
      <c r="R27" s="493">
        <f t="shared" si="3"/>
        <v>9</v>
      </c>
      <c r="S27" s="493" t="s">
        <v>430</v>
      </c>
      <c r="T27" s="506">
        <f t="shared" si="5"/>
        <v>377947.69001700002</v>
      </c>
      <c r="W27">
        <v>5</v>
      </c>
      <c r="X27" t="s">
        <v>431</v>
      </c>
      <c r="Y27" s="305">
        <v>11982208.218502201</v>
      </c>
      <c r="AA27" s="470">
        <v>5</v>
      </c>
      <c r="AB27" t="s">
        <v>431</v>
      </c>
      <c r="AC27" s="132">
        <v>11982208.218502201</v>
      </c>
      <c r="AF27" t="s">
        <v>431</v>
      </c>
      <c r="AG27" s="435">
        <v>11982208.218502201</v>
      </c>
    </row>
    <row r="28" spans="2:33" ht="15.75" customHeight="1" thickBot="1" x14ac:dyDescent="0.3">
      <c r="B28" s="497"/>
      <c r="C28" s="498">
        <v>4</v>
      </c>
      <c r="D28" s="499" t="s">
        <v>519</v>
      </c>
      <c r="E28" s="499"/>
      <c r="F28" s="499"/>
      <c r="G28" s="500"/>
      <c r="H28" s="501">
        <v>5</v>
      </c>
      <c r="I28" s="501">
        <v>1</v>
      </c>
      <c r="J28" s="501">
        <v>5</v>
      </c>
      <c r="K28" s="501">
        <v>169</v>
      </c>
      <c r="L28" s="498">
        <v>845</v>
      </c>
      <c r="M28" s="503"/>
      <c r="N28" s="503">
        <v>84.5</v>
      </c>
      <c r="O28" s="504">
        <v>42.3</v>
      </c>
      <c r="P28" s="492">
        <v>169</v>
      </c>
      <c r="Q28" s="505">
        <v>110823</v>
      </c>
      <c r="R28" s="493">
        <f t="shared" si="3"/>
        <v>4</v>
      </c>
      <c r="S28" s="493" t="s">
        <v>430</v>
      </c>
      <c r="T28" s="506">
        <f t="shared" si="5"/>
        <v>128521.789877</v>
      </c>
      <c r="W28" t="s">
        <v>520</v>
      </c>
      <c r="X28"/>
      <c r="Y28" s="305">
        <v>15418927.635103498</v>
      </c>
      <c r="AA28" s="470" t="s">
        <v>520</v>
      </c>
      <c r="AC28" s="132">
        <v>15402325.492259201</v>
      </c>
      <c r="AE28" t="s">
        <v>520</v>
      </c>
      <c r="AG28" s="435">
        <v>15402325.492259201</v>
      </c>
    </row>
    <row r="29" spans="2:33" ht="15.75" customHeight="1" thickBot="1" x14ac:dyDescent="0.3">
      <c r="B29" s="497"/>
      <c r="C29" s="498">
        <v>3</v>
      </c>
      <c r="D29" s="499" t="s">
        <v>521</v>
      </c>
      <c r="E29" s="499"/>
      <c r="F29" s="499"/>
      <c r="G29" s="500"/>
      <c r="H29" s="501">
        <v>5</v>
      </c>
      <c r="I29" s="501">
        <v>1</v>
      </c>
      <c r="J29" s="501">
        <v>5</v>
      </c>
      <c r="K29" s="501">
        <v>6</v>
      </c>
      <c r="L29" s="498">
        <v>30</v>
      </c>
      <c r="M29" s="503"/>
      <c r="N29" s="503">
        <v>3</v>
      </c>
      <c r="O29" s="504">
        <v>1.5</v>
      </c>
      <c r="P29" s="492">
        <v>6</v>
      </c>
      <c r="Q29" s="505">
        <v>3935</v>
      </c>
      <c r="R29" s="493">
        <f t="shared" si="3"/>
        <v>3</v>
      </c>
      <c r="S29" s="493" t="s">
        <v>430</v>
      </c>
      <c r="T29" s="506">
        <f t="shared" si="5"/>
        <v>4562.6689050000004</v>
      </c>
      <c r="W29">
        <v>6</v>
      </c>
      <c r="X29" t="s">
        <v>430</v>
      </c>
      <c r="Y29" s="305">
        <v>4107006.5706310333</v>
      </c>
      <c r="AA29" s="508">
        <v>6</v>
      </c>
      <c r="AB29" s="509" t="s">
        <v>430</v>
      </c>
      <c r="AC29" s="510">
        <v>4087283.348094</v>
      </c>
      <c r="AE29">
        <v>6</v>
      </c>
      <c r="AF29" s="509" t="s">
        <v>430</v>
      </c>
      <c r="AG29" s="725">
        <v>4087283.348094</v>
      </c>
    </row>
    <row r="30" spans="2:33" ht="18" customHeight="1" thickBot="1" x14ac:dyDescent="0.3">
      <c r="B30" s="497"/>
      <c r="C30" s="498">
        <v>1</v>
      </c>
      <c r="D30" s="499" t="s">
        <v>522</v>
      </c>
      <c r="E30" s="499"/>
      <c r="F30" s="499"/>
      <c r="G30" s="500"/>
      <c r="H30" s="501">
        <v>5</v>
      </c>
      <c r="I30" s="501">
        <v>1</v>
      </c>
      <c r="J30" s="501">
        <v>5</v>
      </c>
      <c r="K30" s="501">
        <v>321</v>
      </c>
      <c r="L30" s="502">
        <v>1605</v>
      </c>
      <c r="M30" s="503"/>
      <c r="N30" s="503">
        <v>160.5</v>
      </c>
      <c r="O30" s="504">
        <v>80.3</v>
      </c>
      <c r="P30" s="492">
        <v>321</v>
      </c>
      <c r="Q30" s="505">
        <v>210497</v>
      </c>
      <c r="R30" s="493">
        <f t="shared" si="3"/>
        <v>1</v>
      </c>
      <c r="S30" s="493" t="s">
        <v>430</v>
      </c>
      <c r="T30" s="506">
        <f t="shared" si="5"/>
        <v>244109.40213700006</v>
      </c>
      <c r="W30">
        <v>6</v>
      </c>
      <c r="X30" t="s">
        <v>431</v>
      </c>
      <c r="Y30" s="305">
        <v>9789122.3894273136</v>
      </c>
      <c r="AA30" s="470">
        <v>6</v>
      </c>
      <c r="AB30" t="s">
        <v>431</v>
      </c>
      <c r="AC30" s="132">
        <v>9789122.3894273136</v>
      </c>
      <c r="AF30" t="s">
        <v>431</v>
      </c>
      <c r="AG30" s="435">
        <v>9789122.3894273136</v>
      </c>
    </row>
    <row r="31" spans="2:33" ht="15.75" customHeight="1" thickBot="1" x14ac:dyDescent="0.3">
      <c r="B31" s="497"/>
      <c r="C31" s="498">
        <v>7</v>
      </c>
      <c r="D31" s="499" t="s">
        <v>523</v>
      </c>
      <c r="E31" s="499"/>
      <c r="F31" s="499"/>
      <c r="G31" s="500"/>
      <c r="H31" s="501">
        <v>5</v>
      </c>
      <c r="I31" s="501">
        <v>1</v>
      </c>
      <c r="J31" s="501">
        <v>5</v>
      </c>
      <c r="K31" s="501">
        <v>33</v>
      </c>
      <c r="L31" s="498">
        <v>165</v>
      </c>
      <c r="M31" s="503"/>
      <c r="N31" s="503">
        <v>16.5</v>
      </c>
      <c r="O31" s="504">
        <v>8.3000000000000007</v>
      </c>
      <c r="P31" s="492">
        <v>33</v>
      </c>
      <c r="Q31" s="505">
        <v>21640</v>
      </c>
      <c r="R31" s="493">
        <f t="shared" si="3"/>
        <v>7</v>
      </c>
      <c r="S31" s="493" t="s">
        <v>430</v>
      </c>
      <c r="T31" s="506">
        <f t="shared" si="5"/>
        <v>25101.294697000001</v>
      </c>
      <c r="W31" t="s">
        <v>524</v>
      </c>
      <c r="X31"/>
      <c r="Y31" s="305">
        <v>13896128.960058346</v>
      </c>
      <c r="AA31" s="470" t="s">
        <v>524</v>
      </c>
      <c r="AC31" s="132">
        <v>13876405.737521313</v>
      </c>
      <c r="AE31" t="s">
        <v>524</v>
      </c>
      <c r="AG31" s="435">
        <v>13876405.737521313</v>
      </c>
    </row>
    <row r="32" spans="2:33" ht="18" customHeight="1" thickBot="1" x14ac:dyDescent="0.3">
      <c r="B32" s="497"/>
      <c r="C32" s="498">
        <v>8</v>
      </c>
      <c r="D32" s="499" t="s">
        <v>525</v>
      </c>
      <c r="E32" s="499"/>
      <c r="F32" s="499"/>
      <c r="G32" s="500"/>
      <c r="H32" s="501">
        <v>5</v>
      </c>
      <c r="I32" s="501">
        <v>1</v>
      </c>
      <c r="J32" s="501">
        <v>5</v>
      </c>
      <c r="K32" s="501">
        <v>141</v>
      </c>
      <c r="L32" s="498">
        <v>705</v>
      </c>
      <c r="M32" s="503"/>
      <c r="N32" s="503">
        <v>70.5</v>
      </c>
      <c r="O32" s="504">
        <v>35.299999999999997</v>
      </c>
      <c r="P32" s="492">
        <v>141</v>
      </c>
      <c r="Q32" s="505">
        <v>92461</v>
      </c>
      <c r="R32" s="493">
        <f t="shared" si="3"/>
        <v>8</v>
      </c>
      <c r="S32" s="493" t="s">
        <v>430</v>
      </c>
      <c r="T32" s="506">
        <f t="shared" si="5"/>
        <v>107229.33498700001</v>
      </c>
      <c r="W32">
        <v>7</v>
      </c>
      <c r="X32" t="s">
        <v>430</v>
      </c>
      <c r="Y32" s="305">
        <v>230119.92522979906</v>
      </c>
      <c r="AA32" s="508">
        <v>7</v>
      </c>
      <c r="AB32" s="509" t="s">
        <v>430</v>
      </c>
      <c r="AC32" s="510">
        <v>228977.08296200004</v>
      </c>
      <c r="AE32">
        <v>7</v>
      </c>
      <c r="AF32" s="509" t="s">
        <v>430</v>
      </c>
      <c r="AG32" s="725">
        <v>228977.08296200004</v>
      </c>
    </row>
    <row r="33" spans="2:33" ht="15.75" customHeight="1" thickBot="1" x14ac:dyDescent="0.3">
      <c r="B33" s="503"/>
      <c r="C33" s="511" t="s">
        <v>526</v>
      </c>
      <c r="D33" s="511"/>
      <c r="E33" s="511"/>
      <c r="F33" s="511"/>
      <c r="G33" s="512"/>
      <c r="H33" s="492"/>
      <c r="I33" s="492"/>
      <c r="J33" s="492"/>
      <c r="K33" s="492"/>
      <c r="L33" s="498"/>
      <c r="M33" s="503"/>
      <c r="N33" s="503"/>
      <c r="O33" s="504"/>
      <c r="P33" s="492"/>
      <c r="Q33" s="492"/>
      <c r="R33" s="493" t="str">
        <f t="shared" si="3"/>
        <v>B. Required Activities</v>
      </c>
      <c r="S33" s="493" t="s">
        <v>430</v>
      </c>
      <c r="W33">
        <v>7</v>
      </c>
      <c r="X33" t="s">
        <v>431</v>
      </c>
      <c r="Y33" s="305">
        <v>2058.502202643172</v>
      </c>
      <c r="AA33" s="470">
        <v>7</v>
      </c>
      <c r="AB33" t="s">
        <v>431</v>
      </c>
      <c r="AC33" s="132">
        <v>2058.502202643172</v>
      </c>
      <c r="AF33" t="s">
        <v>431</v>
      </c>
      <c r="AG33" s="435">
        <v>2058.502202643172</v>
      </c>
    </row>
    <row r="34" spans="2:33" ht="15.75" customHeight="1" thickBot="1" x14ac:dyDescent="0.3">
      <c r="B34" s="503"/>
      <c r="C34" s="513"/>
      <c r="D34" s="514" t="s">
        <v>527</v>
      </c>
      <c r="E34" s="514"/>
      <c r="F34" s="514"/>
      <c r="G34" s="515"/>
      <c r="H34" s="492"/>
      <c r="I34" s="492"/>
      <c r="J34" s="492"/>
      <c r="K34" s="492"/>
      <c r="L34" s="498"/>
      <c r="M34" s="503"/>
      <c r="N34" s="503"/>
      <c r="O34" s="504"/>
      <c r="P34" s="492"/>
      <c r="Q34" s="492"/>
      <c r="R34" s="493">
        <f t="shared" si="3"/>
        <v>0</v>
      </c>
      <c r="S34" s="493" t="s">
        <v>430</v>
      </c>
      <c r="W34" t="s">
        <v>528</v>
      </c>
      <c r="X34"/>
      <c r="Y34" s="305">
        <v>232178.42743244223</v>
      </c>
      <c r="AA34" s="470" t="s">
        <v>528</v>
      </c>
      <c r="AC34" s="132">
        <v>231035.58516464321</v>
      </c>
      <c r="AE34" t="s">
        <v>528</v>
      </c>
      <c r="AG34" s="435">
        <v>231035.58516464321</v>
      </c>
    </row>
    <row r="35" spans="2:33" ht="18" customHeight="1" thickBot="1" x14ac:dyDescent="0.3">
      <c r="B35" s="503"/>
      <c r="C35" s="513"/>
      <c r="D35" s="516"/>
      <c r="E35" s="517" t="s">
        <v>529</v>
      </c>
      <c r="F35" s="517"/>
      <c r="G35" s="518"/>
      <c r="H35" s="492"/>
      <c r="I35" s="492"/>
      <c r="J35" s="492"/>
      <c r="K35" s="492"/>
      <c r="L35" s="498"/>
      <c r="M35" s="503"/>
      <c r="N35" s="503"/>
      <c r="O35" s="504"/>
      <c r="P35" s="492"/>
      <c r="Q35" s="492"/>
      <c r="R35" s="493">
        <f t="shared" si="3"/>
        <v>0</v>
      </c>
      <c r="S35" s="493" t="s">
        <v>430</v>
      </c>
      <c r="W35">
        <v>8</v>
      </c>
      <c r="X35" t="s">
        <v>430</v>
      </c>
      <c r="Y35" s="305">
        <v>504421.66099931608</v>
      </c>
      <c r="AA35" s="508">
        <v>8</v>
      </c>
      <c r="AB35" s="509" t="s">
        <v>430</v>
      </c>
      <c r="AC35" s="510">
        <v>501344.47563800006</v>
      </c>
      <c r="AE35">
        <v>8</v>
      </c>
      <c r="AF35" s="509" t="s">
        <v>430</v>
      </c>
      <c r="AG35" s="725">
        <v>501344.47563800006</v>
      </c>
    </row>
    <row r="36" spans="2:33" ht="15.75" thickBot="1" x14ac:dyDescent="0.3">
      <c r="B36" s="497"/>
      <c r="C36" s="513">
        <v>5</v>
      </c>
      <c r="D36" s="513"/>
      <c r="E36" s="499"/>
      <c r="F36" s="499"/>
      <c r="G36" s="492" t="s">
        <v>530</v>
      </c>
      <c r="H36" s="501">
        <v>1</v>
      </c>
      <c r="I36" s="501">
        <v>1.3</v>
      </c>
      <c r="J36" s="501">
        <v>1.25</v>
      </c>
      <c r="K36" s="501">
        <v>4</v>
      </c>
      <c r="L36" s="498">
        <v>5</v>
      </c>
      <c r="M36" s="503"/>
      <c r="N36" s="503">
        <v>0.5</v>
      </c>
      <c r="O36" s="504">
        <v>0.3</v>
      </c>
      <c r="P36" s="492"/>
      <c r="Q36" s="505">
        <v>544</v>
      </c>
      <c r="R36" s="493">
        <f t="shared" si="3"/>
        <v>5</v>
      </c>
      <c r="S36" s="493" t="s">
        <v>430</v>
      </c>
      <c r="T36" s="506">
        <f>L36*$L$1+M36*$M$1+N36*$N$1+$O36*O$1+P36*$P$1</f>
        <v>652.263327</v>
      </c>
      <c r="U36" s="53"/>
      <c r="V36" s="507"/>
      <c r="W36">
        <v>8</v>
      </c>
      <c r="X36" t="s">
        <v>431</v>
      </c>
      <c r="Y36" s="305">
        <v>8795.4185022026431</v>
      </c>
      <c r="AA36" s="470">
        <v>8</v>
      </c>
      <c r="AB36" t="s">
        <v>431</v>
      </c>
      <c r="AC36" s="132">
        <v>8795.4185022026431</v>
      </c>
      <c r="AF36" t="s">
        <v>431</v>
      </c>
      <c r="AG36" s="435">
        <v>8795.4185022026431</v>
      </c>
    </row>
    <row r="37" spans="2:33" ht="15.75" thickBot="1" x14ac:dyDescent="0.3">
      <c r="B37" s="497"/>
      <c r="C37" s="513">
        <v>9</v>
      </c>
      <c r="D37" s="513"/>
      <c r="E37" s="499"/>
      <c r="F37" s="499"/>
      <c r="G37" s="498" t="s">
        <v>531</v>
      </c>
      <c r="H37" s="519">
        <v>1</v>
      </c>
      <c r="I37" s="501">
        <v>0</v>
      </c>
      <c r="J37" s="501">
        <v>0</v>
      </c>
      <c r="K37" s="501">
        <v>0</v>
      </c>
      <c r="L37" s="498"/>
      <c r="M37" s="503"/>
      <c r="N37" s="503"/>
      <c r="O37" s="504"/>
      <c r="P37" s="492"/>
      <c r="Q37" s="505">
        <v>0</v>
      </c>
      <c r="R37" s="493">
        <f t="shared" si="3"/>
        <v>9</v>
      </c>
      <c r="S37" s="493" t="s">
        <v>430</v>
      </c>
      <c r="T37" s="506"/>
      <c r="W37" t="s">
        <v>532</v>
      </c>
      <c r="X37"/>
      <c r="Y37" s="305">
        <v>513217.07950151875</v>
      </c>
      <c r="AA37" s="470" t="s">
        <v>532</v>
      </c>
      <c r="AC37" s="132">
        <v>510139.89414020273</v>
      </c>
      <c r="AE37" t="s">
        <v>532</v>
      </c>
      <c r="AG37" s="435">
        <v>510139.89414020273</v>
      </c>
    </row>
    <row r="38" spans="2:33" ht="15.75" thickBot="1" x14ac:dyDescent="0.3">
      <c r="B38" s="497"/>
      <c r="C38" s="513">
        <v>1</v>
      </c>
      <c r="D38" s="513"/>
      <c r="E38" s="499"/>
      <c r="F38" s="499"/>
      <c r="G38" s="498" t="s">
        <v>533</v>
      </c>
      <c r="H38" s="519">
        <v>1</v>
      </c>
      <c r="I38" s="501">
        <v>0</v>
      </c>
      <c r="J38" s="501">
        <v>0</v>
      </c>
      <c r="K38" s="501">
        <v>0</v>
      </c>
      <c r="L38" s="498"/>
      <c r="M38" s="503"/>
      <c r="N38" s="503"/>
      <c r="O38" s="504"/>
      <c r="P38" s="492"/>
      <c r="Q38" s="505">
        <v>0</v>
      </c>
      <c r="R38" s="493">
        <f t="shared" si="3"/>
        <v>1</v>
      </c>
      <c r="S38" s="493" t="s">
        <v>430</v>
      </c>
      <c r="T38" s="506"/>
      <c r="W38">
        <v>9</v>
      </c>
      <c r="X38" t="s">
        <v>430</v>
      </c>
      <c r="Y38" s="305">
        <v>16594756.073970377</v>
      </c>
      <c r="AA38" s="508">
        <v>9</v>
      </c>
      <c r="AB38" s="509" t="s">
        <v>430</v>
      </c>
      <c r="AC38" s="510">
        <v>16531519.786516</v>
      </c>
      <c r="AE38">
        <v>9</v>
      </c>
      <c r="AF38" s="509" t="s">
        <v>430</v>
      </c>
      <c r="AG38" s="725">
        <v>16531519.786516</v>
      </c>
    </row>
    <row r="39" spans="2:33" ht="15.75" customHeight="1" thickBot="1" x14ac:dyDescent="0.3">
      <c r="B39" s="503"/>
      <c r="C39" s="513"/>
      <c r="D39" s="513"/>
      <c r="E39" s="517" t="s">
        <v>534</v>
      </c>
      <c r="F39" s="517"/>
      <c r="G39" s="518"/>
      <c r="H39" s="492"/>
      <c r="I39" s="492"/>
      <c r="J39" s="492"/>
      <c r="K39" s="492"/>
      <c r="L39" s="498"/>
      <c r="M39" s="503"/>
      <c r="N39" s="503"/>
      <c r="O39" s="504"/>
      <c r="P39" s="492"/>
      <c r="Q39" s="492"/>
      <c r="R39" s="493">
        <f t="shared" si="3"/>
        <v>0</v>
      </c>
      <c r="S39" s="493" t="s">
        <v>430</v>
      </c>
      <c r="W39">
        <v>9</v>
      </c>
      <c r="X39" t="s">
        <v>431</v>
      </c>
      <c r="Y39" s="305">
        <v>168734.80176211451</v>
      </c>
      <c r="AA39" s="470">
        <v>9</v>
      </c>
      <c r="AB39" t="s">
        <v>431</v>
      </c>
      <c r="AC39" s="132">
        <v>168734.80176211451</v>
      </c>
      <c r="AF39" t="s">
        <v>431</v>
      </c>
      <c r="AG39" s="435">
        <v>168734.80176211451</v>
      </c>
    </row>
    <row r="40" spans="2:33" ht="15.75" thickBot="1" x14ac:dyDescent="0.3">
      <c r="B40" s="497"/>
      <c r="C40" s="513">
        <v>5</v>
      </c>
      <c r="D40" s="513"/>
      <c r="E40" s="499"/>
      <c r="F40" s="499"/>
      <c r="G40" s="492" t="s">
        <v>535</v>
      </c>
      <c r="H40" s="501">
        <v>0.67</v>
      </c>
      <c r="I40" s="501">
        <v>1.4</v>
      </c>
      <c r="J40" s="501">
        <v>0.93</v>
      </c>
      <c r="K40" s="501">
        <v>61</v>
      </c>
      <c r="L40" s="498">
        <v>56.9</v>
      </c>
      <c r="M40" s="503"/>
      <c r="N40" s="503">
        <v>5.7</v>
      </c>
      <c r="O40" s="504">
        <v>2.8</v>
      </c>
      <c r="P40" s="492"/>
      <c r="Q40" s="505">
        <v>6189</v>
      </c>
      <c r="R40" s="493">
        <f t="shared" si="3"/>
        <v>5</v>
      </c>
      <c r="S40" s="493" t="s">
        <v>430</v>
      </c>
      <c r="T40" s="506">
        <f>L40*$L$1+M40*$M$1+N40*$N$1+$O40*O$1+P40*$P$1</f>
        <v>7342.7502160000004</v>
      </c>
      <c r="U40" s="53"/>
      <c r="V40" s="507"/>
      <c r="W40" t="s">
        <v>536</v>
      </c>
      <c r="X40"/>
      <c r="Y40" s="305">
        <v>16763490.875732493</v>
      </c>
      <c r="AA40" s="470" t="s">
        <v>536</v>
      </c>
      <c r="AC40" s="132">
        <v>16700254.588278115</v>
      </c>
      <c r="AE40" t="s">
        <v>536</v>
      </c>
      <c r="AG40" s="435">
        <v>16700254.588278115</v>
      </c>
    </row>
    <row r="41" spans="2:33" ht="15.75" thickBot="1" x14ac:dyDescent="0.3">
      <c r="B41" s="497"/>
      <c r="C41" s="513">
        <v>9</v>
      </c>
      <c r="D41" s="513"/>
      <c r="E41" s="499"/>
      <c r="F41" s="499"/>
      <c r="G41" s="498" t="s">
        <v>537</v>
      </c>
      <c r="H41" s="519">
        <v>0.67</v>
      </c>
      <c r="I41" s="501">
        <v>0</v>
      </c>
      <c r="J41" s="501">
        <v>0</v>
      </c>
      <c r="K41" s="501">
        <v>0</v>
      </c>
      <c r="L41" s="498"/>
      <c r="M41" s="503"/>
      <c r="N41" s="503"/>
      <c r="O41" s="504"/>
      <c r="P41" s="492"/>
      <c r="Q41" s="505">
        <v>0</v>
      </c>
      <c r="R41" s="493">
        <f t="shared" si="3"/>
        <v>9</v>
      </c>
      <c r="S41" s="493" t="s">
        <v>430</v>
      </c>
      <c r="T41" s="506">
        <f>L41*$L$1+M41*$M$1+N41*$N$1+$O41*O$1+P41*$P$1</f>
        <v>0</v>
      </c>
      <c r="W41">
        <v>10</v>
      </c>
      <c r="X41" t="s">
        <v>430</v>
      </c>
      <c r="Y41" s="305">
        <v>348130.27632092551</v>
      </c>
      <c r="AA41" s="508">
        <v>10</v>
      </c>
      <c r="AB41" s="509" t="s">
        <v>430</v>
      </c>
      <c r="AC41" s="510">
        <v>346407.33480600006</v>
      </c>
      <c r="AE41">
        <v>10</v>
      </c>
      <c r="AF41" s="509" t="s">
        <v>430</v>
      </c>
      <c r="AG41" s="725">
        <v>346407.33480600006</v>
      </c>
    </row>
    <row r="42" spans="2:33" ht="15.75" thickBot="1" x14ac:dyDescent="0.3">
      <c r="B42" s="497"/>
      <c r="C42" s="513">
        <v>1</v>
      </c>
      <c r="D42" s="513"/>
      <c r="E42" s="499"/>
      <c r="F42" s="499"/>
      <c r="G42" s="498" t="s">
        <v>538</v>
      </c>
      <c r="H42" s="519">
        <v>0.67</v>
      </c>
      <c r="I42" s="501">
        <v>11</v>
      </c>
      <c r="J42" s="501">
        <v>7.33</v>
      </c>
      <c r="K42" s="501">
        <v>11</v>
      </c>
      <c r="L42" s="498">
        <v>80.7</v>
      </c>
      <c r="M42" s="503"/>
      <c r="N42" s="503">
        <v>8.1</v>
      </c>
      <c r="O42" s="504">
        <v>4</v>
      </c>
      <c r="P42" s="492"/>
      <c r="Q42" s="505">
        <v>8769</v>
      </c>
      <c r="R42" s="493">
        <f t="shared" si="3"/>
        <v>1</v>
      </c>
      <c r="S42" s="493" t="s">
        <v>430</v>
      </c>
      <c r="T42" s="506">
        <f>L42*$L$1+M42*$M$1+N42*$N$1+$O42*O$1+P42*$P$1</f>
        <v>10419.825151999999</v>
      </c>
      <c r="W42">
        <v>10</v>
      </c>
      <c r="X42" t="s">
        <v>431</v>
      </c>
      <c r="Y42" s="305">
        <v>1654133.7726872247</v>
      </c>
      <c r="AA42" s="470">
        <v>10</v>
      </c>
      <c r="AB42" t="s">
        <v>431</v>
      </c>
      <c r="AC42" s="132">
        <v>1654133.7726872247</v>
      </c>
      <c r="AF42" t="s">
        <v>431</v>
      </c>
      <c r="AG42" s="435">
        <v>1654133.7726872247</v>
      </c>
    </row>
    <row r="43" spans="2:33" ht="15.75" customHeight="1" thickBot="1" x14ac:dyDescent="0.3">
      <c r="B43" s="503"/>
      <c r="C43" s="513"/>
      <c r="D43" s="513"/>
      <c r="E43" s="517" t="s">
        <v>539</v>
      </c>
      <c r="F43" s="517"/>
      <c r="G43" s="518"/>
      <c r="H43" s="492"/>
      <c r="I43" s="492"/>
      <c r="J43" s="492"/>
      <c r="K43" s="492"/>
      <c r="L43" s="498"/>
      <c r="M43" s="503"/>
      <c r="N43" s="503"/>
      <c r="O43" s="504"/>
      <c r="P43" s="492"/>
      <c r="Q43" s="492"/>
      <c r="R43" s="493">
        <f t="shared" si="3"/>
        <v>0</v>
      </c>
      <c r="S43" s="493" t="s">
        <v>430</v>
      </c>
      <c r="W43" t="s">
        <v>540</v>
      </c>
      <c r="X43"/>
      <c r="Y43" s="305">
        <v>2002264.0490081501</v>
      </c>
      <c r="AA43" s="470" t="s">
        <v>540</v>
      </c>
      <c r="AC43" s="132">
        <v>2000541.1074932248</v>
      </c>
      <c r="AE43" t="s">
        <v>540</v>
      </c>
      <c r="AG43" s="435">
        <v>2000541.1074932248</v>
      </c>
    </row>
    <row r="44" spans="2:33" ht="15.75" thickBot="1" x14ac:dyDescent="0.3">
      <c r="B44" s="497"/>
      <c r="C44" s="513">
        <v>5</v>
      </c>
      <c r="D44" s="513"/>
      <c r="E44" s="499"/>
      <c r="F44" s="499"/>
      <c r="G44" s="492" t="s">
        <v>541</v>
      </c>
      <c r="H44" s="501">
        <v>0.17</v>
      </c>
      <c r="I44" s="501">
        <v>1.4</v>
      </c>
      <c r="J44" s="501">
        <v>0.23</v>
      </c>
      <c r="K44" s="501">
        <v>110</v>
      </c>
      <c r="L44" s="498">
        <v>25.7</v>
      </c>
      <c r="M44" s="503"/>
      <c r="N44" s="503">
        <v>2.6</v>
      </c>
      <c r="O44" s="504">
        <v>1.3</v>
      </c>
      <c r="P44" s="492"/>
      <c r="Q44" s="505">
        <v>2790</v>
      </c>
      <c r="R44" s="493">
        <f t="shared" si="3"/>
        <v>5</v>
      </c>
      <c r="S44" s="493" t="s">
        <v>430</v>
      </c>
      <c r="T44" s="506">
        <f t="shared" ref="T44:T46" si="6">L44*$L$1+M44*$M$1+N44*$N$1+$O44*O$1+P44*$P$1</f>
        <v>3324.3171890000003</v>
      </c>
      <c r="U44" s="53"/>
      <c r="V44" s="507"/>
      <c r="W44" t="s">
        <v>542</v>
      </c>
      <c r="X44" t="s">
        <v>430</v>
      </c>
      <c r="Y44" s="305"/>
      <c r="AE44" t="s">
        <v>542</v>
      </c>
      <c r="AF44" t="s">
        <v>430</v>
      </c>
      <c r="AG44" s="435"/>
    </row>
    <row r="45" spans="2:33" ht="15.75" thickBot="1" x14ac:dyDescent="0.3">
      <c r="B45" s="497"/>
      <c r="C45" s="513">
        <v>9</v>
      </c>
      <c r="D45" s="513"/>
      <c r="E45" s="499"/>
      <c r="F45" s="499"/>
      <c r="G45" s="498" t="s">
        <v>543</v>
      </c>
      <c r="H45" s="519">
        <v>0.17</v>
      </c>
      <c r="I45" s="501">
        <v>3.2</v>
      </c>
      <c r="J45" s="501">
        <v>0.53</v>
      </c>
      <c r="K45" s="501">
        <v>10</v>
      </c>
      <c r="L45" s="498">
        <v>5.3</v>
      </c>
      <c r="M45" s="503"/>
      <c r="N45" s="503">
        <v>0.5</v>
      </c>
      <c r="O45" s="504">
        <v>0.3</v>
      </c>
      <c r="P45" s="492"/>
      <c r="Q45" s="505">
        <v>580</v>
      </c>
      <c r="R45" s="493">
        <f t="shared" si="3"/>
        <v>9</v>
      </c>
      <c r="S45" s="493" t="s">
        <v>430</v>
      </c>
      <c r="T45" s="506">
        <f t="shared" si="6"/>
        <v>685.31369699999993</v>
      </c>
      <c r="W45" t="s">
        <v>544</v>
      </c>
      <c r="X45"/>
      <c r="Y45" s="305"/>
      <c r="AE45" t="s">
        <v>544</v>
      </c>
      <c r="AG45" s="435"/>
    </row>
    <row r="46" spans="2:33" ht="15.75" thickBot="1" x14ac:dyDescent="0.3">
      <c r="B46" s="497"/>
      <c r="C46" s="513">
        <v>1</v>
      </c>
      <c r="D46" s="513"/>
      <c r="E46" s="499"/>
      <c r="F46" s="499"/>
      <c r="G46" s="498" t="s">
        <v>545</v>
      </c>
      <c r="H46" s="519">
        <v>0.17</v>
      </c>
      <c r="I46" s="501">
        <v>3</v>
      </c>
      <c r="J46" s="501">
        <v>0.5</v>
      </c>
      <c r="K46" s="501">
        <v>25</v>
      </c>
      <c r="L46" s="498">
        <v>12.5</v>
      </c>
      <c r="M46" s="503"/>
      <c r="N46" s="503">
        <v>1.3</v>
      </c>
      <c r="O46" s="504">
        <v>0.6</v>
      </c>
      <c r="P46" s="492"/>
      <c r="Q46" s="505">
        <v>1359</v>
      </c>
      <c r="R46" s="493">
        <f t="shared" si="3"/>
        <v>1</v>
      </c>
      <c r="S46" s="493" t="s">
        <v>430</v>
      </c>
      <c r="T46" s="506">
        <f t="shared" si="6"/>
        <v>1616.9841100000001</v>
      </c>
      <c r="W46" t="s">
        <v>511</v>
      </c>
      <c r="X46" t="s">
        <v>430</v>
      </c>
      <c r="Y46" s="305"/>
      <c r="AE46" t="s">
        <v>511</v>
      </c>
      <c r="AF46" t="s">
        <v>430</v>
      </c>
      <c r="AG46" s="435"/>
    </row>
    <row r="47" spans="2:33" ht="18" customHeight="1" thickBot="1" x14ac:dyDescent="0.3">
      <c r="B47" s="503"/>
      <c r="C47" s="498"/>
      <c r="D47" s="498"/>
      <c r="E47" s="517" t="s">
        <v>546</v>
      </c>
      <c r="F47" s="517"/>
      <c r="G47" s="518"/>
      <c r="H47" s="492"/>
      <c r="I47" s="492"/>
      <c r="J47" s="492"/>
      <c r="K47" s="492"/>
      <c r="L47" s="498"/>
      <c r="M47" s="503"/>
      <c r="N47" s="503"/>
      <c r="O47" s="504"/>
      <c r="P47" s="492"/>
      <c r="Q47" s="492"/>
      <c r="R47" s="493">
        <f t="shared" si="3"/>
        <v>0</v>
      </c>
      <c r="S47" s="493" t="s">
        <v>430</v>
      </c>
      <c r="W47" t="s">
        <v>547</v>
      </c>
      <c r="X47"/>
      <c r="Y47" s="305"/>
      <c r="AE47" t="s">
        <v>547</v>
      </c>
      <c r="AG47" s="435"/>
    </row>
    <row r="48" spans="2:33" ht="15.75" thickBot="1" x14ac:dyDescent="0.3">
      <c r="B48" s="497"/>
      <c r="C48" s="513">
        <v>5</v>
      </c>
      <c r="D48" s="498"/>
      <c r="E48" s="499"/>
      <c r="F48" s="499"/>
      <c r="G48" s="492" t="s">
        <v>548</v>
      </c>
      <c r="H48" s="501">
        <v>0.42</v>
      </c>
      <c r="I48" s="501">
        <v>1.6</v>
      </c>
      <c r="J48" s="501">
        <v>0.67</v>
      </c>
      <c r="K48" s="520">
        <v>76</v>
      </c>
      <c r="L48" s="492">
        <v>50.7</v>
      </c>
      <c r="M48" s="498"/>
      <c r="N48" s="503">
        <v>5.0999999999999996</v>
      </c>
      <c r="O48" s="504">
        <v>2.5</v>
      </c>
      <c r="P48" s="492"/>
      <c r="Q48" s="505">
        <v>5508</v>
      </c>
      <c r="R48" s="493">
        <f t="shared" si="3"/>
        <v>5</v>
      </c>
      <c r="S48" s="493" t="s">
        <v>430</v>
      </c>
      <c r="T48" s="506">
        <f t="shared" ref="T48:T50" si="7">L48*$L$1+M48*$M$1+N48*$N$1+$O48*O$1+P48*$P$1</f>
        <v>6545.939507000001</v>
      </c>
      <c r="U48" s="53"/>
      <c r="V48" s="507"/>
      <c r="W48" t="s">
        <v>549</v>
      </c>
      <c r="X48" t="s">
        <v>431</v>
      </c>
      <c r="Y48" s="305">
        <v>0</v>
      </c>
      <c r="AE48" t="s">
        <v>549</v>
      </c>
      <c r="AF48" t="s">
        <v>431</v>
      </c>
      <c r="AG48" s="435">
        <v>0</v>
      </c>
    </row>
    <row r="49" spans="2:33" ht="15.75" thickBot="1" x14ac:dyDescent="0.3">
      <c r="B49" s="497"/>
      <c r="C49" s="513">
        <v>9</v>
      </c>
      <c r="D49" s="498"/>
      <c r="E49" s="499"/>
      <c r="F49" s="499"/>
      <c r="G49" s="498" t="s">
        <v>550</v>
      </c>
      <c r="H49" s="519">
        <v>0.42</v>
      </c>
      <c r="I49" s="501">
        <v>1.3</v>
      </c>
      <c r="J49" s="501">
        <v>0.54</v>
      </c>
      <c r="K49" s="520">
        <v>6</v>
      </c>
      <c r="L49" s="492">
        <v>3.3</v>
      </c>
      <c r="M49" s="498"/>
      <c r="N49" s="503">
        <v>0.3</v>
      </c>
      <c r="O49" s="504">
        <v>0.2</v>
      </c>
      <c r="P49" s="492"/>
      <c r="Q49" s="505">
        <v>353</v>
      </c>
      <c r="R49" s="493">
        <f t="shared" si="3"/>
        <v>9</v>
      </c>
      <c r="S49" s="493" t="s">
        <v>430</v>
      </c>
      <c r="T49" s="506">
        <f t="shared" si="7"/>
        <v>427.05465399999997</v>
      </c>
      <c r="W49" t="s">
        <v>551</v>
      </c>
      <c r="X49"/>
      <c r="Y49" s="305">
        <v>0</v>
      </c>
      <c r="AE49" t="s">
        <v>551</v>
      </c>
      <c r="AG49" s="435">
        <v>0</v>
      </c>
    </row>
    <row r="50" spans="2:33" ht="15.75" thickBot="1" x14ac:dyDescent="0.3">
      <c r="B50" s="497"/>
      <c r="C50" s="513">
        <v>1</v>
      </c>
      <c r="D50" s="498"/>
      <c r="E50" s="499"/>
      <c r="F50" s="499"/>
      <c r="G50" s="498" t="s">
        <v>552</v>
      </c>
      <c r="H50" s="519">
        <v>0.42</v>
      </c>
      <c r="I50" s="501">
        <v>2</v>
      </c>
      <c r="J50" s="501">
        <v>0.83</v>
      </c>
      <c r="K50" s="501">
        <v>21</v>
      </c>
      <c r="L50" s="492">
        <v>17.5</v>
      </c>
      <c r="M50" s="498"/>
      <c r="N50" s="503">
        <v>1.8</v>
      </c>
      <c r="O50" s="504">
        <v>0.9</v>
      </c>
      <c r="P50" s="492"/>
      <c r="Q50" s="505">
        <v>1902</v>
      </c>
      <c r="R50" s="493">
        <f t="shared" si="3"/>
        <v>1</v>
      </c>
      <c r="S50" s="493" t="s">
        <v>430</v>
      </c>
      <c r="T50" s="506">
        <f t="shared" si="7"/>
        <v>2269.247437</v>
      </c>
      <c r="W50" t="s">
        <v>553</v>
      </c>
      <c r="X50" t="s">
        <v>430</v>
      </c>
      <c r="Y50" s="305"/>
      <c r="AE50" t="s">
        <v>553</v>
      </c>
      <c r="AF50" t="s">
        <v>430</v>
      </c>
      <c r="AG50" s="435"/>
    </row>
    <row r="51" spans="2:33" ht="15.75" customHeight="1" thickBot="1" x14ac:dyDescent="0.3">
      <c r="B51" s="503"/>
      <c r="C51" s="513"/>
      <c r="D51" s="514" t="s">
        <v>554</v>
      </c>
      <c r="E51" s="514"/>
      <c r="F51" s="514"/>
      <c r="G51" s="515"/>
      <c r="H51" s="492"/>
      <c r="I51" s="492"/>
      <c r="J51" s="492"/>
      <c r="K51" s="492"/>
      <c r="L51" s="498"/>
      <c r="M51" s="503"/>
      <c r="N51" s="503"/>
      <c r="O51" s="504"/>
      <c r="P51" s="492"/>
      <c r="Q51" s="492"/>
      <c r="R51" s="493">
        <f t="shared" si="3"/>
        <v>0</v>
      </c>
      <c r="S51" s="493" t="s">
        <v>430</v>
      </c>
      <c r="W51" t="s">
        <v>555</v>
      </c>
      <c r="X51"/>
      <c r="Y51" s="305"/>
      <c r="AE51" t="s">
        <v>555</v>
      </c>
      <c r="AG51" s="435"/>
    </row>
    <row r="52" spans="2:33" ht="18" customHeight="1" thickBot="1" x14ac:dyDescent="0.3">
      <c r="B52" s="503"/>
      <c r="C52" s="498"/>
      <c r="D52" s="498"/>
      <c r="E52" s="517" t="s">
        <v>556</v>
      </c>
      <c r="F52" s="517"/>
      <c r="G52" s="521"/>
      <c r="H52" s="504"/>
      <c r="I52" s="492"/>
      <c r="J52" s="492"/>
      <c r="K52" s="492"/>
      <c r="L52" s="498"/>
      <c r="M52" s="503"/>
      <c r="N52" s="503"/>
      <c r="O52" s="504"/>
      <c r="P52" s="492"/>
      <c r="Q52" s="492"/>
      <c r="R52" s="493">
        <f t="shared" si="3"/>
        <v>0</v>
      </c>
      <c r="S52" s="493" t="s">
        <v>430</v>
      </c>
      <c r="W52" t="s">
        <v>526</v>
      </c>
      <c r="X52" t="s">
        <v>430</v>
      </c>
      <c r="Y52" s="305"/>
      <c r="AE52" t="s">
        <v>526</v>
      </c>
      <c r="AF52" t="s">
        <v>430</v>
      </c>
      <c r="AG52" s="435"/>
    </row>
    <row r="53" spans="2:33" ht="15.75" thickBot="1" x14ac:dyDescent="0.3">
      <c r="B53" s="497"/>
      <c r="C53" s="498">
        <v>5</v>
      </c>
      <c r="D53" s="498"/>
      <c r="E53" s="499"/>
      <c r="F53" s="499"/>
      <c r="G53" s="492" t="s">
        <v>557</v>
      </c>
      <c r="H53" s="501">
        <v>4</v>
      </c>
      <c r="I53" s="501">
        <v>1</v>
      </c>
      <c r="J53" s="501">
        <v>4</v>
      </c>
      <c r="K53" s="501">
        <v>449</v>
      </c>
      <c r="L53" s="502">
        <v>1796</v>
      </c>
      <c r="M53" s="503"/>
      <c r="N53" s="503">
        <v>179.6</v>
      </c>
      <c r="O53" s="504">
        <v>89.8</v>
      </c>
      <c r="P53" s="492"/>
      <c r="Q53" s="505">
        <v>195234</v>
      </c>
      <c r="R53" s="493">
        <f t="shared" si="3"/>
        <v>5</v>
      </c>
      <c r="S53" s="493" t="s">
        <v>430</v>
      </c>
      <c r="T53" s="506">
        <f t="shared" ref="T53:T60" si="8">L53*$L$1+M53*$M$1+N53*$N$1+$O53*O$1+P53*$P$1</f>
        <v>231916.62061400001</v>
      </c>
      <c r="U53" s="53"/>
      <c r="V53" s="507"/>
      <c r="W53" t="s">
        <v>558</v>
      </c>
      <c r="X53"/>
      <c r="Y53" s="305"/>
      <c r="AE53" t="s">
        <v>558</v>
      </c>
      <c r="AG53" s="435"/>
    </row>
    <row r="54" spans="2:33" ht="15.75" thickBot="1" x14ac:dyDescent="0.3">
      <c r="B54" s="497"/>
      <c r="C54" s="498">
        <v>6</v>
      </c>
      <c r="D54" s="498"/>
      <c r="E54" s="499"/>
      <c r="F54" s="499"/>
      <c r="G54" s="492" t="s">
        <v>559</v>
      </c>
      <c r="H54" s="501">
        <v>4</v>
      </c>
      <c r="I54" s="501">
        <v>1</v>
      </c>
      <c r="J54" s="501">
        <v>4</v>
      </c>
      <c r="K54" s="501">
        <v>532</v>
      </c>
      <c r="L54" s="502">
        <v>2128</v>
      </c>
      <c r="M54" s="503"/>
      <c r="N54" s="503">
        <v>212.8</v>
      </c>
      <c r="O54" s="504">
        <v>106.4</v>
      </c>
      <c r="P54" s="492"/>
      <c r="Q54" s="505">
        <v>231324</v>
      </c>
      <c r="R54" s="493">
        <f t="shared" si="3"/>
        <v>6</v>
      </c>
      <c r="S54" s="493" t="s">
        <v>430</v>
      </c>
      <c r="T54" s="506">
        <f t="shared" si="8"/>
        <v>274787.62175200001</v>
      </c>
      <c r="W54" t="s">
        <v>560</v>
      </c>
      <c r="X54" t="s">
        <v>430</v>
      </c>
      <c r="Y54" s="305"/>
      <c r="AE54" t="s">
        <v>560</v>
      </c>
      <c r="AF54" t="s">
        <v>430</v>
      </c>
      <c r="AG54" s="435"/>
    </row>
    <row r="55" spans="2:33" ht="15.75" thickBot="1" x14ac:dyDescent="0.3">
      <c r="B55" s="497"/>
      <c r="C55" s="498">
        <v>10</v>
      </c>
      <c r="D55" s="498"/>
      <c r="E55" s="499"/>
      <c r="F55" s="499"/>
      <c r="G55" s="492" t="s">
        <v>561</v>
      </c>
      <c r="H55" s="501">
        <v>4</v>
      </c>
      <c r="I55" s="501">
        <v>1</v>
      </c>
      <c r="J55" s="501">
        <v>4</v>
      </c>
      <c r="K55" s="501">
        <v>48</v>
      </c>
      <c r="L55" s="498">
        <v>192</v>
      </c>
      <c r="M55" s="503"/>
      <c r="N55" s="503">
        <v>19.2</v>
      </c>
      <c r="O55" s="504">
        <v>9.6</v>
      </c>
      <c r="P55" s="492"/>
      <c r="Q55" s="505">
        <v>20871</v>
      </c>
      <c r="R55" s="493">
        <f t="shared" si="3"/>
        <v>10</v>
      </c>
      <c r="S55" s="493" t="s">
        <v>430</v>
      </c>
      <c r="T55" s="506">
        <f t="shared" si="8"/>
        <v>24792.868127999998</v>
      </c>
      <c r="W55" t="s">
        <v>562</v>
      </c>
      <c r="X55"/>
      <c r="Y55" s="305"/>
      <c r="AE55" t="s">
        <v>562</v>
      </c>
      <c r="AG55" s="435"/>
    </row>
    <row r="56" spans="2:33" ht="15.75" thickBot="1" x14ac:dyDescent="0.3">
      <c r="B56" s="497"/>
      <c r="C56" s="498">
        <v>2</v>
      </c>
      <c r="D56" s="498"/>
      <c r="E56" s="499"/>
      <c r="F56" s="499"/>
      <c r="G56" s="492" t="s">
        <v>563</v>
      </c>
      <c r="H56" s="501">
        <v>4</v>
      </c>
      <c r="I56" s="501">
        <v>1</v>
      </c>
      <c r="J56" s="501">
        <v>4</v>
      </c>
      <c r="K56" s="501">
        <v>6</v>
      </c>
      <c r="L56" s="498">
        <v>24</v>
      </c>
      <c r="M56" s="503"/>
      <c r="N56" s="503">
        <v>2.4</v>
      </c>
      <c r="O56" s="504">
        <v>1.2</v>
      </c>
      <c r="P56" s="492"/>
      <c r="Q56" s="505">
        <v>2609</v>
      </c>
      <c r="R56" s="493">
        <f t="shared" si="3"/>
        <v>2</v>
      </c>
      <c r="S56" s="493" t="s">
        <v>430</v>
      </c>
      <c r="T56" s="506">
        <f t="shared" si="8"/>
        <v>3099.1085159999998</v>
      </c>
      <c r="W56" t="s">
        <v>564</v>
      </c>
      <c r="X56" t="s">
        <v>430</v>
      </c>
      <c r="Y56" s="305"/>
      <c r="AE56" t="s">
        <v>564</v>
      </c>
      <c r="AF56" t="s">
        <v>430</v>
      </c>
      <c r="AG56" s="435"/>
    </row>
    <row r="57" spans="2:33" ht="15.75" thickBot="1" x14ac:dyDescent="0.3">
      <c r="B57" s="497"/>
      <c r="C57" s="498">
        <v>9</v>
      </c>
      <c r="D57" s="498"/>
      <c r="E57" s="499"/>
      <c r="F57" s="499"/>
      <c r="G57" s="498" t="s">
        <v>565</v>
      </c>
      <c r="H57" s="519">
        <v>4</v>
      </c>
      <c r="I57" s="501">
        <v>1</v>
      </c>
      <c r="J57" s="501">
        <v>4</v>
      </c>
      <c r="K57" s="501">
        <v>204</v>
      </c>
      <c r="L57" s="498">
        <v>816</v>
      </c>
      <c r="M57" s="503"/>
      <c r="N57" s="503">
        <v>81.599999999999994</v>
      </c>
      <c r="O57" s="504">
        <v>40.799999999999997</v>
      </c>
      <c r="P57" s="492"/>
      <c r="Q57" s="505">
        <v>88703</v>
      </c>
      <c r="R57" s="493">
        <f t="shared" si="3"/>
        <v>9</v>
      </c>
      <c r="S57" s="493" t="s">
        <v>430</v>
      </c>
      <c r="T57" s="506">
        <f t="shared" si="8"/>
        <v>105369.68954400001</v>
      </c>
      <c r="W57" t="s">
        <v>566</v>
      </c>
      <c r="X57"/>
      <c r="Y57" s="305"/>
      <c r="AE57" t="s">
        <v>566</v>
      </c>
      <c r="AG57" s="435"/>
    </row>
    <row r="58" spans="2:33" ht="15.75" thickBot="1" x14ac:dyDescent="0.3">
      <c r="B58" s="497"/>
      <c r="C58" s="498">
        <v>4</v>
      </c>
      <c r="D58" s="498"/>
      <c r="E58" s="499"/>
      <c r="F58" s="499"/>
      <c r="G58" s="492" t="s">
        <v>567</v>
      </c>
      <c r="H58" s="501">
        <v>4</v>
      </c>
      <c r="I58" s="501">
        <v>1</v>
      </c>
      <c r="J58" s="501">
        <v>4</v>
      </c>
      <c r="K58" s="501">
        <v>169</v>
      </c>
      <c r="L58" s="498">
        <v>676</v>
      </c>
      <c r="M58" s="503"/>
      <c r="N58" s="503">
        <v>67.599999999999994</v>
      </c>
      <c r="O58" s="504">
        <v>33.799999999999997</v>
      </c>
      <c r="P58" s="492"/>
      <c r="Q58" s="505">
        <v>73485</v>
      </c>
      <c r="R58" s="493">
        <f t="shared" si="3"/>
        <v>4</v>
      </c>
      <c r="S58" s="493" t="s">
        <v>430</v>
      </c>
      <c r="T58" s="506">
        <f t="shared" si="8"/>
        <v>87291.556534000003</v>
      </c>
      <c r="W58" t="s">
        <v>568</v>
      </c>
      <c r="X58" t="s">
        <v>431</v>
      </c>
      <c r="Y58" s="305">
        <v>0</v>
      </c>
      <c r="AE58" t="s">
        <v>568</v>
      </c>
      <c r="AF58" t="s">
        <v>431</v>
      </c>
      <c r="AG58" s="435">
        <v>0</v>
      </c>
    </row>
    <row r="59" spans="2:33" ht="15.75" thickBot="1" x14ac:dyDescent="0.3">
      <c r="B59" s="497"/>
      <c r="C59" s="498">
        <v>3</v>
      </c>
      <c r="D59" s="498"/>
      <c r="E59" s="499"/>
      <c r="F59" s="499"/>
      <c r="G59" s="492" t="s">
        <v>569</v>
      </c>
      <c r="H59" s="501">
        <v>4</v>
      </c>
      <c r="I59" s="501">
        <v>1</v>
      </c>
      <c r="J59" s="501">
        <v>4</v>
      </c>
      <c r="K59" s="501">
        <v>6</v>
      </c>
      <c r="L59" s="498">
        <v>24</v>
      </c>
      <c r="M59" s="503"/>
      <c r="N59" s="503">
        <v>2.4</v>
      </c>
      <c r="O59" s="504">
        <v>1.2</v>
      </c>
      <c r="P59" s="492"/>
      <c r="Q59" s="505">
        <v>2609</v>
      </c>
      <c r="R59" s="493">
        <f t="shared" si="3"/>
        <v>3</v>
      </c>
      <c r="S59" s="493" t="s">
        <v>430</v>
      </c>
      <c r="T59" s="506">
        <f t="shared" si="8"/>
        <v>3099.1085159999998</v>
      </c>
      <c r="W59" t="s">
        <v>570</v>
      </c>
      <c r="X59"/>
      <c r="Y59" s="305">
        <v>0</v>
      </c>
      <c r="AE59" t="s">
        <v>570</v>
      </c>
      <c r="AG59" s="435">
        <v>0</v>
      </c>
    </row>
    <row r="60" spans="2:33" ht="15.75" thickBot="1" x14ac:dyDescent="0.3">
      <c r="B60" s="497"/>
      <c r="C60" s="498">
        <v>1</v>
      </c>
      <c r="D60" s="498"/>
      <c r="E60" s="499"/>
      <c r="F60" s="499"/>
      <c r="G60" s="498" t="s">
        <v>571</v>
      </c>
      <c r="H60" s="519">
        <v>4</v>
      </c>
      <c r="I60" s="501">
        <v>1</v>
      </c>
      <c r="J60" s="501">
        <v>4</v>
      </c>
      <c r="K60" s="501">
        <v>86</v>
      </c>
      <c r="L60" s="498">
        <v>344</v>
      </c>
      <c r="M60" s="503"/>
      <c r="N60" s="503">
        <v>34.4</v>
      </c>
      <c r="O60" s="504">
        <v>17.2</v>
      </c>
      <c r="P60" s="492"/>
      <c r="Q60" s="505">
        <v>37395</v>
      </c>
      <c r="R60" s="493">
        <f t="shared" si="3"/>
        <v>1</v>
      </c>
      <c r="S60" s="493" t="s">
        <v>430</v>
      </c>
      <c r="T60" s="506">
        <f t="shared" si="8"/>
        <v>44420.555396000003</v>
      </c>
      <c r="W60" t="s">
        <v>572</v>
      </c>
      <c r="X60" t="s">
        <v>430</v>
      </c>
      <c r="Y60" s="305"/>
      <c r="AE60" t="s">
        <v>572</v>
      </c>
      <c r="AF60" t="s">
        <v>430</v>
      </c>
      <c r="AG60" s="435"/>
    </row>
    <row r="61" spans="2:33" ht="18" customHeight="1" thickBot="1" x14ac:dyDescent="0.3">
      <c r="B61" s="503"/>
      <c r="C61" s="498"/>
      <c r="D61" s="498"/>
      <c r="E61" s="517" t="s">
        <v>573</v>
      </c>
      <c r="F61" s="517"/>
      <c r="G61" s="518"/>
      <c r="H61" s="492"/>
      <c r="I61" s="492"/>
      <c r="J61" s="492"/>
      <c r="K61" s="492"/>
      <c r="L61" s="498"/>
      <c r="M61" s="503"/>
      <c r="N61" s="503"/>
      <c r="O61" s="504"/>
      <c r="P61" s="492"/>
      <c r="Q61" s="492"/>
      <c r="R61" s="493">
        <f t="shared" si="3"/>
        <v>0</v>
      </c>
      <c r="S61" s="493" t="s">
        <v>430</v>
      </c>
      <c r="W61" t="s">
        <v>574</v>
      </c>
      <c r="X61"/>
      <c r="Y61" s="305"/>
      <c r="AE61" t="s">
        <v>574</v>
      </c>
      <c r="AG61" s="435"/>
    </row>
    <row r="62" spans="2:33" ht="15.75" thickBot="1" x14ac:dyDescent="0.3">
      <c r="B62" s="497"/>
      <c r="C62" s="498">
        <v>5</v>
      </c>
      <c r="D62" s="498"/>
      <c r="E62" s="499"/>
      <c r="F62" s="499"/>
      <c r="G62" s="492" t="s">
        <v>575</v>
      </c>
      <c r="H62" s="501">
        <v>0.45</v>
      </c>
      <c r="I62" s="501">
        <v>1</v>
      </c>
      <c r="J62" s="501">
        <v>0.45</v>
      </c>
      <c r="K62" s="501">
        <v>0</v>
      </c>
      <c r="L62" s="498"/>
      <c r="M62" s="503"/>
      <c r="N62" s="503"/>
      <c r="O62" s="504"/>
      <c r="P62" s="492"/>
      <c r="Q62" s="505">
        <v>0</v>
      </c>
      <c r="R62" s="493">
        <f t="shared" si="3"/>
        <v>5</v>
      </c>
      <c r="S62" s="493" t="s">
        <v>430</v>
      </c>
      <c r="T62" s="506">
        <f t="shared" ref="T62:T69" si="9">L62*$L$1+M62*$M$1+N62*$N$1+$O62*O$1+P62*$P$1</f>
        <v>0</v>
      </c>
      <c r="U62" s="53"/>
      <c r="V62" s="507"/>
      <c r="W62" t="s">
        <v>576</v>
      </c>
      <c r="X62" t="s">
        <v>430</v>
      </c>
      <c r="Y62" s="305"/>
      <c r="AE62" t="s">
        <v>576</v>
      </c>
      <c r="AF62" t="s">
        <v>430</v>
      </c>
      <c r="AG62" s="435"/>
    </row>
    <row r="63" spans="2:33" ht="15.75" thickBot="1" x14ac:dyDescent="0.3">
      <c r="B63" s="497"/>
      <c r="C63" s="498">
        <v>6</v>
      </c>
      <c r="D63" s="498"/>
      <c r="E63" s="499"/>
      <c r="F63" s="499"/>
      <c r="G63" s="492" t="s">
        <v>577</v>
      </c>
      <c r="H63" s="501">
        <v>0.45</v>
      </c>
      <c r="I63" s="501">
        <v>1</v>
      </c>
      <c r="J63" s="501">
        <v>0.45</v>
      </c>
      <c r="K63" s="501">
        <v>0</v>
      </c>
      <c r="L63" s="498"/>
      <c r="M63" s="503"/>
      <c r="N63" s="503"/>
      <c r="O63" s="504"/>
      <c r="P63" s="492"/>
      <c r="Q63" s="505">
        <v>0</v>
      </c>
      <c r="R63" s="493">
        <f t="shared" si="3"/>
        <v>6</v>
      </c>
      <c r="S63" s="493" t="s">
        <v>430</v>
      </c>
      <c r="T63" s="506">
        <f t="shared" si="9"/>
        <v>0</v>
      </c>
      <c r="W63" t="s">
        <v>578</v>
      </c>
      <c r="X63"/>
      <c r="Y63" s="305"/>
      <c r="AE63" t="s">
        <v>578</v>
      </c>
      <c r="AG63" s="435"/>
    </row>
    <row r="64" spans="2:33" ht="15.75" thickBot="1" x14ac:dyDescent="0.3">
      <c r="B64" s="497"/>
      <c r="C64" s="498">
        <v>10</v>
      </c>
      <c r="D64" s="498"/>
      <c r="E64" s="499"/>
      <c r="F64" s="499"/>
      <c r="G64" s="498" t="s">
        <v>579</v>
      </c>
      <c r="H64" s="519">
        <v>0.45</v>
      </c>
      <c r="I64" s="501">
        <v>1</v>
      </c>
      <c r="J64" s="501">
        <v>0.45</v>
      </c>
      <c r="K64" s="501">
        <v>44</v>
      </c>
      <c r="L64" s="498"/>
      <c r="M64" s="503">
        <v>19.8</v>
      </c>
      <c r="N64" s="503"/>
      <c r="O64" s="504"/>
      <c r="P64" s="492"/>
      <c r="Q64" s="505">
        <v>1202</v>
      </c>
      <c r="R64" s="493">
        <f t="shared" si="3"/>
        <v>10</v>
      </c>
      <c r="S64" s="493" t="s">
        <v>430</v>
      </c>
      <c r="T64" s="506">
        <f t="shared" si="9"/>
        <v>1544.1732900000002</v>
      </c>
      <c r="W64" t="s">
        <v>580</v>
      </c>
      <c r="X64" t="s">
        <v>430</v>
      </c>
      <c r="Y64" s="305"/>
      <c r="AE64" t="s">
        <v>580</v>
      </c>
      <c r="AF64" t="s">
        <v>430</v>
      </c>
      <c r="AG64" s="435"/>
    </row>
    <row r="65" spans="2:33" ht="15.75" thickBot="1" x14ac:dyDescent="0.3">
      <c r="B65" s="497"/>
      <c r="C65" s="498">
        <v>2</v>
      </c>
      <c r="D65" s="498"/>
      <c r="E65" s="499"/>
      <c r="F65" s="499"/>
      <c r="G65" s="492" t="s">
        <v>581</v>
      </c>
      <c r="H65" s="501">
        <v>0.45</v>
      </c>
      <c r="I65" s="501">
        <v>1</v>
      </c>
      <c r="J65" s="501">
        <v>0.45</v>
      </c>
      <c r="K65" s="501">
        <v>6</v>
      </c>
      <c r="L65" s="498"/>
      <c r="M65" s="503">
        <v>2.7</v>
      </c>
      <c r="N65" s="503"/>
      <c r="O65" s="504"/>
      <c r="P65" s="492"/>
      <c r="Q65" s="505">
        <v>164</v>
      </c>
      <c r="R65" s="493">
        <f t="shared" si="3"/>
        <v>2</v>
      </c>
      <c r="S65" s="493" t="s">
        <v>430</v>
      </c>
      <c r="T65" s="506">
        <f t="shared" si="9"/>
        <v>210.56908500000003</v>
      </c>
      <c r="W65" t="s">
        <v>582</v>
      </c>
      <c r="X65"/>
      <c r="Y65" s="305"/>
      <c r="AE65" t="s">
        <v>582</v>
      </c>
      <c r="AG65" s="435"/>
    </row>
    <row r="66" spans="2:33" ht="15.75" thickBot="1" x14ac:dyDescent="0.3">
      <c r="B66" s="497"/>
      <c r="C66" s="498">
        <v>9</v>
      </c>
      <c r="D66" s="498"/>
      <c r="E66" s="499"/>
      <c r="F66" s="499"/>
      <c r="G66" s="492" t="s">
        <v>583</v>
      </c>
      <c r="H66" s="501">
        <v>4.5</v>
      </c>
      <c r="I66" s="501">
        <v>1</v>
      </c>
      <c r="J66" s="501">
        <v>4.5</v>
      </c>
      <c r="K66" s="501">
        <v>464</v>
      </c>
      <c r="L66" s="498"/>
      <c r="M66" s="522">
        <v>2088</v>
      </c>
      <c r="N66" s="503"/>
      <c r="O66" s="504"/>
      <c r="P66" s="492"/>
      <c r="Q66" s="505">
        <v>126783</v>
      </c>
      <c r="R66" s="493">
        <f t="shared" si="3"/>
        <v>9</v>
      </c>
      <c r="S66" s="493" t="s">
        <v>430</v>
      </c>
      <c r="T66" s="506">
        <f t="shared" si="9"/>
        <v>162840.09239999999</v>
      </c>
      <c r="W66" t="s">
        <v>584</v>
      </c>
      <c r="X66" t="s">
        <v>430</v>
      </c>
      <c r="Y66" s="305"/>
      <c r="AE66" t="s">
        <v>584</v>
      </c>
      <c r="AF66" t="s">
        <v>430</v>
      </c>
      <c r="AG66" s="435"/>
    </row>
    <row r="67" spans="2:33" ht="15.75" thickBot="1" x14ac:dyDescent="0.3">
      <c r="B67" s="497"/>
      <c r="C67" s="498">
        <v>4</v>
      </c>
      <c r="D67" s="498"/>
      <c r="E67" s="499"/>
      <c r="F67" s="499"/>
      <c r="G67" s="492" t="s">
        <v>585</v>
      </c>
      <c r="H67" s="501">
        <v>0.45</v>
      </c>
      <c r="I67" s="501">
        <v>1</v>
      </c>
      <c r="J67" s="501">
        <v>0.45</v>
      </c>
      <c r="K67" s="501">
        <v>167</v>
      </c>
      <c r="L67" s="498"/>
      <c r="M67" s="503">
        <v>75.2</v>
      </c>
      <c r="N67" s="503"/>
      <c r="O67" s="504"/>
      <c r="P67" s="492"/>
      <c r="Q67" s="505">
        <v>4563</v>
      </c>
      <c r="R67" s="493">
        <f t="shared" si="3"/>
        <v>4</v>
      </c>
      <c r="S67" s="493" t="s">
        <v>430</v>
      </c>
      <c r="T67" s="506">
        <f t="shared" si="9"/>
        <v>5864.7389600000006</v>
      </c>
      <c r="W67" t="s">
        <v>586</v>
      </c>
      <c r="X67"/>
      <c r="Y67" s="305"/>
      <c r="AE67" t="s">
        <v>586</v>
      </c>
      <c r="AG67" s="435"/>
    </row>
    <row r="68" spans="2:33" ht="15.75" thickBot="1" x14ac:dyDescent="0.3">
      <c r="B68" s="497"/>
      <c r="C68" s="498">
        <v>3</v>
      </c>
      <c r="D68" s="498"/>
      <c r="E68" s="499"/>
      <c r="F68" s="499"/>
      <c r="G68" s="492" t="s">
        <v>587</v>
      </c>
      <c r="H68" s="501">
        <v>0.45</v>
      </c>
      <c r="I68" s="501">
        <v>1</v>
      </c>
      <c r="J68" s="501">
        <v>0.45</v>
      </c>
      <c r="K68" s="501">
        <v>5</v>
      </c>
      <c r="L68" s="498"/>
      <c r="M68" s="503">
        <v>2.2999999999999998</v>
      </c>
      <c r="N68" s="503"/>
      <c r="O68" s="504"/>
      <c r="P68" s="492"/>
      <c r="Q68" s="505">
        <v>137</v>
      </c>
      <c r="R68" s="493">
        <f t="shared" si="3"/>
        <v>3</v>
      </c>
      <c r="S68" s="493" t="s">
        <v>430</v>
      </c>
      <c r="T68" s="506">
        <f t="shared" si="9"/>
        <v>179.37366499999999</v>
      </c>
      <c r="W68" t="s">
        <v>588</v>
      </c>
      <c r="X68" t="s">
        <v>431</v>
      </c>
      <c r="Y68" s="305">
        <v>0</v>
      </c>
      <c r="AE68" t="s">
        <v>588</v>
      </c>
      <c r="AF68" t="s">
        <v>431</v>
      </c>
      <c r="AG68" s="435">
        <v>0</v>
      </c>
    </row>
    <row r="69" spans="2:33" ht="15.75" thickBot="1" x14ac:dyDescent="0.3">
      <c r="B69" s="497"/>
      <c r="C69" s="498">
        <v>1</v>
      </c>
      <c r="D69" s="498"/>
      <c r="E69" s="499"/>
      <c r="F69" s="499"/>
      <c r="G69" s="498" t="s">
        <v>589</v>
      </c>
      <c r="H69" s="519">
        <v>0.45</v>
      </c>
      <c r="I69" s="501">
        <v>1</v>
      </c>
      <c r="J69" s="501">
        <v>0.45</v>
      </c>
      <c r="K69" s="501">
        <v>320</v>
      </c>
      <c r="L69" s="498"/>
      <c r="M69" s="503">
        <v>144</v>
      </c>
      <c r="N69" s="503"/>
      <c r="O69" s="504"/>
      <c r="P69" s="492"/>
      <c r="Q69" s="505">
        <v>8744</v>
      </c>
      <c r="R69" s="493">
        <f t="shared" si="3"/>
        <v>1</v>
      </c>
      <c r="S69" s="493" t="s">
        <v>430</v>
      </c>
      <c r="T69" s="506">
        <f t="shared" si="9"/>
        <v>11230.351200000001</v>
      </c>
      <c r="W69" t="s">
        <v>590</v>
      </c>
      <c r="X69"/>
      <c r="Y69" s="305">
        <v>0</v>
      </c>
      <c r="AE69" t="s">
        <v>590</v>
      </c>
      <c r="AG69" s="435">
        <v>0</v>
      </c>
    </row>
    <row r="70" spans="2:33" ht="15.75" customHeight="1" thickBot="1" x14ac:dyDescent="0.3">
      <c r="B70" s="503"/>
      <c r="C70" s="513"/>
      <c r="D70" s="514" t="s">
        <v>591</v>
      </c>
      <c r="E70" s="514"/>
      <c r="F70" s="514"/>
      <c r="G70" s="515"/>
      <c r="H70" s="492"/>
      <c r="I70" s="492"/>
      <c r="J70" s="492"/>
      <c r="K70" s="492"/>
      <c r="L70" s="498"/>
      <c r="M70" s="503"/>
      <c r="N70" s="503"/>
      <c r="O70" s="504"/>
      <c r="P70" s="492"/>
      <c r="Q70" s="492"/>
      <c r="R70" s="493">
        <f t="shared" si="3"/>
        <v>0</v>
      </c>
      <c r="S70" s="493" t="s">
        <v>430</v>
      </c>
      <c r="W70" t="s">
        <v>592</v>
      </c>
      <c r="X70" t="s">
        <v>430</v>
      </c>
      <c r="Y70" s="305"/>
      <c r="AE70" t="s">
        <v>592</v>
      </c>
      <c r="AF70" t="s">
        <v>430</v>
      </c>
      <c r="AG70" s="435"/>
    </row>
    <row r="71" spans="2:33" ht="15.75" customHeight="1" thickBot="1" x14ac:dyDescent="0.3">
      <c r="B71" s="503"/>
      <c r="C71" s="498"/>
      <c r="D71" s="498"/>
      <c r="E71" s="517" t="s">
        <v>593</v>
      </c>
      <c r="F71" s="517"/>
      <c r="G71" s="518"/>
      <c r="H71" s="492"/>
      <c r="I71" s="492"/>
      <c r="J71" s="492"/>
      <c r="K71" s="492"/>
      <c r="L71" s="498"/>
      <c r="M71" s="503"/>
      <c r="N71" s="503"/>
      <c r="O71" s="504"/>
      <c r="P71" s="492"/>
      <c r="Q71" s="492"/>
      <c r="R71" s="493">
        <f t="shared" si="3"/>
        <v>0</v>
      </c>
      <c r="S71" s="493" t="s">
        <v>430</v>
      </c>
      <c r="W71" t="s">
        <v>594</v>
      </c>
      <c r="X71"/>
      <c r="Y71" s="305"/>
      <c r="AE71" t="s">
        <v>594</v>
      </c>
      <c r="AG71" s="435"/>
    </row>
    <row r="72" spans="2:33" ht="15.75" thickBot="1" x14ac:dyDescent="0.3">
      <c r="B72" s="497"/>
      <c r="C72" s="498">
        <v>5</v>
      </c>
      <c r="D72" s="498"/>
      <c r="E72" s="499"/>
      <c r="F72" s="499"/>
      <c r="G72" s="498" t="s">
        <v>595</v>
      </c>
      <c r="H72" s="519">
        <v>1</v>
      </c>
      <c r="I72" s="501">
        <v>4</v>
      </c>
      <c r="J72" s="501">
        <v>4</v>
      </c>
      <c r="K72" s="501">
        <v>304</v>
      </c>
      <c r="L72" s="502">
        <v>1216</v>
      </c>
      <c r="M72" s="503"/>
      <c r="N72" s="503">
        <v>121.6</v>
      </c>
      <c r="O72" s="504">
        <v>60.8</v>
      </c>
      <c r="P72" s="492"/>
      <c r="Q72" s="505">
        <v>132185</v>
      </c>
      <c r="R72" s="493">
        <f t="shared" si="3"/>
        <v>5</v>
      </c>
      <c r="S72" s="493" t="s">
        <v>430</v>
      </c>
      <c r="T72" s="506">
        <f t="shared" ref="T72:T76" si="10">L72*$L$1+M72*$M$1+N72*$N$1+$O72*O$1+P72*$P$1</f>
        <v>157021.49814400001</v>
      </c>
      <c r="U72" s="53"/>
      <c r="V72" s="507"/>
      <c r="W72" t="s">
        <v>596</v>
      </c>
      <c r="X72" t="s">
        <v>431</v>
      </c>
      <c r="Y72" s="305">
        <v>0</v>
      </c>
      <c r="AE72" t="s">
        <v>596</v>
      </c>
      <c r="AF72" t="s">
        <v>431</v>
      </c>
      <c r="AG72" s="435">
        <v>0</v>
      </c>
    </row>
    <row r="73" spans="2:33" ht="15.75" thickBot="1" x14ac:dyDescent="0.3">
      <c r="B73" s="497"/>
      <c r="C73" s="498">
        <v>6</v>
      </c>
      <c r="D73" s="498"/>
      <c r="E73" s="499"/>
      <c r="F73" s="499"/>
      <c r="G73" s="492" t="s">
        <v>597</v>
      </c>
      <c r="H73" s="501">
        <v>1</v>
      </c>
      <c r="I73" s="501">
        <v>4</v>
      </c>
      <c r="J73" s="501">
        <v>4</v>
      </c>
      <c r="K73" s="501">
        <v>515</v>
      </c>
      <c r="L73" s="502">
        <v>2060</v>
      </c>
      <c r="M73" s="503"/>
      <c r="N73" s="503">
        <v>206</v>
      </c>
      <c r="O73" s="504">
        <v>103</v>
      </c>
      <c r="P73" s="492"/>
      <c r="Q73" s="505">
        <v>223932</v>
      </c>
      <c r="R73" s="493">
        <f t="shared" si="3"/>
        <v>6</v>
      </c>
      <c r="S73" s="493" t="s">
        <v>430</v>
      </c>
      <c r="T73" s="506">
        <f t="shared" si="10"/>
        <v>266006.81429000001</v>
      </c>
      <c r="W73" t="s">
        <v>598</v>
      </c>
      <c r="X73"/>
      <c r="Y73" s="305">
        <v>0</v>
      </c>
      <c r="AE73" t="s">
        <v>598</v>
      </c>
      <c r="AG73" s="435">
        <v>0</v>
      </c>
    </row>
    <row r="74" spans="2:33" ht="15.75" thickBot="1" x14ac:dyDescent="0.3">
      <c r="B74" s="497"/>
      <c r="C74" s="498">
        <v>2</v>
      </c>
      <c r="D74" s="498"/>
      <c r="E74" s="499"/>
      <c r="F74" s="499"/>
      <c r="G74" s="492" t="s">
        <v>599</v>
      </c>
      <c r="H74" s="501">
        <v>1</v>
      </c>
      <c r="I74" s="501">
        <v>2</v>
      </c>
      <c r="J74" s="501">
        <v>2</v>
      </c>
      <c r="K74" s="501">
        <v>4</v>
      </c>
      <c r="L74" s="498">
        <v>8</v>
      </c>
      <c r="M74" s="503"/>
      <c r="N74" s="503">
        <v>0.8</v>
      </c>
      <c r="O74" s="504">
        <v>0.4</v>
      </c>
      <c r="P74" s="492"/>
      <c r="Q74" s="505">
        <v>870</v>
      </c>
      <c r="R74" s="493">
        <f t="shared" si="3"/>
        <v>2</v>
      </c>
      <c r="S74" s="493" t="s">
        <v>430</v>
      </c>
      <c r="T74" s="506">
        <f t="shared" si="10"/>
        <v>1033.0361720000001</v>
      </c>
      <c r="W74" t="s">
        <v>600</v>
      </c>
      <c r="X74" t="s">
        <v>430</v>
      </c>
      <c r="Y74" s="305"/>
      <c r="AE74" t="s">
        <v>600</v>
      </c>
      <c r="AF74" t="s">
        <v>430</v>
      </c>
      <c r="AG74" s="435"/>
    </row>
    <row r="75" spans="2:33" ht="15.75" thickBot="1" x14ac:dyDescent="0.3">
      <c r="B75" s="497"/>
      <c r="C75" s="498">
        <v>7</v>
      </c>
      <c r="D75" s="498"/>
      <c r="E75" s="499"/>
      <c r="F75" s="499"/>
      <c r="G75" s="498" t="s">
        <v>601</v>
      </c>
      <c r="H75" s="523">
        <v>1</v>
      </c>
      <c r="I75" s="519">
        <v>4</v>
      </c>
      <c r="J75" s="501">
        <v>4</v>
      </c>
      <c r="K75" s="501">
        <v>33</v>
      </c>
      <c r="L75" s="498">
        <v>132</v>
      </c>
      <c r="M75" s="503"/>
      <c r="N75" s="503">
        <v>13.2</v>
      </c>
      <c r="O75" s="504">
        <v>6.6</v>
      </c>
      <c r="P75" s="492"/>
      <c r="Q75" s="505">
        <v>14349</v>
      </c>
      <c r="R75" s="493">
        <f t="shared" si="3"/>
        <v>7</v>
      </c>
      <c r="S75" s="493" t="s">
        <v>430</v>
      </c>
      <c r="T75" s="506">
        <f t="shared" si="10"/>
        <v>17045.096837999998</v>
      </c>
      <c r="W75" t="s">
        <v>602</v>
      </c>
      <c r="X75"/>
      <c r="Y75" s="305"/>
      <c r="AE75" t="s">
        <v>602</v>
      </c>
      <c r="AG75" s="435"/>
    </row>
    <row r="76" spans="2:33" ht="15.75" thickBot="1" x14ac:dyDescent="0.3">
      <c r="B76" s="497"/>
      <c r="C76" s="498">
        <v>1</v>
      </c>
      <c r="D76" s="498"/>
      <c r="E76" s="499"/>
      <c r="F76" s="499"/>
      <c r="G76" s="498" t="s">
        <v>603</v>
      </c>
      <c r="H76" s="519">
        <v>1</v>
      </c>
      <c r="I76" s="501">
        <v>6</v>
      </c>
      <c r="J76" s="501">
        <v>6</v>
      </c>
      <c r="K76" s="501">
        <v>263</v>
      </c>
      <c r="L76" s="502">
        <v>1578</v>
      </c>
      <c r="M76" s="503"/>
      <c r="N76" s="503">
        <v>157.80000000000001</v>
      </c>
      <c r="O76" s="504">
        <v>78.900000000000006</v>
      </c>
      <c r="P76" s="492"/>
      <c r="Q76" s="505">
        <v>171536</v>
      </c>
      <c r="R76" s="493">
        <f t="shared" ref="R76:R139" si="11">C76</f>
        <v>1</v>
      </c>
      <c r="S76" s="493" t="s">
        <v>430</v>
      </c>
      <c r="T76" s="506">
        <f t="shared" si="10"/>
        <v>203766.38492700004</v>
      </c>
      <c r="W76" t="s">
        <v>604</v>
      </c>
      <c r="X76" t="s">
        <v>431</v>
      </c>
      <c r="Y76" s="305">
        <v>0</v>
      </c>
      <c r="AE76" t="s">
        <v>604</v>
      </c>
      <c r="AF76" t="s">
        <v>431</v>
      </c>
      <c r="AG76" s="435">
        <v>0</v>
      </c>
    </row>
    <row r="77" spans="2:33" ht="15.75" customHeight="1" thickBot="1" x14ac:dyDescent="0.3">
      <c r="B77" s="503"/>
      <c r="C77" s="498"/>
      <c r="D77" s="514" t="s">
        <v>605</v>
      </c>
      <c r="E77" s="514"/>
      <c r="F77" s="514"/>
      <c r="G77" s="515"/>
      <c r="H77" s="492"/>
      <c r="I77" s="492"/>
      <c r="J77" s="492"/>
      <c r="K77" s="492"/>
      <c r="L77" s="498"/>
      <c r="M77" s="503"/>
      <c r="N77" s="503"/>
      <c r="O77" s="504"/>
      <c r="P77" s="492"/>
      <c r="Q77" s="492"/>
      <c r="R77" s="493">
        <f t="shared" si="11"/>
        <v>0</v>
      </c>
      <c r="S77" s="493" t="s">
        <v>430</v>
      </c>
      <c r="W77" t="s">
        <v>606</v>
      </c>
      <c r="X77"/>
      <c r="Y77" s="305">
        <v>0</v>
      </c>
      <c r="AE77" t="s">
        <v>606</v>
      </c>
      <c r="AG77" s="435">
        <v>0</v>
      </c>
    </row>
    <row r="78" spans="2:33" ht="18" customHeight="1" thickBot="1" x14ac:dyDescent="0.3">
      <c r="B78" s="503"/>
      <c r="C78" s="498"/>
      <c r="D78" s="516"/>
      <c r="E78" s="517" t="s">
        <v>607</v>
      </c>
      <c r="F78" s="517"/>
      <c r="G78" s="518"/>
      <c r="H78" s="492"/>
      <c r="I78" s="492"/>
      <c r="J78" s="492"/>
      <c r="K78" s="492"/>
      <c r="L78" s="498"/>
      <c r="M78" s="503"/>
      <c r="N78" s="503"/>
      <c r="O78" s="504"/>
      <c r="P78" s="492"/>
      <c r="Q78" s="492"/>
      <c r="R78" s="493">
        <f t="shared" si="11"/>
        <v>0</v>
      </c>
      <c r="S78" s="493" t="s">
        <v>430</v>
      </c>
      <c r="W78" t="s">
        <v>608</v>
      </c>
      <c r="X78" t="s">
        <v>430</v>
      </c>
      <c r="Y78" s="305"/>
      <c r="AE78" t="s">
        <v>608</v>
      </c>
      <c r="AF78" t="s">
        <v>430</v>
      </c>
      <c r="AG78" s="435"/>
    </row>
    <row r="79" spans="2:33" ht="15.75" thickBot="1" x14ac:dyDescent="0.3">
      <c r="B79" s="497"/>
      <c r="C79" s="498">
        <v>5</v>
      </c>
      <c r="D79" s="498"/>
      <c r="E79" s="499"/>
      <c r="F79" s="499"/>
      <c r="G79" s="498" t="s">
        <v>609</v>
      </c>
      <c r="H79" s="519">
        <v>0</v>
      </c>
      <c r="I79" s="501">
        <v>0</v>
      </c>
      <c r="J79" s="501">
        <v>0</v>
      </c>
      <c r="K79" s="501">
        <v>0</v>
      </c>
      <c r="L79" s="498"/>
      <c r="M79" s="503"/>
      <c r="N79" s="503"/>
      <c r="O79" s="504"/>
      <c r="P79" s="492"/>
      <c r="Q79" s="505">
        <v>0</v>
      </c>
      <c r="R79" s="493">
        <f t="shared" si="11"/>
        <v>5</v>
      </c>
      <c r="S79" s="493" t="s">
        <v>430</v>
      </c>
      <c r="T79" s="506">
        <f t="shared" ref="T79:T83" si="12">L79*$L$1+M79*$M$1+N79*$N$1+$O79*O$1+P79*$P$1</f>
        <v>0</v>
      </c>
      <c r="U79" s="53"/>
      <c r="V79" s="507"/>
      <c r="W79" t="s">
        <v>610</v>
      </c>
      <c r="X79"/>
      <c r="Y79" s="305"/>
      <c r="AE79" t="s">
        <v>610</v>
      </c>
      <c r="AG79" s="435"/>
    </row>
    <row r="80" spans="2:33" ht="15.75" thickBot="1" x14ac:dyDescent="0.3">
      <c r="B80" s="497"/>
      <c r="C80" s="498">
        <v>6</v>
      </c>
      <c r="D80" s="498"/>
      <c r="E80" s="499"/>
      <c r="F80" s="499"/>
      <c r="G80" s="492" t="s">
        <v>611</v>
      </c>
      <c r="H80" s="501">
        <v>0</v>
      </c>
      <c r="I80" s="501">
        <v>0</v>
      </c>
      <c r="J80" s="501">
        <v>0</v>
      </c>
      <c r="K80" s="501">
        <v>0</v>
      </c>
      <c r="L80" s="498"/>
      <c r="M80" s="503"/>
      <c r="N80" s="503"/>
      <c r="O80" s="504"/>
      <c r="P80" s="492"/>
      <c r="Q80" s="505">
        <v>0</v>
      </c>
      <c r="R80" s="493">
        <f t="shared" si="11"/>
        <v>6</v>
      </c>
      <c r="S80" s="493" t="s">
        <v>430</v>
      </c>
      <c r="T80" s="506">
        <f t="shared" si="12"/>
        <v>0</v>
      </c>
      <c r="W80" t="s">
        <v>612</v>
      </c>
      <c r="X80" t="s">
        <v>431</v>
      </c>
      <c r="Y80" s="305">
        <v>0</v>
      </c>
      <c r="AE80" t="s">
        <v>612</v>
      </c>
      <c r="AF80" t="s">
        <v>431</v>
      </c>
      <c r="AG80" s="435">
        <v>0</v>
      </c>
    </row>
    <row r="81" spans="2:33" ht="15.75" thickBot="1" x14ac:dyDescent="0.3">
      <c r="B81" s="497"/>
      <c r="C81" s="498">
        <v>10</v>
      </c>
      <c r="D81" s="498"/>
      <c r="E81" s="499"/>
      <c r="F81" s="499"/>
      <c r="G81" s="492" t="s">
        <v>613</v>
      </c>
      <c r="H81" s="501">
        <v>0</v>
      </c>
      <c r="I81" s="501">
        <v>0</v>
      </c>
      <c r="J81" s="501">
        <v>0</v>
      </c>
      <c r="K81" s="501">
        <v>0</v>
      </c>
      <c r="L81" s="498"/>
      <c r="M81" s="503"/>
      <c r="N81" s="503"/>
      <c r="O81" s="504"/>
      <c r="P81" s="492"/>
      <c r="Q81" s="505">
        <v>0</v>
      </c>
      <c r="R81" s="493">
        <f t="shared" si="11"/>
        <v>10</v>
      </c>
      <c r="S81" s="493" t="s">
        <v>430</v>
      </c>
      <c r="T81" s="506">
        <f t="shared" si="12"/>
        <v>0</v>
      </c>
      <c r="W81" t="s">
        <v>614</v>
      </c>
      <c r="X81"/>
      <c r="Y81" s="305">
        <v>0</v>
      </c>
      <c r="AE81" t="s">
        <v>614</v>
      </c>
      <c r="AG81" s="435">
        <v>0</v>
      </c>
    </row>
    <row r="82" spans="2:33" ht="15.75" thickBot="1" x14ac:dyDescent="0.3">
      <c r="B82" s="497"/>
      <c r="C82" s="498">
        <v>2</v>
      </c>
      <c r="D82" s="498"/>
      <c r="E82" s="499"/>
      <c r="F82" s="499"/>
      <c r="G82" s="492" t="s">
        <v>615</v>
      </c>
      <c r="H82" s="501">
        <v>0</v>
      </c>
      <c r="I82" s="501">
        <v>0</v>
      </c>
      <c r="J82" s="501">
        <v>0</v>
      </c>
      <c r="K82" s="501">
        <v>0</v>
      </c>
      <c r="L82" s="498"/>
      <c r="M82" s="503"/>
      <c r="N82" s="503"/>
      <c r="O82" s="504"/>
      <c r="P82" s="492"/>
      <c r="Q82" s="505">
        <v>0</v>
      </c>
      <c r="R82" s="493">
        <f t="shared" si="11"/>
        <v>2</v>
      </c>
      <c r="S82" s="493" t="s">
        <v>430</v>
      </c>
      <c r="T82" s="506">
        <f t="shared" si="12"/>
        <v>0</v>
      </c>
      <c r="W82" t="s">
        <v>616</v>
      </c>
      <c r="X82" t="s">
        <v>431</v>
      </c>
      <c r="Y82" s="305">
        <v>0</v>
      </c>
      <c r="AE82" t="s">
        <v>616</v>
      </c>
      <c r="AF82" t="s">
        <v>431</v>
      </c>
      <c r="AG82" s="435">
        <v>0</v>
      </c>
    </row>
    <row r="83" spans="2:33" ht="15.75" thickBot="1" x14ac:dyDescent="0.3">
      <c r="B83" s="497"/>
      <c r="C83" s="498">
        <v>3</v>
      </c>
      <c r="D83" s="498"/>
      <c r="E83" s="499"/>
      <c r="F83" s="499"/>
      <c r="G83" s="492" t="s">
        <v>617</v>
      </c>
      <c r="H83" s="501">
        <v>0</v>
      </c>
      <c r="I83" s="501">
        <v>0</v>
      </c>
      <c r="J83" s="501">
        <v>0</v>
      </c>
      <c r="K83" s="501">
        <v>0</v>
      </c>
      <c r="L83" s="498"/>
      <c r="M83" s="503"/>
      <c r="N83" s="503"/>
      <c r="O83" s="504"/>
      <c r="P83" s="492"/>
      <c r="Q83" s="505">
        <v>0</v>
      </c>
      <c r="R83" s="493">
        <f t="shared" si="11"/>
        <v>3</v>
      </c>
      <c r="S83" s="493" t="s">
        <v>430</v>
      </c>
      <c r="T83" s="506">
        <f t="shared" si="12"/>
        <v>0</v>
      </c>
      <c r="W83" t="s">
        <v>618</v>
      </c>
      <c r="X83"/>
      <c r="Y83" s="305">
        <v>0</v>
      </c>
      <c r="AE83" t="s">
        <v>618</v>
      </c>
      <c r="AG83" s="435">
        <v>0</v>
      </c>
    </row>
    <row r="84" spans="2:33" ht="18" customHeight="1" thickBot="1" x14ac:dyDescent="0.3">
      <c r="B84" s="503"/>
      <c r="C84" s="498"/>
      <c r="D84" s="498"/>
      <c r="E84" s="517" t="s">
        <v>619</v>
      </c>
      <c r="F84" s="517"/>
      <c r="G84" s="518"/>
      <c r="H84" s="492"/>
      <c r="I84" s="492"/>
      <c r="J84" s="492"/>
      <c r="K84" s="492"/>
      <c r="L84" s="498"/>
      <c r="M84" s="503"/>
      <c r="N84" s="503"/>
      <c r="O84" s="504"/>
      <c r="P84" s="492"/>
      <c r="Q84" s="492"/>
      <c r="R84" s="493">
        <f t="shared" si="11"/>
        <v>0</v>
      </c>
      <c r="S84" s="493" t="s">
        <v>430</v>
      </c>
      <c r="W84" t="s">
        <v>620</v>
      </c>
      <c r="X84" t="s">
        <v>431</v>
      </c>
      <c r="Y84" s="305">
        <v>0</v>
      </c>
      <c r="AE84" t="s">
        <v>620</v>
      </c>
      <c r="AF84" t="s">
        <v>431</v>
      </c>
      <c r="AG84" s="435">
        <v>0</v>
      </c>
    </row>
    <row r="85" spans="2:33" ht="15.75" thickBot="1" x14ac:dyDescent="0.3">
      <c r="B85" s="497"/>
      <c r="C85" s="498">
        <v>5</v>
      </c>
      <c r="D85" s="498"/>
      <c r="E85" s="499"/>
      <c r="F85" s="499"/>
      <c r="G85" s="498" t="s">
        <v>621</v>
      </c>
      <c r="H85" s="519">
        <v>0.17</v>
      </c>
      <c r="I85" s="501">
        <v>3.6</v>
      </c>
      <c r="J85" s="501">
        <v>0.6</v>
      </c>
      <c r="K85" s="501">
        <v>124</v>
      </c>
      <c r="L85" s="498">
        <v>74.400000000000006</v>
      </c>
      <c r="M85" s="503"/>
      <c r="N85" s="503">
        <v>7.4</v>
      </c>
      <c r="O85" s="504">
        <v>3.7</v>
      </c>
      <c r="P85" s="492"/>
      <c r="Q85" s="505">
        <v>8088</v>
      </c>
      <c r="R85" s="493">
        <f t="shared" si="11"/>
        <v>5</v>
      </c>
      <c r="S85" s="493" t="s">
        <v>430</v>
      </c>
      <c r="T85" s="506">
        <f t="shared" ref="T85:T89" si="13">L85*$L$1+M85*$M$1+N85*$N$1+$O85*O$1+P85*$P$1</f>
        <v>9599.6517510000012</v>
      </c>
      <c r="U85" s="53"/>
      <c r="V85" s="507"/>
      <c r="W85" t="s">
        <v>622</v>
      </c>
      <c r="X85"/>
      <c r="Y85" s="305">
        <v>0</v>
      </c>
      <c r="AE85" t="s">
        <v>622</v>
      </c>
      <c r="AG85" s="435">
        <v>0</v>
      </c>
    </row>
    <row r="86" spans="2:33" ht="15.75" thickBot="1" x14ac:dyDescent="0.3">
      <c r="B86" s="497"/>
      <c r="C86" s="498">
        <v>6</v>
      </c>
      <c r="D86" s="498"/>
      <c r="E86" s="499"/>
      <c r="F86" s="499"/>
      <c r="G86" s="492" t="s">
        <v>623</v>
      </c>
      <c r="H86" s="501">
        <v>0.17</v>
      </c>
      <c r="I86" s="501">
        <v>2.4</v>
      </c>
      <c r="J86" s="501">
        <v>0.4</v>
      </c>
      <c r="K86" s="501">
        <v>352</v>
      </c>
      <c r="L86" s="498">
        <v>140.80000000000001</v>
      </c>
      <c r="M86" s="503"/>
      <c r="N86" s="503">
        <v>14.1</v>
      </c>
      <c r="O86" s="504">
        <v>7</v>
      </c>
      <c r="P86" s="492"/>
      <c r="Q86" s="505">
        <v>15306</v>
      </c>
      <c r="R86" s="493">
        <f t="shared" si="11"/>
        <v>6</v>
      </c>
      <c r="S86" s="493" t="s">
        <v>430</v>
      </c>
      <c r="T86" s="506">
        <f t="shared" si="13"/>
        <v>18178.613232000003</v>
      </c>
      <c r="W86" t="s">
        <v>624</v>
      </c>
      <c r="X86" t="s">
        <v>431</v>
      </c>
      <c r="Y86" s="305">
        <v>0</v>
      </c>
      <c r="AE86" t="s">
        <v>624</v>
      </c>
      <c r="AF86" t="s">
        <v>431</v>
      </c>
      <c r="AG86" s="435">
        <v>0</v>
      </c>
    </row>
    <row r="87" spans="2:33" ht="15.75" thickBot="1" x14ac:dyDescent="0.3">
      <c r="B87" s="497"/>
      <c r="C87" s="498">
        <v>10</v>
      </c>
      <c r="D87" s="498"/>
      <c r="E87" s="499"/>
      <c r="F87" s="499"/>
      <c r="G87" s="492" t="s">
        <v>625</v>
      </c>
      <c r="H87" s="501">
        <v>0.17</v>
      </c>
      <c r="I87" s="501">
        <v>3.5</v>
      </c>
      <c r="J87" s="501">
        <v>0.57999999999999996</v>
      </c>
      <c r="K87" s="501">
        <v>10</v>
      </c>
      <c r="L87" s="498">
        <v>5.8</v>
      </c>
      <c r="M87" s="503"/>
      <c r="N87" s="503">
        <v>0.6</v>
      </c>
      <c r="O87" s="504">
        <v>0.3</v>
      </c>
      <c r="P87" s="492"/>
      <c r="Q87" s="505">
        <v>634</v>
      </c>
      <c r="R87" s="493">
        <f t="shared" si="11"/>
        <v>10</v>
      </c>
      <c r="S87" s="493" t="s">
        <v>430</v>
      </c>
      <c r="T87" s="506">
        <f t="shared" si="13"/>
        <v>752.74354900000003</v>
      </c>
      <c r="W87" t="s">
        <v>626</v>
      </c>
      <c r="X87"/>
      <c r="Y87" s="305">
        <v>0</v>
      </c>
      <c r="AE87" t="s">
        <v>626</v>
      </c>
      <c r="AG87" s="435">
        <v>0</v>
      </c>
    </row>
    <row r="88" spans="2:33" ht="15.75" thickBot="1" x14ac:dyDescent="0.3">
      <c r="B88" s="497"/>
      <c r="C88" s="498">
        <v>2</v>
      </c>
      <c r="D88" s="498"/>
      <c r="E88" s="499"/>
      <c r="F88" s="499"/>
      <c r="G88" s="492" t="s">
        <v>627</v>
      </c>
      <c r="H88" s="501">
        <v>0.17</v>
      </c>
      <c r="I88" s="501">
        <v>4.4000000000000004</v>
      </c>
      <c r="J88" s="501">
        <v>0.73</v>
      </c>
      <c r="K88" s="501">
        <v>2</v>
      </c>
      <c r="L88" s="498">
        <v>1.5</v>
      </c>
      <c r="M88" s="503"/>
      <c r="N88" s="503">
        <v>0.1</v>
      </c>
      <c r="O88" s="504">
        <v>0.1</v>
      </c>
      <c r="P88" s="492"/>
      <c r="Q88" s="505">
        <v>159</v>
      </c>
      <c r="R88" s="493">
        <f t="shared" si="11"/>
        <v>2</v>
      </c>
      <c r="S88" s="493" t="s">
        <v>430</v>
      </c>
      <c r="T88" s="506">
        <f t="shared" si="13"/>
        <v>190.82919099999998</v>
      </c>
      <c r="W88" t="s">
        <v>628</v>
      </c>
      <c r="X88" t="s">
        <v>431</v>
      </c>
      <c r="Y88" s="305">
        <v>0</v>
      </c>
      <c r="AE88" t="s">
        <v>628</v>
      </c>
      <c r="AF88" t="s">
        <v>431</v>
      </c>
      <c r="AG88" s="435">
        <v>0</v>
      </c>
    </row>
    <row r="89" spans="2:33" ht="15.75" thickBot="1" x14ac:dyDescent="0.3">
      <c r="B89" s="497"/>
      <c r="C89" s="498">
        <v>3</v>
      </c>
      <c r="D89" s="498"/>
      <c r="E89" s="499"/>
      <c r="F89" s="499"/>
      <c r="G89" s="492" t="s">
        <v>629</v>
      </c>
      <c r="H89" s="501">
        <v>0.17</v>
      </c>
      <c r="I89" s="501">
        <v>0.9</v>
      </c>
      <c r="J89" s="501">
        <v>0.15</v>
      </c>
      <c r="K89" s="501">
        <v>1</v>
      </c>
      <c r="L89" s="498">
        <v>0.2</v>
      </c>
      <c r="M89" s="503"/>
      <c r="N89" s="503">
        <v>0</v>
      </c>
      <c r="O89" s="504">
        <v>0</v>
      </c>
      <c r="P89" s="492"/>
      <c r="Q89" s="505">
        <v>16</v>
      </c>
      <c r="R89" s="493">
        <f t="shared" si="11"/>
        <v>3</v>
      </c>
      <c r="S89" s="493" t="s">
        <v>430</v>
      </c>
      <c r="T89" s="506">
        <f t="shared" si="13"/>
        <v>22.033580000000001</v>
      </c>
      <c r="W89" t="s">
        <v>630</v>
      </c>
      <c r="X89"/>
      <c r="Y89" s="305">
        <v>0</v>
      </c>
      <c r="AE89" t="s">
        <v>630</v>
      </c>
      <c r="AG89" s="435">
        <v>0</v>
      </c>
    </row>
    <row r="90" spans="2:33" ht="18" customHeight="1" thickBot="1" x14ac:dyDescent="0.3">
      <c r="B90" s="503"/>
      <c r="C90" s="498"/>
      <c r="D90" s="498"/>
      <c r="E90" s="517" t="s">
        <v>631</v>
      </c>
      <c r="F90" s="517"/>
      <c r="G90" s="518"/>
      <c r="H90" s="492"/>
      <c r="I90" s="492"/>
      <c r="J90" s="492"/>
      <c r="K90" s="492"/>
      <c r="L90" s="498"/>
      <c r="M90" s="503"/>
      <c r="N90" s="503"/>
      <c r="O90" s="504"/>
      <c r="P90" s="492"/>
      <c r="Q90" s="492"/>
      <c r="R90" s="493">
        <f t="shared" si="11"/>
        <v>0</v>
      </c>
      <c r="S90" s="493" t="s">
        <v>430</v>
      </c>
      <c r="W90" t="s">
        <v>632</v>
      </c>
      <c r="X90" t="s">
        <v>431</v>
      </c>
      <c r="Y90" s="305">
        <v>0</v>
      </c>
      <c r="AE90" t="s">
        <v>632</v>
      </c>
      <c r="AF90" t="s">
        <v>431</v>
      </c>
      <c r="AG90" s="435">
        <v>0</v>
      </c>
    </row>
    <row r="91" spans="2:33" ht="15.75" thickBot="1" x14ac:dyDescent="0.3">
      <c r="B91" s="497"/>
      <c r="C91" s="498">
        <v>9</v>
      </c>
      <c r="D91" s="498"/>
      <c r="E91" s="499"/>
      <c r="F91" s="499"/>
      <c r="G91" s="498" t="s">
        <v>633</v>
      </c>
      <c r="H91" s="519">
        <v>0.1</v>
      </c>
      <c r="I91" s="501">
        <v>1</v>
      </c>
      <c r="J91" s="501">
        <v>0.1</v>
      </c>
      <c r="K91" s="501">
        <v>13</v>
      </c>
      <c r="L91" s="498"/>
      <c r="M91" s="503">
        <v>1.3</v>
      </c>
      <c r="N91" s="503"/>
      <c r="O91" s="504"/>
      <c r="P91" s="492"/>
      <c r="Q91" s="505">
        <v>79</v>
      </c>
      <c r="R91" s="493">
        <f t="shared" si="11"/>
        <v>9</v>
      </c>
      <c r="S91" s="493" t="s">
        <v>430</v>
      </c>
      <c r="T91" s="506">
        <f t="shared" ref="T91:T92" si="14">L91*$L$1+M91*$M$1+N91*$N$1+$O91*O$1+P91*$P$1</f>
        <v>101.38511500000001</v>
      </c>
      <c r="U91" s="53"/>
      <c r="W91" t="s">
        <v>634</v>
      </c>
      <c r="X91"/>
      <c r="Y91" s="305">
        <v>0</v>
      </c>
      <c r="AE91" t="s">
        <v>634</v>
      </c>
      <c r="AG91" s="435">
        <v>0</v>
      </c>
    </row>
    <row r="92" spans="2:33" ht="15.75" thickBot="1" x14ac:dyDescent="0.3">
      <c r="B92" s="497"/>
      <c r="C92" s="498">
        <v>1</v>
      </c>
      <c r="D92" s="498"/>
      <c r="E92" s="499"/>
      <c r="F92" s="499"/>
      <c r="G92" s="498" t="s">
        <v>635</v>
      </c>
      <c r="H92" s="519">
        <v>0.1</v>
      </c>
      <c r="I92" s="501">
        <v>1</v>
      </c>
      <c r="J92" s="501">
        <v>0.1</v>
      </c>
      <c r="K92" s="501">
        <v>24</v>
      </c>
      <c r="L92" s="498"/>
      <c r="M92" s="503">
        <v>2.4</v>
      </c>
      <c r="N92" s="503"/>
      <c r="O92" s="504"/>
      <c r="P92" s="492"/>
      <c r="Q92" s="505">
        <v>146</v>
      </c>
      <c r="R92" s="493">
        <f t="shared" si="11"/>
        <v>1</v>
      </c>
      <c r="S92" s="493" t="s">
        <v>430</v>
      </c>
      <c r="T92" s="506">
        <f t="shared" si="14"/>
        <v>187.17251999999999</v>
      </c>
      <c r="W92" t="s">
        <v>636</v>
      </c>
      <c r="X92" t="s">
        <v>431</v>
      </c>
      <c r="Y92" s="305">
        <v>10200585.790308369</v>
      </c>
      <c r="AE92" t="s">
        <v>636</v>
      </c>
      <c r="AF92" t="s">
        <v>431</v>
      </c>
      <c r="AG92" s="435">
        <v>10200585.790308369</v>
      </c>
    </row>
    <row r="93" spans="2:33" ht="15.75" customHeight="1" thickBot="1" x14ac:dyDescent="0.3">
      <c r="B93" s="503"/>
      <c r="C93" s="498"/>
      <c r="D93" s="514" t="s">
        <v>637</v>
      </c>
      <c r="E93" s="514"/>
      <c r="F93" s="514"/>
      <c r="G93" s="515"/>
      <c r="H93" s="492"/>
      <c r="I93" s="492"/>
      <c r="J93" s="492"/>
      <c r="K93" s="492"/>
      <c r="L93" s="498"/>
      <c r="M93" s="503"/>
      <c r="N93" s="503"/>
      <c r="O93" s="504"/>
      <c r="P93" s="492"/>
      <c r="Q93" s="492"/>
      <c r="R93" s="493">
        <f t="shared" si="11"/>
        <v>0</v>
      </c>
      <c r="S93" s="493" t="s">
        <v>430</v>
      </c>
      <c r="W93" t="s">
        <v>638</v>
      </c>
      <c r="X93"/>
      <c r="Y93" s="305">
        <v>10200585.790308369</v>
      </c>
      <c r="AE93" t="s">
        <v>638</v>
      </c>
      <c r="AG93" s="435">
        <v>10200585.790308369</v>
      </c>
    </row>
    <row r="94" spans="2:33" ht="18" customHeight="1" thickBot="1" x14ac:dyDescent="0.3">
      <c r="B94" s="503"/>
      <c r="C94" s="516"/>
      <c r="D94" s="516"/>
      <c r="E94" s="517" t="s">
        <v>639</v>
      </c>
      <c r="F94" s="517"/>
      <c r="G94" s="518"/>
      <c r="H94" s="492"/>
      <c r="I94" s="492"/>
      <c r="J94" s="492"/>
      <c r="K94" s="492"/>
      <c r="L94" s="498"/>
      <c r="M94" s="503"/>
      <c r="N94" s="503"/>
      <c r="O94" s="504"/>
      <c r="P94" s="492"/>
      <c r="Q94" s="492"/>
      <c r="R94" s="493">
        <f t="shared" si="11"/>
        <v>0</v>
      </c>
      <c r="S94" s="493" t="s">
        <v>430</v>
      </c>
      <c r="W94" t="s">
        <v>640</v>
      </c>
      <c r="X94"/>
      <c r="Y94" s="305">
        <v>65489527.51425273</v>
      </c>
      <c r="AE94" t="s">
        <v>640</v>
      </c>
      <c r="AG94" s="435">
        <v>65361879.875163957</v>
      </c>
    </row>
    <row r="95" spans="2:33" ht="15.75" thickBot="1" x14ac:dyDescent="0.3">
      <c r="B95" s="497"/>
      <c r="C95" s="498">
        <v>5</v>
      </c>
      <c r="D95" s="516"/>
      <c r="E95" s="517"/>
      <c r="F95" s="517"/>
      <c r="G95" s="498" t="s">
        <v>609</v>
      </c>
      <c r="H95" s="519">
        <v>0</v>
      </c>
      <c r="I95" s="501">
        <v>0</v>
      </c>
      <c r="J95" s="501">
        <v>0</v>
      </c>
      <c r="K95" s="501">
        <v>0</v>
      </c>
      <c r="L95" s="498"/>
      <c r="M95" s="503"/>
      <c r="N95" s="503"/>
      <c r="O95" s="504"/>
      <c r="P95" s="492"/>
      <c r="Q95" s="505">
        <v>0</v>
      </c>
      <c r="R95" s="493">
        <f t="shared" si="11"/>
        <v>5</v>
      </c>
      <c r="S95" s="493" t="s">
        <v>430</v>
      </c>
      <c r="T95" s="506">
        <f t="shared" ref="T95:T99" si="15">L95*$L$1+M95*$M$1+N95*$N$1+$O95*O$1+P95*$P$1</f>
        <v>0</v>
      </c>
      <c r="U95" s="53"/>
      <c r="V95" s="507"/>
    </row>
    <row r="96" spans="2:33" ht="15.75" thickBot="1" x14ac:dyDescent="0.3">
      <c r="B96" s="497"/>
      <c r="C96" s="498">
        <v>6</v>
      </c>
      <c r="D96" s="516"/>
      <c r="E96" s="517"/>
      <c r="F96" s="517"/>
      <c r="G96" s="492" t="s">
        <v>611</v>
      </c>
      <c r="H96" s="501">
        <v>0</v>
      </c>
      <c r="I96" s="501">
        <v>0</v>
      </c>
      <c r="J96" s="501">
        <v>0</v>
      </c>
      <c r="K96" s="501">
        <v>0</v>
      </c>
      <c r="L96" s="498"/>
      <c r="M96" s="503"/>
      <c r="N96" s="503"/>
      <c r="O96" s="504"/>
      <c r="P96" s="492"/>
      <c r="Q96" s="505">
        <v>0</v>
      </c>
      <c r="R96" s="493">
        <f t="shared" si="11"/>
        <v>6</v>
      </c>
      <c r="S96" s="493" t="s">
        <v>430</v>
      </c>
      <c r="T96" s="506">
        <f t="shared" si="15"/>
        <v>0</v>
      </c>
    </row>
    <row r="97" spans="2:22" ht="15.75" thickBot="1" x14ac:dyDescent="0.3">
      <c r="B97" s="497"/>
      <c r="C97" s="498">
        <v>10</v>
      </c>
      <c r="D97" s="516"/>
      <c r="E97" s="517"/>
      <c r="F97" s="517"/>
      <c r="G97" s="492" t="s">
        <v>613</v>
      </c>
      <c r="H97" s="501">
        <v>0</v>
      </c>
      <c r="I97" s="501">
        <v>0</v>
      </c>
      <c r="J97" s="501">
        <v>0</v>
      </c>
      <c r="K97" s="501">
        <v>0</v>
      </c>
      <c r="L97" s="498"/>
      <c r="M97" s="503"/>
      <c r="N97" s="503"/>
      <c r="O97" s="504"/>
      <c r="P97" s="492"/>
      <c r="Q97" s="505">
        <v>0</v>
      </c>
      <c r="R97" s="493">
        <f t="shared" si="11"/>
        <v>10</v>
      </c>
      <c r="S97" s="493" t="s">
        <v>430</v>
      </c>
      <c r="T97" s="506">
        <f t="shared" si="15"/>
        <v>0</v>
      </c>
    </row>
    <row r="98" spans="2:22" ht="15.75" thickBot="1" x14ac:dyDescent="0.3">
      <c r="B98" s="497"/>
      <c r="C98" s="498">
        <v>2</v>
      </c>
      <c r="D98" s="516"/>
      <c r="E98" s="517"/>
      <c r="F98" s="517"/>
      <c r="G98" s="492" t="s">
        <v>615</v>
      </c>
      <c r="H98" s="501">
        <v>0</v>
      </c>
      <c r="I98" s="501">
        <v>0</v>
      </c>
      <c r="J98" s="501">
        <v>0</v>
      </c>
      <c r="K98" s="501">
        <v>0</v>
      </c>
      <c r="L98" s="498"/>
      <c r="M98" s="503"/>
      <c r="N98" s="503"/>
      <c r="O98" s="504"/>
      <c r="P98" s="492"/>
      <c r="Q98" s="505">
        <v>0</v>
      </c>
      <c r="R98" s="493">
        <f t="shared" si="11"/>
        <v>2</v>
      </c>
      <c r="S98" s="493" t="s">
        <v>430</v>
      </c>
      <c r="T98" s="506">
        <f t="shared" si="15"/>
        <v>0</v>
      </c>
    </row>
    <row r="99" spans="2:22" ht="15.75" thickBot="1" x14ac:dyDescent="0.3">
      <c r="B99" s="497"/>
      <c r="C99" s="498">
        <v>3</v>
      </c>
      <c r="D99" s="516"/>
      <c r="E99" s="517"/>
      <c r="F99" s="517"/>
      <c r="G99" s="492" t="s">
        <v>617</v>
      </c>
      <c r="H99" s="501">
        <v>0</v>
      </c>
      <c r="I99" s="501">
        <v>0</v>
      </c>
      <c r="J99" s="501">
        <v>0</v>
      </c>
      <c r="K99" s="501">
        <v>0</v>
      </c>
      <c r="L99" s="498"/>
      <c r="M99" s="503"/>
      <c r="N99" s="503"/>
      <c r="O99" s="504"/>
      <c r="P99" s="492"/>
      <c r="Q99" s="505">
        <v>0</v>
      </c>
      <c r="R99" s="493">
        <f t="shared" si="11"/>
        <v>3</v>
      </c>
      <c r="S99" s="493" t="s">
        <v>430</v>
      </c>
      <c r="T99" s="506">
        <f t="shared" si="15"/>
        <v>0</v>
      </c>
    </row>
    <row r="100" spans="2:22" ht="18" customHeight="1" thickBot="1" x14ac:dyDescent="0.3">
      <c r="B100" s="503"/>
      <c r="C100" s="498"/>
      <c r="D100" s="498"/>
      <c r="E100" s="517" t="s">
        <v>619</v>
      </c>
      <c r="F100" s="517"/>
      <c r="G100" s="518"/>
      <c r="H100" s="492"/>
      <c r="I100" s="492"/>
      <c r="J100" s="492"/>
      <c r="K100" s="492"/>
      <c r="L100" s="498"/>
      <c r="M100" s="503"/>
      <c r="N100" s="503"/>
      <c r="O100" s="504"/>
      <c r="P100" s="492"/>
      <c r="Q100" s="492"/>
      <c r="R100" s="493">
        <f t="shared" si="11"/>
        <v>0</v>
      </c>
      <c r="S100" s="493" t="s">
        <v>430</v>
      </c>
    </row>
    <row r="101" spans="2:22" ht="15.75" thickBot="1" x14ac:dyDescent="0.3">
      <c r="B101" s="497"/>
      <c r="C101" s="498">
        <v>5</v>
      </c>
      <c r="D101" s="498"/>
      <c r="E101" s="499"/>
      <c r="F101" s="499"/>
      <c r="G101" s="498" t="s">
        <v>641</v>
      </c>
      <c r="H101" s="519">
        <v>0.17</v>
      </c>
      <c r="I101" s="501">
        <v>8.1999999999999993</v>
      </c>
      <c r="J101" s="501">
        <v>1.37</v>
      </c>
      <c r="K101" s="501">
        <v>340</v>
      </c>
      <c r="L101" s="498">
        <v>464.7</v>
      </c>
      <c r="M101" s="503"/>
      <c r="N101" s="503">
        <v>46.5</v>
      </c>
      <c r="O101" s="504">
        <v>23.2</v>
      </c>
      <c r="P101" s="492"/>
      <c r="Q101" s="505">
        <v>50512</v>
      </c>
      <c r="R101" s="493">
        <f t="shared" si="11"/>
        <v>5</v>
      </c>
      <c r="S101" s="493" t="s">
        <v>430</v>
      </c>
      <c r="T101" s="506">
        <f t="shared" ref="T101:T105" si="16">L101*$L$1+M101*$M$1+N101*$N$1+$O101*O$1+P101*$P$1</f>
        <v>60005.561408000001</v>
      </c>
      <c r="U101" s="53"/>
      <c r="V101" s="507"/>
    </row>
    <row r="102" spans="2:22" ht="15.75" thickBot="1" x14ac:dyDescent="0.3">
      <c r="B102" s="497"/>
      <c r="C102" s="498">
        <v>6</v>
      </c>
      <c r="D102" s="498"/>
      <c r="E102" s="499"/>
      <c r="F102" s="499"/>
      <c r="G102" s="492" t="s">
        <v>642</v>
      </c>
      <c r="H102" s="501">
        <v>0.17</v>
      </c>
      <c r="I102" s="501">
        <v>6.9</v>
      </c>
      <c r="J102" s="501">
        <v>1.1499999999999999</v>
      </c>
      <c r="K102" s="501">
        <v>312</v>
      </c>
      <c r="L102" s="498">
        <v>358.8</v>
      </c>
      <c r="M102" s="503"/>
      <c r="N102" s="503">
        <v>35.9</v>
      </c>
      <c r="O102" s="504">
        <v>17.899999999999999</v>
      </c>
      <c r="P102" s="492"/>
      <c r="Q102" s="505">
        <v>39003</v>
      </c>
      <c r="R102" s="493">
        <f t="shared" si="11"/>
        <v>6</v>
      </c>
      <c r="S102" s="493" t="s">
        <v>430</v>
      </c>
      <c r="T102" s="506">
        <f t="shared" si="16"/>
        <v>46328.848918999996</v>
      </c>
    </row>
    <row r="103" spans="2:22" ht="15.75" thickBot="1" x14ac:dyDescent="0.3">
      <c r="B103" s="497"/>
      <c r="C103" s="498">
        <v>10</v>
      </c>
      <c r="D103" s="498"/>
      <c r="E103" s="499"/>
      <c r="F103" s="499"/>
      <c r="G103" s="492" t="s">
        <v>643</v>
      </c>
      <c r="H103" s="501">
        <v>0.17</v>
      </c>
      <c r="I103" s="501">
        <v>6.9</v>
      </c>
      <c r="J103" s="501">
        <v>1.1499999999999999</v>
      </c>
      <c r="K103" s="501">
        <v>47</v>
      </c>
      <c r="L103" s="498">
        <v>54.1</v>
      </c>
      <c r="M103" s="503"/>
      <c r="N103" s="503">
        <v>5.4</v>
      </c>
      <c r="O103" s="504">
        <v>2.7</v>
      </c>
      <c r="P103" s="492"/>
      <c r="Q103" s="505">
        <v>5876</v>
      </c>
      <c r="R103" s="493">
        <f t="shared" si="11"/>
        <v>10</v>
      </c>
      <c r="S103" s="493" t="s">
        <v>430</v>
      </c>
      <c r="T103" s="506">
        <f t="shared" si="16"/>
        <v>6984.0109510000011</v>
      </c>
    </row>
    <row r="104" spans="2:22" ht="15.75" thickBot="1" x14ac:dyDescent="0.3">
      <c r="B104" s="497"/>
      <c r="C104" s="498">
        <v>2</v>
      </c>
      <c r="D104" s="498"/>
      <c r="E104" s="499"/>
      <c r="F104" s="499"/>
      <c r="G104" s="492" t="s">
        <v>644</v>
      </c>
      <c r="H104" s="501">
        <v>0.17</v>
      </c>
      <c r="I104" s="501">
        <v>3.9</v>
      </c>
      <c r="J104" s="501">
        <v>0.65</v>
      </c>
      <c r="K104" s="501">
        <v>4</v>
      </c>
      <c r="L104" s="498">
        <v>2.6</v>
      </c>
      <c r="M104" s="503"/>
      <c r="N104" s="503">
        <v>0.3</v>
      </c>
      <c r="O104" s="504">
        <v>0.1</v>
      </c>
      <c r="P104" s="492"/>
      <c r="Q104" s="505">
        <v>283</v>
      </c>
      <c r="R104" s="493">
        <f t="shared" si="11"/>
        <v>2</v>
      </c>
      <c r="S104" s="493" t="s">
        <v>430</v>
      </c>
      <c r="T104" s="506">
        <f t="shared" si="16"/>
        <v>336.70568500000007</v>
      </c>
    </row>
    <row r="105" spans="2:22" ht="15.75" thickBot="1" x14ac:dyDescent="0.3">
      <c r="B105" s="497"/>
      <c r="C105" s="498">
        <v>3</v>
      </c>
      <c r="D105" s="498"/>
      <c r="E105" s="499"/>
      <c r="F105" s="499"/>
      <c r="G105" s="492" t="s">
        <v>645</v>
      </c>
      <c r="H105" s="501">
        <v>0.17</v>
      </c>
      <c r="I105" s="501">
        <v>2.9</v>
      </c>
      <c r="J105" s="501">
        <v>0.48</v>
      </c>
      <c r="K105" s="501">
        <v>2</v>
      </c>
      <c r="L105" s="498">
        <v>1</v>
      </c>
      <c r="M105" s="503"/>
      <c r="N105" s="503">
        <v>0.1</v>
      </c>
      <c r="O105" s="504">
        <v>0</v>
      </c>
      <c r="P105" s="492"/>
      <c r="Q105" s="505">
        <v>105</v>
      </c>
      <c r="R105" s="493">
        <f t="shared" si="11"/>
        <v>3</v>
      </c>
      <c r="S105" s="493" t="s">
        <v>430</v>
      </c>
      <c r="T105" s="506">
        <f t="shared" si="16"/>
        <v>122.513802</v>
      </c>
    </row>
    <row r="106" spans="2:22" ht="18" customHeight="1" thickBot="1" x14ac:dyDescent="0.3">
      <c r="B106" s="503"/>
      <c r="C106" s="498"/>
      <c r="D106" s="498"/>
      <c r="E106" s="517" t="s">
        <v>631</v>
      </c>
      <c r="F106" s="517"/>
      <c r="G106" s="518"/>
      <c r="H106" s="492"/>
      <c r="I106" s="492"/>
      <c r="J106" s="492"/>
      <c r="K106" s="492"/>
      <c r="L106" s="498"/>
      <c r="M106" s="503"/>
      <c r="N106" s="503"/>
      <c r="O106" s="504"/>
      <c r="P106" s="492"/>
      <c r="Q106" s="492"/>
      <c r="R106" s="493">
        <f t="shared" si="11"/>
        <v>0</v>
      </c>
      <c r="S106" s="493" t="s">
        <v>430</v>
      </c>
    </row>
    <row r="107" spans="2:22" ht="15.75" thickBot="1" x14ac:dyDescent="0.3">
      <c r="B107" s="497"/>
      <c r="C107" s="498">
        <v>9</v>
      </c>
      <c r="D107" s="498"/>
      <c r="E107" s="499"/>
      <c r="F107" s="499"/>
      <c r="G107" s="498" t="s">
        <v>633</v>
      </c>
      <c r="H107" s="519">
        <v>0.1</v>
      </c>
      <c r="I107" s="501">
        <v>1</v>
      </c>
      <c r="J107" s="501">
        <v>0.1</v>
      </c>
      <c r="K107" s="501">
        <v>497</v>
      </c>
      <c r="L107" s="498"/>
      <c r="M107" s="503">
        <v>49.7</v>
      </c>
      <c r="N107" s="503"/>
      <c r="O107" s="504"/>
      <c r="P107" s="492"/>
      <c r="Q107" s="505">
        <v>3018</v>
      </c>
      <c r="R107" s="493">
        <f t="shared" si="11"/>
        <v>9</v>
      </c>
      <c r="S107" s="493" t="s">
        <v>430</v>
      </c>
      <c r="T107" s="506">
        <f t="shared" ref="T107:T108" si="17">L107*$L$1+M107*$M$1+N107*$N$1+$O107*O$1+P107*$P$1</f>
        <v>3876.0309350000002</v>
      </c>
    </row>
    <row r="108" spans="2:22" ht="15.75" thickBot="1" x14ac:dyDescent="0.3">
      <c r="B108" s="497"/>
      <c r="C108" s="498">
        <v>1</v>
      </c>
      <c r="D108" s="498"/>
      <c r="E108" s="499"/>
      <c r="F108" s="499"/>
      <c r="G108" s="498" t="s">
        <v>635</v>
      </c>
      <c r="H108" s="519">
        <v>0.1</v>
      </c>
      <c r="I108" s="501">
        <v>1</v>
      </c>
      <c r="J108" s="501">
        <v>0.1</v>
      </c>
      <c r="K108" s="501">
        <v>321</v>
      </c>
      <c r="L108" s="498"/>
      <c r="M108" s="503">
        <v>32.1</v>
      </c>
      <c r="N108" s="503"/>
      <c r="O108" s="504"/>
      <c r="P108" s="492"/>
      <c r="Q108" s="505">
        <v>1949</v>
      </c>
      <c r="R108" s="493">
        <f t="shared" si="11"/>
        <v>1</v>
      </c>
      <c r="S108" s="493" t="s">
        <v>430</v>
      </c>
      <c r="T108" s="506">
        <f t="shared" si="17"/>
        <v>2503.4324550000001</v>
      </c>
    </row>
    <row r="109" spans="2:22" ht="15.75" customHeight="1" thickBot="1" x14ac:dyDescent="0.3">
      <c r="B109" s="503"/>
      <c r="C109" s="498"/>
      <c r="D109" s="514" t="s">
        <v>646</v>
      </c>
      <c r="E109" s="514"/>
      <c r="F109" s="514"/>
      <c r="G109" s="515"/>
      <c r="H109" s="492"/>
      <c r="I109" s="492"/>
      <c r="J109" s="492"/>
      <c r="K109" s="492"/>
      <c r="L109" s="498"/>
      <c r="M109" s="503"/>
      <c r="N109" s="503"/>
      <c r="O109" s="504"/>
      <c r="P109" s="492"/>
      <c r="Q109" s="492"/>
      <c r="R109" s="493">
        <f t="shared" si="11"/>
        <v>0</v>
      </c>
      <c r="S109" s="493" t="s">
        <v>430</v>
      </c>
    </row>
    <row r="110" spans="2:22" ht="18" customHeight="1" thickBot="1" x14ac:dyDescent="0.3">
      <c r="B110" s="503"/>
      <c r="C110" s="498"/>
      <c r="D110" s="498"/>
      <c r="E110" s="517" t="s">
        <v>647</v>
      </c>
      <c r="F110" s="517"/>
      <c r="G110" s="518"/>
      <c r="H110" s="492"/>
      <c r="I110" s="492"/>
      <c r="J110" s="492"/>
      <c r="K110" s="492"/>
      <c r="L110" s="498"/>
      <c r="M110" s="503"/>
      <c r="N110" s="503"/>
      <c r="O110" s="504"/>
      <c r="P110" s="492"/>
      <c r="Q110" s="492"/>
      <c r="R110" s="493">
        <f t="shared" si="11"/>
        <v>0</v>
      </c>
      <c r="S110" s="493" t="s">
        <v>430</v>
      </c>
    </row>
    <row r="111" spans="2:22" ht="15.75" thickBot="1" x14ac:dyDescent="0.3">
      <c r="B111" s="497"/>
      <c r="C111" s="498">
        <v>9</v>
      </c>
      <c r="D111" s="498"/>
      <c r="E111" s="499"/>
      <c r="F111" s="499"/>
      <c r="G111" s="498" t="s">
        <v>648</v>
      </c>
      <c r="H111" s="519">
        <v>2</v>
      </c>
      <c r="I111" s="501">
        <v>1</v>
      </c>
      <c r="J111" s="501">
        <v>2</v>
      </c>
      <c r="K111" s="501">
        <v>497</v>
      </c>
      <c r="L111" s="498">
        <v>994</v>
      </c>
      <c r="M111" s="503"/>
      <c r="N111" s="503">
        <v>99.4</v>
      </c>
      <c r="O111" s="504">
        <v>49.7</v>
      </c>
      <c r="P111" s="492"/>
      <c r="Q111" s="505">
        <v>108053</v>
      </c>
      <c r="R111" s="493">
        <f t="shared" si="11"/>
        <v>9</v>
      </c>
      <c r="S111" s="493" t="s">
        <v>430</v>
      </c>
      <c r="T111" s="506">
        <f t="shared" ref="T111:T113" si="18">L111*$L$1+M111*$M$1+N111*$N$1+$O111*O$1+P111*$P$1</f>
        <v>128354.74437100002</v>
      </c>
    </row>
    <row r="112" spans="2:22" ht="15.75" thickBot="1" x14ac:dyDescent="0.3">
      <c r="B112" s="497"/>
      <c r="C112" s="498">
        <v>1</v>
      </c>
      <c r="D112" s="498"/>
      <c r="E112" s="499"/>
      <c r="F112" s="499"/>
      <c r="G112" s="498" t="s">
        <v>649</v>
      </c>
      <c r="H112" s="519">
        <v>2</v>
      </c>
      <c r="I112" s="501">
        <v>1</v>
      </c>
      <c r="J112" s="501">
        <v>2</v>
      </c>
      <c r="K112" s="501">
        <v>321</v>
      </c>
      <c r="L112" s="498">
        <v>642</v>
      </c>
      <c r="M112" s="503"/>
      <c r="N112" s="503">
        <v>64.2</v>
      </c>
      <c r="O112" s="504">
        <v>32.1</v>
      </c>
      <c r="P112" s="492"/>
      <c r="Q112" s="505">
        <v>69789</v>
      </c>
      <c r="R112" s="493">
        <f t="shared" si="11"/>
        <v>1</v>
      </c>
      <c r="S112" s="493" t="s">
        <v>430</v>
      </c>
      <c r="T112" s="506">
        <f t="shared" si="18"/>
        <v>82901.152803000004</v>
      </c>
    </row>
    <row r="113" spans="2:22" ht="15.75" thickBot="1" x14ac:dyDescent="0.3">
      <c r="B113" s="497"/>
      <c r="C113" s="498">
        <v>4</v>
      </c>
      <c r="D113" s="498"/>
      <c r="E113" s="499"/>
      <c r="F113" s="499"/>
      <c r="G113" s="498" t="s">
        <v>650</v>
      </c>
      <c r="H113" s="519">
        <v>2</v>
      </c>
      <c r="I113" s="501">
        <v>1</v>
      </c>
      <c r="J113" s="501">
        <v>2</v>
      </c>
      <c r="K113" s="501">
        <v>169</v>
      </c>
      <c r="L113" s="498">
        <v>338</v>
      </c>
      <c r="M113" s="503"/>
      <c r="N113" s="503">
        <v>33.799999999999997</v>
      </c>
      <c r="O113" s="504">
        <v>16.899999999999999</v>
      </c>
      <c r="P113" s="492"/>
      <c r="Q113" s="505">
        <v>36742</v>
      </c>
      <c r="R113" s="493">
        <f t="shared" si="11"/>
        <v>4</v>
      </c>
      <c r="S113" s="493" t="s">
        <v>430</v>
      </c>
      <c r="T113" s="506">
        <f t="shared" si="18"/>
        <v>43645.778267000002</v>
      </c>
    </row>
    <row r="114" spans="2:22" ht="15.75" customHeight="1" thickBot="1" x14ac:dyDescent="0.3">
      <c r="B114" s="503"/>
      <c r="C114" s="513"/>
      <c r="D114" s="514" t="s">
        <v>651</v>
      </c>
      <c r="E114" s="514"/>
      <c r="F114" s="514"/>
      <c r="G114" s="515"/>
      <c r="H114" s="492"/>
      <c r="I114" s="492"/>
      <c r="J114" s="492"/>
      <c r="K114" s="492"/>
      <c r="L114" s="498"/>
      <c r="M114" s="503"/>
      <c r="N114" s="503"/>
      <c r="O114" s="504"/>
      <c r="P114" s="492"/>
      <c r="Q114" s="492"/>
      <c r="R114" s="493">
        <f t="shared" si="11"/>
        <v>0</v>
      </c>
      <c r="S114" s="493" t="s">
        <v>430</v>
      </c>
    </row>
    <row r="115" spans="2:22" ht="18" customHeight="1" thickBot="1" x14ac:dyDescent="0.3">
      <c r="B115" s="503"/>
      <c r="C115" s="498"/>
      <c r="D115" s="498"/>
      <c r="E115" s="517" t="s">
        <v>652</v>
      </c>
      <c r="F115" s="517"/>
      <c r="G115" s="518"/>
      <c r="H115" s="492"/>
      <c r="I115" s="492"/>
      <c r="J115" s="492"/>
      <c r="K115" s="492"/>
      <c r="L115" s="498"/>
      <c r="M115" s="503"/>
      <c r="N115" s="503"/>
      <c r="O115" s="504"/>
      <c r="P115" s="492"/>
      <c r="Q115" s="492"/>
      <c r="R115" s="493">
        <f t="shared" si="11"/>
        <v>0</v>
      </c>
      <c r="S115" s="493" t="s">
        <v>430</v>
      </c>
    </row>
    <row r="116" spans="2:22" ht="15.75" thickBot="1" x14ac:dyDescent="0.3">
      <c r="B116" s="497"/>
      <c r="C116" s="498">
        <v>9</v>
      </c>
      <c r="D116" s="498"/>
      <c r="E116" s="499"/>
      <c r="F116" s="499"/>
      <c r="G116" s="498" t="s">
        <v>653</v>
      </c>
      <c r="H116" s="519">
        <v>5</v>
      </c>
      <c r="I116" s="501">
        <v>1</v>
      </c>
      <c r="J116" s="501">
        <v>5</v>
      </c>
      <c r="K116" s="501">
        <v>150</v>
      </c>
      <c r="L116" s="498">
        <v>750</v>
      </c>
      <c r="M116" s="503"/>
      <c r="N116" s="503">
        <v>75</v>
      </c>
      <c r="O116" s="504">
        <v>37.5</v>
      </c>
      <c r="P116" s="492"/>
      <c r="Q116" s="505">
        <v>81529</v>
      </c>
      <c r="R116" s="493">
        <f t="shared" si="11"/>
        <v>9</v>
      </c>
      <c r="S116" s="493" t="s">
        <v>430</v>
      </c>
      <c r="T116" s="506">
        <f>L116*$L$1+M116*$M$1+N116*$N$1+$O116*O$1+P116*$P$1</f>
        <v>96847.141125000009</v>
      </c>
    </row>
    <row r="117" spans="2:22" ht="18" customHeight="1" thickBot="1" x14ac:dyDescent="0.3">
      <c r="B117" s="503"/>
      <c r="C117" s="498"/>
      <c r="D117" s="498"/>
      <c r="E117" s="517" t="s">
        <v>654</v>
      </c>
      <c r="F117" s="517"/>
      <c r="G117" s="518"/>
      <c r="H117" s="492"/>
      <c r="I117" s="492"/>
      <c r="J117" s="492"/>
      <c r="K117" s="492"/>
      <c r="L117" s="498"/>
      <c r="M117" s="503"/>
      <c r="N117" s="503"/>
      <c r="O117" s="504"/>
      <c r="P117" s="492"/>
      <c r="Q117" s="492"/>
      <c r="R117" s="493">
        <f t="shared" si="11"/>
        <v>0</v>
      </c>
      <c r="S117" s="493" t="s">
        <v>430</v>
      </c>
    </row>
    <row r="118" spans="2:22" ht="15.75" thickBot="1" x14ac:dyDescent="0.3">
      <c r="B118" s="497"/>
      <c r="C118" s="498">
        <v>9</v>
      </c>
      <c r="D118" s="498"/>
      <c r="E118" s="499"/>
      <c r="F118" s="499"/>
      <c r="G118" s="498" t="s">
        <v>655</v>
      </c>
      <c r="H118" s="519">
        <v>1</v>
      </c>
      <c r="I118" s="501">
        <v>0</v>
      </c>
      <c r="J118" s="501">
        <v>0</v>
      </c>
      <c r="K118" s="501">
        <v>0</v>
      </c>
      <c r="L118" s="498"/>
      <c r="M118" s="503"/>
      <c r="N118" s="503"/>
      <c r="O118" s="504"/>
      <c r="P118" s="492"/>
      <c r="Q118" s="505">
        <v>0</v>
      </c>
      <c r="R118" s="493">
        <f t="shared" si="11"/>
        <v>9</v>
      </c>
      <c r="S118" s="493" t="s">
        <v>430</v>
      </c>
      <c r="T118" s="506">
        <f>L118*$L$1+M118*$M$1+N118*$N$1+$O118*O$1+P118*$P$1</f>
        <v>0</v>
      </c>
    </row>
    <row r="119" spans="2:22" ht="15.75" customHeight="1" thickBot="1" x14ac:dyDescent="0.3">
      <c r="B119" s="503"/>
      <c r="C119" s="498"/>
      <c r="D119" s="514" t="s">
        <v>656</v>
      </c>
      <c r="E119" s="514"/>
      <c r="F119" s="514"/>
      <c r="G119" s="515"/>
      <c r="H119" s="492"/>
      <c r="I119" s="492"/>
      <c r="J119" s="492"/>
      <c r="K119" s="492"/>
      <c r="L119" s="498"/>
      <c r="M119" s="503"/>
      <c r="N119" s="503"/>
      <c r="O119" s="504"/>
      <c r="P119" s="492"/>
      <c r="Q119" s="492"/>
      <c r="R119" s="493">
        <f t="shared" si="11"/>
        <v>0</v>
      </c>
      <c r="S119" s="493" t="s">
        <v>430</v>
      </c>
    </row>
    <row r="120" spans="2:22" ht="27" customHeight="1" thickBot="1" x14ac:dyDescent="0.3">
      <c r="B120" s="503"/>
      <c r="C120" s="498"/>
      <c r="D120" s="516"/>
      <c r="E120" s="517" t="s">
        <v>657</v>
      </c>
      <c r="F120" s="517"/>
      <c r="G120" s="518"/>
      <c r="H120" s="492"/>
      <c r="I120" s="492"/>
      <c r="J120" s="492"/>
      <c r="K120" s="492"/>
      <c r="L120" s="498"/>
      <c r="M120" s="503"/>
      <c r="N120" s="503"/>
      <c r="O120" s="504"/>
      <c r="P120" s="492"/>
      <c r="Q120" s="492"/>
      <c r="R120" s="493">
        <f t="shared" si="11"/>
        <v>0</v>
      </c>
      <c r="S120" s="493" t="s">
        <v>430</v>
      </c>
    </row>
    <row r="121" spans="2:22" ht="15.75" thickBot="1" x14ac:dyDescent="0.3">
      <c r="B121" s="497"/>
      <c r="C121" s="498">
        <v>5</v>
      </c>
      <c r="D121" s="516"/>
      <c r="E121" s="499"/>
      <c r="F121" s="499"/>
      <c r="G121" s="492" t="s">
        <v>658</v>
      </c>
      <c r="H121" s="501">
        <v>0.25</v>
      </c>
      <c r="I121" s="501">
        <v>0</v>
      </c>
      <c r="J121" s="501">
        <v>0</v>
      </c>
      <c r="K121" s="501">
        <v>0</v>
      </c>
      <c r="L121" s="498"/>
      <c r="M121" s="503"/>
      <c r="N121" s="503"/>
      <c r="O121" s="504"/>
      <c r="P121" s="492"/>
      <c r="Q121" s="505">
        <v>0</v>
      </c>
      <c r="R121" s="493">
        <f t="shared" si="11"/>
        <v>5</v>
      </c>
      <c r="S121" s="493" t="s">
        <v>430</v>
      </c>
      <c r="T121" s="506">
        <f t="shared" ref="T121:T123" si="19">L121*$L$1+M121*$M$1+N121*$N$1+$O121*O$1+P121*$P$1</f>
        <v>0</v>
      </c>
      <c r="U121" s="53"/>
      <c r="V121" s="507"/>
    </row>
    <row r="122" spans="2:22" ht="15.75" thickBot="1" x14ac:dyDescent="0.3">
      <c r="B122" s="497"/>
      <c r="C122" s="498">
        <v>9</v>
      </c>
      <c r="D122" s="516"/>
      <c r="E122" s="499"/>
      <c r="F122" s="499"/>
      <c r="G122" s="498" t="s">
        <v>659</v>
      </c>
      <c r="H122" s="519">
        <v>0.25</v>
      </c>
      <c r="I122" s="501">
        <v>0</v>
      </c>
      <c r="J122" s="501">
        <v>0</v>
      </c>
      <c r="K122" s="501">
        <v>0</v>
      </c>
      <c r="L122" s="498"/>
      <c r="M122" s="503"/>
      <c r="N122" s="503"/>
      <c r="O122" s="504"/>
      <c r="P122" s="492"/>
      <c r="Q122" s="505">
        <v>0</v>
      </c>
      <c r="R122" s="493">
        <f t="shared" si="11"/>
        <v>9</v>
      </c>
      <c r="S122" s="493" t="s">
        <v>430</v>
      </c>
      <c r="T122" s="506">
        <f t="shared" si="19"/>
        <v>0</v>
      </c>
    </row>
    <row r="123" spans="2:22" ht="15.75" thickBot="1" x14ac:dyDescent="0.3">
      <c r="B123" s="497"/>
      <c r="C123" s="498">
        <v>1</v>
      </c>
      <c r="D123" s="516"/>
      <c r="E123" s="499"/>
      <c r="F123" s="499"/>
      <c r="G123" s="498" t="s">
        <v>660</v>
      </c>
      <c r="H123" s="519">
        <v>0.25</v>
      </c>
      <c r="I123" s="501">
        <v>0</v>
      </c>
      <c r="J123" s="501">
        <v>0</v>
      </c>
      <c r="K123" s="501">
        <v>0</v>
      </c>
      <c r="L123" s="498"/>
      <c r="M123" s="503"/>
      <c r="N123" s="503"/>
      <c r="O123" s="504"/>
      <c r="P123" s="492"/>
      <c r="Q123" s="505">
        <v>0</v>
      </c>
      <c r="R123" s="493">
        <f t="shared" si="11"/>
        <v>1</v>
      </c>
      <c r="S123" s="493" t="s">
        <v>430</v>
      </c>
      <c r="T123" s="506">
        <f t="shared" si="19"/>
        <v>0</v>
      </c>
    </row>
    <row r="124" spans="2:22" ht="15.75" customHeight="1" thickBot="1" x14ac:dyDescent="0.3">
      <c r="B124" s="503"/>
      <c r="C124" s="498"/>
      <c r="D124" s="516"/>
      <c r="E124" s="517" t="s">
        <v>661</v>
      </c>
      <c r="F124" s="517"/>
      <c r="G124" s="518"/>
      <c r="H124" s="492"/>
      <c r="I124" s="492"/>
      <c r="J124" s="492"/>
      <c r="K124" s="492"/>
      <c r="L124" s="498"/>
      <c r="M124" s="503"/>
      <c r="N124" s="503"/>
      <c r="O124" s="504"/>
      <c r="P124" s="492"/>
      <c r="Q124" s="492"/>
      <c r="R124" s="493">
        <f t="shared" si="11"/>
        <v>0</v>
      </c>
      <c r="S124" s="493" t="s">
        <v>430</v>
      </c>
    </row>
    <row r="125" spans="2:22" ht="15.75" thickBot="1" x14ac:dyDescent="0.3">
      <c r="B125" s="497"/>
      <c r="C125" s="498">
        <v>5</v>
      </c>
      <c r="D125" s="516"/>
      <c r="E125" s="499"/>
      <c r="F125" s="499"/>
      <c r="G125" s="492" t="s">
        <v>658</v>
      </c>
      <c r="H125" s="501">
        <v>0.17</v>
      </c>
      <c r="I125" s="501">
        <v>0</v>
      </c>
      <c r="J125" s="501">
        <v>0</v>
      </c>
      <c r="K125" s="501">
        <v>0</v>
      </c>
      <c r="L125" s="498"/>
      <c r="M125" s="503"/>
      <c r="N125" s="503"/>
      <c r="O125" s="504"/>
      <c r="P125" s="492"/>
      <c r="Q125" s="505">
        <v>0</v>
      </c>
      <c r="R125" s="493">
        <f t="shared" si="11"/>
        <v>5</v>
      </c>
      <c r="S125" s="493" t="s">
        <v>430</v>
      </c>
      <c r="T125" s="506">
        <f t="shared" ref="T125:T127" si="20">L125*$L$1+M125*$M$1+N125*$N$1+$O125*O$1+P125*$P$1</f>
        <v>0</v>
      </c>
      <c r="U125" s="53"/>
      <c r="V125" s="507"/>
    </row>
    <row r="126" spans="2:22" ht="15.75" thickBot="1" x14ac:dyDescent="0.3">
      <c r="B126" s="497"/>
      <c r="C126" s="498">
        <v>9</v>
      </c>
      <c r="D126" s="516"/>
      <c r="E126" s="499"/>
      <c r="F126" s="499"/>
      <c r="G126" s="498" t="s">
        <v>659</v>
      </c>
      <c r="H126" s="519">
        <v>0.17</v>
      </c>
      <c r="I126" s="501">
        <v>0</v>
      </c>
      <c r="J126" s="501">
        <v>0</v>
      </c>
      <c r="K126" s="501">
        <v>0</v>
      </c>
      <c r="L126" s="498"/>
      <c r="M126" s="503"/>
      <c r="N126" s="503"/>
      <c r="O126" s="504"/>
      <c r="P126" s="492"/>
      <c r="Q126" s="505">
        <v>0</v>
      </c>
      <c r="R126" s="493">
        <f t="shared" si="11"/>
        <v>9</v>
      </c>
      <c r="S126" s="493" t="s">
        <v>430</v>
      </c>
      <c r="T126" s="506">
        <f t="shared" si="20"/>
        <v>0</v>
      </c>
    </row>
    <row r="127" spans="2:22" ht="15.75" thickBot="1" x14ac:dyDescent="0.3">
      <c r="B127" s="497"/>
      <c r="C127" s="498">
        <v>1</v>
      </c>
      <c r="D127" s="516"/>
      <c r="E127" s="499"/>
      <c r="F127" s="499"/>
      <c r="G127" s="498" t="s">
        <v>660</v>
      </c>
      <c r="H127" s="519">
        <v>0.17</v>
      </c>
      <c r="I127" s="501">
        <v>0</v>
      </c>
      <c r="J127" s="501">
        <v>0</v>
      </c>
      <c r="K127" s="501">
        <v>0</v>
      </c>
      <c r="L127" s="498"/>
      <c r="M127" s="503"/>
      <c r="N127" s="503"/>
      <c r="O127" s="504"/>
      <c r="P127" s="492"/>
      <c r="Q127" s="505">
        <v>0</v>
      </c>
      <c r="R127" s="493">
        <f t="shared" si="11"/>
        <v>1</v>
      </c>
      <c r="S127" s="493" t="s">
        <v>430</v>
      </c>
      <c r="T127" s="506">
        <f t="shared" si="20"/>
        <v>0</v>
      </c>
    </row>
    <row r="128" spans="2:22" ht="18" customHeight="1" thickBot="1" x14ac:dyDescent="0.3">
      <c r="B128" s="503"/>
      <c r="C128" s="498"/>
      <c r="D128" s="516"/>
      <c r="E128" s="517" t="s">
        <v>662</v>
      </c>
      <c r="F128" s="517"/>
      <c r="G128" s="518"/>
      <c r="H128" s="492"/>
      <c r="I128" s="492"/>
      <c r="J128" s="492"/>
      <c r="K128" s="492"/>
      <c r="L128" s="498"/>
      <c r="M128" s="503"/>
      <c r="N128" s="503"/>
      <c r="O128" s="504"/>
      <c r="P128" s="492"/>
      <c r="Q128" s="492"/>
      <c r="R128" s="493">
        <f t="shared" si="11"/>
        <v>0</v>
      </c>
      <c r="S128" s="493" t="s">
        <v>430</v>
      </c>
    </row>
    <row r="129" spans="2:22" ht="15.75" thickBot="1" x14ac:dyDescent="0.3">
      <c r="B129" s="497"/>
      <c r="C129" s="498">
        <v>5</v>
      </c>
      <c r="D129" s="516"/>
      <c r="E129" s="499"/>
      <c r="F129" s="499"/>
      <c r="G129" s="492" t="s">
        <v>663</v>
      </c>
      <c r="H129" s="501">
        <v>0.17</v>
      </c>
      <c r="I129" s="501">
        <v>1.1000000000000001</v>
      </c>
      <c r="J129" s="501">
        <v>0.18</v>
      </c>
      <c r="K129" s="501">
        <v>9</v>
      </c>
      <c r="L129" s="498"/>
      <c r="M129" s="503">
        <v>1.7</v>
      </c>
      <c r="N129" s="503"/>
      <c r="O129" s="504"/>
      <c r="P129" s="492"/>
      <c r="Q129" s="505">
        <v>100</v>
      </c>
      <c r="R129" s="493">
        <f t="shared" si="11"/>
        <v>5</v>
      </c>
      <c r="S129" s="493" t="s">
        <v>430</v>
      </c>
      <c r="T129" s="506">
        <f t="shared" ref="T129:T131" si="21">L129*$L$1+M129*$M$1+N129*$N$1+$O129*O$1+P129*$P$1</f>
        <v>132.580535</v>
      </c>
      <c r="U129" s="53"/>
      <c r="V129" s="507"/>
    </row>
    <row r="130" spans="2:22" ht="15.75" thickBot="1" x14ac:dyDescent="0.3">
      <c r="B130" s="497"/>
      <c r="C130" s="498">
        <v>9</v>
      </c>
      <c r="D130" s="516"/>
      <c r="E130" s="499"/>
      <c r="F130" s="499"/>
      <c r="G130" s="498" t="s">
        <v>664</v>
      </c>
      <c r="H130" s="519">
        <v>0.17</v>
      </c>
      <c r="I130" s="501">
        <v>31.3</v>
      </c>
      <c r="J130" s="501">
        <v>5.22</v>
      </c>
      <c r="K130" s="501">
        <v>148</v>
      </c>
      <c r="L130" s="498"/>
      <c r="M130" s="503">
        <v>772.1</v>
      </c>
      <c r="N130" s="503"/>
      <c r="O130" s="504"/>
      <c r="P130" s="492"/>
      <c r="Q130" s="505">
        <v>46880</v>
      </c>
      <c r="R130" s="493">
        <f t="shared" si="11"/>
        <v>9</v>
      </c>
      <c r="S130" s="493" t="s">
        <v>430</v>
      </c>
      <c r="T130" s="506">
        <f t="shared" si="21"/>
        <v>60214.959455000004</v>
      </c>
    </row>
    <row r="131" spans="2:22" ht="15.75" thickBot="1" x14ac:dyDescent="0.3">
      <c r="B131" s="497"/>
      <c r="C131" s="498">
        <v>1</v>
      </c>
      <c r="D131" s="516"/>
      <c r="E131" s="499"/>
      <c r="F131" s="499"/>
      <c r="G131" s="498" t="s">
        <v>665</v>
      </c>
      <c r="H131" s="519">
        <v>0.17</v>
      </c>
      <c r="I131" s="501">
        <v>4.9000000000000004</v>
      </c>
      <c r="J131" s="501">
        <v>0.81</v>
      </c>
      <c r="K131" s="501">
        <v>104</v>
      </c>
      <c r="L131" s="498"/>
      <c r="M131" s="503">
        <v>84.5</v>
      </c>
      <c r="N131" s="503"/>
      <c r="O131" s="504"/>
      <c r="P131" s="492"/>
      <c r="Q131" s="505">
        <v>5131</v>
      </c>
      <c r="R131" s="493">
        <f t="shared" si="11"/>
        <v>1</v>
      </c>
      <c r="S131" s="493" t="s">
        <v>430</v>
      </c>
      <c r="T131" s="506">
        <f t="shared" si="21"/>
        <v>6590.032475</v>
      </c>
    </row>
    <row r="132" spans="2:22" ht="15.75" customHeight="1" thickBot="1" x14ac:dyDescent="0.3">
      <c r="B132" s="503"/>
      <c r="C132" s="498"/>
      <c r="D132" s="516"/>
      <c r="E132" s="517" t="s">
        <v>666</v>
      </c>
      <c r="F132" s="517"/>
      <c r="G132" s="518"/>
      <c r="H132" s="492"/>
      <c r="I132" s="492"/>
      <c r="J132" s="492"/>
      <c r="K132" s="492"/>
      <c r="L132" s="498"/>
      <c r="M132" s="503"/>
      <c r="N132" s="503"/>
      <c r="O132" s="504"/>
      <c r="P132" s="492"/>
      <c r="Q132" s="492"/>
      <c r="R132" s="493">
        <f t="shared" si="11"/>
        <v>0</v>
      </c>
      <c r="S132" s="493" t="s">
        <v>430</v>
      </c>
    </row>
    <row r="133" spans="2:22" ht="15.75" thickBot="1" x14ac:dyDescent="0.3">
      <c r="B133" s="497"/>
      <c r="C133" s="498">
        <v>5</v>
      </c>
      <c r="D133" s="516"/>
      <c r="E133" s="499"/>
      <c r="F133" s="499"/>
      <c r="G133" s="492" t="s">
        <v>667</v>
      </c>
      <c r="H133" s="501">
        <v>0.17</v>
      </c>
      <c r="I133" s="501">
        <v>3.1</v>
      </c>
      <c r="J133" s="501">
        <v>0.52</v>
      </c>
      <c r="K133" s="501">
        <v>123</v>
      </c>
      <c r="L133" s="498"/>
      <c r="M133" s="503">
        <v>63.6</v>
      </c>
      <c r="N133" s="503"/>
      <c r="O133" s="504"/>
      <c r="P133" s="492"/>
      <c r="Q133" s="505">
        <v>3859</v>
      </c>
      <c r="R133" s="493">
        <f t="shared" si="11"/>
        <v>5</v>
      </c>
      <c r="S133" s="493" t="s">
        <v>430</v>
      </c>
      <c r="T133" s="506">
        <f t="shared" ref="T133:T135" si="22">L133*$L$1+M133*$M$1+N133*$N$1+$O133*O$1+P133*$P$1</f>
        <v>4960.0717800000002</v>
      </c>
      <c r="U133" s="53"/>
      <c r="V133" s="507"/>
    </row>
    <row r="134" spans="2:22" ht="15.75" thickBot="1" x14ac:dyDescent="0.3">
      <c r="B134" s="497"/>
      <c r="C134" s="498">
        <v>9</v>
      </c>
      <c r="D134" s="498"/>
      <c r="E134" s="499"/>
      <c r="F134" s="499"/>
      <c r="G134" s="498" t="s">
        <v>668</v>
      </c>
      <c r="H134" s="519">
        <v>0.17</v>
      </c>
      <c r="I134" s="501">
        <v>29.7</v>
      </c>
      <c r="J134" s="501">
        <v>4.95</v>
      </c>
      <c r="K134" s="501">
        <v>18</v>
      </c>
      <c r="L134" s="498"/>
      <c r="M134" s="503">
        <v>89.1</v>
      </c>
      <c r="N134" s="503"/>
      <c r="O134" s="504"/>
      <c r="P134" s="492"/>
      <c r="Q134" s="505">
        <v>5410</v>
      </c>
      <c r="R134" s="493">
        <f t="shared" si="11"/>
        <v>9</v>
      </c>
      <c r="S134" s="493" t="s">
        <v>430</v>
      </c>
      <c r="T134" s="506">
        <f t="shared" si="22"/>
        <v>6948.7798050000001</v>
      </c>
    </row>
    <row r="135" spans="2:22" ht="15.75" thickBot="1" x14ac:dyDescent="0.3">
      <c r="B135" s="497"/>
      <c r="C135" s="498">
        <v>1</v>
      </c>
      <c r="D135" s="498"/>
      <c r="E135" s="499"/>
      <c r="F135" s="499"/>
      <c r="G135" s="498" t="s">
        <v>669</v>
      </c>
      <c r="H135" s="519">
        <v>0.17</v>
      </c>
      <c r="I135" s="501">
        <v>5.2</v>
      </c>
      <c r="J135" s="501">
        <v>0.87</v>
      </c>
      <c r="K135" s="501">
        <v>15</v>
      </c>
      <c r="L135" s="498"/>
      <c r="M135" s="503">
        <v>13</v>
      </c>
      <c r="N135" s="503"/>
      <c r="O135" s="504"/>
      <c r="P135" s="492"/>
      <c r="Q135" s="505">
        <v>789</v>
      </c>
      <c r="R135" s="493">
        <f t="shared" si="11"/>
        <v>1</v>
      </c>
      <c r="S135" s="493" t="s">
        <v>430</v>
      </c>
      <c r="T135" s="506">
        <f t="shared" si="22"/>
        <v>1013.8511500000001</v>
      </c>
    </row>
    <row r="136" spans="2:22" ht="15.75" customHeight="1" thickBot="1" x14ac:dyDescent="0.3">
      <c r="B136" s="503"/>
      <c r="C136" s="498"/>
      <c r="D136" s="516"/>
      <c r="E136" s="517" t="s">
        <v>670</v>
      </c>
      <c r="F136" s="517"/>
      <c r="G136" s="518"/>
      <c r="H136" s="492"/>
      <c r="I136" s="492"/>
      <c r="J136" s="492"/>
      <c r="K136" s="492"/>
      <c r="L136" s="498"/>
      <c r="M136" s="503"/>
      <c r="N136" s="503"/>
      <c r="O136" s="504"/>
      <c r="P136" s="492"/>
      <c r="Q136" s="492"/>
      <c r="R136" s="493">
        <f t="shared" si="11"/>
        <v>0</v>
      </c>
      <c r="S136" s="493" t="s">
        <v>430</v>
      </c>
    </row>
    <row r="137" spans="2:22" ht="15.75" thickBot="1" x14ac:dyDescent="0.3">
      <c r="B137" s="497"/>
      <c r="C137" s="498">
        <v>5</v>
      </c>
      <c r="D137" s="516"/>
      <c r="E137" s="499"/>
      <c r="F137" s="499"/>
      <c r="G137" s="492" t="s">
        <v>671</v>
      </c>
      <c r="H137" s="501">
        <v>0.17</v>
      </c>
      <c r="I137" s="501">
        <v>3.1</v>
      </c>
      <c r="J137" s="501">
        <v>0.52</v>
      </c>
      <c r="K137" s="501">
        <v>123</v>
      </c>
      <c r="L137" s="498">
        <v>63.6</v>
      </c>
      <c r="M137" s="503"/>
      <c r="N137" s="503">
        <v>6.4</v>
      </c>
      <c r="O137" s="504">
        <v>3.2</v>
      </c>
      <c r="P137" s="492"/>
      <c r="Q137" s="505">
        <v>6908</v>
      </c>
      <c r="R137" s="493">
        <f t="shared" si="11"/>
        <v>5</v>
      </c>
      <c r="S137" s="493" t="s">
        <v>430</v>
      </c>
      <c r="T137" s="506">
        <f t="shared" ref="T137:T139" si="23">L137*$L$1+M137*$M$1+N137*$N$1+$O137*O$1+P137*$P$1</f>
        <v>8220.2222160000019</v>
      </c>
      <c r="U137" s="53"/>
      <c r="V137" s="507"/>
    </row>
    <row r="138" spans="2:22" ht="15.75" thickBot="1" x14ac:dyDescent="0.3">
      <c r="B138" s="497"/>
      <c r="C138" s="498">
        <v>9</v>
      </c>
      <c r="D138" s="498"/>
      <c r="E138" s="499"/>
      <c r="F138" s="499"/>
      <c r="G138" s="498" t="s">
        <v>672</v>
      </c>
      <c r="H138" s="519">
        <v>0.17</v>
      </c>
      <c r="I138" s="501">
        <v>29.7</v>
      </c>
      <c r="J138" s="501">
        <v>4.95</v>
      </c>
      <c r="K138" s="501">
        <v>18</v>
      </c>
      <c r="L138" s="498">
        <v>89.1</v>
      </c>
      <c r="M138" s="503"/>
      <c r="N138" s="503">
        <v>8.9</v>
      </c>
      <c r="O138" s="504">
        <v>4.5</v>
      </c>
      <c r="P138" s="492"/>
      <c r="Q138" s="505">
        <v>9686</v>
      </c>
      <c r="R138" s="493">
        <f t="shared" si="11"/>
        <v>9</v>
      </c>
      <c r="S138" s="493" t="s">
        <v>430</v>
      </c>
      <c r="T138" s="506">
        <f t="shared" si="23"/>
        <v>11510.159923000001</v>
      </c>
    </row>
    <row r="139" spans="2:22" ht="15.75" thickBot="1" x14ac:dyDescent="0.3">
      <c r="B139" s="497"/>
      <c r="C139" s="498">
        <v>1</v>
      </c>
      <c r="D139" s="498"/>
      <c r="E139" s="499"/>
      <c r="F139" s="499"/>
      <c r="G139" s="498" t="s">
        <v>673</v>
      </c>
      <c r="H139" s="519">
        <v>0.17</v>
      </c>
      <c r="I139" s="501">
        <v>5.2</v>
      </c>
      <c r="J139" s="501">
        <v>0.87</v>
      </c>
      <c r="K139" s="501">
        <v>15</v>
      </c>
      <c r="L139" s="498">
        <v>13</v>
      </c>
      <c r="M139" s="503"/>
      <c r="N139" s="503">
        <v>1.3</v>
      </c>
      <c r="O139" s="504">
        <v>0.7</v>
      </c>
      <c r="P139" s="492"/>
      <c r="Q139" s="505">
        <v>1413</v>
      </c>
      <c r="R139" s="493">
        <f t="shared" si="11"/>
        <v>1</v>
      </c>
      <c r="S139" s="493" t="s">
        <v>430</v>
      </c>
      <c r="T139" s="506">
        <f t="shared" si="23"/>
        <v>1685.2994990000002</v>
      </c>
    </row>
    <row r="140" spans="2:22" ht="15.75" customHeight="1" thickBot="1" x14ac:dyDescent="0.3">
      <c r="B140" s="503"/>
      <c r="C140" s="513"/>
      <c r="D140" s="514" t="s">
        <v>674</v>
      </c>
      <c r="E140" s="514"/>
      <c r="F140" s="514"/>
      <c r="G140" s="515"/>
      <c r="H140" s="492"/>
      <c r="I140" s="492"/>
      <c r="J140" s="492"/>
      <c r="K140" s="492"/>
      <c r="L140" s="498"/>
      <c r="M140" s="503"/>
      <c r="N140" s="503"/>
      <c r="O140" s="504"/>
      <c r="P140" s="492"/>
      <c r="Q140" s="492"/>
      <c r="R140" s="493">
        <f t="shared" ref="R140:R203" si="24">C140</f>
        <v>0</v>
      </c>
      <c r="S140" s="493" t="s">
        <v>430</v>
      </c>
    </row>
    <row r="141" spans="2:22" ht="18" customHeight="1" thickBot="1" x14ac:dyDescent="0.3">
      <c r="B141" s="503"/>
      <c r="C141" s="498"/>
      <c r="D141" s="498"/>
      <c r="E141" s="499" t="s">
        <v>675</v>
      </c>
      <c r="F141" s="499"/>
      <c r="G141" s="500"/>
      <c r="H141" s="492"/>
      <c r="I141" s="492"/>
      <c r="J141" s="492"/>
      <c r="K141" s="492"/>
      <c r="L141" s="498"/>
      <c r="M141" s="503"/>
      <c r="N141" s="503"/>
      <c r="O141" s="504"/>
      <c r="P141" s="492"/>
      <c r="Q141" s="492"/>
      <c r="R141" s="493">
        <f t="shared" si="24"/>
        <v>0</v>
      </c>
      <c r="S141" s="493" t="s">
        <v>430</v>
      </c>
    </row>
    <row r="142" spans="2:22" ht="15.75" thickBot="1" x14ac:dyDescent="0.3">
      <c r="B142" s="497"/>
      <c r="C142" s="498">
        <v>9</v>
      </c>
      <c r="D142" s="498"/>
      <c r="E142" s="499"/>
      <c r="F142" s="499"/>
      <c r="G142" s="498" t="s">
        <v>676</v>
      </c>
      <c r="H142" s="519">
        <v>0.17</v>
      </c>
      <c r="I142" s="501">
        <v>3.3</v>
      </c>
      <c r="J142" s="501">
        <v>0.55000000000000004</v>
      </c>
      <c r="K142" s="501">
        <v>13</v>
      </c>
      <c r="L142" s="498"/>
      <c r="M142" s="503">
        <v>7.2</v>
      </c>
      <c r="N142" s="503"/>
      <c r="O142" s="504"/>
      <c r="P142" s="492"/>
      <c r="Q142" s="505">
        <v>434</v>
      </c>
      <c r="R142" s="493">
        <f t="shared" si="24"/>
        <v>9</v>
      </c>
      <c r="S142" s="493" t="s">
        <v>430</v>
      </c>
      <c r="T142" s="506">
        <f>L142*$L$1+M142*$M$1+N142*$N$1+$O142*O$1+P142*$P$1</f>
        <v>561.51756</v>
      </c>
    </row>
    <row r="143" spans="2:22" ht="18" customHeight="1" thickBot="1" x14ac:dyDescent="0.3">
      <c r="B143" s="503"/>
      <c r="C143" s="498"/>
      <c r="D143" s="498"/>
      <c r="E143" s="517" t="s">
        <v>677</v>
      </c>
      <c r="F143" s="517"/>
      <c r="G143" s="518"/>
      <c r="H143" s="492"/>
      <c r="I143" s="492"/>
      <c r="J143" s="492"/>
      <c r="K143" s="492"/>
      <c r="L143" s="498"/>
      <c r="M143" s="503"/>
      <c r="N143" s="503"/>
      <c r="O143" s="504"/>
      <c r="P143" s="492"/>
      <c r="Q143" s="492"/>
      <c r="R143" s="493">
        <f t="shared" si="24"/>
        <v>0</v>
      </c>
      <c r="S143" s="493" t="s">
        <v>430</v>
      </c>
    </row>
    <row r="144" spans="2:22" ht="15.75" thickBot="1" x14ac:dyDescent="0.3">
      <c r="B144" s="497"/>
      <c r="C144" s="498">
        <v>9</v>
      </c>
      <c r="D144" s="498"/>
      <c r="E144" s="499"/>
      <c r="F144" s="499"/>
      <c r="G144" s="498" t="s">
        <v>676</v>
      </c>
      <c r="H144" s="519">
        <v>0.17</v>
      </c>
      <c r="I144" s="501">
        <v>3.3</v>
      </c>
      <c r="J144" s="501">
        <v>0.55000000000000004</v>
      </c>
      <c r="K144" s="501">
        <v>13</v>
      </c>
      <c r="L144" s="498"/>
      <c r="M144" s="503">
        <v>7.2</v>
      </c>
      <c r="N144" s="503"/>
      <c r="O144" s="504"/>
      <c r="P144" s="492"/>
      <c r="Q144" s="505">
        <v>434</v>
      </c>
      <c r="R144" s="493">
        <f t="shared" si="24"/>
        <v>9</v>
      </c>
      <c r="S144" s="493" t="s">
        <v>430</v>
      </c>
      <c r="T144" s="506">
        <f>L144*$L$1+M144*$M$1+N144*$N$1+$O144*O$1+P144*$P$1</f>
        <v>561.51756</v>
      </c>
    </row>
    <row r="145" spans="2:20" ht="15.75" customHeight="1" thickBot="1" x14ac:dyDescent="0.3">
      <c r="B145" s="503"/>
      <c r="C145" s="498"/>
      <c r="D145" s="498"/>
      <c r="E145" s="517" t="s">
        <v>678</v>
      </c>
      <c r="F145" s="517"/>
      <c r="G145" s="518"/>
      <c r="H145" s="492"/>
      <c r="I145" s="492"/>
      <c r="J145" s="492"/>
      <c r="K145" s="492"/>
      <c r="L145" s="498"/>
      <c r="M145" s="503"/>
      <c r="N145" s="503"/>
      <c r="O145" s="504"/>
      <c r="P145" s="492"/>
      <c r="Q145" s="492"/>
      <c r="R145" s="493">
        <f t="shared" si="24"/>
        <v>0</v>
      </c>
      <c r="S145" s="493" t="s">
        <v>430</v>
      </c>
    </row>
    <row r="146" spans="2:20" ht="15.75" thickBot="1" x14ac:dyDescent="0.3">
      <c r="B146" s="497"/>
      <c r="C146" s="498">
        <v>9</v>
      </c>
      <c r="D146" s="498"/>
      <c r="E146" s="499"/>
      <c r="F146" s="499"/>
      <c r="G146" s="498" t="s">
        <v>679</v>
      </c>
      <c r="H146" s="519">
        <v>0.17</v>
      </c>
      <c r="I146" s="501">
        <v>3.3</v>
      </c>
      <c r="J146" s="501">
        <v>0.55000000000000004</v>
      </c>
      <c r="K146" s="501">
        <v>13</v>
      </c>
      <c r="L146" s="498">
        <v>7.2</v>
      </c>
      <c r="M146" s="503"/>
      <c r="N146" s="503">
        <v>0.7</v>
      </c>
      <c r="O146" s="504">
        <v>0.4</v>
      </c>
      <c r="P146" s="492"/>
      <c r="Q146" s="505">
        <v>777</v>
      </c>
      <c r="R146" s="493">
        <f t="shared" si="24"/>
        <v>9</v>
      </c>
      <c r="S146" s="493" t="s">
        <v>430</v>
      </c>
      <c r="T146" s="506">
        <f>L146*$L$1+M146*$M$1+N146*$N$1+$O146*O$1+P146*$P$1</f>
        <v>932.55595000000005</v>
      </c>
    </row>
    <row r="147" spans="2:20" ht="15.75" customHeight="1" thickBot="1" x14ac:dyDescent="0.3">
      <c r="B147" s="503"/>
      <c r="C147" s="498"/>
      <c r="D147" s="514" t="s">
        <v>680</v>
      </c>
      <c r="E147" s="514"/>
      <c r="F147" s="514"/>
      <c r="G147" s="515"/>
      <c r="H147" s="492"/>
      <c r="I147" s="492"/>
      <c r="J147" s="492"/>
      <c r="K147" s="492"/>
      <c r="L147" s="498"/>
      <c r="M147" s="503"/>
      <c r="N147" s="503"/>
      <c r="O147" s="504"/>
      <c r="P147" s="492"/>
      <c r="Q147" s="492"/>
      <c r="R147" s="493">
        <f t="shared" si="24"/>
        <v>0</v>
      </c>
      <c r="S147" s="493" t="s">
        <v>430</v>
      </c>
    </row>
    <row r="148" spans="2:20" ht="18" customHeight="1" thickBot="1" x14ac:dyDescent="0.3">
      <c r="B148" s="503"/>
      <c r="C148" s="498"/>
      <c r="D148" s="498"/>
      <c r="E148" s="517" t="s">
        <v>681</v>
      </c>
      <c r="F148" s="517"/>
      <c r="G148" s="518"/>
      <c r="H148" s="492"/>
      <c r="I148" s="492"/>
      <c r="J148" s="492"/>
      <c r="K148" s="492"/>
      <c r="L148" s="498"/>
      <c r="M148" s="503"/>
      <c r="N148" s="503"/>
      <c r="O148" s="504"/>
      <c r="P148" s="492"/>
      <c r="Q148" s="492"/>
      <c r="R148" s="493">
        <f t="shared" si="24"/>
        <v>0</v>
      </c>
      <c r="S148" s="493" t="s">
        <v>430</v>
      </c>
    </row>
    <row r="149" spans="2:20" ht="15.75" thickBot="1" x14ac:dyDescent="0.3">
      <c r="B149" s="497"/>
      <c r="C149" s="498">
        <v>9</v>
      </c>
      <c r="D149" s="498"/>
      <c r="E149" s="499"/>
      <c r="F149" s="499"/>
      <c r="G149" s="498" t="s">
        <v>682</v>
      </c>
      <c r="H149" s="519">
        <v>0.17</v>
      </c>
      <c r="I149" s="501">
        <v>15.7</v>
      </c>
      <c r="J149" s="501">
        <v>2.62</v>
      </c>
      <c r="K149" s="501">
        <v>10</v>
      </c>
      <c r="L149" s="498">
        <v>26.2</v>
      </c>
      <c r="M149" s="503"/>
      <c r="N149" s="503">
        <v>2.6</v>
      </c>
      <c r="O149" s="504">
        <v>1.3</v>
      </c>
      <c r="P149" s="492"/>
      <c r="Q149" s="505">
        <v>2844</v>
      </c>
      <c r="R149" s="493">
        <f t="shared" si="24"/>
        <v>9</v>
      </c>
      <c r="S149" s="493" t="s">
        <v>430</v>
      </c>
      <c r="T149" s="506">
        <f>L149*$L$1+M149*$M$1+N149*$N$1+$O149*O$1+P149*$P$1</f>
        <v>3379.4011390000001</v>
      </c>
    </row>
    <row r="150" spans="2:20" ht="18" customHeight="1" thickBot="1" x14ac:dyDescent="0.3">
      <c r="B150" s="503"/>
      <c r="C150" s="498"/>
      <c r="D150" s="498"/>
      <c r="E150" s="517" t="s">
        <v>683</v>
      </c>
      <c r="F150" s="517"/>
      <c r="G150" s="518"/>
      <c r="H150" s="492"/>
      <c r="I150" s="492"/>
      <c r="J150" s="492"/>
      <c r="K150" s="492"/>
      <c r="L150" s="498"/>
      <c r="M150" s="503"/>
      <c r="N150" s="503"/>
      <c r="O150" s="504"/>
      <c r="P150" s="492"/>
      <c r="Q150" s="492"/>
      <c r="R150" s="493">
        <f t="shared" si="24"/>
        <v>0</v>
      </c>
      <c r="S150" s="493" t="s">
        <v>430</v>
      </c>
    </row>
    <row r="151" spans="2:20" ht="15.75" thickBot="1" x14ac:dyDescent="0.3">
      <c r="B151" s="497"/>
      <c r="C151" s="498">
        <v>9</v>
      </c>
      <c r="D151" s="498"/>
      <c r="E151" s="499"/>
      <c r="F151" s="499"/>
      <c r="G151" s="498" t="s">
        <v>682</v>
      </c>
      <c r="H151" s="519">
        <v>0.17</v>
      </c>
      <c r="I151" s="501">
        <v>15.7</v>
      </c>
      <c r="J151" s="501">
        <v>2.62</v>
      </c>
      <c r="K151" s="501">
        <v>10</v>
      </c>
      <c r="L151" s="498">
        <v>26.2</v>
      </c>
      <c r="M151" s="503"/>
      <c r="N151" s="503">
        <v>2.6</v>
      </c>
      <c r="O151" s="504">
        <v>1.3</v>
      </c>
      <c r="P151" s="492"/>
      <c r="Q151" s="505">
        <v>2844</v>
      </c>
      <c r="R151" s="493">
        <f t="shared" si="24"/>
        <v>9</v>
      </c>
      <c r="S151" s="493" t="s">
        <v>430</v>
      </c>
      <c r="T151" s="506">
        <f>L151*$L$1+M151*$M$1+N151*$N$1+$O151*O$1+P151*$P$1</f>
        <v>3379.4011390000001</v>
      </c>
    </row>
    <row r="152" spans="2:20" ht="15.75" customHeight="1" thickBot="1" x14ac:dyDescent="0.3">
      <c r="B152" s="503"/>
      <c r="C152" s="498"/>
      <c r="D152" s="498"/>
      <c r="E152" s="517" t="s">
        <v>684</v>
      </c>
      <c r="F152" s="517"/>
      <c r="G152" s="518"/>
      <c r="H152" s="492"/>
      <c r="I152" s="492"/>
      <c r="J152" s="492"/>
      <c r="K152" s="492"/>
      <c r="L152" s="498"/>
      <c r="M152" s="503"/>
      <c r="N152" s="503"/>
      <c r="O152" s="504"/>
      <c r="P152" s="492"/>
      <c r="Q152" s="492"/>
      <c r="R152" s="493">
        <f t="shared" si="24"/>
        <v>0</v>
      </c>
      <c r="S152" s="493" t="s">
        <v>430</v>
      </c>
    </row>
    <row r="153" spans="2:20" ht="15.75" thickBot="1" x14ac:dyDescent="0.3">
      <c r="B153" s="497"/>
      <c r="C153" s="498">
        <v>9</v>
      </c>
      <c r="D153" s="498"/>
      <c r="E153" s="499"/>
      <c r="F153" s="499"/>
      <c r="G153" s="498" t="s">
        <v>682</v>
      </c>
      <c r="H153" s="519">
        <v>0.17</v>
      </c>
      <c r="I153" s="501">
        <v>15.7</v>
      </c>
      <c r="J153" s="501">
        <v>2.62</v>
      </c>
      <c r="K153" s="501">
        <v>10</v>
      </c>
      <c r="L153" s="498">
        <v>26.2</v>
      </c>
      <c r="M153" s="503"/>
      <c r="N153" s="503">
        <v>2.6</v>
      </c>
      <c r="O153" s="504">
        <v>1.3</v>
      </c>
      <c r="P153" s="492"/>
      <c r="Q153" s="505">
        <v>2844</v>
      </c>
      <c r="R153" s="493">
        <f t="shared" si="24"/>
        <v>9</v>
      </c>
      <c r="S153" s="493" t="s">
        <v>430</v>
      </c>
      <c r="T153" s="506">
        <f>L153*$L$1+M153*$M$1+N153*$N$1+$O153*O$1+P153*$P$1</f>
        <v>3379.4011390000001</v>
      </c>
    </row>
    <row r="154" spans="2:20" ht="18" customHeight="1" thickBot="1" x14ac:dyDescent="0.3">
      <c r="B154" s="503"/>
      <c r="C154" s="513"/>
      <c r="D154" s="524" t="s">
        <v>685</v>
      </c>
      <c r="E154" s="514"/>
      <c r="F154" s="514"/>
      <c r="G154" s="515"/>
      <c r="H154" s="492"/>
      <c r="I154" s="492"/>
      <c r="J154" s="492"/>
      <c r="K154" s="492"/>
      <c r="L154" s="498"/>
      <c r="M154" s="503"/>
      <c r="N154" s="503"/>
      <c r="O154" s="504"/>
      <c r="P154" s="492"/>
      <c r="Q154" s="492"/>
      <c r="R154" s="493">
        <f t="shared" si="24"/>
        <v>0</v>
      </c>
      <c r="S154" s="493" t="s">
        <v>430</v>
      </c>
    </row>
    <row r="155" spans="2:20" ht="18" customHeight="1" thickBot="1" x14ac:dyDescent="0.3">
      <c r="B155" s="497"/>
      <c r="C155" s="498">
        <v>6</v>
      </c>
      <c r="D155" s="516"/>
      <c r="E155" s="499" t="s">
        <v>686</v>
      </c>
      <c r="F155" s="499"/>
      <c r="G155" s="500"/>
      <c r="H155" s="501">
        <v>0.17</v>
      </c>
      <c r="I155" s="501">
        <v>1.5</v>
      </c>
      <c r="J155" s="501">
        <v>0.24</v>
      </c>
      <c r="K155" s="501">
        <v>410</v>
      </c>
      <c r="L155" s="498">
        <v>100.3</v>
      </c>
      <c r="M155" s="503"/>
      <c r="N155" s="503">
        <v>10</v>
      </c>
      <c r="O155" s="504">
        <v>5</v>
      </c>
      <c r="P155" s="492"/>
      <c r="Q155" s="505">
        <v>10907</v>
      </c>
      <c r="R155" s="493">
        <f t="shared" si="24"/>
        <v>6</v>
      </c>
      <c r="S155" s="493" t="s">
        <v>430</v>
      </c>
      <c r="T155" s="506">
        <f>L155*$L$1+M155*$M$1+N155*$N$1+$O155*O$1+P155*$P$1</f>
        <v>12946.00252</v>
      </c>
    </row>
    <row r="156" spans="2:20" ht="18" customHeight="1" thickBot="1" x14ac:dyDescent="0.3">
      <c r="B156" s="497"/>
      <c r="C156" s="498">
        <v>6</v>
      </c>
      <c r="D156" s="516"/>
      <c r="E156" s="499" t="s">
        <v>687</v>
      </c>
      <c r="F156" s="499"/>
      <c r="G156" s="500"/>
      <c r="H156" s="501">
        <v>0.17</v>
      </c>
      <c r="I156" s="501">
        <v>1.5</v>
      </c>
      <c r="J156" s="501">
        <v>0.24</v>
      </c>
      <c r="K156" s="501">
        <v>10</v>
      </c>
      <c r="L156" s="498">
        <v>2.4</v>
      </c>
      <c r="M156" s="503"/>
      <c r="N156" s="503">
        <v>0.2</v>
      </c>
      <c r="O156" s="504">
        <v>0.1</v>
      </c>
      <c r="P156" s="492"/>
      <c r="Q156" s="505">
        <v>266</v>
      </c>
      <c r="R156" s="493">
        <f t="shared" si="24"/>
        <v>6</v>
      </c>
      <c r="S156" s="493" t="s">
        <v>430</v>
      </c>
      <c r="T156" s="506">
        <f>L156*$L$1+M156*$M$1+N156*$N$1+$O156*O$1+P156*$P$1</f>
        <v>302.32620300000002</v>
      </c>
    </row>
    <row r="157" spans="2:20" ht="18" customHeight="1" thickBot="1" x14ac:dyDescent="0.3">
      <c r="B157" s="497"/>
      <c r="C157" s="498">
        <v>6</v>
      </c>
      <c r="D157" s="516"/>
      <c r="E157" s="499" t="s">
        <v>688</v>
      </c>
      <c r="F157" s="499"/>
      <c r="G157" s="500"/>
      <c r="H157" s="501">
        <v>0.25</v>
      </c>
      <c r="I157" s="501">
        <v>0</v>
      </c>
      <c r="J157" s="501">
        <v>0</v>
      </c>
      <c r="K157" s="501">
        <v>0</v>
      </c>
      <c r="L157" s="498"/>
      <c r="M157" s="503"/>
      <c r="N157" s="503"/>
      <c r="O157" s="504"/>
      <c r="P157" s="492"/>
      <c r="Q157" s="505">
        <v>0</v>
      </c>
      <c r="R157" s="493">
        <f t="shared" si="24"/>
        <v>6</v>
      </c>
      <c r="S157" s="493" t="s">
        <v>430</v>
      </c>
      <c r="T157" s="506">
        <f t="shared" ref="T157:T162" si="25">L157*$L$1+M157*$M$1+N157*$N$1+$O157*O$1+P157*$P$1</f>
        <v>0</v>
      </c>
    </row>
    <row r="158" spans="2:20" ht="18" customHeight="1" thickBot="1" x14ac:dyDescent="0.3">
      <c r="B158" s="497"/>
      <c r="C158" s="498">
        <v>6</v>
      </c>
      <c r="D158" s="516"/>
      <c r="E158" s="499" t="s">
        <v>689</v>
      </c>
      <c r="F158" s="499"/>
      <c r="G158" s="500"/>
      <c r="H158" s="501">
        <v>0.17</v>
      </c>
      <c r="I158" s="501">
        <v>1.5</v>
      </c>
      <c r="J158" s="501">
        <v>0.25</v>
      </c>
      <c r="K158" s="501">
        <v>0</v>
      </c>
      <c r="L158" s="498"/>
      <c r="M158" s="503"/>
      <c r="N158" s="503"/>
      <c r="O158" s="504"/>
      <c r="P158" s="492"/>
      <c r="Q158" s="505">
        <v>0</v>
      </c>
      <c r="R158" s="493">
        <f t="shared" si="24"/>
        <v>6</v>
      </c>
      <c r="S158" s="493" t="s">
        <v>430</v>
      </c>
      <c r="T158" s="506">
        <f t="shared" si="25"/>
        <v>0</v>
      </c>
    </row>
    <row r="159" spans="2:20" ht="18" customHeight="1" thickBot="1" x14ac:dyDescent="0.3">
      <c r="B159" s="497"/>
      <c r="C159" s="498">
        <v>6</v>
      </c>
      <c r="D159" s="516"/>
      <c r="E159" s="499" t="s">
        <v>690</v>
      </c>
      <c r="F159" s="499"/>
      <c r="G159" s="500"/>
      <c r="H159" s="501">
        <v>0.25</v>
      </c>
      <c r="I159" s="501">
        <v>1.5</v>
      </c>
      <c r="J159" s="501">
        <v>0.37</v>
      </c>
      <c r="K159" s="501">
        <v>22</v>
      </c>
      <c r="L159" s="498">
        <v>8.1</v>
      </c>
      <c r="M159" s="503"/>
      <c r="N159" s="503">
        <v>0.8</v>
      </c>
      <c r="O159" s="504">
        <v>0.4</v>
      </c>
      <c r="P159" s="492"/>
      <c r="Q159" s="505">
        <v>878</v>
      </c>
      <c r="R159" s="493">
        <f t="shared" si="24"/>
        <v>6</v>
      </c>
      <c r="S159" s="493" t="s">
        <v>430</v>
      </c>
      <c r="T159" s="506">
        <f t="shared" si="25"/>
        <v>1044.0529620000002</v>
      </c>
    </row>
    <row r="160" spans="2:20" ht="36" customHeight="1" thickBot="1" x14ac:dyDescent="0.3">
      <c r="B160" s="497"/>
      <c r="C160" s="498">
        <v>6</v>
      </c>
      <c r="D160" s="498"/>
      <c r="E160" s="499" t="s">
        <v>691</v>
      </c>
      <c r="F160" s="499"/>
      <c r="G160" s="500"/>
      <c r="H160" s="501">
        <v>0.25</v>
      </c>
      <c r="I160" s="501">
        <v>1.5</v>
      </c>
      <c r="J160" s="501">
        <v>0.37</v>
      </c>
      <c r="K160" s="501">
        <v>99</v>
      </c>
      <c r="L160" s="498">
        <v>36.299999999999997</v>
      </c>
      <c r="M160" s="503"/>
      <c r="N160" s="503">
        <v>3.6</v>
      </c>
      <c r="O160" s="504">
        <v>1.8</v>
      </c>
      <c r="P160" s="492"/>
      <c r="Q160" s="505">
        <v>3950</v>
      </c>
      <c r="R160" s="493">
        <f t="shared" si="24"/>
        <v>6</v>
      </c>
      <c r="S160" s="493" t="s">
        <v>430</v>
      </c>
      <c r="T160" s="506">
        <f t="shared" si="25"/>
        <v>4681.7131439999994</v>
      </c>
    </row>
    <row r="161" spans="2:20" ht="27" customHeight="1" thickBot="1" x14ac:dyDescent="0.3">
      <c r="B161" s="497"/>
      <c r="C161" s="498">
        <v>6</v>
      </c>
      <c r="D161" s="516"/>
      <c r="E161" s="499" t="s">
        <v>692</v>
      </c>
      <c r="F161" s="499"/>
      <c r="G161" s="500"/>
      <c r="H161" s="501">
        <v>0.25</v>
      </c>
      <c r="I161" s="501">
        <v>1.5</v>
      </c>
      <c r="J161" s="501">
        <v>0.37</v>
      </c>
      <c r="K161" s="501">
        <v>33</v>
      </c>
      <c r="L161" s="498">
        <v>12.1</v>
      </c>
      <c r="M161" s="503"/>
      <c r="N161" s="503">
        <v>1.2</v>
      </c>
      <c r="O161" s="504">
        <v>0.6</v>
      </c>
      <c r="P161" s="492"/>
      <c r="Q161" s="505">
        <v>1317</v>
      </c>
      <c r="R161" s="493">
        <f t="shared" si="24"/>
        <v>6</v>
      </c>
      <c r="S161" s="493" t="s">
        <v>430</v>
      </c>
      <c r="T161" s="506">
        <f t="shared" si="25"/>
        <v>1560.571048</v>
      </c>
    </row>
    <row r="162" spans="2:20" ht="18" customHeight="1" thickBot="1" x14ac:dyDescent="0.3">
      <c r="B162" s="497"/>
      <c r="C162" s="498">
        <v>6</v>
      </c>
      <c r="D162" s="498"/>
      <c r="E162" s="499" t="s">
        <v>686</v>
      </c>
      <c r="F162" s="499"/>
      <c r="G162" s="500"/>
      <c r="H162" s="501">
        <v>0.17</v>
      </c>
      <c r="I162" s="501">
        <v>1.5</v>
      </c>
      <c r="J162" s="501">
        <v>0.24</v>
      </c>
      <c r="K162" s="501">
        <v>410</v>
      </c>
      <c r="L162" s="498">
        <v>100.3</v>
      </c>
      <c r="M162" s="503"/>
      <c r="N162" s="503">
        <v>10</v>
      </c>
      <c r="O162" s="504">
        <v>5</v>
      </c>
      <c r="P162" s="492"/>
      <c r="Q162" s="505">
        <v>10907</v>
      </c>
      <c r="R162" s="493">
        <f t="shared" si="24"/>
        <v>6</v>
      </c>
      <c r="S162" s="493" t="s">
        <v>430</v>
      </c>
      <c r="T162" s="506">
        <f t="shared" si="25"/>
        <v>12946.00252</v>
      </c>
    </row>
    <row r="163" spans="2:20" ht="15.75" customHeight="1" thickBot="1" x14ac:dyDescent="0.3">
      <c r="B163" s="503"/>
      <c r="C163" s="498"/>
      <c r="D163" s="514" t="s">
        <v>693</v>
      </c>
      <c r="E163" s="514"/>
      <c r="F163" s="514"/>
      <c r="G163" s="515"/>
      <c r="H163" s="492"/>
      <c r="I163" s="492"/>
      <c r="J163" s="492"/>
      <c r="K163" s="492"/>
      <c r="L163" s="498"/>
      <c r="M163" s="503"/>
      <c r="N163" s="503"/>
      <c r="O163" s="504"/>
      <c r="P163" s="492"/>
      <c r="Q163" s="492"/>
      <c r="R163" s="493">
        <f t="shared" si="24"/>
        <v>0</v>
      </c>
      <c r="S163" s="493" t="s">
        <v>430</v>
      </c>
    </row>
    <row r="164" spans="2:20" ht="36" customHeight="1" thickBot="1" x14ac:dyDescent="0.3">
      <c r="B164" s="503"/>
      <c r="C164" s="498"/>
      <c r="D164" s="516"/>
      <c r="E164" s="517" t="s">
        <v>694</v>
      </c>
      <c r="F164" s="517"/>
      <c r="G164" s="518"/>
      <c r="H164" s="492"/>
      <c r="I164" s="492"/>
      <c r="J164" s="492"/>
      <c r="K164" s="492"/>
      <c r="L164" s="498"/>
      <c r="M164" s="503"/>
      <c r="N164" s="503"/>
      <c r="O164" s="504"/>
      <c r="P164" s="492"/>
      <c r="Q164" s="492"/>
      <c r="R164" s="493">
        <f t="shared" si="24"/>
        <v>0</v>
      </c>
      <c r="S164" s="493" t="s">
        <v>430</v>
      </c>
    </row>
    <row r="165" spans="2:20" ht="15.75" thickBot="1" x14ac:dyDescent="0.3">
      <c r="B165" s="497"/>
      <c r="C165" s="498">
        <v>9</v>
      </c>
      <c r="D165" s="516"/>
      <c r="E165" s="517"/>
      <c r="F165" s="517"/>
      <c r="G165" s="498" t="s">
        <v>695</v>
      </c>
      <c r="H165" s="519">
        <v>0</v>
      </c>
      <c r="I165" s="501">
        <v>0</v>
      </c>
      <c r="J165" s="501">
        <v>0</v>
      </c>
      <c r="K165" s="501">
        <v>0</v>
      </c>
      <c r="L165" s="498"/>
      <c r="M165" s="503"/>
      <c r="N165" s="503"/>
      <c r="O165" s="504"/>
      <c r="P165" s="492"/>
      <c r="Q165" s="505">
        <v>0</v>
      </c>
      <c r="R165" s="493">
        <f t="shared" si="24"/>
        <v>9</v>
      </c>
      <c r="S165" s="493" t="s">
        <v>430</v>
      </c>
      <c r="T165" s="506">
        <f t="shared" ref="T165:T166" si="26">L165*$L$1+M165*$M$1+N165*$N$1+$O165*O$1+P165*$P$1</f>
        <v>0</v>
      </c>
    </row>
    <row r="166" spans="2:20" ht="15.75" thickBot="1" x14ac:dyDescent="0.3">
      <c r="B166" s="497"/>
      <c r="C166" s="498">
        <v>1</v>
      </c>
      <c r="D166" s="516"/>
      <c r="E166" s="517"/>
      <c r="F166" s="517"/>
      <c r="G166" s="498" t="s">
        <v>696</v>
      </c>
      <c r="H166" s="519">
        <v>0</v>
      </c>
      <c r="I166" s="501">
        <v>0</v>
      </c>
      <c r="J166" s="501">
        <v>0</v>
      </c>
      <c r="K166" s="501">
        <v>0</v>
      </c>
      <c r="L166" s="498"/>
      <c r="M166" s="503"/>
      <c r="N166" s="503"/>
      <c r="O166" s="504"/>
      <c r="P166" s="492"/>
      <c r="Q166" s="505">
        <v>0</v>
      </c>
      <c r="R166" s="493">
        <f t="shared" si="24"/>
        <v>1</v>
      </c>
      <c r="S166" s="493" t="s">
        <v>430</v>
      </c>
      <c r="T166" s="506">
        <f t="shared" si="26"/>
        <v>0</v>
      </c>
    </row>
    <row r="167" spans="2:20" ht="27" customHeight="1" thickBot="1" x14ac:dyDescent="0.3">
      <c r="B167" s="503"/>
      <c r="C167" s="498"/>
      <c r="D167" s="498"/>
      <c r="E167" s="517" t="s">
        <v>697</v>
      </c>
      <c r="F167" s="517"/>
      <c r="G167" s="518"/>
      <c r="H167" s="492"/>
      <c r="I167" s="492"/>
      <c r="J167" s="492"/>
      <c r="K167" s="492"/>
      <c r="L167" s="498"/>
      <c r="M167" s="503"/>
      <c r="N167" s="503"/>
      <c r="O167" s="504"/>
      <c r="P167" s="492"/>
      <c r="Q167" s="492"/>
      <c r="R167" s="493">
        <f t="shared" si="24"/>
        <v>0</v>
      </c>
      <c r="S167" s="493" t="s">
        <v>430</v>
      </c>
    </row>
    <row r="168" spans="2:20" ht="15.75" thickBot="1" x14ac:dyDescent="0.3">
      <c r="B168" s="497"/>
      <c r="C168" s="498">
        <v>6</v>
      </c>
      <c r="D168" s="498"/>
      <c r="E168" s="499"/>
      <c r="F168" s="499"/>
      <c r="G168" s="498" t="s">
        <v>698</v>
      </c>
      <c r="H168" s="519">
        <v>0.45</v>
      </c>
      <c r="I168" s="501">
        <v>1</v>
      </c>
      <c r="J168" s="501">
        <v>0.45</v>
      </c>
      <c r="K168" s="501">
        <v>530</v>
      </c>
      <c r="L168" s="498">
        <v>238.5</v>
      </c>
      <c r="M168" s="503"/>
      <c r="N168" s="503">
        <v>23.9</v>
      </c>
      <c r="O168" s="504">
        <v>11.9</v>
      </c>
      <c r="P168" s="492"/>
      <c r="Q168" s="505">
        <v>25926</v>
      </c>
      <c r="R168" s="493">
        <f t="shared" si="24"/>
        <v>6</v>
      </c>
      <c r="S168" s="493" t="s">
        <v>430</v>
      </c>
      <c r="T168" s="506">
        <f t="shared" ref="T168:T171" si="27">L168*$L$1+M168*$M$1+N168*$N$1+$O168*O$1+P168*$P$1</f>
        <v>30800.255969000002</v>
      </c>
    </row>
    <row r="169" spans="2:20" ht="15.75" thickBot="1" x14ac:dyDescent="0.3">
      <c r="B169" s="497"/>
      <c r="C169" s="498">
        <v>10</v>
      </c>
      <c r="D169" s="498"/>
      <c r="E169" s="499"/>
      <c r="F169" s="499"/>
      <c r="G169" s="492" t="s">
        <v>699</v>
      </c>
      <c r="H169" s="501">
        <v>0.45</v>
      </c>
      <c r="I169" s="501">
        <v>1</v>
      </c>
      <c r="J169" s="501">
        <v>0.45</v>
      </c>
      <c r="K169" s="501">
        <v>48</v>
      </c>
      <c r="L169" s="498">
        <v>21.6</v>
      </c>
      <c r="M169" s="503"/>
      <c r="N169" s="503">
        <v>2.2000000000000002</v>
      </c>
      <c r="O169" s="504">
        <v>1.1000000000000001</v>
      </c>
      <c r="P169" s="492"/>
      <c r="Q169" s="505">
        <v>2348</v>
      </c>
      <c r="R169" s="493">
        <f t="shared" si="24"/>
        <v>10</v>
      </c>
      <c r="S169" s="493" t="s">
        <v>430</v>
      </c>
      <c r="T169" s="506">
        <f t="shared" si="27"/>
        <v>2796.7823130000006</v>
      </c>
    </row>
    <row r="170" spans="2:20" ht="15.75" thickBot="1" x14ac:dyDescent="0.3">
      <c r="B170" s="497"/>
      <c r="C170" s="498">
        <v>9</v>
      </c>
      <c r="D170" s="498"/>
      <c r="E170" s="499"/>
      <c r="F170" s="499"/>
      <c r="G170" s="498" t="s">
        <v>700</v>
      </c>
      <c r="H170" s="519">
        <v>0.45</v>
      </c>
      <c r="I170" s="501">
        <v>1</v>
      </c>
      <c r="J170" s="501">
        <v>0.45</v>
      </c>
      <c r="K170" s="501">
        <v>497</v>
      </c>
      <c r="L170" s="498">
        <v>223.7</v>
      </c>
      <c r="M170" s="503"/>
      <c r="N170" s="503">
        <v>22.4</v>
      </c>
      <c r="O170" s="504">
        <v>11.2</v>
      </c>
      <c r="P170" s="492"/>
      <c r="Q170" s="505">
        <v>24312</v>
      </c>
      <c r="R170" s="493">
        <f t="shared" si="24"/>
        <v>9</v>
      </c>
      <c r="S170" s="493" t="s">
        <v>430</v>
      </c>
      <c r="T170" s="506">
        <f t="shared" si="27"/>
        <v>28891.962446000001</v>
      </c>
    </row>
    <row r="171" spans="2:20" ht="15.75" thickBot="1" x14ac:dyDescent="0.3">
      <c r="B171" s="497"/>
      <c r="C171" s="498">
        <v>1</v>
      </c>
      <c r="D171" s="498"/>
      <c r="E171" s="499"/>
      <c r="F171" s="499"/>
      <c r="G171" s="498" t="s">
        <v>701</v>
      </c>
      <c r="H171" s="519">
        <v>0.45</v>
      </c>
      <c r="I171" s="501">
        <v>1</v>
      </c>
      <c r="J171" s="501">
        <v>0.45</v>
      </c>
      <c r="K171" s="501">
        <v>321</v>
      </c>
      <c r="L171" s="498">
        <v>144.5</v>
      </c>
      <c r="M171" s="503"/>
      <c r="N171" s="503">
        <v>14.4</v>
      </c>
      <c r="O171" s="504">
        <v>7.2</v>
      </c>
      <c r="P171" s="492"/>
      <c r="Q171" s="505">
        <v>15702</v>
      </c>
      <c r="R171" s="493">
        <f t="shared" si="24"/>
        <v>1</v>
      </c>
      <c r="S171" s="493" t="s">
        <v>430</v>
      </c>
      <c r="T171" s="506">
        <f t="shared" si="27"/>
        <v>18649.735046000002</v>
      </c>
    </row>
    <row r="172" spans="2:20" ht="15.75" customHeight="1" thickBot="1" x14ac:dyDescent="0.3">
      <c r="B172" s="503"/>
      <c r="C172" s="513"/>
      <c r="D172" s="514" t="s">
        <v>702</v>
      </c>
      <c r="E172" s="514"/>
      <c r="F172" s="514"/>
      <c r="G172" s="515"/>
      <c r="H172" s="492"/>
      <c r="I172" s="492"/>
      <c r="J172" s="492"/>
      <c r="K172" s="492"/>
      <c r="L172" s="498"/>
      <c r="M172" s="503"/>
      <c r="N172" s="503"/>
      <c r="O172" s="504"/>
      <c r="P172" s="492"/>
      <c r="Q172" s="492"/>
      <c r="R172" s="493">
        <f t="shared" si="24"/>
        <v>0</v>
      </c>
      <c r="S172" s="493" t="s">
        <v>430</v>
      </c>
    </row>
    <row r="173" spans="2:20" ht="36" customHeight="1" thickBot="1" x14ac:dyDescent="0.3">
      <c r="B173" s="503"/>
      <c r="C173" s="498"/>
      <c r="D173" s="498"/>
      <c r="E173" s="517" t="s">
        <v>703</v>
      </c>
      <c r="F173" s="517"/>
      <c r="G173" s="518"/>
      <c r="H173" s="492"/>
      <c r="I173" s="492"/>
      <c r="J173" s="492"/>
      <c r="K173" s="492"/>
      <c r="L173" s="498"/>
      <c r="M173" s="503"/>
      <c r="N173" s="503"/>
      <c r="O173" s="504"/>
      <c r="P173" s="492"/>
      <c r="Q173" s="492"/>
      <c r="R173" s="493">
        <f t="shared" si="24"/>
        <v>0</v>
      </c>
      <c r="S173" s="493" t="s">
        <v>430</v>
      </c>
    </row>
    <row r="174" spans="2:20" ht="15.75" thickBot="1" x14ac:dyDescent="0.3">
      <c r="B174" s="497"/>
      <c r="C174" s="498">
        <v>9</v>
      </c>
      <c r="D174" s="498"/>
      <c r="E174" s="499"/>
      <c r="F174" s="499"/>
      <c r="G174" s="498" t="s">
        <v>704</v>
      </c>
      <c r="H174" s="519">
        <v>0.5</v>
      </c>
      <c r="I174" s="501">
        <v>394.1</v>
      </c>
      <c r="J174" s="501">
        <v>197.05</v>
      </c>
      <c r="K174" s="501">
        <v>266</v>
      </c>
      <c r="L174" s="502">
        <v>52415.3</v>
      </c>
      <c r="M174" s="503"/>
      <c r="N174" s="522">
        <v>5241.5</v>
      </c>
      <c r="O174" s="525">
        <v>2620.8000000000002</v>
      </c>
      <c r="P174" s="492"/>
      <c r="Q174" s="505">
        <v>5697805</v>
      </c>
      <c r="R174" s="493">
        <f t="shared" si="24"/>
        <v>9</v>
      </c>
      <c r="S174" s="493" t="s">
        <v>430</v>
      </c>
      <c r="T174" s="506">
        <f t="shared" ref="T174:T175" si="28">L174*$L$1+M174*$M$1+N174*$N$1+$O174*O$1+P174*$P$1</f>
        <v>6768363.5355120003</v>
      </c>
    </row>
    <row r="175" spans="2:20" ht="15.75" thickBot="1" x14ac:dyDescent="0.3">
      <c r="B175" s="497"/>
      <c r="C175" s="498">
        <v>1</v>
      </c>
      <c r="D175" s="498"/>
      <c r="E175" s="499"/>
      <c r="F175" s="499"/>
      <c r="G175" s="498" t="s">
        <v>705</v>
      </c>
      <c r="H175" s="519">
        <v>0.5</v>
      </c>
      <c r="I175" s="501">
        <v>77.900000000000006</v>
      </c>
      <c r="J175" s="501">
        <v>38.950000000000003</v>
      </c>
      <c r="K175" s="501">
        <v>145</v>
      </c>
      <c r="L175" s="502">
        <v>5648</v>
      </c>
      <c r="M175" s="503"/>
      <c r="N175" s="503">
        <v>564.79999999999995</v>
      </c>
      <c r="O175" s="504">
        <v>282.39999999999998</v>
      </c>
      <c r="P175" s="492"/>
      <c r="Q175" s="505">
        <v>613966</v>
      </c>
      <c r="R175" s="493">
        <f t="shared" si="24"/>
        <v>1</v>
      </c>
      <c r="S175" s="493" t="s">
        <v>430</v>
      </c>
      <c r="T175" s="506">
        <f t="shared" si="28"/>
        <v>729323.53743200004</v>
      </c>
    </row>
    <row r="176" spans="2:20" ht="18" customHeight="1" thickBot="1" x14ac:dyDescent="0.3">
      <c r="B176" s="503"/>
      <c r="C176" s="498"/>
      <c r="D176" s="498"/>
      <c r="E176" s="517" t="s">
        <v>706</v>
      </c>
      <c r="F176" s="517"/>
      <c r="G176" s="518"/>
      <c r="H176" s="492"/>
      <c r="I176" s="492"/>
      <c r="J176" s="492"/>
      <c r="K176" s="492"/>
      <c r="L176" s="498"/>
      <c r="M176" s="503"/>
      <c r="N176" s="503"/>
      <c r="O176" s="504"/>
      <c r="P176" s="492"/>
      <c r="Q176" s="492"/>
      <c r="R176" s="493">
        <f t="shared" si="24"/>
        <v>0</v>
      </c>
      <c r="S176" s="493" t="s">
        <v>430</v>
      </c>
    </row>
    <row r="177" spans="2:20" ht="15.75" thickBot="1" x14ac:dyDescent="0.3">
      <c r="B177" s="497"/>
      <c r="C177" s="498">
        <v>9</v>
      </c>
      <c r="D177" s="498"/>
      <c r="E177" s="499"/>
      <c r="F177" s="499"/>
      <c r="G177" s="498" t="s">
        <v>707</v>
      </c>
      <c r="H177" s="519">
        <v>0.02</v>
      </c>
      <c r="I177" s="501">
        <v>90</v>
      </c>
      <c r="J177" s="501">
        <v>1.5</v>
      </c>
      <c r="K177" s="501">
        <v>90</v>
      </c>
      <c r="L177" s="498"/>
      <c r="M177" s="503">
        <v>135</v>
      </c>
      <c r="N177" s="503"/>
      <c r="O177" s="504"/>
      <c r="P177" s="492"/>
      <c r="Q177" s="505">
        <v>8197</v>
      </c>
      <c r="R177" s="493">
        <f t="shared" si="24"/>
        <v>9</v>
      </c>
      <c r="S177" s="493" t="s">
        <v>430</v>
      </c>
      <c r="T177" s="506">
        <f t="shared" ref="T177:T178" si="29">L177*$L$1+M177*$M$1+N177*$N$1+$O177*O$1+P177*$P$1</f>
        <v>10528.454250000001</v>
      </c>
    </row>
    <row r="178" spans="2:20" ht="15.75" thickBot="1" x14ac:dyDescent="0.3">
      <c r="B178" s="497"/>
      <c r="C178" s="498">
        <v>1</v>
      </c>
      <c r="D178" s="498"/>
      <c r="E178" s="499"/>
      <c r="F178" s="499"/>
      <c r="G178" s="498" t="s">
        <v>708</v>
      </c>
      <c r="H178" s="519">
        <v>0.02</v>
      </c>
      <c r="I178" s="501">
        <v>280</v>
      </c>
      <c r="J178" s="501">
        <v>4.67</v>
      </c>
      <c r="K178" s="501">
        <v>42</v>
      </c>
      <c r="L178" s="498"/>
      <c r="M178" s="503">
        <v>196</v>
      </c>
      <c r="N178" s="503"/>
      <c r="O178" s="504"/>
      <c r="P178" s="492"/>
      <c r="Q178" s="505">
        <v>11901</v>
      </c>
      <c r="R178" s="493">
        <f t="shared" si="24"/>
        <v>1</v>
      </c>
      <c r="S178" s="493" t="s">
        <v>430</v>
      </c>
      <c r="T178" s="506">
        <f t="shared" si="29"/>
        <v>15285.755800000001</v>
      </c>
    </row>
    <row r="179" spans="2:20" ht="27" customHeight="1" thickBot="1" x14ac:dyDescent="0.3">
      <c r="B179" s="503"/>
      <c r="C179" s="498"/>
      <c r="D179" s="498"/>
      <c r="E179" s="517" t="s">
        <v>709</v>
      </c>
      <c r="F179" s="517"/>
      <c r="G179" s="518"/>
      <c r="H179" s="492"/>
      <c r="I179" s="492"/>
      <c r="J179" s="492"/>
      <c r="K179" s="492"/>
      <c r="L179" s="498"/>
      <c r="M179" s="503"/>
      <c r="N179" s="503"/>
      <c r="O179" s="504"/>
      <c r="P179" s="492"/>
      <c r="Q179" s="492"/>
      <c r="R179" s="493">
        <f t="shared" si="24"/>
        <v>0</v>
      </c>
      <c r="S179" s="493" t="s">
        <v>430</v>
      </c>
    </row>
    <row r="180" spans="2:20" ht="15.75" thickBot="1" x14ac:dyDescent="0.3">
      <c r="B180" s="497"/>
      <c r="C180" s="498">
        <v>9</v>
      </c>
      <c r="D180" s="498"/>
      <c r="E180" s="499"/>
      <c r="F180" s="499"/>
      <c r="G180" s="498" t="s">
        <v>707</v>
      </c>
      <c r="H180" s="519">
        <v>0.01</v>
      </c>
      <c r="I180" s="501">
        <v>417.9</v>
      </c>
      <c r="J180" s="501">
        <v>3.48</v>
      </c>
      <c r="K180" s="501">
        <v>394</v>
      </c>
      <c r="L180" s="498"/>
      <c r="M180" s="522">
        <v>1372.1</v>
      </c>
      <c r="N180" s="503"/>
      <c r="O180" s="504"/>
      <c r="P180" s="492"/>
      <c r="Q180" s="505">
        <v>83314</v>
      </c>
      <c r="R180" s="493">
        <f t="shared" si="24"/>
        <v>9</v>
      </c>
      <c r="S180" s="493" t="s">
        <v>430</v>
      </c>
      <c r="T180" s="506">
        <f t="shared" ref="T180:T181" si="30">L180*$L$1+M180*$M$1+N180*$N$1+$O180*O$1+P180*$P$1</f>
        <v>107008.08945499999</v>
      </c>
    </row>
    <row r="181" spans="2:20" ht="15.75" thickBot="1" x14ac:dyDescent="0.3">
      <c r="B181" s="497"/>
      <c r="C181" s="498">
        <v>1</v>
      </c>
      <c r="D181" s="498"/>
      <c r="E181" s="499"/>
      <c r="F181" s="499"/>
      <c r="G181" s="498" t="s">
        <v>708</v>
      </c>
      <c r="H181" s="519">
        <v>0.01</v>
      </c>
      <c r="I181" s="501">
        <v>53.3</v>
      </c>
      <c r="J181" s="501">
        <v>0.44</v>
      </c>
      <c r="K181" s="501">
        <v>189</v>
      </c>
      <c r="L181" s="498"/>
      <c r="M181" s="503">
        <v>84</v>
      </c>
      <c r="N181" s="503"/>
      <c r="O181" s="504"/>
      <c r="P181" s="492"/>
      <c r="Q181" s="505">
        <v>5100</v>
      </c>
      <c r="R181" s="493">
        <f t="shared" si="24"/>
        <v>1</v>
      </c>
      <c r="S181" s="493" t="s">
        <v>430</v>
      </c>
      <c r="T181" s="506">
        <f t="shared" si="30"/>
        <v>6551.0382</v>
      </c>
    </row>
    <row r="182" spans="2:20" ht="15.75" customHeight="1" thickBot="1" x14ac:dyDescent="0.3">
      <c r="B182" s="503"/>
      <c r="C182" s="498"/>
      <c r="D182" s="514" t="s">
        <v>710</v>
      </c>
      <c r="E182" s="514"/>
      <c r="F182" s="514"/>
      <c r="G182" s="515"/>
      <c r="H182" s="492"/>
      <c r="I182" s="492"/>
      <c r="J182" s="492"/>
      <c r="K182" s="492"/>
      <c r="L182" s="498"/>
      <c r="M182" s="503"/>
      <c r="N182" s="503"/>
      <c r="O182" s="504"/>
      <c r="P182" s="492"/>
      <c r="Q182" s="492"/>
      <c r="R182" s="493">
        <f t="shared" si="24"/>
        <v>0</v>
      </c>
      <c r="S182" s="493" t="s">
        <v>430</v>
      </c>
    </row>
    <row r="183" spans="2:20" ht="18" customHeight="1" thickBot="1" x14ac:dyDescent="0.3">
      <c r="B183" s="503"/>
      <c r="C183" s="498"/>
      <c r="D183" s="516"/>
      <c r="E183" s="517" t="s">
        <v>711</v>
      </c>
      <c r="F183" s="517"/>
      <c r="G183" s="518"/>
      <c r="H183" s="492"/>
      <c r="I183" s="492"/>
      <c r="J183" s="492"/>
      <c r="K183" s="492"/>
      <c r="L183" s="498"/>
      <c r="M183" s="503"/>
      <c r="N183" s="503"/>
      <c r="O183" s="504"/>
      <c r="P183" s="492"/>
      <c r="Q183" s="492"/>
      <c r="R183" s="493">
        <f t="shared" si="24"/>
        <v>0</v>
      </c>
      <c r="S183" s="493" t="s">
        <v>430</v>
      </c>
    </row>
    <row r="184" spans="2:20" ht="15.75" thickBot="1" x14ac:dyDescent="0.3">
      <c r="B184" s="497"/>
      <c r="C184" s="498">
        <v>9</v>
      </c>
      <c r="D184" s="498"/>
      <c r="E184" s="499"/>
      <c r="F184" s="499"/>
      <c r="G184" s="498" t="s">
        <v>712</v>
      </c>
      <c r="H184" s="519">
        <v>0.45</v>
      </c>
      <c r="I184" s="501">
        <v>1</v>
      </c>
      <c r="J184" s="501">
        <v>0.45</v>
      </c>
      <c r="K184" s="501">
        <v>316</v>
      </c>
      <c r="L184" s="498">
        <v>142.19999999999999</v>
      </c>
      <c r="M184" s="503"/>
      <c r="N184" s="503">
        <v>14.2</v>
      </c>
      <c r="O184" s="504">
        <v>7.1</v>
      </c>
      <c r="P184" s="492"/>
      <c r="Q184" s="505">
        <v>15458</v>
      </c>
      <c r="R184" s="493">
        <f t="shared" si="24"/>
        <v>9</v>
      </c>
      <c r="S184" s="493" t="s">
        <v>430</v>
      </c>
      <c r="T184" s="506">
        <f t="shared" ref="T184:T185" si="31">L184*$L$1+M184*$M$1+N184*$N$1+$O184*O$1+P184*$P$1</f>
        <v>18358.425632999999</v>
      </c>
    </row>
    <row r="185" spans="2:20" ht="15.75" thickBot="1" x14ac:dyDescent="0.3">
      <c r="B185" s="497"/>
      <c r="C185" s="498">
        <v>1</v>
      </c>
      <c r="D185" s="516"/>
      <c r="E185" s="517"/>
      <c r="F185" s="517"/>
      <c r="G185" s="498" t="s">
        <v>713</v>
      </c>
      <c r="H185" s="519">
        <v>0.45</v>
      </c>
      <c r="I185" s="501">
        <v>1</v>
      </c>
      <c r="J185" s="501">
        <v>0.45</v>
      </c>
      <c r="K185" s="501">
        <v>219</v>
      </c>
      <c r="L185" s="498">
        <v>98.6</v>
      </c>
      <c r="M185" s="526"/>
      <c r="N185" s="503">
        <v>9.9</v>
      </c>
      <c r="O185" s="504">
        <v>4.9000000000000004</v>
      </c>
      <c r="P185" s="492"/>
      <c r="Q185" s="505">
        <v>10713</v>
      </c>
      <c r="R185" s="493">
        <f t="shared" si="24"/>
        <v>1</v>
      </c>
      <c r="S185" s="493" t="s">
        <v>430</v>
      </c>
      <c r="T185" s="506">
        <f t="shared" si="31"/>
        <v>12733.139749</v>
      </c>
    </row>
    <row r="186" spans="2:20" ht="15.75" customHeight="1" thickBot="1" x14ac:dyDescent="0.3">
      <c r="B186" s="503"/>
      <c r="C186" s="498"/>
      <c r="D186" s="514" t="s">
        <v>714</v>
      </c>
      <c r="E186" s="514"/>
      <c r="F186" s="514"/>
      <c r="G186" s="515"/>
      <c r="H186" s="492"/>
      <c r="I186" s="492"/>
      <c r="J186" s="492"/>
      <c r="K186" s="492"/>
      <c r="L186" s="498"/>
      <c r="M186" s="503"/>
      <c r="N186" s="503"/>
      <c r="O186" s="504"/>
      <c r="P186" s="492"/>
      <c r="Q186" s="492"/>
      <c r="R186" s="493">
        <f t="shared" si="24"/>
        <v>0</v>
      </c>
      <c r="S186" s="493" t="s">
        <v>430</v>
      </c>
    </row>
    <row r="187" spans="2:20" ht="15.75" customHeight="1" thickBot="1" x14ac:dyDescent="0.3">
      <c r="B187" s="503"/>
      <c r="C187" s="498"/>
      <c r="D187" s="498"/>
      <c r="E187" s="517" t="s">
        <v>715</v>
      </c>
      <c r="F187" s="517"/>
      <c r="G187" s="518"/>
      <c r="H187" s="492"/>
      <c r="I187" s="492"/>
      <c r="J187" s="492"/>
      <c r="K187" s="492"/>
      <c r="L187" s="498"/>
      <c r="M187" s="503"/>
      <c r="N187" s="503"/>
      <c r="O187" s="504"/>
      <c r="P187" s="492"/>
      <c r="Q187" s="492"/>
      <c r="R187" s="493">
        <f t="shared" si="24"/>
        <v>0</v>
      </c>
      <c r="S187" s="493" t="s">
        <v>430</v>
      </c>
    </row>
    <row r="188" spans="2:20" ht="15.75" thickBot="1" x14ac:dyDescent="0.3">
      <c r="B188" s="497"/>
      <c r="C188" s="498">
        <v>9</v>
      </c>
      <c r="D188" s="498"/>
      <c r="E188" s="499"/>
      <c r="F188" s="499"/>
      <c r="G188" s="498" t="s">
        <v>716</v>
      </c>
      <c r="H188" s="519">
        <v>0.17</v>
      </c>
      <c r="I188" s="501">
        <v>0</v>
      </c>
      <c r="J188" s="501">
        <v>0</v>
      </c>
      <c r="K188" s="501">
        <v>0</v>
      </c>
      <c r="L188" s="498" t="s">
        <v>717</v>
      </c>
      <c r="M188" s="503"/>
      <c r="N188" s="503" t="s">
        <v>717</v>
      </c>
      <c r="O188" s="504" t="s">
        <v>718</v>
      </c>
      <c r="P188" s="492"/>
      <c r="Q188" s="505">
        <v>0</v>
      </c>
      <c r="R188" s="493">
        <f t="shared" si="24"/>
        <v>9</v>
      </c>
      <c r="S188" s="493" t="s">
        <v>430</v>
      </c>
      <c r="T188" s="506"/>
    </row>
    <row r="189" spans="2:20" ht="15.75" customHeight="1" thickBot="1" x14ac:dyDescent="0.3">
      <c r="B189" s="503"/>
      <c r="C189" s="498"/>
      <c r="D189" s="498"/>
      <c r="E189" s="517" t="s">
        <v>719</v>
      </c>
      <c r="F189" s="517"/>
      <c r="G189" s="518"/>
      <c r="H189" s="492"/>
      <c r="I189" s="492"/>
      <c r="J189" s="492"/>
      <c r="K189" s="492"/>
      <c r="L189" s="498"/>
      <c r="M189" s="503"/>
      <c r="N189" s="503"/>
      <c r="O189" s="504"/>
      <c r="P189" s="492"/>
      <c r="Q189" s="492"/>
      <c r="R189" s="493">
        <f t="shared" si="24"/>
        <v>0</v>
      </c>
      <c r="S189" s="493" t="s">
        <v>430</v>
      </c>
    </row>
    <row r="190" spans="2:20" ht="15.75" thickBot="1" x14ac:dyDescent="0.3">
      <c r="B190" s="497"/>
      <c r="C190" s="498">
        <v>9</v>
      </c>
      <c r="D190" s="498"/>
      <c r="E190" s="499"/>
      <c r="F190" s="499"/>
      <c r="G190" s="498" t="s">
        <v>720</v>
      </c>
      <c r="H190" s="519">
        <v>0.17</v>
      </c>
      <c r="I190" s="501">
        <v>0</v>
      </c>
      <c r="J190" s="501">
        <v>0</v>
      </c>
      <c r="K190" s="501">
        <v>0</v>
      </c>
      <c r="L190" s="498" t="s">
        <v>717</v>
      </c>
      <c r="M190" s="503"/>
      <c r="N190" s="503" t="s">
        <v>717</v>
      </c>
      <c r="O190" s="504" t="s">
        <v>718</v>
      </c>
      <c r="P190" s="492"/>
      <c r="Q190" s="505">
        <v>0</v>
      </c>
      <c r="R190" s="493">
        <f t="shared" si="24"/>
        <v>9</v>
      </c>
      <c r="S190" s="493" t="s">
        <v>430</v>
      </c>
      <c r="T190" s="506"/>
    </row>
    <row r="191" spans="2:20" ht="18" customHeight="1" thickBot="1" x14ac:dyDescent="0.3">
      <c r="B191" s="503"/>
      <c r="C191" s="498"/>
      <c r="D191" s="516"/>
      <c r="E191" s="517" t="s">
        <v>721</v>
      </c>
      <c r="F191" s="517"/>
      <c r="G191" s="518"/>
      <c r="H191" s="492"/>
      <c r="I191" s="492"/>
      <c r="J191" s="492"/>
      <c r="K191" s="492"/>
      <c r="L191" s="498"/>
      <c r="M191" s="503"/>
      <c r="N191" s="503"/>
      <c r="O191" s="504"/>
      <c r="P191" s="492"/>
      <c r="Q191" s="492"/>
      <c r="R191" s="493">
        <f t="shared" si="24"/>
        <v>0</v>
      </c>
      <c r="S191" s="493" t="s">
        <v>430</v>
      </c>
    </row>
    <row r="192" spans="2:20" ht="15.75" thickBot="1" x14ac:dyDescent="0.3">
      <c r="B192" s="497"/>
      <c r="C192" s="498">
        <v>9</v>
      </c>
      <c r="D192" s="498"/>
      <c r="E192" s="499"/>
      <c r="F192" s="499"/>
      <c r="G192" s="498" t="s">
        <v>722</v>
      </c>
      <c r="H192" s="519">
        <v>0.17</v>
      </c>
      <c r="I192" s="501">
        <v>799.6</v>
      </c>
      <c r="J192" s="501">
        <v>133.27000000000001</v>
      </c>
      <c r="K192" s="501">
        <v>10</v>
      </c>
      <c r="L192" s="502">
        <v>1332.7</v>
      </c>
      <c r="M192" s="503"/>
      <c r="N192" s="503">
        <v>133.30000000000001</v>
      </c>
      <c r="O192" s="504">
        <v>66.599999999999994</v>
      </c>
      <c r="P192" s="492"/>
      <c r="Q192" s="505">
        <v>144868</v>
      </c>
      <c r="R192" s="493">
        <f t="shared" si="24"/>
        <v>9</v>
      </c>
      <c r="S192" s="493" t="s">
        <v>430</v>
      </c>
      <c r="T192" s="506">
        <f>L192*$L$1+M192*$M$1+N192*$N$1+$O192*O$1+P192*$P$1</f>
        <v>172089.98607000001</v>
      </c>
    </row>
    <row r="193" spans="2:20" ht="15.75" customHeight="1" thickBot="1" x14ac:dyDescent="0.3">
      <c r="B193" s="503"/>
      <c r="C193" s="498"/>
      <c r="D193" s="514" t="s">
        <v>723</v>
      </c>
      <c r="E193" s="514"/>
      <c r="F193" s="514"/>
      <c r="G193" s="515"/>
      <c r="H193" s="492"/>
      <c r="I193" s="492"/>
      <c r="J193" s="492"/>
      <c r="K193" s="492"/>
      <c r="L193" s="498"/>
      <c r="M193" s="503"/>
      <c r="N193" s="503"/>
      <c r="O193" s="504"/>
      <c r="P193" s="492"/>
      <c r="Q193" s="492"/>
      <c r="R193" s="493">
        <f t="shared" si="24"/>
        <v>0</v>
      </c>
      <c r="S193" s="493" t="s">
        <v>430</v>
      </c>
    </row>
    <row r="194" spans="2:20" ht="15.75" customHeight="1" thickBot="1" x14ac:dyDescent="0.3">
      <c r="B194" s="503"/>
      <c r="C194" s="498"/>
      <c r="D194" s="498"/>
      <c r="E194" s="517" t="s">
        <v>724</v>
      </c>
      <c r="F194" s="517"/>
      <c r="G194" s="518"/>
      <c r="H194" s="492"/>
      <c r="I194" s="492"/>
      <c r="J194" s="492"/>
      <c r="K194" s="492"/>
      <c r="L194" s="498"/>
      <c r="M194" s="503"/>
      <c r="N194" s="503"/>
      <c r="O194" s="504"/>
      <c r="P194" s="492"/>
      <c r="Q194" s="492"/>
      <c r="R194" s="493">
        <f t="shared" si="24"/>
        <v>0</v>
      </c>
      <c r="S194" s="493" t="s">
        <v>430</v>
      </c>
    </row>
    <row r="195" spans="2:20" ht="15.75" thickBot="1" x14ac:dyDescent="0.3">
      <c r="B195" s="497"/>
      <c r="C195" s="498">
        <v>9</v>
      </c>
      <c r="D195" s="498"/>
      <c r="E195" s="499"/>
      <c r="F195" s="499"/>
      <c r="G195" s="498" t="s">
        <v>725</v>
      </c>
      <c r="H195" s="519">
        <v>0.08</v>
      </c>
      <c r="I195" s="501">
        <v>0</v>
      </c>
      <c r="J195" s="501">
        <v>0</v>
      </c>
      <c r="K195" s="501">
        <v>0</v>
      </c>
      <c r="L195" s="498" t="s">
        <v>717</v>
      </c>
      <c r="M195" s="503"/>
      <c r="N195" s="503" t="s">
        <v>717</v>
      </c>
      <c r="O195" s="504" t="s">
        <v>718</v>
      </c>
      <c r="P195" s="492"/>
      <c r="Q195" s="505">
        <v>0</v>
      </c>
      <c r="R195" s="493">
        <f t="shared" si="24"/>
        <v>9</v>
      </c>
      <c r="S195" s="493" t="s">
        <v>430</v>
      </c>
    </row>
    <row r="196" spans="2:20" ht="15.75" customHeight="1" thickBot="1" x14ac:dyDescent="0.3">
      <c r="B196" s="503"/>
      <c r="C196" s="516"/>
      <c r="D196" s="516"/>
      <c r="E196" s="517" t="s">
        <v>726</v>
      </c>
      <c r="F196" s="517"/>
      <c r="G196" s="518"/>
      <c r="H196" s="492"/>
      <c r="I196" s="492"/>
      <c r="J196" s="492"/>
      <c r="K196" s="492"/>
      <c r="L196" s="498"/>
      <c r="M196" s="503"/>
      <c r="N196" s="503"/>
      <c r="O196" s="504"/>
      <c r="P196" s="492"/>
      <c r="Q196" s="492"/>
      <c r="R196" s="493">
        <f t="shared" si="24"/>
        <v>0</v>
      </c>
      <c r="S196" s="493" t="s">
        <v>430</v>
      </c>
    </row>
    <row r="197" spans="2:20" ht="15.75" thickBot="1" x14ac:dyDescent="0.3">
      <c r="B197" s="497"/>
      <c r="C197" s="498">
        <v>9</v>
      </c>
      <c r="D197" s="498"/>
      <c r="E197" s="499"/>
      <c r="F197" s="499"/>
      <c r="G197" s="498" t="s">
        <v>725</v>
      </c>
      <c r="H197" s="519">
        <v>0.17</v>
      </c>
      <c r="I197" s="501">
        <v>0</v>
      </c>
      <c r="J197" s="501">
        <v>0</v>
      </c>
      <c r="K197" s="501">
        <v>0</v>
      </c>
      <c r="L197" s="498" t="s">
        <v>717</v>
      </c>
      <c r="M197" s="503"/>
      <c r="N197" s="503" t="s">
        <v>717</v>
      </c>
      <c r="O197" s="504" t="s">
        <v>718</v>
      </c>
      <c r="P197" s="492"/>
      <c r="Q197" s="505">
        <v>0</v>
      </c>
      <c r="R197" s="493">
        <f t="shared" si="24"/>
        <v>9</v>
      </c>
      <c r="S197" s="493" t="s">
        <v>430</v>
      </c>
    </row>
    <row r="198" spans="2:20" ht="27" customHeight="1" thickBot="1" x14ac:dyDescent="0.3">
      <c r="B198" s="503"/>
      <c r="C198" s="498"/>
      <c r="D198" s="516"/>
      <c r="E198" s="517" t="s">
        <v>727</v>
      </c>
      <c r="F198" s="517"/>
      <c r="G198" s="518"/>
      <c r="H198" s="492"/>
      <c r="I198" s="492"/>
      <c r="J198" s="492"/>
      <c r="K198" s="492"/>
      <c r="L198" s="498"/>
      <c r="M198" s="503"/>
      <c r="N198" s="503"/>
      <c r="O198" s="504"/>
      <c r="P198" s="492"/>
      <c r="Q198" s="492"/>
      <c r="R198" s="493">
        <f t="shared" si="24"/>
        <v>0</v>
      </c>
      <c r="S198" s="493" t="s">
        <v>430</v>
      </c>
    </row>
    <row r="199" spans="2:20" ht="15.75" thickBot="1" x14ac:dyDescent="0.3">
      <c r="B199" s="497"/>
      <c r="C199" s="498">
        <v>9</v>
      </c>
      <c r="D199" s="498"/>
      <c r="E199" s="499"/>
      <c r="F199" s="499"/>
      <c r="G199" s="498" t="s">
        <v>728</v>
      </c>
      <c r="H199" s="519">
        <v>0.17</v>
      </c>
      <c r="I199" s="501">
        <v>174.3</v>
      </c>
      <c r="J199" s="501">
        <v>29.05</v>
      </c>
      <c r="K199" s="501">
        <v>200</v>
      </c>
      <c r="L199" s="502">
        <v>5810</v>
      </c>
      <c r="M199" s="503"/>
      <c r="N199" s="503">
        <v>581</v>
      </c>
      <c r="O199" s="504">
        <v>290.5</v>
      </c>
      <c r="P199" s="492"/>
      <c r="Q199" s="505">
        <v>631576</v>
      </c>
      <c r="R199" s="493">
        <f t="shared" si="24"/>
        <v>9</v>
      </c>
      <c r="S199" s="493" t="s">
        <v>430</v>
      </c>
      <c r="T199" s="506">
        <f>L199*$L$1+M199*$M$1+N199*$N$1+$O199*O$1+P199*$P$1</f>
        <v>750242.51991500007</v>
      </c>
    </row>
    <row r="200" spans="2:20" ht="15.75" customHeight="1" thickBot="1" x14ac:dyDescent="0.3">
      <c r="B200" s="503"/>
      <c r="C200" s="498"/>
      <c r="D200" s="514" t="s">
        <v>729</v>
      </c>
      <c r="E200" s="514"/>
      <c r="F200" s="514"/>
      <c r="G200" s="515"/>
      <c r="H200" s="492"/>
      <c r="I200" s="492"/>
      <c r="J200" s="492"/>
      <c r="K200" s="492"/>
      <c r="L200" s="498"/>
      <c r="M200" s="503"/>
      <c r="N200" s="503"/>
      <c r="O200" s="504"/>
      <c r="P200" s="492"/>
      <c r="Q200" s="492"/>
      <c r="R200" s="493">
        <f t="shared" si="24"/>
        <v>0</v>
      </c>
      <c r="S200" s="493" t="s">
        <v>430</v>
      </c>
    </row>
    <row r="201" spans="2:20" ht="18" customHeight="1" thickBot="1" x14ac:dyDescent="0.3">
      <c r="B201" s="503"/>
      <c r="C201" s="498"/>
      <c r="D201" s="498"/>
      <c r="E201" s="517" t="s">
        <v>730</v>
      </c>
      <c r="F201" s="517"/>
      <c r="G201" s="518"/>
      <c r="H201" s="492"/>
      <c r="I201" s="492"/>
      <c r="J201" s="492"/>
      <c r="K201" s="492"/>
      <c r="L201" s="498"/>
      <c r="M201" s="503"/>
      <c r="N201" s="503"/>
      <c r="O201" s="504"/>
      <c r="P201" s="492"/>
      <c r="Q201" s="492"/>
      <c r="R201" s="493">
        <f t="shared" si="24"/>
        <v>0</v>
      </c>
      <c r="S201" s="493" t="s">
        <v>430</v>
      </c>
    </row>
    <row r="202" spans="2:20" ht="15.75" thickBot="1" x14ac:dyDescent="0.3">
      <c r="B202" s="497"/>
      <c r="C202" s="498">
        <v>9</v>
      </c>
      <c r="D202" s="498"/>
      <c r="E202" s="499"/>
      <c r="F202" s="499"/>
      <c r="G202" s="498" t="s">
        <v>725</v>
      </c>
      <c r="H202" s="519">
        <v>8</v>
      </c>
      <c r="I202" s="501">
        <v>0</v>
      </c>
      <c r="J202" s="501">
        <v>0</v>
      </c>
      <c r="K202" s="501">
        <v>0</v>
      </c>
      <c r="L202" s="498" t="s">
        <v>717</v>
      </c>
      <c r="M202" s="503"/>
      <c r="N202" s="503" t="s">
        <v>717</v>
      </c>
      <c r="O202" s="504" t="s">
        <v>718</v>
      </c>
      <c r="P202" s="492"/>
      <c r="Q202" s="505">
        <v>0</v>
      </c>
      <c r="R202" s="493">
        <f t="shared" si="24"/>
        <v>9</v>
      </c>
      <c r="S202" s="493" t="s">
        <v>430</v>
      </c>
    </row>
    <row r="203" spans="2:20" ht="27" customHeight="1" thickBot="1" x14ac:dyDescent="0.3">
      <c r="B203" s="503"/>
      <c r="C203" s="498"/>
      <c r="D203" s="498"/>
      <c r="E203" s="517" t="s">
        <v>731</v>
      </c>
      <c r="F203" s="517"/>
      <c r="G203" s="518"/>
      <c r="H203" s="492"/>
      <c r="I203" s="492"/>
      <c r="J203" s="492"/>
      <c r="K203" s="492"/>
      <c r="L203" s="498"/>
      <c r="M203" s="503"/>
      <c r="N203" s="503"/>
      <c r="O203" s="504"/>
      <c r="P203" s="492"/>
      <c r="Q203" s="492"/>
      <c r="R203" s="493">
        <f t="shared" si="24"/>
        <v>0</v>
      </c>
      <c r="S203" s="493" t="s">
        <v>430</v>
      </c>
    </row>
    <row r="204" spans="2:20" ht="15.75" thickBot="1" x14ac:dyDescent="0.3">
      <c r="B204" s="497"/>
      <c r="C204" s="498">
        <v>9</v>
      </c>
      <c r="D204" s="498"/>
      <c r="E204" s="499"/>
      <c r="F204" s="499"/>
      <c r="G204" s="498" t="s">
        <v>732</v>
      </c>
      <c r="H204" s="519">
        <v>0.17</v>
      </c>
      <c r="I204" s="501">
        <v>24.9</v>
      </c>
      <c r="J204" s="501">
        <v>4.1500000000000004</v>
      </c>
      <c r="K204" s="501">
        <v>163</v>
      </c>
      <c r="L204" s="498">
        <v>676.5</v>
      </c>
      <c r="M204" s="503"/>
      <c r="N204" s="503">
        <v>67.599999999999994</v>
      </c>
      <c r="O204" s="504">
        <v>33.799999999999997</v>
      </c>
      <c r="P204" s="492"/>
      <c r="Q204" s="505">
        <v>73533</v>
      </c>
      <c r="R204" s="493">
        <f t="shared" ref="R204:R267" si="32">C204</f>
        <v>9</v>
      </c>
      <c r="S204" s="493" t="s">
        <v>430</v>
      </c>
      <c r="T204" s="506">
        <f>L204*$L$1+M204*$M$1+N204*$N$1+$O204*O$1+P204*$P$1</f>
        <v>87346.640484000003</v>
      </c>
    </row>
    <row r="205" spans="2:20" ht="36" customHeight="1" thickBot="1" x14ac:dyDescent="0.3">
      <c r="B205" s="503"/>
      <c r="C205" s="498"/>
      <c r="D205" s="516"/>
      <c r="E205" s="517" t="s">
        <v>733</v>
      </c>
      <c r="F205" s="517"/>
      <c r="G205" s="518"/>
      <c r="H205" s="492"/>
      <c r="I205" s="492"/>
      <c r="J205" s="492"/>
      <c r="K205" s="492"/>
      <c r="L205" s="498"/>
      <c r="M205" s="503"/>
      <c r="N205" s="503"/>
      <c r="O205" s="504"/>
      <c r="P205" s="492"/>
      <c r="Q205" s="492"/>
      <c r="R205" s="493">
        <f t="shared" si="32"/>
        <v>0</v>
      </c>
      <c r="S205" s="493" t="s">
        <v>430</v>
      </c>
    </row>
    <row r="206" spans="2:20" ht="15.75" thickBot="1" x14ac:dyDescent="0.3">
      <c r="B206" s="497"/>
      <c r="C206" s="498">
        <v>9</v>
      </c>
      <c r="D206" s="498"/>
      <c r="E206" s="499"/>
      <c r="F206" s="499"/>
      <c r="G206" s="498" t="s">
        <v>734</v>
      </c>
      <c r="H206" s="519">
        <v>0.17</v>
      </c>
      <c r="I206" s="501">
        <v>24.9</v>
      </c>
      <c r="J206" s="501">
        <v>4.1500000000000004</v>
      </c>
      <c r="K206" s="501">
        <v>181</v>
      </c>
      <c r="L206" s="498">
        <v>751.2</v>
      </c>
      <c r="M206" s="503"/>
      <c r="N206" s="503">
        <v>75.099999999999994</v>
      </c>
      <c r="O206" s="504">
        <v>37.6</v>
      </c>
      <c r="P206" s="492"/>
      <c r="Q206" s="505">
        <v>81654</v>
      </c>
      <c r="R206" s="493">
        <f t="shared" si="32"/>
        <v>9</v>
      </c>
      <c r="S206" s="493" t="s">
        <v>430</v>
      </c>
      <c r="T206" s="506">
        <f>L206*$L$1+M206*$M$1+N206*$N$1+$O206*O$1+P206*$P$1</f>
        <v>97004.919946000009</v>
      </c>
    </row>
    <row r="207" spans="2:20" ht="15.75" customHeight="1" thickBot="1" x14ac:dyDescent="0.3">
      <c r="B207" s="503"/>
      <c r="C207" s="498"/>
      <c r="D207" s="514" t="s">
        <v>735</v>
      </c>
      <c r="E207" s="514"/>
      <c r="F207" s="514"/>
      <c r="G207" s="515"/>
      <c r="H207" s="492"/>
      <c r="I207" s="492"/>
      <c r="J207" s="492"/>
      <c r="K207" s="492"/>
      <c r="L207" s="498"/>
      <c r="M207" s="503"/>
      <c r="N207" s="503"/>
      <c r="O207" s="504"/>
      <c r="P207" s="492"/>
      <c r="Q207" s="492"/>
      <c r="R207" s="493">
        <f t="shared" si="32"/>
        <v>0</v>
      </c>
      <c r="S207" s="493" t="s">
        <v>430</v>
      </c>
    </row>
    <row r="208" spans="2:20" ht="27" customHeight="1" thickBot="1" x14ac:dyDescent="0.3">
      <c r="B208" s="503"/>
      <c r="C208" s="498"/>
      <c r="D208" s="498"/>
      <c r="E208" s="517" t="s">
        <v>736</v>
      </c>
      <c r="F208" s="517"/>
      <c r="G208" s="518"/>
      <c r="H208" s="492"/>
      <c r="I208" s="492"/>
      <c r="J208" s="492"/>
      <c r="K208" s="492"/>
      <c r="L208" s="498"/>
      <c r="M208" s="503"/>
      <c r="N208" s="503"/>
      <c r="O208" s="504"/>
      <c r="P208" s="492"/>
      <c r="Q208" s="492"/>
      <c r="R208" s="493">
        <f t="shared" si="32"/>
        <v>0</v>
      </c>
      <c r="S208" s="493" t="s">
        <v>430</v>
      </c>
    </row>
    <row r="209" spans="2:22" ht="15.75" thickBot="1" x14ac:dyDescent="0.3">
      <c r="B209" s="497"/>
      <c r="C209" s="498">
        <v>9</v>
      </c>
      <c r="D209" s="498"/>
      <c r="E209" s="499"/>
      <c r="F209" s="499"/>
      <c r="G209" s="498" t="s">
        <v>737</v>
      </c>
      <c r="H209" s="519">
        <v>24</v>
      </c>
      <c r="I209" s="501">
        <v>6</v>
      </c>
      <c r="J209" s="501">
        <v>144</v>
      </c>
      <c r="K209" s="501">
        <v>144</v>
      </c>
      <c r="L209" s="502">
        <v>20736</v>
      </c>
      <c r="M209" s="503"/>
      <c r="N209" s="522">
        <v>2073.6</v>
      </c>
      <c r="O209" s="525">
        <v>1036.8</v>
      </c>
      <c r="P209" s="492"/>
      <c r="Q209" s="505">
        <v>2254107</v>
      </c>
      <c r="R209" s="493">
        <f t="shared" si="32"/>
        <v>9</v>
      </c>
      <c r="S209" s="493" t="s">
        <v>430</v>
      </c>
      <c r="T209" s="506">
        <f>L209*$L$1+M209*$M$1+N209*$N$1+$O209*O$1+P209*$P$1</f>
        <v>2677629.757824</v>
      </c>
    </row>
    <row r="210" spans="2:22" ht="15.75" customHeight="1" thickBot="1" x14ac:dyDescent="0.3">
      <c r="B210" s="503"/>
      <c r="C210" s="498"/>
      <c r="D210" s="514" t="s">
        <v>738</v>
      </c>
      <c r="E210" s="514"/>
      <c r="F210" s="514"/>
      <c r="G210" s="515"/>
      <c r="H210" s="492"/>
      <c r="I210" s="492"/>
      <c r="J210" s="492"/>
      <c r="K210" s="492"/>
      <c r="L210" s="498"/>
      <c r="M210" s="503"/>
      <c r="N210" s="503"/>
      <c r="O210" s="504"/>
      <c r="P210" s="492"/>
      <c r="Q210" s="492"/>
      <c r="R210" s="493">
        <f t="shared" si="32"/>
        <v>0</v>
      </c>
      <c r="S210" s="493" t="s">
        <v>430</v>
      </c>
    </row>
    <row r="211" spans="2:22" ht="45" customHeight="1" thickBot="1" x14ac:dyDescent="0.3">
      <c r="B211" s="503"/>
      <c r="C211" s="498"/>
      <c r="D211" s="498"/>
      <c r="E211" s="517" t="s">
        <v>739</v>
      </c>
      <c r="F211" s="517"/>
      <c r="G211" s="518"/>
      <c r="H211" s="492"/>
      <c r="I211" s="492"/>
      <c r="J211" s="492"/>
      <c r="K211" s="492"/>
      <c r="L211" s="498"/>
      <c r="M211" s="503"/>
      <c r="N211" s="503"/>
      <c r="O211" s="504"/>
      <c r="P211" s="492"/>
      <c r="Q211" s="492"/>
      <c r="R211" s="493">
        <f t="shared" si="32"/>
        <v>0</v>
      </c>
      <c r="S211" s="493" t="s">
        <v>430</v>
      </c>
    </row>
    <row r="212" spans="2:22" ht="15.75" thickBot="1" x14ac:dyDescent="0.3">
      <c r="B212" s="497"/>
      <c r="C212" s="498">
        <v>5</v>
      </c>
      <c r="D212" s="498"/>
      <c r="E212" s="499"/>
      <c r="F212" s="499"/>
      <c r="G212" s="498" t="s">
        <v>740</v>
      </c>
      <c r="H212" s="519">
        <v>0.33</v>
      </c>
      <c r="I212" s="501">
        <v>2</v>
      </c>
      <c r="J212" s="501">
        <v>0.67</v>
      </c>
      <c r="K212" s="501">
        <v>364</v>
      </c>
      <c r="L212" s="498">
        <v>242.7</v>
      </c>
      <c r="M212" s="503"/>
      <c r="N212" s="503">
        <v>24.3</v>
      </c>
      <c r="O212" s="504">
        <v>12.1</v>
      </c>
      <c r="P212" s="492"/>
      <c r="Q212" s="505">
        <v>26379</v>
      </c>
      <c r="R212" s="493">
        <f t="shared" si="32"/>
        <v>5</v>
      </c>
      <c r="S212" s="493" t="s">
        <v>430</v>
      </c>
      <c r="T212" s="506">
        <f t="shared" ref="T212:T218" si="33">L212*$L$1+M212*$M$1+N212*$N$1+$O212*O$1+P212*$P$1</f>
        <v>31338.807635000001</v>
      </c>
      <c r="U212" s="53"/>
      <c r="V212" s="507"/>
    </row>
    <row r="213" spans="2:22" ht="15.75" thickBot="1" x14ac:dyDescent="0.3">
      <c r="B213" s="497"/>
      <c r="C213" s="498">
        <v>6</v>
      </c>
      <c r="D213" s="498"/>
      <c r="E213" s="499"/>
      <c r="F213" s="499"/>
      <c r="G213" s="498" t="s">
        <v>741</v>
      </c>
      <c r="H213" s="519">
        <v>0.33</v>
      </c>
      <c r="I213" s="501">
        <v>1.2</v>
      </c>
      <c r="J213" s="501">
        <v>0.4</v>
      </c>
      <c r="K213" s="501">
        <v>17</v>
      </c>
      <c r="L213" s="498">
        <v>6.8</v>
      </c>
      <c r="M213" s="503"/>
      <c r="N213" s="503">
        <v>0.7</v>
      </c>
      <c r="O213" s="504">
        <v>0.3</v>
      </c>
      <c r="P213" s="492"/>
      <c r="Q213" s="505">
        <v>739</v>
      </c>
      <c r="R213" s="493">
        <f t="shared" si="32"/>
        <v>6</v>
      </c>
      <c r="S213" s="493" t="s">
        <v>430</v>
      </c>
      <c r="T213" s="506">
        <f t="shared" si="33"/>
        <v>875.25735099999997</v>
      </c>
    </row>
    <row r="214" spans="2:22" ht="15.75" thickBot="1" x14ac:dyDescent="0.3">
      <c r="B214" s="497"/>
      <c r="C214" s="498">
        <v>10</v>
      </c>
      <c r="D214" s="498"/>
      <c r="E214" s="499"/>
      <c r="F214" s="499"/>
      <c r="G214" s="498" t="s">
        <v>742</v>
      </c>
      <c r="H214" s="519">
        <v>0.33</v>
      </c>
      <c r="I214" s="501">
        <v>2.5</v>
      </c>
      <c r="J214" s="501">
        <v>0.83</v>
      </c>
      <c r="K214" s="501">
        <v>8</v>
      </c>
      <c r="L214" s="498">
        <v>6.7</v>
      </c>
      <c r="M214" s="503"/>
      <c r="N214" s="503">
        <v>0.7</v>
      </c>
      <c r="O214" s="504">
        <v>0.3</v>
      </c>
      <c r="P214" s="492"/>
      <c r="Q214" s="505">
        <v>725</v>
      </c>
      <c r="R214" s="493">
        <f t="shared" si="32"/>
        <v>10</v>
      </c>
      <c r="S214" s="493" t="s">
        <v>430</v>
      </c>
      <c r="T214" s="506">
        <f t="shared" si="33"/>
        <v>864.24056100000007</v>
      </c>
    </row>
    <row r="215" spans="2:22" ht="15.75" thickBot="1" x14ac:dyDescent="0.3">
      <c r="B215" s="497"/>
      <c r="C215" s="498">
        <v>2</v>
      </c>
      <c r="D215" s="498"/>
      <c r="E215" s="499"/>
      <c r="F215" s="499"/>
      <c r="G215" s="498" t="s">
        <v>743</v>
      </c>
      <c r="H215" s="519">
        <v>0.33</v>
      </c>
      <c r="I215" s="501">
        <v>3</v>
      </c>
      <c r="J215" s="501">
        <v>1</v>
      </c>
      <c r="K215" s="501">
        <v>4</v>
      </c>
      <c r="L215" s="498">
        <v>4</v>
      </c>
      <c r="M215" s="503"/>
      <c r="N215" s="503">
        <v>0.4</v>
      </c>
      <c r="O215" s="504">
        <v>0.2</v>
      </c>
      <c r="P215" s="492"/>
      <c r="Q215" s="505">
        <v>435</v>
      </c>
      <c r="R215" s="493">
        <f t="shared" si="32"/>
        <v>2</v>
      </c>
      <c r="S215" s="493" t="s">
        <v>430</v>
      </c>
      <c r="T215" s="506">
        <f t="shared" si="33"/>
        <v>516.51808600000004</v>
      </c>
    </row>
    <row r="216" spans="2:22" ht="15.75" thickBot="1" x14ac:dyDescent="0.3">
      <c r="B216" s="497"/>
      <c r="C216" s="498">
        <v>9</v>
      </c>
      <c r="D216" s="498"/>
      <c r="E216" s="499"/>
      <c r="F216" s="499"/>
      <c r="G216" s="498" t="s">
        <v>744</v>
      </c>
      <c r="H216" s="519">
        <v>0.33</v>
      </c>
      <c r="I216" s="501">
        <v>88.7</v>
      </c>
      <c r="J216" s="501">
        <v>29.57</v>
      </c>
      <c r="K216" s="501">
        <v>355</v>
      </c>
      <c r="L216" s="502">
        <v>10496.2</v>
      </c>
      <c r="M216" s="503"/>
      <c r="N216" s="522">
        <v>1049.5999999999999</v>
      </c>
      <c r="O216" s="504">
        <v>524.79999999999995</v>
      </c>
      <c r="P216" s="492"/>
      <c r="Q216" s="505">
        <v>1140986</v>
      </c>
      <c r="R216" s="493">
        <f t="shared" si="32"/>
        <v>9</v>
      </c>
      <c r="S216" s="493" t="s">
        <v>430</v>
      </c>
      <c r="T216" s="506">
        <f t="shared" si="33"/>
        <v>1355365.4912439999</v>
      </c>
    </row>
    <row r="217" spans="2:22" ht="15.75" thickBot="1" x14ac:dyDescent="0.3">
      <c r="B217" s="497"/>
      <c r="C217" s="498">
        <v>3</v>
      </c>
      <c r="D217" s="498"/>
      <c r="E217" s="499"/>
      <c r="F217" s="499"/>
      <c r="G217" s="498" t="s">
        <v>745</v>
      </c>
      <c r="H217" s="519">
        <v>0.33</v>
      </c>
      <c r="I217" s="501">
        <v>1</v>
      </c>
      <c r="J217" s="501">
        <v>0.33</v>
      </c>
      <c r="K217" s="501">
        <v>1</v>
      </c>
      <c r="L217" s="498">
        <v>0.3</v>
      </c>
      <c r="M217" s="503"/>
      <c r="N217" s="503">
        <v>0</v>
      </c>
      <c r="O217" s="504">
        <v>0</v>
      </c>
      <c r="P217" s="492"/>
      <c r="Q217" s="505">
        <v>36</v>
      </c>
      <c r="R217" s="493">
        <f t="shared" si="32"/>
        <v>3</v>
      </c>
      <c r="S217" s="493" t="s">
        <v>430</v>
      </c>
      <c r="T217" s="506">
        <f t="shared" si="33"/>
        <v>33.050370000000001</v>
      </c>
    </row>
    <row r="218" spans="2:22" ht="15.75" thickBot="1" x14ac:dyDescent="0.3">
      <c r="B218" s="497"/>
      <c r="C218" s="498">
        <v>1</v>
      </c>
      <c r="D218" s="498"/>
      <c r="E218" s="499"/>
      <c r="F218" s="499"/>
      <c r="G218" s="498" t="s">
        <v>746</v>
      </c>
      <c r="H218" s="519">
        <v>0.33</v>
      </c>
      <c r="I218" s="501">
        <v>18.899999999999999</v>
      </c>
      <c r="J218" s="501">
        <v>6.3</v>
      </c>
      <c r="K218" s="501">
        <v>221</v>
      </c>
      <c r="L218" s="502">
        <v>1391.3</v>
      </c>
      <c r="M218" s="503"/>
      <c r="N218" s="503">
        <v>139.1</v>
      </c>
      <c r="O218" s="504">
        <v>69.599999999999994</v>
      </c>
      <c r="P218" s="492"/>
      <c r="Q218" s="505">
        <v>151245</v>
      </c>
      <c r="R218" s="493">
        <f t="shared" si="32"/>
        <v>1</v>
      </c>
      <c r="S218" s="493" t="s">
        <v>430</v>
      </c>
      <c r="T218" s="506">
        <f t="shared" si="33"/>
        <v>179658.83049599998</v>
      </c>
    </row>
    <row r="219" spans="2:22" ht="15.75" customHeight="1" thickBot="1" x14ac:dyDescent="0.3">
      <c r="B219" s="503"/>
      <c r="C219" s="498"/>
      <c r="D219" s="498"/>
      <c r="E219" s="517" t="s">
        <v>593</v>
      </c>
      <c r="F219" s="517"/>
      <c r="G219" s="518"/>
      <c r="H219" s="492"/>
      <c r="I219" s="492"/>
      <c r="J219" s="492"/>
      <c r="K219" s="492"/>
      <c r="L219" s="498"/>
      <c r="M219" s="503"/>
      <c r="N219" s="503"/>
      <c r="O219" s="504"/>
      <c r="P219" s="492"/>
      <c r="Q219" s="492"/>
      <c r="R219" s="493">
        <f t="shared" si="32"/>
        <v>0</v>
      </c>
      <c r="S219" s="493" t="s">
        <v>430</v>
      </c>
    </row>
    <row r="220" spans="2:22" ht="15.75" thickBot="1" x14ac:dyDescent="0.3">
      <c r="B220" s="497"/>
      <c r="C220" s="498">
        <v>5</v>
      </c>
      <c r="D220" s="498"/>
      <c r="E220" s="499"/>
      <c r="F220" s="499"/>
      <c r="G220" s="498" t="s">
        <v>747</v>
      </c>
      <c r="H220" s="519">
        <v>0.17</v>
      </c>
      <c r="I220" s="501">
        <v>2</v>
      </c>
      <c r="J220" s="501">
        <v>0.33</v>
      </c>
      <c r="K220" s="501">
        <v>364</v>
      </c>
      <c r="L220" s="498">
        <v>121.3</v>
      </c>
      <c r="M220" s="503"/>
      <c r="N220" s="503">
        <v>12.1</v>
      </c>
      <c r="O220" s="504">
        <v>6.1</v>
      </c>
      <c r="P220" s="492"/>
      <c r="Q220" s="505">
        <v>13190</v>
      </c>
      <c r="R220" s="493">
        <f t="shared" si="32"/>
        <v>5</v>
      </c>
      <c r="S220" s="493" t="s">
        <v>430</v>
      </c>
      <c r="T220" s="506">
        <f t="shared" ref="T220:T226" si="34">L220*$L$1+M220*$M$1+N220*$N$1+$O220*O$1+P220*$P$1</f>
        <v>15664.338191000001</v>
      </c>
      <c r="U220" s="53"/>
      <c r="V220" s="507"/>
    </row>
    <row r="221" spans="2:22" ht="15.75" thickBot="1" x14ac:dyDescent="0.3">
      <c r="B221" s="497"/>
      <c r="C221" s="498">
        <v>6</v>
      </c>
      <c r="D221" s="498"/>
      <c r="E221" s="499"/>
      <c r="F221" s="499"/>
      <c r="G221" s="498" t="s">
        <v>748</v>
      </c>
      <c r="H221" s="519">
        <v>0.17</v>
      </c>
      <c r="I221" s="501">
        <v>1.2</v>
      </c>
      <c r="J221" s="501">
        <v>0.2</v>
      </c>
      <c r="K221" s="501">
        <v>17</v>
      </c>
      <c r="L221" s="498">
        <v>3.4</v>
      </c>
      <c r="M221" s="503"/>
      <c r="N221" s="503">
        <v>0.3</v>
      </c>
      <c r="O221" s="504">
        <v>0.2</v>
      </c>
      <c r="P221" s="492"/>
      <c r="Q221" s="505">
        <v>370</v>
      </c>
      <c r="R221" s="493">
        <f t="shared" si="32"/>
        <v>6</v>
      </c>
      <c r="S221" s="493" t="s">
        <v>430</v>
      </c>
      <c r="T221" s="506">
        <f t="shared" si="34"/>
        <v>438.07144399999999</v>
      </c>
    </row>
    <row r="222" spans="2:22" ht="15.75" thickBot="1" x14ac:dyDescent="0.3">
      <c r="B222" s="497"/>
      <c r="C222" s="498">
        <v>10</v>
      </c>
      <c r="D222" s="498"/>
      <c r="E222" s="499"/>
      <c r="F222" s="499"/>
      <c r="G222" s="498" t="s">
        <v>749</v>
      </c>
      <c r="H222" s="519">
        <v>0.17</v>
      </c>
      <c r="I222" s="501">
        <v>2.5</v>
      </c>
      <c r="J222" s="501">
        <v>0.42</v>
      </c>
      <c r="K222" s="501">
        <v>8</v>
      </c>
      <c r="L222" s="498">
        <v>3.3</v>
      </c>
      <c r="M222" s="503"/>
      <c r="N222" s="503">
        <v>0.3</v>
      </c>
      <c r="O222" s="504">
        <v>0.2</v>
      </c>
      <c r="P222" s="492"/>
      <c r="Q222" s="505">
        <v>362</v>
      </c>
      <c r="R222" s="493">
        <f t="shared" si="32"/>
        <v>10</v>
      </c>
      <c r="S222" s="493" t="s">
        <v>430</v>
      </c>
      <c r="T222" s="506">
        <f t="shared" si="34"/>
        <v>427.05465399999997</v>
      </c>
    </row>
    <row r="223" spans="2:22" ht="15.75" thickBot="1" x14ac:dyDescent="0.3">
      <c r="B223" s="497"/>
      <c r="C223" s="498">
        <v>2</v>
      </c>
      <c r="D223" s="498"/>
      <c r="E223" s="499"/>
      <c r="F223" s="499"/>
      <c r="G223" s="498" t="s">
        <v>750</v>
      </c>
      <c r="H223" s="519">
        <v>0.17</v>
      </c>
      <c r="I223" s="501">
        <v>3</v>
      </c>
      <c r="J223" s="501">
        <v>0.5</v>
      </c>
      <c r="K223" s="501">
        <v>4</v>
      </c>
      <c r="L223" s="498">
        <v>2</v>
      </c>
      <c r="M223" s="503"/>
      <c r="N223" s="503">
        <v>0.2</v>
      </c>
      <c r="O223" s="504">
        <v>0.1</v>
      </c>
      <c r="P223" s="492"/>
      <c r="Q223" s="505">
        <v>217</v>
      </c>
      <c r="R223" s="493">
        <f t="shared" si="32"/>
        <v>2</v>
      </c>
      <c r="S223" s="493" t="s">
        <v>430</v>
      </c>
      <c r="T223" s="506">
        <f t="shared" si="34"/>
        <v>258.25904300000002</v>
      </c>
    </row>
    <row r="224" spans="2:22" ht="15.75" thickBot="1" x14ac:dyDescent="0.3">
      <c r="B224" s="497"/>
      <c r="C224" s="498">
        <v>9</v>
      </c>
      <c r="D224" s="498"/>
      <c r="E224" s="499"/>
      <c r="F224" s="499"/>
      <c r="G224" s="498" t="s">
        <v>734</v>
      </c>
      <c r="H224" s="519">
        <v>0.17</v>
      </c>
      <c r="I224" s="501">
        <v>88.7</v>
      </c>
      <c r="J224" s="501">
        <v>14.78</v>
      </c>
      <c r="K224" s="501">
        <v>355</v>
      </c>
      <c r="L224" s="502">
        <v>5248.1</v>
      </c>
      <c r="M224" s="503"/>
      <c r="N224" s="503">
        <v>524.79999999999995</v>
      </c>
      <c r="O224" s="504">
        <v>262.39999999999998</v>
      </c>
      <c r="P224" s="492"/>
      <c r="Q224" s="505">
        <v>570493</v>
      </c>
      <c r="R224" s="493">
        <f t="shared" si="32"/>
        <v>9</v>
      </c>
      <c r="S224" s="493" t="s">
        <v>430</v>
      </c>
      <c r="T224" s="506">
        <f t="shared" si="34"/>
        <v>677682.74562199996</v>
      </c>
    </row>
    <row r="225" spans="2:22" ht="15.75" thickBot="1" x14ac:dyDescent="0.3">
      <c r="B225" s="497"/>
      <c r="C225" s="498">
        <v>3</v>
      </c>
      <c r="D225" s="498"/>
      <c r="E225" s="499"/>
      <c r="F225" s="499"/>
      <c r="G225" s="498" t="s">
        <v>751</v>
      </c>
      <c r="H225" s="519">
        <v>0.17</v>
      </c>
      <c r="I225" s="501">
        <v>1</v>
      </c>
      <c r="J225" s="501">
        <v>0.17</v>
      </c>
      <c r="K225" s="501">
        <v>1</v>
      </c>
      <c r="L225" s="498">
        <v>0.2</v>
      </c>
      <c r="M225" s="503"/>
      <c r="N225" s="503">
        <v>0</v>
      </c>
      <c r="O225" s="504">
        <v>0</v>
      </c>
      <c r="P225" s="492"/>
      <c r="Q225" s="505">
        <v>18</v>
      </c>
      <c r="R225" s="493">
        <f t="shared" si="32"/>
        <v>3</v>
      </c>
      <c r="S225" s="493" t="s">
        <v>430</v>
      </c>
      <c r="T225" s="506">
        <f t="shared" si="34"/>
        <v>22.033580000000001</v>
      </c>
    </row>
    <row r="226" spans="2:22" ht="15.75" thickBot="1" x14ac:dyDescent="0.3">
      <c r="B226" s="497"/>
      <c r="C226" s="498">
        <v>1</v>
      </c>
      <c r="D226" s="498"/>
      <c r="E226" s="499"/>
      <c r="F226" s="499"/>
      <c r="G226" s="498" t="s">
        <v>752</v>
      </c>
      <c r="H226" s="519">
        <v>0.17</v>
      </c>
      <c r="I226" s="501">
        <v>18.899999999999999</v>
      </c>
      <c r="J226" s="501">
        <v>3.15</v>
      </c>
      <c r="K226" s="501">
        <v>221</v>
      </c>
      <c r="L226" s="498">
        <v>695.7</v>
      </c>
      <c r="M226" s="503"/>
      <c r="N226" s="503">
        <v>69.599999999999994</v>
      </c>
      <c r="O226" s="504">
        <v>34.799999999999997</v>
      </c>
      <c r="P226" s="492"/>
      <c r="Q226" s="505">
        <v>75622</v>
      </c>
      <c r="R226" s="493">
        <f t="shared" si="32"/>
        <v>1</v>
      </c>
      <c r="S226" s="493" t="s">
        <v>430</v>
      </c>
      <c r="T226" s="506">
        <f t="shared" si="34"/>
        <v>89841.096593999988</v>
      </c>
    </row>
    <row r="227" spans="2:22" ht="15.75" customHeight="1" thickBot="1" x14ac:dyDescent="0.3">
      <c r="B227" s="503"/>
      <c r="C227" s="511" t="s">
        <v>560</v>
      </c>
      <c r="D227" s="511"/>
      <c r="E227" s="511"/>
      <c r="F227" s="511"/>
      <c r="G227" s="512"/>
      <c r="H227" s="492"/>
      <c r="I227" s="492"/>
      <c r="J227" s="492"/>
      <c r="K227" s="492"/>
      <c r="L227" s="498"/>
      <c r="M227" s="503"/>
      <c r="N227" s="503"/>
      <c r="O227" s="504"/>
      <c r="P227" s="492"/>
      <c r="Q227" s="492"/>
      <c r="R227" s="493" t="str">
        <f t="shared" si="32"/>
        <v>C. Create Information (Included in 4B)</v>
      </c>
      <c r="S227" s="493" t="s">
        <v>430</v>
      </c>
    </row>
    <row r="228" spans="2:22" ht="15.75" customHeight="1" thickBot="1" x14ac:dyDescent="0.3">
      <c r="B228" s="503"/>
      <c r="C228" s="511" t="s">
        <v>572</v>
      </c>
      <c r="D228" s="511"/>
      <c r="E228" s="511"/>
      <c r="F228" s="511"/>
      <c r="G228" s="512"/>
      <c r="H228" s="492"/>
      <c r="I228" s="492"/>
      <c r="J228" s="492"/>
      <c r="K228" s="492"/>
      <c r="L228" s="498"/>
      <c r="M228" s="503"/>
      <c r="N228" s="503"/>
      <c r="O228" s="504"/>
      <c r="P228" s="492"/>
      <c r="Q228" s="492"/>
      <c r="R228" s="493" t="str">
        <f t="shared" si="32"/>
        <v>D. Gather Existing Information (Included in 4E)</v>
      </c>
      <c r="S228" s="493" t="s">
        <v>430</v>
      </c>
    </row>
    <row r="229" spans="2:22" ht="15.75" customHeight="1" thickBot="1" x14ac:dyDescent="0.3">
      <c r="B229" s="503"/>
      <c r="C229" s="511" t="s">
        <v>584</v>
      </c>
      <c r="D229" s="511"/>
      <c r="E229" s="511"/>
      <c r="F229" s="511"/>
      <c r="G229" s="512"/>
      <c r="H229" s="492"/>
      <c r="I229" s="492"/>
      <c r="J229" s="492"/>
      <c r="K229" s="492"/>
      <c r="L229" s="498"/>
      <c r="M229" s="503"/>
      <c r="N229" s="503"/>
      <c r="O229" s="504"/>
      <c r="P229" s="492"/>
      <c r="Q229" s="492"/>
      <c r="R229" s="493" t="str">
        <f t="shared" si="32"/>
        <v>E. Write Report</v>
      </c>
      <c r="S229" s="493" t="s">
        <v>430</v>
      </c>
    </row>
    <row r="230" spans="2:22" ht="18" customHeight="1" thickBot="1" x14ac:dyDescent="0.3">
      <c r="B230" s="503"/>
      <c r="C230" s="498">
        <v>5</v>
      </c>
      <c r="D230" s="498"/>
      <c r="E230" s="499" t="s">
        <v>753</v>
      </c>
      <c r="F230" s="499"/>
      <c r="G230" s="500"/>
      <c r="H230" s="501">
        <v>26</v>
      </c>
      <c r="I230" s="501">
        <v>1</v>
      </c>
      <c r="J230" s="501">
        <v>26</v>
      </c>
      <c r="K230" s="501">
        <v>449</v>
      </c>
      <c r="L230" s="502">
        <v>11674</v>
      </c>
      <c r="M230" s="497">
        <v>898</v>
      </c>
      <c r="N230" s="497">
        <v>898</v>
      </c>
      <c r="O230" s="504">
        <v>0</v>
      </c>
      <c r="P230" s="492"/>
      <c r="Q230" s="505">
        <v>1212462</v>
      </c>
      <c r="R230" s="493">
        <f t="shared" si="32"/>
        <v>5</v>
      </c>
      <c r="S230" s="493" t="s">
        <v>430</v>
      </c>
      <c r="T230" s="506">
        <f t="shared" ref="T230:T239" si="35">L230*$L$1+M230*$M$1+N230*$N$1+$O230*O$1+P230*$P$1</f>
        <v>1466999.9824600001</v>
      </c>
      <c r="U230" s="53"/>
      <c r="V230" s="507"/>
    </row>
    <row r="231" spans="2:22" ht="27" customHeight="1" thickBot="1" x14ac:dyDescent="0.3">
      <c r="B231" s="527"/>
      <c r="C231" s="498">
        <v>6</v>
      </c>
      <c r="D231" s="499"/>
      <c r="E231" s="499"/>
      <c r="F231" s="499" t="s">
        <v>754</v>
      </c>
      <c r="G231" s="500"/>
      <c r="H231" s="501">
        <v>26</v>
      </c>
      <c r="I231" s="501">
        <v>1</v>
      </c>
      <c r="J231" s="501">
        <v>26</v>
      </c>
      <c r="K231" s="501">
        <v>532</v>
      </c>
      <c r="L231" s="528">
        <v>13832</v>
      </c>
      <c r="M231" s="529">
        <v>1064</v>
      </c>
      <c r="N231" s="529">
        <v>1064</v>
      </c>
      <c r="O231" s="519">
        <v>0</v>
      </c>
      <c r="P231" s="501"/>
      <c r="Q231" s="505">
        <v>1436592</v>
      </c>
      <c r="R231" s="493">
        <f t="shared" si="32"/>
        <v>6</v>
      </c>
      <c r="S231" s="493" t="s">
        <v>430</v>
      </c>
      <c r="T231" s="506">
        <f t="shared" si="35"/>
        <v>1738182.6072800001</v>
      </c>
    </row>
    <row r="232" spans="2:22" ht="18" customHeight="1" thickBot="1" x14ac:dyDescent="0.3">
      <c r="B232" s="527"/>
      <c r="C232" s="498">
        <v>10</v>
      </c>
      <c r="D232" s="499"/>
      <c r="E232" s="499"/>
      <c r="F232" s="499" t="s">
        <v>755</v>
      </c>
      <c r="G232" s="500"/>
      <c r="H232" s="501">
        <v>26</v>
      </c>
      <c r="I232" s="501">
        <v>1</v>
      </c>
      <c r="J232" s="501">
        <v>26</v>
      </c>
      <c r="K232" s="501">
        <v>48</v>
      </c>
      <c r="L232" s="528">
        <v>1248</v>
      </c>
      <c r="M232" s="497">
        <v>96</v>
      </c>
      <c r="N232" s="497">
        <v>96</v>
      </c>
      <c r="O232" s="519">
        <v>0</v>
      </c>
      <c r="P232" s="501"/>
      <c r="Q232" s="505">
        <v>129617</v>
      </c>
      <c r="R232" s="493">
        <f t="shared" si="32"/>
        <v>10</v>
      </c>
      <c r="S232" s="493" t="s">
        <v>430</v>
      </c>
      <c r="T232" s="506">
        <f t="shared" si="35"/>
        <v>156828.50592</v>
      </c>
    </row>
    <row r="233" spans="2:22" ht="18" customHeight="1" thickBot="1" x14ac:dyDescent="0.3">
      <c r="B233" s="527"/>
      <c r="C233" s="498">
        <v>2</v>
      </c>
      <c r="D233" s="499"/>
      <c r="E233" s="499"/>
      <c r="F233" s="499" t="s">
        <v>756</v>
      </c>
      <c r="G233" s="500"/>
      <c r="H233" s="501">
        <v>26</v>
      </c>
      <c r="I233" s="501">
        <v>1</v>
      </c>
      <c r="J233" s="501">
        <v>26</v>
      </c>
      <c r="K233" s="501">
        <v>6</v>
      </c>
      <c r="L233" s="523">
        <v>156</v>
      </c>
      <c r="M233" s="497">
        <v>12</v>
      </c>
      <c r="N233" s="497">
        <v>12</v>
      </c>
      <c r="O233" s="519">
        <v>0</v>
      </c>
      <c r="P233" s="501"/>
      <c r="Q233" s="505">
        <v>16202</v>
      </c>
      <c r="R233" s="493">
        <f t="shared" si="32"/>
        <v>2</v>
      </c>
      <c r="S233" s="493" t="s">
        <v>430</v>
      </c>
      <c r="T233" s="506">
        <f t="shared" si="35"/>
        <v>19603.563239999999</v>
      </c>
    </row>
    <row r="234" spans="2:22" ht="27" customHeight="1" thickBot="1" x14ac:dyDescent="0.3">
      <c r="B234" s="527"/>
      <c r="C234" s="498">
        <v>9</v>
      </c>
      <c r="D234" s="499"/>
      <c r="E234" s="499"/>
      <c r="F234" s="499" t="s">
        <v>757</v>
      </c>
      <c r="G234" s="500"/>
      <c r="H234" s="501">
        <v>26</v>
      </c>
      <c r="I234" s="501">
        <v>1</v>
      </c>
      <c r="J234" s="501">
        <v>26</v>
      </c>
      <c r="K234" s="501">
        <v>497</v>
      </c>
      <c r="L234" s="528">
        <v>12922</v>
      </c>
      <c r="M234" s="497">
        <v>994</v>
      </c>
      <c r="N234" s="497">
        <v>994</v>
      </c>
      <c r="O234" s="519">
        <v>0</v>
      </c>
      <c r="P234" s="501"/>
      <c r="Q234" s="505">
        <v>1342079</v>
      </c>
      <c r="R234" s="493">
        <f t="shared" si="32"/>
        <v>9</v>
      </c>
      <c r="S234" s="493" t="s">
        <v>430</v>
      </c>
      <c r="T234" s="506">
        <f t="shared" si="35"/>
        <v>1623828.48838</v>
      </c>
    </row>
    <row r="235" spans="2:22" ht="18" customHeight="1" thickBot="1" x14ac:dyDescent="0.3">
      <c r="B235" s="527"/>
      <c r="C235" s="498">
        <v>4</v>
      </c>
      <c r="D235" s="499"/>
      <c r="E235" s="499"/>
      <c r="F235" s="499" t="s">
        <v>758</v>
      </c>
      <c r="G235" s="500"/>
      <c r="H235" s="501">
        <v>26</v>
      </c>
      <c r="I235" s="501">
        <v>1</v>
      </c>
      <c r="J235" s="501">
        <v>26</v>
      </c>
      <c r="K235" s="501">
        <v>169</v>
      </c>
      <c r="L235" s="528">
        <v>4394</v>
      </c>
      <c r="M235" s="497">
        <v>338</v>
      </c>
      <c r="N235" s="497">
        <v>338</v>
      </c>
      <c r="O235" s="519">
        <v>0</v>
      </c>
      <c r="P235" s="501"/>
      <c r="Q235" s="505">
        <v>456361</v>
      </c>
      <c r="R235" s="493">
        <f t="shared" si="32"/>
        <v>4</v>
      </c>
      <c r="S235" s="493" t="s">
        <v>430</v>
      </c>
      <c r="T235" s="506">
        <f t="shared" si="35"/>
        <v>552167.03126000008</v>
      </c>
    </row>
    <row r="236" spans="2:22" ht="15.75" customHeight="1" thickBot="1" x14ac:dyDescent="0.3">
      <c r="B236" s="527"/>
      <c r="C236" s="498">
        <v>3</v>
      </c>
      <c r="D236" s="499"/>
      <c r="E236" s="499"/>
      <c r="F236" s="499" t="s">
        <v>759</v>
      </c>
      <c r="G236" s="500"/>
      <c r="H236" s="501">
        <v>26</v>
      </c>
      <c r="I236" s="501">
        <v>1</v>
      </c>
      <c r="J236" s="501">
        <v>26</v>
      </c>
      <c r="K236" s="501">
        <v>6</v>
      </c>
      <c r="L236" s="523">
        <v>156</v>
      </c>
      <c r="M236" s="497">
        <v>12</v>
      </c>
      <c r="N236" s="497">
        <v>12</v>
      </c>
      <c r="O236" s="519">
        <v>0</v>
      </c>
      <c r="P236" s="501"/>
      <c r="Q236" s="505">
        <v>16202</v>
      </c>
      <c r="R236" s="493">
        <f t="shared" si="32"/>
        <v>3</v>
      </c>
      <c r="S236" s="493" t="s">
        <v>430</v>
      </c>
      <c r="T236" s="506">
        <f t="shared" si="35"/>
        <v>19603.563239999999</v>
      </c>
    </row>
    <row r="237" spans="2:22" ht="27" customHeight="1" thickBot="1" x14ac:dyDescent="0.3">
      <c r="B237" s="527"/>
      <c r="C237" s="499">
        <v>1</v>
      </c>
      <c r="D237" s="499"/>
      <c r="E237" s="499"/>
      <c r="F237" s="499" t="s">
        <v>760</v>
      </c>
      <c r="G237" s="500"/>
      <c r="H237" s="501">
        <v>26</v>
      </c>
      <c r="I237" s="501">
        <v>1</v>
      </c>
      <c r="J237" s="501">
        <v>26</v>
      </c>
      <c r="K237" s="501">
        <v>321</v>
      </c>
      <c r="L237" s="528">
        <v>8346</v>
      </c>
      <c r="M237" s="497">
        <v>642</v>
      </c>
      <c r="N237" s="497">
        <v>642</v>
      </c>
      <c r="O237" s="519">
        <v>0</v>
      </c>
      <c r="P237" s="501"/>
      <c r="Q237" s="505">
        <v>866816</v>
      </c>
      <c r="R237" s="493">
        <f t="shared" si="32"/>
        <v>1</v>
      </c>
      <c r="S237" s="493" t="s">
        <v>430</v>
      </c>
      <c r="T237" s="506">
        <f t="shared" si="35"/>
        <v>1048790.6333400002</v>
      </c>
    </row>
    <row r="238" spans="2:22" ht="18" customHeight="1" thickBot="1" x14ac:dyDescent="0.3">
      <c r="B238" s="527"/>
      <c r="C238" s="499">
        <v>7</v>
      </c>
      <c r="D238" s="499"/>
      <c r="E238" s="499"/>
      <c r="F238" s="499" t="s">
        <v>761</v>
      </c>
      <c r="G238" s="500"/>
      <c r="H238" s="501">
        <v>26</v>
      </c>
      <c r="I238" s="501">
        <v>1</v>
      </c>
      <c r="J238" s="501">
        <v>26</v>
      </c>
      <c r="K238" s="501">
        <v>33</v>
      </c>
      <c r="L238" s="523">
        <v>858</v>
      </c>
      <c r="M238" s="497">
        <v>66</v>
      </c>
      <c r="N238" s="497">
        <v>66</v>
      </c>
      <c r="O238" s="519">
        <v>0</v>
      </c>
      <c r="P238" s="501"/>
      <c r="Q238" s="505">
        <v>89112</v>
      </c>
      <c r="R238" s="493">
        <f t="shared" si="32"/>
        <v>7</v>
      </c>
      <c r="S238" s="493" t="s">
        <v>430</v>
      </c>
      <c r="T238" s="506">
        <f t="shared" si="35"/>
        <v>107819.59782000001</v>
      </c>
    </row>
    <row r="239" spans="2:22" ht="27" customHeight="1" thickBot="1" x14ac:dyDescent="0.3">
      <c r="B239" s="527"/>
      <c r="C239" s="499">
        <v>8</v>
      </c>
      <c r="D239" s="499"/>
      <c r="E239" s="499"/>
      <c r="F239" s="499" t="s">
        <v>762</v>
      </c>
      <c r="G239" s="500"/>
      <c r="H239" s="501">
        <v>13</v>
      </c>
      <c r="I239" s="501">
        <v>1</v>
      </c>
      <c r="J239" s="501">
        <v>13</v>
      </c>
      <c r="K239" s="501">
        <v>141</v>
      </c>
      <c r="L239" s="528">
        <v>1833</v>
      </c>
      <c r="M239" s="497">
        <v>141</v>
      </c>
      <c r="N239" s="497">
        <v>141</v>
      </c>
      <c r="O239" s="519">
        <v>0</v>
      </c>
      <c r="P239" s="501"/>
      <c r="Q239" s="505">
        <v>190375</v>
      </c>
      <c r="R239" s="493">
        <f t="shared" si="32"/>
        <v>8</v>
      </c>
      <c r="S239" s="493" t="s">
        <v>430</v>
      </c>
      <c r="T239" s="506">
        <f t="shared" si="35"/>
        <v>230341.86807000003</v>
      </c>
    </row>
    <row r="240" spans="2:22" ht="15.75" customHeight="1" thickBot="1" x14ac:dyDescent="0.3">
      <c r="B240" s="527" t="s">
        <v>763</v>
      </c>
      <c r="C240" s="499"/>
      <c r="D240" s="499"/>
      <c r="E240" s="499"/>
      <c r="F240" s="499"/>
      <c r="G240" s="500"/>
      <c r="H240" s="492"/>
      <c r="I240" s="492"/>
      <c r="J240" s="492"/>
      <c r="K240" s="492"/>
      <c r="L240" s="498"/>
      <c r="M240" s="503"/>
      <c r="N240" s="503"/>
      <c r="O240" s="504"/>
      <c r="P240" s="492"/>
      <c r="Q240" s="492"/>
      <c r="R240" s="493">
        <f t="shared" si="32"/>
        <v>0</v>
      </c>
      <c r="S240" s="493" t="s">
        <v>430</v>
      </c>
    </row>
    <row r="241" spans="2:22" ht="15.75" customHeight="1" thickBot="1" x14ac:dyDescent="0.3">
      <c r="B241" s="530"/>
      <c r="C241" s="511" t="s">
        <v>542</v>
      </c>
      <c r="D241" s="511"/>
      <c r="E241" s="511"/>
      <c r="F241" s="511"/>
      <c r="G241" s="512"/>
      <c r="H241" s="492"/>
      <c r="I241" s="492"/>
      <c r="J241" s="492"/>
      <c r="K241" s="492"/>
      <c r="L241" s="498"/>
      <c r="M241" s="503"/>
      <c r="N241" s="503"/>
      <c r="O241" s="504"/>
      <c r="P241" s="492"/>
      <c r="Q241" s="492"/>
      <c r="R241" s="493" t="str">
        <f t="shared" si="32"/>
        <v>A. Read Instructions (Included in 4A)</v>
      </c>
      <c r="S241" s="493" t="s">
        <v>430</v>
      </c>
    </row>
    <row r="242" spans="2:22" ht="15.75" customHeight="1" thickBot="1" x14ac:dyDescent="0.3">
      <c r="B242" s="530"/>
      <c r="C242" s="511" t="s">
        <v>553</v>
      </c>
      <c r="D242" s="511"/>
      <c r="E242" s="511"/>
      <c r="F242" s="511"/>
      <c r="G242" s="512"/>
      <c r="H242" s="492"/>
      <c r="I242" s="492"/>
      <c r="J242" s="492"/>
      <c r="K242" s="492"/>
      <c r="L242" s="498"/>
      <c r="M242" s="503"/>
      <c r="N242" s="503"/>
      <c r="O242" s="504"/>
      <c r="P242" s="492"/>
      <c r="Q242" s="492"/>
      <c r="R242" s="493" t="str">
        <f t="shared" si="32"/>
        <v>B. Plan Activities (Included in 4B)</v>
      </c>
      <c r="S242" s="493" t="s">
        <v>430</v>
      </c>
    </row>
    <row r="243" spans="2:22" ht="15.75" customHeight="1" thickBot="1" x14ac:dyDescent="0.3">
      <c r="B243" s="530"/>
      <c r="C243" s="511" t="s">
        <v>564</v>
      </c>
      <c r="D243" s="511"/>
      <c r="E243" s="511"/>
      <c r="F243" s="511"/>
      <c r="G243" s="512"/>
      <c r="H243" s="492"/>
      <c r="I243" s="492"/>
      <c r="J243" s="492"/>
      <c r="K243" s="492"/>
      <c r="L243" s="498"/>
      <c r="M243" s="503"/>
      <c r="N243" s="503"/>
      <c r="O243" s="504"/>
      <c r="P243" s="492"/>
      <c r="Q243" s="492"/>
      <c r="R243" s="493" t="str">
        <f t="shared" si="32"/>
        <v>C. Implement Activities (Included in 4B)</v>
      </c>
      <c r="S243" s="493" t="s">
        <v>430</v>
      </c>
    </row>
    <row r="244" spans="2:22" ht="15.75" customHeight="1" thickBot="1" x14ac:dyDescent="0.3">
      <c r="B244" s="530"/>
      <c r="C244" s="511" t="s">
        <v>576</v>
      </c>
      <c r="D244" s="511"/>
      <c r="E244" s="511"/>
      <c r="F244" s="511"/>
      <c r="G244" s="512"/>
      <c r="H244" s="501"/>
      <c r="I244" s="501"/>
      <c r="J244" s="501"/>
      <c r="K244" s="501"/>
      <c r="L244" s="498"/>
      <c r="M244" s="503"/>
      <c r="N244" s="503"/>
      <c r="O244" s="504"/>
      <c r="P244" s="492"/>
      <c r="Q244" s="501"/>
      <c r="R244" s="493" t="str">
        <f t="shared" si="32"/>
        <v>D. Recordkeeping</v>
      </c>
      <c r="S244" s="493" t="s">
        <v>430</v>
      </c>
    </row>
    <row r="245" spans="2:22" ht="15.75" customHeight="1" thickBot="1" x14ac:dyDescent="0.3">
      <c r="B245" s="503"/>
      <c r="C245" s="499">
        <v>5</v>
      </c>
      <c r="D245" s="499"/>
      <c r="E245" s="499" t="s">
        <v>764</v>
      </c>
      <c r="F245" s="499"/>
      <c r="G245" s="500"/>
      <c r="H245" s="501">
        <v>13</v>
      </c>
      <c r="I245" s="501">
        <v>1</v>
      </c>
      <c r="J245" s="501">
        <v>13</v>
      </c>
      <c r="K245" s="501">
        <v>449</v>
      </c>
      <c r="L245" s="528">
        <v>5837</v>
      </c>
      <c r="M245" s="497">
        <v>449</v>
      </c>
      <c r="N245" s="497">
        <v>449</v>
      </c>
      <c r="O245" s="519">
        <v>0</v>
      </c>
      <c r="P245" s="501"/>
      <c r="Q245" s="505">
        <v>606231</v>
      </c>
      <c r="R245" s="493">
        <f t="shared" si="32"/>
        <v>5</v>
      </c>
      <c r="S245" s="493" t="s">
        <v>430</v>
      </c>
      <c r="T245" s="506">
        <f t="shared" ref="T245:T254" si="36">L245*$L$1+M245*$M$1+N245*$N$1+$O245*O$1+P245*$P$1</f>
        <v>733499.99123000004</v>
      </c>
      <c r="U245" s="53"/>
      <c r="V245" s="507"/>
    </row>
    <row r="246" spans="2:22" ht="15.75" customHeight="1" thickBot="1" x14ac:dyDescent="0.3">
      <c r="B246" s="530"/>
      <c r="C246" s="499">
        <v>6</v>
      </c>
      <c r="D246" s="499"/>
      <c r="E246" s="499" t="s">
        <v>765</v>
      </c>
      <c r="F246" s="499"/>
      <c r="G246" s="500"/>
      <c r="H246" s="501">
        <v>13</v>
      </c>
      <c r="I246" s="501">
        <v>1</v>
      </c>
      <c r="J246" s="501">
        <v>13</v>
      </c>
      <c r="K246" s="501">
        <v>532</v>
      </c>
      <c r="L246" s="528">
        <v>6916</v>
      </c>
      <c r="M246" s="497">
        <v>532</v>
      </c>
      <c r="N246" s="497">
        <v>532</v>
      </c>
      <c r="O246" s="519">
        <v>0</v>
      </c>
      <c r="P246" s="501"/>
      <c r="Q246" s="505">
        <v>718296</v>
      </c>
      <c r="R246" s="493">
        <f t="shared" si="32"/>
        <v>6</v>
      </c>
      <c r="S246" s="493" t="s">
        <v>430</v>
      </c>
      <c r="T246" s="506">
        <f t="shared" si="36"/>
        <v>869091.30364000006</v>
      </c>
    </row>
    <row r="247" spans="2:22" ht="15.75" customHeight="1" thickBot="1" x14ac:dyDescent="0.3">
      <c r="B247" s="530"/>
      <c r="C247" s="499">
        <v>10</v>
      </c>
      <c r="D247" s="499"/>
      <c r="E247" s="499" t="s">
        <v>766</v>
      </c>
      <c r="F247" s="499"/>
      <c r="G247" s="500"/>
      <c r="H247" s="501">
        <v>13</v>
      </c>
      <c r="I247" s="501">
        <v>1</v>
      </c>
      <c r="J247" s="501">
        <v>13</v>
      </c>
      <c r="K247" s="501">
        <v>48</v>
      </c>
      <c r="L247" s="523">
        <v>624</v>
      </c>
      <c r="M247" s="497">
        <v>48</v>
      </c>
      <c r="N247" s="497">
        <v>48</v>
      </c>
      <c r="O247" s="519">
        <v>0</v>
      </c>
      <c r="P247" s="501"/>
      <c r="Q247" s="505">
        <v>64809</v>
      </c>
      <c r="R247" s="493">
        <f t="shared" si="32"/>
        <v>10</v>
      </c>
      <c r="S247" s="493" t="s">
        <v>430</v>
      </c>
      <c r="T247" s="506">
        <f t="shared" si="36"/>
        <v>78414.252959999998</v>
      </c>
    </row>
    <row r="248" spans="2:22" ht="15.75" customHeight="1" thickBot="1" x14ac:dyDescent="0.3">
      <c r="B248" s="530"/>
      <c r="C248" s="499">
        <v>2</v>
      </c>
      <c r="D248" s="499"/>
      <c r="E248" s="499" t="s">
        <v>767</v>
      </c>
      <c r="F248" s="499"/>
      <c r="G248" s="500"/>
      <c r="H248" s="501">
        <v>13</v>
      </c>
      <c r="I248" s="501">
        <v>1</v>
      </c>
      <c r="J248" s="501">
        <v>13</v>
      </c>
      <c r="K248" s="501">
        <v>6</v>
      </c>
      <c r="L248" s="523">
        <v>78</v>
      </c>
      <c r="M248" s="497">
        <v>6</v>
      </c>
      <c r="N248" s="497">
        <v>6</v>
      </c>
      <c r="O248" s="519">
        <v>0</v>
      </c>
      <c r="P248" s="501"/>
      <c r="Q248" s="505">
        <v>8101</v>
      </c>
      <c r="R248" s="493">
        <f t="shared" si="32"/>
        <v>2</v>
      </c>
      <c r="S248" s="493" t="s">
        <v>430</v>
      </c>
      <c r="T248" s="506">
        <f t="shared" si="36"/>
        <v>9801.7816199999997</v>
      </c>
    </row>
    <row r="249" spans="2:22" ht="15.75" customHeight="1" thickBot="1" x14ac:dyDescent="0.3">
      <c r="B249" s="530"/>
      <c r="C249" s="499">
        <v>9</v>
      </c>
      <c r="D249" s="499"/>
      <c r="E249" s="499" t="s">
        <v>768</v>
      </c>
      <c r="F249" s="499"/>
      <c r="G249" s="500"/>
      <c r="H249" s="501">
        <v>13</v>
      </c>
      <c r="I249" s="501">
        <v>1</v>
      </c>
      <c r="J249" s="501">
        <v>13</v>
      </c>
      <c r="K249" s="501">
        <v>497</v>
      </c>
      <c r="L249" s="528">
        <v>6461</v>
      </c>
      <c r="M249" s="497">
        <v>497</v>
      </c>
      <c r="N249" s="497">
        <v>497</v>
      </c>
      <c r="O249" s="519">
        <v>0</v>
      </c>
      <c r="P249" s="501"/>
      <c r="Q249" s="505">
        <v>671039</v>
      </c>
      <c r="R249" s="493">
        <f t="shared" si="32"/>
        <v>9</v>
      </c>
      <c r="S249" s="493" t="s">
        <v>430</v>
      </c>
      <c r="T249" s="506">
        <f t="shared" si="36"/>
        <v>811914.24419</v>
      </c>
    </row>
    <row r="250" spans="2:22" ht="15.75" customHeight="1" thickBot="1" x14ac:dyDescent="0.3">
      <c r="B250" s="530"/>
      <c r="C250" s="499">
        <v>4</v>
      </c>
      <c r="D250" s="499"/>
      <c r="E250" s="499" t="s">
        <v>769</v>
      </c>
      <c r="F250" s="499"/>
      <c r="G250" s="500"/>
      <c r="H250" s="501">
        <v>13</v>
      </c>
      <c r="I250" s="501">
        <v>1</v>
      </c>
      <c r="J250" s="501">
        <v>13</v>
      </c>
      <c r="K250" s="501">
        <v>169</v>
      </c>
      <c r="L250" s="528">
        <v>2197</v>
      </c>
      <c r="M250" s="497">
        <v>169</v>
      </c>
      <c r="N250" s="497">
        <v>169</v>
      </c>
      <c r="O250" s="519">
        <v>0</v>
      </c>
      <c r="P250" s="501"/>
      <c r="Q250" s="505">
        <v>228180</v>
      </c>
      <c r="R250" s="493">
        <f t="shared" si="32"/>
        <v>4</v>
      </c>
      <c r="S250" s="493" t="s">
        <v>430</v>
      </c>
      <c r="T250" s="506">
        <f t="shared" si="36"/>
        <v>276083.51563000004</v>
      </c>
    </row>
    <row r="251" spans="2:22" ht="15.75" customHeight="1" thickBot="1" x14ac:dyDescent="0.3">
      <c r="B251" s="530"/>
      <c r="C251" s="499">
        <v>3</v>
      </c>
      <c r="D251" s="499"/>
      <c r="E251" s="499" t="s">
        <v>770</v>
      </c>
      <c r="F251" s="499"/>
      <c r="G251" s="500"/>
      <c r="H251" s="501">
        <v>13</v>
      </c>
      <c r="I251" s="501">
        <v>1</v>
      </c>
      <c r="J251" s="501">
        <v>13</v>
      </c>
      <c r="K251" s="501">
        <v>6</v>
      </c>
      <c r="L251" s="523">
        <v>78</v>
      </c>
      <c r="M251" s="497">
        <v>6</v>
      </c>
      <c r="N251" s="497">
        <v>6</v>
      </c>
      <c r="O251" s="519">
        <v>0</v>
      </c>
      <c r="P251" s="501"/>
      <c r="Q251" s="505">
        <v>8101</v>
      </c>
      <c r="R251" s="493">
        <f t="shared" si="32"/>
        <v>3</v>
      </c>
      <c r="S251" s="493" t="s">
        <v>430</v>
      </c>
      <c r="T251" s="506">
        <f t="shared" si="36"/>
        <v>9801.7816199999997</v>
      </c>
    </row>
    <row r="252" spans="2:22" ht="15.75" customHeight="1" thickBot="1" x14ac:dyDescent="0.3">
      <c r="B252" s="530"/>
      <c r="C252" s="499">
        <v>1</v>
      </c>
      <c r="D252" s="499"/>
      <c r="E252" s="499" t="s">
        <v>771</v>
      </c>
      <c r="F252" s="499"/>
      <c r="G252" s="500"/>
      <c r="H252" s="501">
        <v>13</v>
      </c>
      <c r="I252" s="501">
        <v>1</v>
      </c>
      <c r="J252" s="501">
        <v>13</v>
      </c>
      <c r="K252" s="501">
        <v>321</v>
      </c>
      <c r="L252" s="528">
        <v>4173</v>
      </c>
      <c r="M252" s="497">
        <v>321</v>
      </c>
      <c r="N252" s="497">
        <v>321</v>
      </c>
      <c r="O252" s="519">
        <v>0</v>
      </c>
      <c r="P252" s="501"/>
      <c r="Q252" s="505">
        <v>433408</v>
      </c>
      <c r="R252" s="493">
        <f t="shared" si="32"/>
        <v>1</v>
      </c>
      <c r="S252" s="493" t="s">
        <v>430</v>
      </c>
      <c r="T252" s="506">
        <f t="shared" si="36"/>
        <v>524395.31667000009</v>
      </c>
    </row>
    <row r="253" spans="2:22" ht="15.75" customHeight="1" thickBot="1" x14ac:dyDescent="0.3">
      <c r="B253" s="530"/>
      <c r="C253" s="499">
        <v>7</v>
      </c>
      <c r="D253" s="499"/>
      <c r="E253" s="499" t="s">
        <v>772</v>
      </c>
      <c r="F253" s="499"/>
      <c r="G253" s="500"/>
      <c r="H253" s="501">
        <v>13</v>
      </c>
      <c r="I253" s="501">
        <v>1</v>
      </c>
      <c r="J253" s="501">
        <v>13</v>
      </c>
      <c r="K253" s="501">
        <v>33</v>
      </c>
      <c r="L253" s="523">
        <v>429</v>
      </c>
      <c r="M253" s="497">
        <v>33</v>
      </c>
      <c r="N253" s="497">
        <v>33</v>
      </c>
      <c r="O253" s="519">
        <v>0</v>
      </c>
      <c r="P253" s="501"/>
      <c r="Q253" s="505">
        <v>44556</v>
      </c>
      <c r="R253" s="493">
        <f t="shared" si="32"/>
        <v>7</v>
      </c>
      <c r="S253" s="493" t="s">
        <v>430</v>
      </c>
      <c r="T253" s="506">
        <f t="shared" si="36"/>
        <v>53909.798910000005</v>
      </c>
    </row>
    <row r="254" spans="2:22" ht="15.75" customHeight="1" thickBot="1" x14ac:dyDescent="0.3">
      <c r="B254" s="530"/>
      <c r="C254" s="499">
        <v>8</v>
      </c>
      <c r="D254" s="499"/>
      <c r="E254" s="499" t="s">
        <v>762</v>
      </c>
      <c r="F254" s="499"/>
      <c r="G254" s="500"/>
      <c r="H254" s="501">
        <v>6.5</v>
      </c>
      <c r="I254" s="501">
        <v>1</v>
      </c>
      <c r="J254" s="501">
        <v>6.5</v>
      </c>
      <c r="K254" s="501">
        <v>141</v>
      </c>
      <c r="L254" s="523">
        <v>916.5</v>
      </c>
      <c r="M254" s="497">
        <v>141</v>
      </c>
      <c r="N254" s="497">
        <v>141</v>
      </c>
      <c r="O254" s="519">
        <v>0</v>
      </c>
      <c r="P254" s="501"/>
      <c r="Q254" s="505">
        <v>106919</v>
      </c>
      <c r="R254" s="493">
        <f t="shared" si="32"/>
        <v>8</v>
      </c>
      <c r="S254" s="493" t="s">
        <v>430</v>
      </c>
      <c r="T254" s="506">
        <f t="shared" si="36"/>
        <v>129372.98772000002</v>
      </c>
    </row>
    <row r="255" spans="2:22" ht="15.75" customHeight="1" thickBot="1" x14ac:dyDescent="0.3">
      <c r="B255" s="530"/>
      <c r="C255" s="511" t="s">
        <v>580</v>
      </c>
      <c r="D255" s="511"/>
      <c r="E255" s="511"/>
      <c r="F255" s="511"/>
      <c r="G255" s="512"/>
      <c r="H255" s="492"/>
      <c r="I255" s="492"/>
      <c r="J255" s="492"/>
      <c r="K255" s="492"/>
      <c r="L255" s="498"/>
      <c r="M255" s="503"/>
      <c r="N255" s="503"/>
      <c r="O255" s="504"/>
      <c r="P255" s="492"/>
      <c r="Q255" s="492"/>
      <c r="R255" s="493" t="str">
        <f t="shared" si="32"/>
        <v>E. Time to Transmit or Disclose Information (included in 4E)</v>
      </c>
      <c r="S255" s="493" t="s">
        <v>430</v>
      </c>
    </row>
    <row r="256" spans="2:22" ht="15.75" customHeight="1" thickBot="1" x14ac:dyDescent="0.3">
      <c r="B256" s="530"/>
      <c r="C256" s="511" t="s">
        <v>592</v>
      </c>
      <c r="D256" s="511"/>
      <c r="E256" s="511"/>
      <c r="F256" s="511"/>
      <c r="G256" s="512"/>
      <c r="H256" s="492"/>
      <c r="I256" s="492"/>
      <c r="J256" s="492"/>
      <c r="K256" s="492"/>
      <c r="L256" s="498"/>
      <c r="M256" s="503"/>
      <c r="N256" s="503"/>
      <c r="O256" s="504"/>
      <c r="P256" s="492"/>
      <c r="Q256" s="492"/>
      <c r="R256" s="493" t="str">
        <f t="shared" si="32"/>
        <v>F. Time to Train Personnel (included in 4A)</v>
      </c>
      <c r="S256" s="493" t="s">
        <v>430</v>
      </c>
    </row>
    <row r="257" spans="2:22" ht="15.75" customHeight="1" thickBot="1" x14ac:dyDescent="0.3">
      <c r="B257" s="530"/>
      <c r="C257" s="511" t="s">
        <v>600</v>
      </c>
      <c r="D257" s="511"/>
      <c r="E257" s="511"/>
      <c r="F257" s="511"/>
      <c r="G257" s="512"/>
      <c r="H257" s="492"/>
      <c r="I257" s="492"/>
      <c r="J257" s="492"/>
      <c r="K257" s="492"/>
      <c r="L257" s="498"/>
      <c r="M257" s="503"/>
      <c r="N257" s="503"/>
      <c r="O257" s="504"/>
      <c r="P257" s="492"/>
      <c r="Q257" s="492"/>
      <c r="R257" s="493" t="str">
        <f t="shared" si="32"/>
        <v>G. Time for Audits (Not Applicable)</v>
      </c>
      <c r="S257" s="493" t="s">
        <v>430</v>
      </c>
    </row>
    <row r="258" spans="2:22" ht="15.75" customHeight="1" thickBot="1" x14ac:dyDescent="0.3">
      <c r="B258" s="531" t="s">
        <v>773</v>
      </c>
      <c r="C258" s="532"/>
      <c r="D258" s="532"/>
      <c r="E258" s="532"/>
      <c r="F258" s="532"/>
      <c r="G258" s="533"/>
      <c r="H258" s="492"/>
      <c r="I258" s="501">
        <v>141</v>
      </c>
      <c r="J258" s="492"/>
      <c r="K258" s="492"/>
      <c r="L258" s="502">
        <v>226572.5</v>
      </c>
      <c r="M258" s="522">
        <v>11707.7</v>
      </c>
      <c r="N258" s="522">
        <v>20809.400000000001</v>
      </c>
      <c r="O258" s="525">
        <v>7172.2</v>
      </c>
      <c r="P258" s="534">
        <v>4404</v>
      </c>
      <c r="Q258" s="505">
        <v>25051135</v>
      </c>
      <c r="R258" s="493">
        <f t="shared" si="32"/>
        <v>0</v>
      </c>
      <c r="S258" s="493" t="s">
        <v>430</v>
      </c>
      <c r="T258" s="506"/>
      <c r="V258" s="727"/>
    </row>
    <row r="259" spans="2:22" ht="15.75" thickBot="1" x14ac:dyDescent="0.3">
      <c r="B259" s="535"/>
      <c r="C259" s="536"/>
      <c r="D259" s="536"/>
      <c r="E259" s="536"/>
      <c r="F259" s="536"/>
      <c r="G259" s="537"/>
      <c r="H259" s="492"/>
      <c r="I259" s="492"/>
      <c r="J259" s="492"/>
      <c r="K259" s="492"/>
      <c r="L259" s="502"/>
      <c r="M259" s="522"/>
      <c r="N259" s="503"/>
      <c r="O259" s="525">
        <v>270665.8</v>
      </c>
      <c r="P259" s="492"/>
      <c r="Q259" s="492"/>
      <c r="R259" s="493">
        <f t="shared" si="32"/>
        <v>0</v>
      </c>
      <c r="S259" s="493" t="s">
        <v>430</v>
      </c>
    </row>
    <row r="260" spans="2:22" ht="15.75" thickBot="1" x14ac:dyDescent="0.3">
      <c r="B260" s="538"/>
      <c r="C260" s="539"/>
      <c r="D260" s="539"/>
      <c r="E260" s="540"/>
      <c r="F260" s="541"/>
      <c r="G260" s="539"/>
      <c r="H260" s="539"/>
      <c r="I260" s="539"/>
      <c r="J260" s="539"/>
      <c r="K260" s="539"/>
      <c r="L260" s="539"/>
      <c r="M260" s="539"/>
      <c r="N260" s="539"/>
      <c r="O260" s="539"/>
      <c r="P260" s="539"/>
      <c r="Q260" s="542"/>
      <c r="R260" s="493">
        <f t="shared" si="32"/>
        <v>0</v>
      </c>
      <c r="S260" s="493" t="s">
        <v>430</v>
      </c>
    </row>
    <row r="261" spans="2:22" ht="15.75" customHeight="1" thickBot="1" x14ac:dyDescent="0.3">
      <c r="B261" s="543" t="s">
        <v>774</v>
      </c>
      <c r="C261" s="511"/>
      <c r="D261" s="511"/>
      <c r="E261" s="511"/>
      <c r="F261" s="511"/>
      <c r="G261" s="512"/>
      <c r="H261" s="492"/>
      <c r="I261" s="492"/>
      <c r="J261" s="492"/>
      <c r="K261" s="492"/>
      <c r="L261" s="498"/>
      <c r="M261" s="503"/>
      <c r="N261" s="503"/>
      <c r="O261" s="504"/>
      <c r="P261" s="492"/>
      <c r="Q261" s="492"/>
      <c r="R261" s="493">
        <f t="shared" si="32"/>
        <v>0</v>
      </c>
      <c r="S261" s="493" t="s">
        <v>430</v>
      </c>
    </row>
    <row r="262" spans="2:22" ht="18" x14ac:dyDescent="0.25">
      <c r="B262" s="531"/>
      <c r="C262" s="544" t="s">
        <v>608</v>
      </c>
      <c r="D262" s="544"/>
      <c r="E262" s="544"/>
      <c r="F262" s="544"/>
      <c r="G262" s="545"/>
      <c r="H262" s="1098"/>
      <c r="I262" s="1098"/>
      <c r="J262" s="1098"/>
      <c r="K262" s="1098"/>
      <c r="L262" s="1098"/>
      <c r="M262" s="1098"/>
      <c r="N262" s="1098"/>
      <c r="O262" s="1098"/>
      <c r="P262" s="1098"/>
      <c r="Q262" s="1098"/>
      <c r="R262" s="493" t="str">
        <f t="shared" si="32"/>
        <v>Recordkeeping costs</v>
      </c>
      <c r="S262" s="493" t="s">
        <v>430</v>
      </c>
    </row>
    <row r="263" spans="2:22" ht="15.75" thickBot="1" x14ac:dyDescent="0.3">
      <c r="B263" s="530"/>
      <c r="C263" s="546"/>
      <c r="D263" s="546"/>
      <c r="E263" s="546"/>
      <c r="F263" s="546"/>
      <c r="G263" s="547"/>
      <c r="H263" s="1099"/>
      <c r="I263" s="1099"/>
      <c r="J263" s="1099"/>
      <c r="K263" s="1099"/>
      <c r="L263" s="1099"/>
      <c r="M263" s="1099"/>
      <c r="N263" s="1099"/>
      <c r="O263" s="1099"/>
      <c r="P263" s="1099"/>
      <c r="Q263" s="1099"/>
      <c r="R263" s="493">
        <f t="shared" si="32"/>
        <v>0</v>
      </c>
      <c r="S263" s="493" t="s">
        <v>431</v>
      </c>
    </row>
    <row r="264" spans="2:22" ht="15.75" customHeight="1" thickBot="1" x14ac:dyDescent="0.3">
      <c r="B264" s="497"/>
      <c r="C264" s="498">
        <v>5</v>
      </c>
      <c r="E264" s="499" t="s">
        <v>775</v>
      </c>
      <c r="F264" s="499"/>
      <c r="G264" s="500"/>
      <c r="H264" s="492"/>
      <c r="I264" s="501">
        <v>1</v>
      </c>
      <c r="J264" s="492"/>
      <c r="K264" s="501">
        <v>449</v>
      </c>
      <c r="L264" s="498"/>
      <c r="M264" s="503"/>
      <c r="N264" s="503"/>
      <c r="O264" s="504"/>
      <c r="P264" s="492"/>
      <c r="Q264" s="548">
        <v>22450</v>
      </c>
      <c r="R264" s="493">
        <f t="shared" si="32"/>
        <v>5</v>
      </c>
      <c r="S264" s="493" t="s">
        <v>431</v>
      </c>
      <c r="T264" s="506">
        <f>Q264*CEPCI!$G$3</f>
        <v>28008.105726872247</v>
      </c>
      <c r="U264" s="53"/>
      <c r="V264" s="507"/>
    </row>
    <row r="265" spans="2:22" ht="18" customHeight="1" thickBot="1" x14ac:dyDescent="0.3">
      <c r="B265" s="497"/>
      <c r="C265" s="498">
        <v>6</v>
      </c>
      <c r="E265" s="499" t="s">
        <v>776</v>
      </c>
      <c r="F265" s="499"/>
      <c r="G265" s="500"/>
      <c r="H265" s="492"/>
      <c r="I265" s="501">
        <v>1</v>
      </c>
      <c r="J265" s="492"/>
      <c r="K265" s="501">
        <v>532</v>
      </c>
      <c r="L265" s="498"/>
      <c r="M265" s="503"/>
      <c r="N265" s="503"/>
      <c r="O265" s="504"/>
      <c r="P265" s="492"/>
      <c r="Q265" s="548">
        <v>26600</v>
      </c>
      <c r="R265" s="493">
        <f t="shared" si="32"/>
        <v>6</v>
      </c>
      <c r="S265" s="493" t="s">
        <v>431</v>
      </c>
      <c r="T265" s="506">
        <f>Q265*CEPCI!$G$3</f>
        <v>33185.550660792949</v>
      </c>
    </row>
    <row r="266" spans="2:22" ht="15.75" customHeight="1" thickBot="1" x14ac:dyDescent="0.3">
      <c r="B266" s="497"/>
      <c r="C266" s="498">
        <v>10</v>
      </c>
      <c r="E266" s="499" t="s">
        <v>777</v>
      </c>
      <c r="F266" s="499"/>
      <c r="G266" s="500"/>
      <c r="H266" s="492"/>
      <c r="I266" s="501">
        <v>1</v>
      </c>
      <c r="J266" s="492"/>
      <c r="K266" s="501">
        <v>48</v>
      </c>
      <c r="L266" s="498"/>
      <c r="M266" s="503"/>
      <c r="N266" s="503"/>
      <c r="O266" s="504"/>
      <c r="P266" s="492"/>
      <c r="Q266" s="548">
        <v>2400</v>
      </c>
      <c r="R266" s="493">
        <f t="shared" si="32"/>
        <v>10</v>
      </c>
      <c r="S266" s="493" t="s">
        <v>431</v>
      </c>
      <c r="T266" s="506">
        <f>Q266*CEPCI!$G$3</f>
        <v>2994.1850220264319</v>
      </c>
    </row>
    <row r="267" spans="2:22" ht="15.75" customHeight="1" thickBot="1" x14ac:dyDescent="0.3">
      <c r="B267" s="497"/>
      <c r="C267" s="498">
        <v>2</v>
      </c>
      <c r="E267" s="499" t="s">
        <v>778</v>
      </c>
      <c r="F267" s="499"/>
      <c r="G267" s="500"/>
      <c r="H267" s="492"/>
      <c r="I267" s="501">
        <v>1</v>
      </c>
      <c r="J267" s="492"/>
      <c r="K267" s="501">
        <v>6</v>
      </c>
      <c r="L267" s="498"/>
      <c r="M267" s="503"/>
      <c r="N267" s="503"/>
      <c r="O267" s="504"/>
      <c r="P267" s="492"/>
      <c r="Q267" s="548">
        <v>300</v>
      </c>
      <c r="R267" s="493">
        <f t="shared" si="32"/>
        <v>2</v>
      </c>
      <c r="S267" s="493" t="s">
        <v>431</v>
      </c>
      <c r="T267" s="506">
        <f>Q267*CEPCI!$G$3</f>
        <v>374.27312775330398</v>
      </c>
    </row>
    <row r="268" spans="2:22" ht="15.75" customHeight="1" thickBot="1" x14ac:dyDescent="0.3">
      <c r="B268" s="497"/>
      <c r="C268" s="498">
        <v>9</v>
      </c>
      <c r="E268" s="499" t="s">
        <v>779</v>
      </c>
      <c r="F268" s="499"/>
      <c r="G268" s="500"/>
      <c r="H268" s="492"/>
      <c r="I268" s="501">
        <v>1</v>
      </c>
      <c r="J268" s="492"/>
      <c r="K268" s="501">
        <v>497</v>
      </c>
      <c r="L268" s="498"/>
      <c r="M268" s="503"/>
      <c r="N268" s="503"/>
      <c r="O268" s="504"/>
      <c r="P268" s="492"/>
      <c r="Q268" s="548">
        <v>24850</v>
      </c>
      <c r="R268" s="493">
        <f t="shared" ref="R268:R331" si="37">C268</f>
        <v>9</v>
      </c>
      <c r="S268" s="493" t="s">
        <v>431</v>
      </c>
      <c r="T268" s="506">
        <f>Q268*CEPCI!$G$3</f>
        <v>31002.290748898678</v>
      </c>
    </row>
    <row r="269" spans="2:22" ht="15.75" customHeight="1" thickBot="1" x14ac:dyDescent="0.3">
      <c r="B269" s="497"/>
      <c r="C269" s="498">
        <v>4</v>
      </c>
      <c r="E269" s="499" t="s">
        <v>780</v>
      </c>
      <c r="F269" s="499"/>
      <c r="G269" s="500"/>
      <c r="H269" s="492"/>
      <c r="I269" s="501">
        <v>1</v>
      </c>
      <c r="J269" s="492"/>
      <c r="K269" s="501">
        <v>169</v>
      </c>
      <c r="L269" s="498"/>
      <c r="M269" s="503"/>
      <c r="N269" s="503"/>
      <c r="O269" s="504"/>
      <c r="P269" s="492"/>
      <c r="Q269" s="548">
        <v>8450</v>
      </c>
      <c r="R269" s="493">
        <f t="shared" si="37"/>
        <v>4</v>
      </c>
      <c r="S269" s="493" t="s">
        <v>431</v>
      </c>
      <c r="T269" s="506">
        <f>Q269*CEPCI!$G$3</f>
        <v>10542.026431718063</v>
      </c>
    </row>
    <row r="270" spans="2:22" ht="15.75" customHeight="1" thickBot="1" x14ac:dyDescent="0.3">
      <c r="B270" s="497"/>
      <c r="C270" s="498">
        <v>3</v>
      </c>
      <c r="E270" s="499" t="s">
        <v>781</v>
      </c>
      <c r="F270" s="499"/>
      <c r="G270" s="500"/>
      <c r="H270" s="492"/>
      <c r="I270" s="501">
        <v>1</v>
      </c>
      <c r="J270" s="492"/>
      <c r="K270" s="501">
        <v>6</v>
      </c>
      <c r="L270" s="498"/>
      <c r="M270" s="503"/>
      <c r="N270" s="503"/>
      <c r="O270" s="504"/>
      <c r="P270" s="492"/>
      <c r="Q270" s="548">
        <v>300</v>
      </c>
      <c r="R270" s="493">
        <f t="shared" si="37"/>
        <v>3</v>
      </c>
      <c r="S270" s="493" t="s">
        <v>431</v>
      </c>
      <c r="T270" s="506">
        <f>Q270*CEPCI!$G$3</f>
        <v>374.27312775330398</v>
      </c>
    </row>
    <row r="271" spans="2:22" ht="18" customHeight="1" thickBot="1" x14ac:dyDescent="0.3">
      <c r="B271" s="497"/>
      <c r="C271" s="498">
        <v>1</v>
      </c>
      <c r="E271" s="499" t="s">
        <v>782</v>
      </c>
      <c r="F271" s="499"/>
      <c r="G271" s="500"/>
      <c r="H271" s="492"/>
      <c r="I271" s="501">
        <v>1</v>
      </c>
      <c r="J271" s="492"/>
      <c r="K271" s="501">
        <v>321</v>
      </c>
      <c r="L271" s="498"/>
      <c r="M271" s="503"/>
      <c r="N271" s="503"/>
      <c r="O271" s="504"/>
      <c r="P271" s="492"/>
      <c r="Q271" s="548">
        <v>16050</v>
      </c>
      <c r="R271" s="493">
        <f t="shared" si="37"/>
        <v>1</v>
      </c>
      <c r="S271" s="493" t="s">
        <v>431</v>
      </c>
      <c r="T271" s="506">
        <f>Q271*CEPCI!$G$3</f>
        <v>20023.612334801761</v>
      </c>
    </row>
    <row r="272" spans="2:22" ht="15.75" customHeight="1" thickBot="1" x14ac:dyDescent="0.3">
      <c r="B272" s="497"/>
      <c r="C272" s="498">
        <v>7</v>
      </c>
      <c r="E272" s="499" t="s">
        <v>783</v>
      </c>
      <c r="F272" s="499"/>
      <c r="G272" s="500"/>
      <c r="H272" s="492"/>
      <c r="I272" s="501">
        <v>1</v>
      </c>
      <c r="J272" s="492"/>
      <c r="K272" s="501">
        <v>33</v>
      </c>
      <c r="L272" s="498"/>
      <c r="M272" s="503"/>
      <c r="N272" s="503"/>
      <c r="O272" s="504"/>
      <c r="P272" s="492"/>
      <c r="Q272" s="548">
        <v>1650</v>
      </c>
      <c r="R272" s="493">
        <f t="shared" si="37"/>
        <v>7</v>
      </c>
      <c r="S272" s="493" t="s">
        <v>431</v>
      </c>
      <c r="T272" s="506">
        <f>Q272*CEPCI!$G$3</f>
        <v>2058.502202643172</v>
      </c>
    </row>
    <row r="273" spans="2:22" ht="18" customHeight="1" thickBot="1" x14ac:dyDescent="0.3">
      <c r="B273" s="497"/>
      <c r="C273" s="498">
        <v>8</v>
      </c>
      <c r="E273" s="499" t="s">
        <v>784</v>
      </c>
      <c r="F273" s="499"/>
      <c r="G273" s="500"/>
      <c r="H273" s="492"/>
      <c r="I273" s="501">
        <v>1</v>
      </c>
      <c r="J273" s="492"/>
      <c r="K273" s="501">
        <v>141</v>
      </c>
      <c r="L273" s="498"/>
      <c r="M273" s="503"/>
      <c r="N273" s="503"/>
      <c r="O273" s="504"/>
      <c r="P273" s="492"/>
      <c r="Q273" s="548">
        <v>7050</v>
      </c>
      <c r="R273" s="493">
        <f t="shared" si="37"/>
        <v>8</v>
      </c>
      <c r="S273" s="493" t="s">
        <v>431</v>
      </c>
      <c r="T273" s="506">
        <f>Q273*CEPCI!$G$3</f>
        <v>8795.4185022026431</v>
      </c>
    </row>
    <row r="274" spans="2:22" ht="15.75" customHeight="1" thickBot="1" x14ac:dyDescent="0.3">
      <c r="B274" s="503"/>
      <c r="C274" s="514" t="s">
        <v>549</v>
      </c>
      <c r="D274" s="514"/>
      <c r="E274" s="514"/>
      <c r="F274" s="514"/>
      <c r="G274" s="515"/>
      <c r="H274" s="492"/>
      <c r="I274" s="492"/>
      <c r="J274" s="492"/>
      <c r="K274" s="492"/>
      <c r="L274" s="498"/>
      <c r="M274" s="503"/>
      <c r="N274" s="503"/>
      <c r="O274" s="504"/>
      <c r="P274" s="492"/>
      <c r="Q274" s="492"/>
      <c r="R274" s="493" t="str">
        <f t="shared" si="37"/>
        <v>Acid gas removal units</v>
      </c>
      <c r="S274" s="493" t="s">
        <v>431</v>
      </c>
      <c r="T274" s="506">
        <f>Q274*CEPCI!$G$3</f>
        <v>0</v>
      </c>
    </row>
    <row r="275" spans="2:22" ht="15.75" customHeight="1" thickBot="1" x14ac:dyDescent="0.3">
      <c r="B275" s="503"/>
      <c r="C275" s="498"/>
      <c r="D275" s="517" t="s">
        <v>785</v>
      </c>
      <c r="E275" s="517"/>
      <c r="F275" s="517"/>
      <c r="G275" s="518"/>
      <c r="H275" s="492"/>
      <c r="I275" s="492"/>
      <c r="J275" s="492"/>
      <c r="K275" s="492"/>
      <c r="L275" s="498"/>
      <c r="M275" s="503"/>
      <c r="N275" s="503"/>
      <c r="O275" s="504"/>
      <c r="P275" s="492"/>
      <c r="Q275" s="492"/>
      <c r="R275" s="493">
        <f t="shared" si="37"/>
        <v>0</v>
      </c>
      <c r="S275" s="493" t="s">
        <v>431</v>
      </c>
      <c r="T275" s="506">
        <f>Q275*CEPCI!$G$3</f>
        <v>0</v>
      </c>
    </row>
    <row r="276" spans="2:22" ht="18" customHeight="1" thickBot="1" x14ac:dyDescent="0.3">
      <c r="B276" s="497"/>
      <c r="C276" s="498">
        <v>5</v>
      </c>
      <c r="D276" s="498"/>
      <c r="E276" s="499" t="s">
        <v>786</v>
      </c>
      <c r="F276" s="499"/>
      <c r="G276" s="500"/>
      <c r="H276" s="492"/>
      <c r="I276" s="501">
        <v>5.6</v>
      </c>
      <c r="J276" s="492"/>
      <c r="K276" s="501">
        <v>61</v>
      </c>
      <c r="L276" s="498"/>
      <c r="M276" s="503"/>
      <c r="N276" s="503"/>
      <c r="O276" s="504"/>
      <c r="P276" s="492"/>
      <c r="Q276" s="548">
        <v>136640</v>
      </c>
      <c r="R276" s="493">
        <f t="shared" si="37"/>
        <v>5</v>
      </c>
      <c r="S276" s="493" t="s">
        <v>431</v>
      </c>
      <c r="T276" s="506">
        <f>Q276*CEPCI!$G$3</f>
        <v>170468.93392070485</v>
      </c>
      <c r="U276" s="53"/>
      <c r="V276" s="507"/>
    </row>
    <row r="277" spans="2:22" ht="18" customHeight="1" thickBot="1" x14ac:dyDescent="0.3">
      <c r="B277" s="497"/>
      <c r="C277" s="498">
        <v>9</v>
      </c>
      <c r="D277" s="498"/>
      <c r="E277" s="499" t="s">
        <v>787</v>
      </c>
      <c r="F277" s="499"/>
      <c r="G277" s="500"/>
      <c r="H277" s="492"/>
      <c r="I277" s="501">
        <v>0</v>
      </c>
      <c r="J277" s="492"/>
      <c r="K277" s="501">
        <v>0</v>
      </c>
      <c r="L277" s="498"/>
      <c r="M277" s="503"/>
      <c r="N277" s="503"/>
      <c r="O277" s="504"/>
      <c r="P277" s="492"/>
      <c r="Q277" s="505">
        <v>0</v>
      </c>
      <c r="R277" s="493">
        <f t="shared" si="37"/>
        <v>9</v>
      </c>
      <c r="S277" s="493" t="s">
        <v>431</v>
      </c>
      <c r="T277" s="506">
        <f>Q277*CEPCI!$G$3</f>
        <v>0</v>
      </c>
    </row>
    <row r="278" spans="2:22" ht="18" customHeight="1" thickBot="1" x14ac:dyDescent="0.3">
      <c r="B278" s="497"/>
      <c r="C278" s="498">
        <v>1</v>
      </c>
      <c r="D278" s="498"/>
      <c r="E278" s="499" t="s">
        <v>788</v>
      </c>
      <c r="F278" s="499"/>
      <c r="G278" s="500"/>
      <c r="H278" s="492"/>
      <c r="I278" s="501">
        <v>0</v>
      </c>
      <c r="J278" s="492"/>
      <c r="K278" s="501">
        <v>0</v>
      </c>
      <c r="L278" s="498"/>
      <c r="M278" s="503"/>
      <c r="N278" s="503"/>
      <c r="O278" s="504"/>
      <c r="P278" s="492"/>
      <c r="Q278" s="505">
        <v>0</v>
      </c>
      <c r="R278" s="493">
        <f t="shared" si="37"/>
        <v>1</v>
      </c>
      <c r="S278" s="493" t="s">
        <v>431</v>
      </c>
      <c r="T278" s="506">
        <f>Q278*CEPCI!$G$3</f>
        <v>0</v>
      </c>
    </row>
    <row r="279" spans="2:22" ht="15.75" customHeight="1" thickBot="1" x14ac:dyDescent="0.3">
      <c r="B279" s="503"/>
      <c r="C279" s="514" t="s">
        <v>549</v>
      </c>
      <c r="D279" s="514"/>
      <c r="E279" s="514"/>
      <c r="F279" s="514"/>
      <c r="G279" s="515"/>
      <c r="H279" s="492"/>
      <c r="I279" s="492"/>
      <c r="J279" s="492"/>
      <c r="K279" s="492"/>
      <c r="L279" s="498"/>
      <c r="M279" s="503"/>
      <c r="N279" s="503"/>
      <c r="O279" s="504"/>
      <c r="P279" s="492"/>
      <c r="Q279" s="492"/>
      <c r="R279" s="493" t="str">
        <f t="shared" si="37"/>
        <v>Acid gas removal units</v>
      </c>
      <c r="S279" s="493" t="s">
        <v>431</v>
      </c>
      <c r="T279" s="506">
        <f>Q279*CEPCI!$G$3</f>
        <v>0</v>
      </c>
    </row>
    <row r="280" spans="2:22" ht="15.75" customHeight="1" thickBot="1" x14ac:dyDescent="0.3">
      <c r="B280" s="503"/>
      <c r="C280" s="498"/>
      <c r="D280" s="517" t="s">
        <v>789</v>
      </c>
      <c r="E280" s="517"/>
      <c r="F280" s="517"/>
      <c r="G280" s="518"/>
      <c r="H280" s="492"/>
      <c r="I280" s="492"/>
      <c r="J280" s="492"/>
      <c r="K280" s="492"/>
      <c r="L280" s="498"/>
      <c r="M280" s="503"/>
      <c r="N280" s="503"/>
      <c r="O280" s="504"/>
      <c r="P280" s="492"/>
      <c r="Q280" s="492"/>
      <c r="R280" s="493">
        <f t="shared" si="37"/>
        <v>0</v>
      </c>
      <c r="S280" s="493" t="s">
        <v>431</v>
      </c>
      <c r="T280" s="506">
        <f>Q280*CEPCI!$G$3</f>
        <v>0</v>
      </c>
    </row>
    <row r="281" spans="2:22" ht="18" customHeight="1" thickBot="1" x14ac:dyDescent="0.3">
      <c r="B281" s="497"/>
      <c r="C281" s="498">
        <v>5</v>
      </c>
      <c r="D281" s="498"/>
      <c r="E281" s="499" t="s">
        <v>790</v>
      </c>
      <c r="F281" s="499"/>
      <c r="G281" s="500"/>
      <c r="H281" s="492"/>
      <c r="I281" s="501">
        <v>1</v>
      </c>
      <c r="J281" s="492"/>
      <c r="K281" s="501">
        <v>76</v>
      </c>
      <c r="L281" s="498"/>
      <c r="M281" s="503"/>
      <c r="N281" s="503"/>
      <c r="O281" s="504"/>
      <c r="P281" s="492"/>
      <c r="Q281" s="548">
        <v>50667</v>
      </c>
      <c r="R281" s="493">
        <f t="shared" si="37"/>
        <v>5</v>
      </c>
      <c r="S281" s="493" t="s">
        <v>431</v>
      </c>
      <c r="T281" s="506">
        <f>Q281*CEPCI!$G$3</f>
        <v>63210.98854625551</v>
      </c>
      <c r="U281" s="53"/>
      <c r="V281" s="507"/>
    </row>
    <row r="282" spans="2:22" ht="18" customHeight="1" thickBot="1" x14ac:dyDescent="0.3">
      <c r="B282" s="497"/>
      <c r="C282" s="498">
        <v>9</v>
      </c>
      <c r="D282" s="498"/>
      <c r="E282" s="499" t="s">
        <v>791</v>
      </c>
      <c r="F282" s="499"/>
      <c r="G282" s="500"/>
      <c r="H282" s="492"/>
      <c r="I282" s="501">
        <v>1</v>
      </c>
      <c r="J282" s="492"/>
      <c r="K282" s="501">
        <v>6</v>
      </c>
      <c r="L282" s="498"/>
      <c r="M282" s="503"/>
      <c r="N282" s="503"/>
      <c r="O282" s="504"/>
      <c r="P282" s="492"/>
      <c r="Q282" s="548">
        <v>4000</v>
      </c>
      <c r="R282" s="493">
        <f t="shared" si="37"/>
        <v>9</v>
      </c>
      <c r="S282" s="493" t="s">
        <v>431</v>
      </c>
      <c r="T282" s="506">
        <f>Q282*CEPCI!$G$3</f>
        <v>4990.3083700440529</v>
      </c>
    </row>
    <row r="283" spans="2:22" ht="18" customHeight="1" thickBot="1" x14ac:dyDescent="0.3">
      <c r="B283" s="497"/>
      <c r="C283" s="498">
        <v>1</v>
      </c>
      <c r="D283" s="498"/>
      <c r="E283" s="499" t="s">
        <v>792</v>
      </c>
      <c r="F283" s="499"/>
      <c r="G283" s="500"/>
      <c r="H283" s="492"/>
      <c r="I283" s="501">
        <v>1</v>
      </c>
      <c r="J283" s="492"/>
      <c r="K283" s="501">
        <v>21</v>
      </c>
      <c r="L283" s="498"/>
      <c r="M283" s="503"/>
      <c r="N283" s="503"/>
      <c r="O283" s="504"/>
      <c r="P283" s="492"/>
      <c r="Q283" s="548">
        <v>14000</v>
      </c>
      <c r="R283" s="493">
        <f t="shared" si="37"/>
        <v>1</v>
      </c>
      <c r="S283" s="493" t="s">
        <v>431</v>
      </c>
      <c r="T283" s="506">
        <f>Q283*CEPCI!$G$3</f>
        <v>17466.079295154184</v>
      </c>
    </row>
    <row r="284" spans="2:22" ht="18" customHeight="1" thickBot="1" x14ac:dyDescent="0.3">
      <c r="B284" s="503"/>
      <c r="C284" s="514" t="s">
        <v>568</v>
      </c>
      <c r="D284" s="514"/>
      <c r="E284" s="514"/>
      <c r="F284" s="514"/>
      <c r="G284" s="515"/>
      <c r="H284" s="492"/>
      <c r="I284" s="492"/>
      <c r="J284" s="492"/>
      <c r="K284" s="492"/>
      <c r="L284" s="498"/>
      <c r="M284" s="503"/>
      <c r="N284" s="503"/>
      <c r="O284" s="504"/>
      <c r="P284" s="492"/>
      <c r="Q284" s="492"/>
      <c r="R284" s="493" t="str">
        <f t="shared" si="37"/>
        <v>Centrifugal and Reciprocating Compressors--contractor to perform compressor leak measurements</v>
      </c>
      <c r="S284" s="493" t="s">
        <v>431</v>
      </c>
      <c r="T284" s="506">
        <f>Q284*CEPCI!$G$3</f>
        <v>0</v>
      </c>
    </row>
    <row r="285" spans="2:22" ht="15.75" customHeight="1" thickBot="1" x14ac:dyDescent="0.3">
      <c r="B285" s="497"/>
      <c r="C285" s="498">
        <v>5</v>
      </c>
      <c r="E285" s="499" t="s">
        <v>793</v>
      </c>
      <c r="F285" s="499"/>
      <c r="G285" s="500"/>
      <c r="H285" s="492"/>
      <c r="I285" s="501">
        <v>6</v>
      </c>
      <c r="J285" s="492"/>
      <c r="K285" s="501">
        <v>340</v>
      </c>
      <c r="L285" s="498"/>
      <c r="M285" s="503"/>
      <c r="N285" s="503"/>
      <c r="O285" s="504"/>
      <c r="P285" s="492"/>
      <c r="Q285" s="548">
        <v>1218309</v>
      </c>
      <c r="R285" s="493">
        <f t="shared" si="37"/>
        <v>5</v>
      </c>
      <c r="S285" s="493" t="s">
        <v>431</v>
      </c>
      <c r="T285" s="506">
        <f>Q285*CEPCI!$G$3</f>
        <v>1519934.4</v>
      </c>
      <c r="U285" s="53"/>
      <c r="V285" s="549"/>
    </row>
    <row r="286" spans="2:22" ht="18" customHeight="1" thickBot="1" x14ac:dyDescent="0.3">
      <c r="B286" s="497"/>
      <c r="C286" s="498">
        <v>6</v>
      </c>
      <c r="E286" s="499" t="s">
        <v>794</v>
      </c>
      <c r="F286" s="499"/>
      <c r="G286" s="500"/>
      <c r="H286" s="492"/>
      <c r="I286" s="501">
        <v>6</v>
      </c>
      <c r="J286" s="492"/>
      <c r="K286" s="501">
        <v>352</v>
      </c>
      <c r="L286" s="498"/>
      <c r="M286" s="503"/>
      <c r="N286" s="503"/>
      <c r="O286" s="504"/>
      <c r="P286" s="492"/>
      <c r="Q286" s="548">
        <v>1261309</v>
      </c>
      <c r="R286" s="493">
        <f t="shared" si="37"/>
        <v>6</v>
      </c>
      <c r="S286" s="493" t="s">
        <v>431</v>
      </c>
      <c r="T286" s="506">
        <f>Q286*CEPCI!$G$3</f>
        <v>1573580.2149779736</v>
      </c>
    </row>
    <row r="287" spans="2:22" ht="15.75" customHeight="1" thickBot="1" x14ac:dyDescent="0.3">
      <c r="B287" s="497"/>
      <c r="C287" s="498">
        <v>10</v>
      </c>
      <c r="E287" s="499" t="s">
        <v>795</v>
      </c>
      <c r="F287" s="499"/>
      <c r="G287" s="500"/>
      <c r="H287" s="492"/>
      <c r="I287" s="501">
        <v>6</v>
      </c>
      <c r="J287" s="492"/>
      <c r="K287" s="501">
        <v>47</v>
      </c>
      <c r="L287" s="498"/>
      <c r="M287" s="503"/>
      <c r="N287" s="503"/>
      <c r="O287" s="504"/>
      <c r="P287" s="492"/>
      <c r="Q287" s="548">
        <v>168413</v>
      </c>
      <c r="R287" s="493">
        <f t="shared" si="37"/>
        <v>10</v>
      </c>
      <c r="S287" s="493" t="s">
        <v>431</v>
      </c>
      <c r="T287" s="506">
        <f>Q287*CEPCI!$G$3</f>
        <v>210108.20088105727</v>
      </c>
    </row>
    <row r="288" spans="2:22" ht="15.75" customHeight="1" thickBot="1" x14ac:dyDescent="0.3">
      <c r="B288" s="497"/>
      <c r="C288" s="498">
        <v>2</v>
      </c>
      <c r="E288" s="499" t="s">
        <v>796</v>
      </c>
      <c r="F288" s="499"/>
      <c r="G288" s="500"/>
      <c r="H288" s="492"/>
      <c r="I288" s="501">
        <v>6</v>
      </c>
      <c r="J288" s="492"/>
      <c r="K288" s="501">
        <v>4</v>
      </c>
      <c r="L288" s="498"/>
      <c r="M288" s="503"/>
      <c r="N288" s="503"/>
      <c r="O288" s="504"/>
      <c r="P288" s="492"/>
      <c r="Q288" s="548">
        <v>14333</v>
      </c>
      <c r="R288" s="493">
        <f t="shared" si="37"/>
        <v>2</v>
      </c>
      <c r="S288" s="493" t="s">
        <v>431</v>
      </c>
      <c r="T288" s="506">
        <f>Q288*CEPCI!$G$3</f>
        <v>17881.522466960352</v>
      </c>
    </row>
    <row r="289" spans="2:20" ht="15.75" customHeight="1" thickBot="1" x14ac:dyDescent="0.3">
      <c r="B289" s="497"/>
      <c r="C289" s="498">
        <v>3</v>
      </c>
      <c r="E289" s="499" t="s">
        <v>797</v>
      </c>
      <c r="F289" s="499"/>
      <c r="G289" s="500"/>
      <c r="H289" s="492"/>
      <c r="I289" s="501">
        <v>6</v>
      </c>
      <c r="J289" s="492"/>
      <c r="K289" s="501">
        <v>2</v>
      </c>
      <c r="L289" s="498"/>
      <c r="M289" s="503"/>
      <c r="N289" s="503"/>
      <c r="O289" s="504"/>
      <c r="P289" s="492"/>
      <c r="Q289" s="548">
        <v>7167</v>
      </c>
      <c r="R289" s="493">
        <f t="shared" si="37"/>
        <v>3</v>
      </c>
      <c r="S289" s="493" t="s">
        <v>431</v>
      </c>
      <c r="T289" s="506">
        <f>Q289*CEPCI!$G$3</f>
        <v>8941.3850220264321</v>
      </c>
    </row>
    <row r="290" spans="2:20" ht="15.75" customHeight="1" thickBot="1" x14ac:dyDescent="0.3">
      <c r="B290" s="503"/>
      <c r="C290" s="514" t="s">
        <v>624</v>
      </c>
      <c r="D290" s="514"/>
      <c r="E290" s="514"/>
      <c r="F290" s="514"/>
      <c r="G290" s="515"/>
      <c r="H290" s="492"/>
      <c r="I290" s="492"/>
      <c r="J290" s="492"/>
      <c r="K290" s="492"/>
      <c r="L290" s="498"/>
      <c r="M290" s="503"/>
      <c r="N290" s="503"/>
      <c r="O290" s="504"/>
      <c r="P290" s="492"/>
      <c r="Q290" s="492"/>
      <c r="R290" s="493" t="str">
        <f t="shared" si="37"/>
        <v>Transmission storage tanks--flow meter</v>
      </c>
      <c r="S290" s="493" t="s">
        <v>431</v>
      </c>
      <c r="T290" s="506">
        <f>Q290*CEPCI!$G$3</f>
        <v>0</v>
      </c>
    </row>
    <row r="291" spans="2:20" ht="18" customHeight="1" thickBot="1" x14ac:dyDescent="0.3">
      <c r="B291" s="497"/>
      <c r="C291" s="513">
        <v>6</v>
      </c>
      <c r="D291" s="499" t="s">
        <v>798</v>
      </c>
      <c r="E291" s="499"/>
      <c r="F291" s="499"/>
      <c r="G291" s="500"/>
      <c r="H291" s="492"/>
      <c r="I291" s="501">
        <v>1.5</v>
      </c>
      <c r="J291" s="492"/>
      <c r="K291" s="501">
        <v>33</v>
      </c>
      <c r="L291" s="498"/>
      <c r="M291" s="503"/>
      <c r="N291" s="503"/>
      <c r="O291" s="504"/>
      <c r="P291" s="492"/>
      <c r="Q291" s="548">
        <v>18080</v>
      </c>
      <c r="R291" s="493">
        <f t="shared" si="37"/>
        <v>6</v>
      </c>
      <c r="S291" s="493" t="s">
        <v>431</v>
      </c>
      <c r="T291" s="506">
        <f>Q291*CEPCI!$G$3</f>
        <v>22556.193832599118</v>
      </c>
    </row>
    <row r="292" spans="2:20" ht="18" customHeight="1" thickBot="1" x14ac:dyDescent="0.3">
      <c r="B292" s="530"/>
      <c r="C292" s="514" t="s">
        <v>616</v>
      </c>
      <c r="D292" s="514"/>
      <c r="E292" s="514"/>
      <c r="F292" s="514"/>
      <c r="G292" s="515"/>
      <c r="H292" s="492"/>
      <c r="I292" s="492"/>
      <c r="J292" s="492"/>
      <c r="K292" s="492"/>
      <c r="L292" s="498"/>
      <c r="M292" s="503"/>
      <c r="N292" s="503"/>
      <c r="O292" s="504"/>
      <c r="P292" s="492"/>
      <c r="Q292" s="492"/>
      <c r="R292" s="493" t="str">
        <f t="shared" si="37"/>
        <v>Transmission storage tanks--acoustic leak detection device</v>
      </c>
      <c r="S292" s="493" t="s">
        <v>431</v>
      </c>
      <c r="T292" s="506">
        <f>Q292*CEPCI!$G$3</f>
        <v>0</v>
      </c>
    </row>
    <row r="293" spans="2:20" ht="18" customHeight="1" thickBot="1" x14ac:dyDescent="0.3">
      <c r="B293" s="497"/>
      <c r="C293" s="513">
        <v>6</v>
      </c>
      <c r="D293" s="499" t="s">
        <v>798</v>
      </c>
      <c r="E293" s="499"/>
      <c r="F293" s="499"/>
      <c r="G293" s="500"/>
      <c r="H293" s="492"/>
      <c r="I293" s="501">
        <v>1.5</v>
      </c>
      <c r="J293" s="492"/>
      <c r="K293" s="501">
        <v>10</v>
      </c>
      <c r="L293" s="498"/>
      <c r="M293" s="503"/>
      <c r="N293" s="503"/>
      <c r="O293" s="504"/>
      <c r="P293" s="492"/>
      <c r="Q293" s="548">
        <v>15</v>
      </c>
      <c r="R293" s="493">
        <f t="shared" si="37"/>
        <v>6</v>
      </c>
      <c r="S293" s="493" t="s">
        <v>431</v>
      </c>
      <c r="T293" s="506">
        <f>Q293*CEPCI!$G$3</f>
        <v>18.7136563876652</v>
      </c>
    </row>
    <row r="294" spans="2:20" ht="18" customHeight="1" thickBot="1" x14ac:dyDescent="0.3">
      <c r="B294" s="503"/>
      <c r="C294" s="514" t="s">
        <v>632</v>
      </c>
      <c r="D294" s="514"/>
      <c r="E294" s="514"/>
      <c r="F294" s="514"/>
      <c r="G294" s="515"/>
      <c r="H294" s="492"/>
      <c r="I294" s="492"/>
      <c r="J294" s="492"/>
      <c r="K294" s="492"/>
      <c r="L294" s="498"/>
      <c r="M294" s="503"/>
      <c r="N294" s="503"/>
      <c r="O294" s="504"/>
      <c r="P294" s="492"/>
      <c r="Q294" s="492"/>
      <c r="R294" s="493" t="str">
        <f t="shared" si="37"/>
        <v>Transmission storage tanks--optical gas imaging instrument</v>
      </c>
      <c r="S294" s="493" t="s">
        <v>431</v>
      </c>
      <c r="T294" s="506">
        <f>Q294*CEPCI!$G$3</f>
        <v>0</v>
      </c>
    </row>
    <row r="295" spans="2:20" ht="18" customHeight="1" thickBot="1" x14ac:dyDescent="0.3">
      <c r="B295" s="497"/>
      <c r="C295" s="513">
        <v>6</v>
      </c>
      <c r="D295" s="499" t="s">
        <v>798</v>
      </c>
      <c r="E295" s="499"/>
      <c r="F295" s="499"/>
      <c r="G295" s="500"/>
      <c r="H295" s="492"/>
      <c r="I295" s="501">
        <v>1.5</v>
      </c>
      <c r="J295" s="492"/>
      <c r="K295" s="501">
        <v>410</v>
      </c>
      <c r="L295" s="498"/>
      <c r="M295" s="503"/>
      <c r="N295" s="503"/>
      <c r="O295" s="504"/>
      <c r="P295" s="492"/>
      <c r="Q295" s="548">
        <v>224626</v>
      </c>
      <c r="R295" s="493">
        <f t="shared" si="37"/>
        <v>6</v>
      </c>
      <c r="S295" s="493" t="s">
        <v>431</v>
      </c>
      <c r="T295" s="506">
        <f>Q295*CEPCI!$G$3</f>
        <v>280238.25198237883</v>
      </c>
    </row>
    <row r="296" spans="2:20" ht="15.75" customHeight="1" thickBot="1" x14ac:dyDescent="0.3">
      <c r="B296" s="530"/>
      <c r="C296" s="514" t="s">
        <v>628</v>
      </c>
      <c r="D296" s="514"/>
      <c r="E296" s="514"/>
      <c r="F296" s="514"/>
      <c r="G296" s="515"/>
      <c r="H296" s="492"/>
      <c r="I296" s="492"/>
      <c r="J296" s="492"/>
      <c r="K296" s="492"/>
      <c r="L296" s="498"/>
      <c r="M296" s="503"/>
      <c r="N296" s="503"/>
      <c r="O296" s="504"/>
      <c r="P296" s="492"/>
      <c r="Q296" s="492"/>
      <c r="R296" s="493" t="str">
        <f t="shared" si="37"/>
        <v>Transmission storage tanks--high volume sampler</v>
      </c>
      <c r="S296" s="493" t="s">
        <v>431</v>
      </c>
      <c r="T296" s="506">
        <f>Q296*CEPCI!$G$3</f>
        <v>0</v>
      </c>
    </row>
    <row r="297" spans="2:20" ht="18" customHeight="1" thickBot="1" x14ac:dyDescent="0.3">
      <c r="B297" s="497"/>
      <c r="C297" s="513">
        <v>6</v>
      </c>
      <c r="D297" s="499" t="s">
        <v>798</v>
      </c>
      <c r="E297" s="499"/>
      <c r="F297" s="499"/>
      <c r="G297" s="500"/>
      <c r="H297" s="492"/>
      <c r="I297" s="501">
        <v>1.5</v>
      </c>
      <c r="J297" s="492"/>
      <c r="K297" s="501">
        <v>121</v>
      </c>
      <c r="L297" s="498"/>
      <c r="M297" s="503"/>
      <c r="N297" s="503"/>
      <c r="O297" s="504"/>
      <c r="P297" s="492"/>
      <c r="Q297" s="548">
        <v>66292</v>
      </c>
      <c r="R297" s="493">
        <f t="shared" si="37"/>
        <v>6</v>
      </c>
      <c r="S297" s="493" t="s">
        <v>431</v>
      </c>
      <c r="T297" s="506">
        <f>Q297*CEPCI!$G$3</f>
        <v>82704.380616740091</v>
      </c>
    </row>
    <row r="298" spans="2:20" ht="15.75" customHeight="1" thickBot="1" x14ac:dyDescent="0.3">
      <c r="B298" s="503"/>
      <c r="C298" s="514" t="s">
        <v>620</v>
      </c>
      <c r="D298" s="514"/>
      <c r="E298" s="514"/>
      <c r="F298" s="514"/>
      <c r="G298" s="515"/>
      <c r="H298" s="492"/>
      <c r="I298" s="492"/>
      <c r="J298" s="492"/>
      <c r="K298" s="492"/>
      <c r="L298" s="498"/>
      <c r="M298" s="503"/>
      <c r="N298" s="503"/>
      <c r="O298" s="504"/>
      <c r="P298" s="492"/>
      <c r="Q298" s="492"/>
      <c r="R298" s="493" t="str">
        <f t="shared" si="37"/>
        <v>Transmission storage tanks--calibrated bag</v>
      </c>
      <c r="S298" s="493" t="s">
        <v>431</v>
      </c>
      <c r="T298" s="506">
        <f>Q298*CEPCI!$G$3</f>
        <v>0</v>
      </c>
    </row>
    <row r="299" spans="2:20" ht="18" customHeight="1" thickBot="1" x14ac:dyDescent="0.3">
      <c r="B299" s="497"/>
      <c r="C299" s="513">
        <v>6</v>
      </c>
      <c r="D299" s="499" t="s">
        <v>799</v>
      </c>
      <c r="E299" s="499"/>
      <c r="F299" s="499"/>
      <c r="G299" s="500"/>
      <c r="H299" s="492"/>
      <c r="I299" s="501">
        <v>1.5</v>
      </c>
      <c r="J299" s="492"/>
      <c r="K299" s="501">
        <v>0</v>
      </c>
      <c r="L299" s="498"/>
      <c r="M299" s="503"/>
      <c r="N299" s="503"/>
      <c r="O299" s="504"/>
      <c r="P299" s="492"/>
      <c r="Q299" s="505">
        <v>0</v>
      </c>
      <c r="R299" s="493">
        <f t="shared" si="37"/>
        <v>6</v>
      </c>
      <c r="S299" s="493" t="s">
        <v>431</v>
      </c>
      <c r="T299" s="506">
        <f>Q299*CEPCI!$G$3</f>
        <v>0</v>
      </c>
    </row>
    <row r="300" spans="2:20" ht="15.75" customHeight="1" thickBot="1" x14ac:dyDescent="0.3">
      <c r="B300" s="530"/>
      <c r="C300" s="514" t="s">
        <v>612</v>
      </c>
      <c r="D300" s="514"/>
      <c r="E300" s="514"/>
      <c r="F300" s="514"/>
      <c r="G300" s="515"/>
      <c r="H300" s="492"/>
      <c r="I300" s="492"/>
      <c r="J300" s="492"/>
      <c r="K300" s="492"/>
      <c r="L300" s="498"/>
      <c r="M300" s="503"/>
      <c r="N300" s="503"/>
      <c r="O300" s="504"/>
      <c r="P300" s="492"/>
      <c r="Q300" s="550"/>
      <c r="R300" s="493" t="str">
        <f t="shared" si="37"/>
        <v>Storage tanks</v>
      </c>
      <c r="S300" s="493" t="s">
        <v>431</v>
      </c>
      <c r="T300" s="506">
        <f>Q300*CEPCI!$G$3</f>
        <v>0</v>
      </c>
    </row>
    <row r="301" spans="2:20" ht="15.75" customHeight="1" thickBot="1" x14ac:dyDescent="0.3">
      <c r="B301" s="503"/>
      <c r="C301" s="498"/>
      <c r="D301" s="499" t="s">
        <v>789</v>
      </c>
      <c r="E301" s="499"/>
      <c r="F301" s="499"/>
      <c r="G301" s="500"/>
      <c r="H301" s="492"/>
      <c r="I301" s="492"/>
      <c r="J301" s="492"/>
      <c r="K301" s="492"/>
      <c r="L301" s="498"/>
      <c r="M301" s="503"/>
      <c r="N301" s="503"/>
      <c r="O301" s="504"/>
      <c r="P301" s="492"/>
      <c r="Q301" s="492"/>
      <c r="R301" s="493">
        <f t="shared" si="37"/>
        <v>0</v>
      </c>
      <c r="S301" s="493" t="s">
        <v>431</v>
      </c>
      <c r="T301" s="506">
        <f>Q301*CEPCI!$G$3</f>
        <v>0</v>
      </c>
    </row>
    <row r="302" spans="2:20" ht="18" customHeight="1" thickBot="1" x14ac:dyDescent="0.3">
      <c r="B302" s="497"/>
      <c r="C302" s="498">
        <v>9</v>
      </c>
      <c r="D302" s="498"/>
      <c r="E302" s="499" t="s">
        <v>800</v>
      </c>
      <c r="F302" s="499"/>
      <c r="G302" s="500"/>
      <c r="H302" s="492"/>
      <c r="I302" s="501">
        <v>1</v>
      </c>
      <c r="J302" s="492"/>
      <c r="K302" s="501">
        <v>266</v>
      </c>
      <c r="L302" s="498"/>
      <c r="M302" s="503"/>
      <c r="N302" s="503"/>
      <c r="O302" s="504"/>
      <c r="P302" s="492"/>
      <c r="Q302" s="548">
        <v>53200</v>
      </c>
      <c r="R302" s="493">
        <f t="shared" si="37"/>
        <v>9</v>
      </c>
      <c r="S302" s="493" t="s">
        <v>431</v>
      </c>
      <c r="T302" s="506">
        <f>Q302*CEPCI!$G$3</f>
        <v>66371.101321585898</v>
      </c>
    </row>
    <row r="303" spans="2:20" ht="18" customHeight="1" thickBot="1" x14ac:dyDescent="0.3">
      <c r="B303" s="497"/>
      <c r="C303" s="498">
        <v>1</v>
      </c>
      <c r="D303" s="498"/>
      <c r="E303" s="499" t="s">
        <v>801</v>
      </c>
      <c r="F303" s="499"/>
      <c r="G303" s="500"/>
      <c r="H303" s="492"/>
      <c r="I303" s="501">
        <v>1</v>
      </c>
      <c r="J303" s="492"/>
      <c r="K303" s="501">
        <v>145</v>
      </c>
      <c r="L303" s="498"/>
      <c r="M303" s="503"/>
      <c r="N303" s="503"/>
      <c r="O303" s="504"/>
      <c r="P303" s="492"/>
      <c r="Q303" s="548">
        <v>29000</v>
      </c>
      <c r="R303" s="493">
        <f t="shared" si="37"/>
        <v>1</v>
      </c>
      <c r="S303" s="493" t="s">
        <v>431</v>
      </c>
      <c r="T303" s="506">
        <f>Q303*CEPCI!$G$3</f>
        <v>36179.735682819381</v>
      </c>
    </row>
    <row r="304" spans="2:20" ht="15.75" customHeight="1" thickBot="1" x14ac:dyDescent="0.3">
      <c r="B304" s="530"/>
      <c r="C304" s="514" t="s">
        <v>596</v>
      </c>
      <c r="D304" s="514"/>
      <c r="E304" s="514"/>
      <c r="F304" s="514"/>
      <c r="G304" s="515"/>
      <c r="H304" s="492"/>
      <c r="I304" s="492"/>
      <c r="J304" s="492"/>
      <c r="K304" s="492"/>
      <c r="L304" s="498"/>
      <c r="M304" s="503"/>
      <c r="N304" s="503"/>
      <c r="O304" s="504"/>
      <c r="P304" s="492"/>
      <c r="Q304" s="492"/>
      <c r="R304" s="493" t="str">
        <f t="shared" si="37"/>
        <v>Flare stacks</v>
      </c>
      <c r="S304" s="493" t="s">
        <v>431</v>
      </c>
      <c r="T304" s="506">
        <f>Q304*CEPCI!$G$3</f>
        <v>0</v>
      </c>
    </row>
    <row r="305" spans="2:22" ht="15.75" customHeight="1" thickBot="1" x14ac:dyDescent="0.3">
      <c r="B305" s="503"/>
      <c r="C305" s="498"/>
      <c r="D305" s="499" t="s">
        <v>789</v>
      </c>
      <c r="E305" s="499"/>
      <c r="F305" s="499"/>
      <c r="G305" s="500"/>
      <c r="H305" s="492"/>
      <c r="I305" s="492"/>
      <c r="J305" s="492"/>
      <c r="K305" s="492"/>
      <c r="L305" s="498"/>
      <c r="M305" s="503"/>
      <c r="N305" s="503"/>
      <c r="O305" s="504"/>
      <c r="P305" s="492"/>
      <c r="Q305" s="492"/>
      <c r="R305" s="493">
        <f t="shared" si="37"/>
        <v>0</v>
      </c>
      <c r="S305" s="493" t="s">
        <v>431</v>
      </c>
      <c r="T305" s="506">
        <f>Q305*CEPCI!$G$3</f>
        <v>0</v>
      </c>
    </row>
    <row r="306" spans="2:22" ht="15.75" customHeight="1" thickBot="1" x14ac:dyDescent="0.3">
      <c r="B306" s="530"/>
      <c r="C306">
        <v>9</v>
      </c>
      <c r="D306" s="499"/>
      <c r="E306" s="499" t="s">
        <v>800</v>
      </c>
      <c r="F306" s="499"/>
      <c r="G306" s="500"/>
      <c r="H306" s="492"/>
      <c r="I306" s="492">
        <v>1</v>
      </c>
      <c r="J306" s="492"/>
      <c r="K306" s="492">
        <v>266</v>
      </c>
      <c r="L306" s="498"/>
      <c r="M306" s="503"/>
      <c r="N306" s="503"/>
      <c r="O306" s="504"/>
      <c r="P306" s="492"/>
      <c r="Q306" s="551">
        <v>53200</v>
      </c>
      <c r="R306" s="493">
        <f t="shared" si="37"/>
        <v>9</v>
      </c>
      <c r="S306" s="493" t="s">
        <v>431</v>
      </c>
      <c r="T306" s="506">
        <f>Q306*CEPCI!$G$3</f>
        <v>66371.101321585898</v>
      </c>
    </row>
    <row r="307" spans="2:22" ht="15.75" customHeight="1" thickBot="1" x14ac:dyDescent="0.3">
      <c r="B307" s="530"/>
      <c r="C307" s="493">
        <v>1</v>
      </c>
      <c r="D307" s="499"/>
      <c r="E307" s="499" t="s">
        <v>801</v>
      </c>
      <c r="F307" s="499"/>
      <c r="G307" s="500"/>
      <c r="H307" s="492"/>
      <c r="I307" s="492">
        <v>1</v>
      </c>
      <c r="J307" s="492"/>
      <c r="K307" s="492">
        <v>145</v>
      </c>
      <c r="L307" s="498"/>
      <c r="M307" s="503"/>
      <c r="N307" s="503"/>
      <c r="O307" s="504"/>
      <c r="P307" s="492"/>
      <c r="Q307" s="551">
        <v>29000</v>
      </c>
      <c r="R307" s="493">
        <f t="shared" si="37"/>
        <v>1</v>
      </c>
      <c r="S307" s="493" t="s">
        <v>431</v>
      </c>
      <c r="T307" s="506">
        <f>Q307*CEPCI!$G$3</f>
        <v>36179.735682819381</v>
      </c>
    </row>
    <row r="308" spans="2:22" ht="18" customHeight="1" thickBot="1" x14ac:dyDescent="0.3">
      <c r="B308" s="530"/>
      <c r="C308" s="514" t="s">
        <v>604</v>
      </c>
      <c r="D308" s="514"/>
      <c r="E308" s="514"/>
      <c r="F308" s="514"/>
      <c r="G308" s="515"/>
      <c r="H308" s="492"/>
      <c r="I308" s="492"/>
      <c r="J308" s="492"/>
      <c r="K308" s="492"/>
      <c r="L308" s="498"/>
      <c r="M308" s="503"/>
      <c r="N308" s="503"/>
      <c r="O308" s="504"/>
      <c r="P308" s="492"/>
      <c r="Q308" s="492"/>
      <c r="R308" s="493" t="str">
        <f t="shared" si="37"/>
        <v>Glycol Dehydrators &gt;= 0.4 million standard cubic feet per day</v>
      </c>
      <c r="S308" s="493" t="s">
        <v>431</v>
      </c>
      <c r="T308" s="506">
        <f>Q308*CEPCI!$G$3</f>
        <v>0</v>
      </c>
    </row>
    <row r="309" spans="2:22" ht="15.75" customHeight="1" thickBot="1" x14ac:dyDescent="0.3">
      <c r="B309" s="503"/>
      <c r="C309" s="498"/>
      <c r="D309" s="517" t="s">
        <v>802</v>
      </c>
      <c r="E309" s="517"/>
      <c r="F309" s="517"/>
      <c r="G309" s="518"/>
      <c r="H309" s="492"/>
      <c r="I309" s="492"/>
      <c r="J309" s="492"/>
      <c r="K309" s="492"/>
      <c r="L309" s="498"/>
      <c r="M309" s="503"/>
      <c r="N309" s="503"/>
      <c r="O309" s="504"/>
      <c r="P309" s="492"/>
      <c r="Q309" s="492"/>
      <c r="R309" s="493">
        <f t="shared" si="37"/>
        <v>0</v>
      </c>
      <c r="S309" s="493" t="s">
        <v>431</v>
      </c>
      <c r="T309" s="506">
        <f>Q309*CEPCI!$G$3</f>
        <v>0</v>
      </c>
    </row>
    <row r="310" spans="2:22" ht="18" customHeight="1" thickBot="1" x14ac:dyDescent="0.3">
      <c r="B310" s="497"/>
      <c r="C310" s="498">
        <v>5</v>
      </c>
      <c r="D310" s="498"/>
      <c r="E310" s="499" t="s">
        <v>803</v>
      </c>
      <c r="F310" s="499"/>
      <c r="G310" s="500"/>
      <c r="H310" s="492"/>
      <c r="I310" s="501">
        <v>0</v>
      </c>
      <c r="J310" s="492"/>
      <c r="K310" s="501">
        <v>0</v>
      </c>
      <c r="L310" s="498"/>
      <c r="M310" s="503"/>
      <c r="N310" s="503"/>
      <c r="O310" s="504"/>
      <c r="P310" s="492"/>
      <c r="Q310" s="505">
        <v>0</v>
      </c>
      <c r="R310" s="493">
        <f t="shared" si="37"/>
        <v>5</v>
      </c>
      <c r="S310" s="493" t="s">
        <v>431</v>
      </c>
      <c r="T310" s="506">
        <f>Q310*CEPCI!$G$3</f>
        <v>0</v>
      </c>
      <c r="U310" s="53"/>
      <c r="V310" s="507"/>
    </row>
    <row r="311" spans="2:22" ht="18" customHeight="1" thickBot="1" x14ac:dyDescent="0.3">
      <c r="B311" s="497"/>
      <c r="C311" s="498">
        <v>9</v>
      </c>
      <c r="D311" s="498"/>
      <c r="E311" s="499" t="s">
        <v>804</v>
      </c>
      <c r="F311" s="499"/>
      <c r="G311" s="500"/>
      <c r="H311" s="492"/>
      <c r="I311" s="501">
        <v>0</v>
      </c>
      <c r="J311" s="492"/>
      <c r="K311" s="501">
        <v>0</v>
      </c>
      <c r="L311" s="498"/>
      <c r="M311" s="503"/>
      <c r="N311" s="503"/>
      <c r="O311" s="504"/>
      <c r="P311" s="492"/>
      <c r="Q311" s="505">
        <v>0</v>
      </c>
      <c r="R311" s="493">
        <f t="shared" si="37"/>
        <v>9</v>
      </c>
      <c r="S311" s="493" t="s">
        <v>431</v>
      </c>
      <c r="T311" s="506">
        <f>Q311*CEPCI!$G$3</f>
        <v>0</v>
      </c>
    </row>
    <row r="312" spans="2:22" ht="18" customHeight="1" thickBot="1" x14ac:dyDescent="0.3">
      <c r="B312" s="497"/>
      <c r="C312" s="498">
        <v>1</v>
      </c>
      <c r="D312" s="498"/>
      <c r="E312" s="499" t="s">
        <v>805</v>
      </c>
      <c r="F312" s="499"/>
      <c r="G312" s="500"/>
      <c r="I312" s="519">
        <v>0</v>
      </c>
      <c r="J312" s="492"/>
      <c r="K312" s="501">
        <v>0</v>
      </c>
      <c r="L312" s="498"/>
      <c r="M312" s="503"/>
      <c r="N312" s="503"/>
      <c r="O312" s="504"/>
      <c r="P312" s="492"/>
      <c r="Q312" s="505">
        <v>0</v>
      </c>
      <c r="R312" s="493">
        <f t="shared" si="37"/>
        <v>1</v>
      </c>
      <c r="S312" s="493" t="s">
        <v>431</v>
      </c>
      <c r="T312" s="506">
        <f>Q312*CEPCI!$G$3</f>
        <v>0</v>
      </c>
    </row>
    <row r="313" spans="2:22" ht="15.75" customHeight="1" thickBot="1" x14ac:dyDescent="0.3">
      <c r="B313" s="503"/>
      <c r="C313" s="498"/>
      <c r="D313" s="517" t="s">
        <v>806</v>
      </c>
      <c r="E313" s="517"/>
      <c r="F313" s="517"/>
      <c r="G313" s="518"/>
      <c r="H313" s="552"/>
      <c r="I313" s="492"/>
      <c r="J313" s="492"/>
      <c r="K313" s="492"/>
      <c r="L313" s="498"/>
      <c r="M313" s="503"/>
      <c r="N313" s="503"/>
      <c r="O313" s="504"/>
      <c r="P313" s="492"/>
      <c r="Q313" s="492"/>
      <c r="R313" s="493">
        <f t="shared" si="37"/>
        <v>0</v>
      </c>
      <c r="S313" s="493" t="s">
        <v>431</v>
      </c>
      <c r="T313" s="506">
        <f>Q313*CEPCI!$G$3</f>
        <v>0</v>
      </c>
    </row>
    <row r="314" spans="2:22" ht="18" customHeight="1" thickBot="1" x14ac:dyDescent="0.3">
      <c r="B314" s="497"/>
      <c r="C314" s="498">
        <v>5</v>
      </c>
      <c r="D314" s="498"/>
      <c r="E314" s="499" t="s">
        <v>807</v>
      </c>
      <c r="F314" s="499"/>
      <c r="G314" s="500"/>
      <c r="H314" s="492"/>
      <c r="I314" s="501">
        <v>0</v>
      </c>
      <c r="J314" s="492"/>
      <c r="K314" s="501">
        <v>0</v>
      </c>
      <c r="L314" s="498"/>
      <c r="M314" s="503"/>
      <c r="N314" s="503"/>
      <c r="O314" s="504"/>
      <c r="P314" s="492"/>
      <c r="Q314" s="505">
        <v>0</v>
      </c>
      <c r="R314" s="493">
        <f t="shared" si="37"/>
        <v>5</v>
      </c>
      <c r="S314" s="493" t="s">
        <v>431</v>
      </c>
      <c r="T314" s="506">
        <f>Q314*CEPCI!$G$3</f>
        <v>0</v>
      </c>
      <c r="U314" s="53"/>
      <c r="V314" s="507"/>
    </row>
    <row r="315" spans="2:22" ht="18" customHeight="1" thickBot="1" x14ac:dyDescent="0.3">
      <c r="B315" s="497"/>
      <c r="C315" s="498">
        <v>9</v>
      </c>
      <c r="D315" s="498"/>
      <c r="E315" s="499" t="s">
        <v>808</v>
      </c>
      <c r="F315" s="499"/>
      <c r="G315" s="500"/>
      <c r="H315" s="492"/>
      <c r="I315" s="501">
        <v>0</v>
      </c>
      <c r="J315" s="492"/>
      <c r="K315" s="501">
        <v>0</v>
      </c>
      <c r="L315" s="498"/>
      <c r="M315" s="503"/>
      <c r="N315" s="503"/>
      <c r="O315" s="504"/>
      <c r="P315" s="492"/>
      <c r="Q315" s="505">
        <v>0</v>
      </c>
      <c r="R315" s="493">
        <f t="shared" si="37"/>
        <v>9</v>
      </c>
      <c r="S315" s="493" t="s">
        <v>431</v>
      </c>
      <c r="T315" s="506">
        <f>Q315*CEPCI!$G$3</f>
        <v>0</v>
      </c>
    </row>
    <row r="316" spans="2:22" ht="18" customHeight="1" thickBot="1" x14ac:dyDescent="0.3">
      <c r="B316" s="497"/>
      <c r="C316" s="498">
        <v>1</v>
      </c>
      <c r="D316" s="498"/>
      <c r="E316" s="499" t="s">
        <v>809</v>
      </c>
      <c r="F316" s="499"/>
      <c r="G316" s="500"/>
      <c r="H316" s="492"/>
      <c r="I316" s="501">
        <v>0</v>
      </c>
      <c r="J316" s="492"/>
      <c r="K316" s="501">
        <v>0</v>
      </c>
      <c r="L316" s="498"/>
      <c r="M316" s="503"/>
      <c r="N316" s="503"/>
      <c r="O316" s="504"/>
      <c r="P316" s="492"/>
      <c r="Q316" s="505">
        <v>0</v>
      </c>
      <c r="R316" s="493">
        <f t="shared" si="37"/>
        <v>1</v>
      </c>
      <c r="S316" s="493" t="s">
        <v>431</v>
      </c>
      <c r="T316" s="506">
        <f>Q316*CEPCI!$G$3</f>
        <v>0</v>
      </c>
    </row>
    <row r="317" spans="2:22" ht="15.75" customHeight="1" thickBot="1" x14ac:dyDescent="0.3">
      <c r="B317" s="503"/>
      <c r="C317" s="498"/>
      <c r="D317" s="517" t="s">
        <v>810</v>
      </c>
      <c r="E317" s="517"/>
      <c r="F317" s="517"/>
      <c r="G317" s="518"/>
      <c r="H317" s="492"/>
      <c r="I317" s="492"/>
      <c r="J317" s="492"/>
      <c r="K317" s="492"/>
      <c r="L317" s="498"/>
      <c r="M317" s="503"/>
      <c r="N317" s="503"/>
      <c r="O317" s="504"/>
      <c r="P317" s="492"/>
      <c r="Q317" s="492"/>
      <c r="R317" s="493">
        <f t="shared" si="37"/>
        <v>0</v>
      </c>
      <c r="S317" s="493" t="s">
        <v>431</v>
      </c>
      <c r="T317" s="506">
        <f>Q317*CEPCI!$G$3</f>
        <v>0</v>
      </c>
    </row>
    <row r="318" spans="2:22" ht="18" customHeight="1" thickBot="1" x14ac:dyDescent="0.3">
      <c r="B318" s="497"/>
      <c r="C318" s="498">
        <v>5</v>
      </c>
      <c r="D318" s="498"/>
      <c r="E318" s="499" t="s">
        <v>811</v>
      </c>
      <c r="F318" s="499"/>
      <c r="G318" s="500"/>
      <c r="H318" s="492"/>
      <c r="I318" s="501">
        <v>0</v>
      </c>
      <c r="J318" s="492"/>
      <c r="K318" s="501">
        <v>0</v>
      </c>
      <c r="L318" s="498"/>
      <c r="M318" s="503"/>
      <c r="N318" s="503"/>
      <c r="O318" s="504"/>
      <c r="P318" s="492"/>
      <c r="Q318" s="505">
        <v>0</v>
      </c>
      <c r="R318" s="493">
        <f t="shared" si="37"/>
        <v>5</v>
      </c>
      <c r="S318" s="493" t="s">
        <v>431</v>
      </c>
      <c r="T318" s="506">
        <f>Q318*CEPCI!$G$3</f>
        <v>0</v>
      </c>
      <c r="U318" s="53"/>
      <c r="V318" s="507"/>
    </row>
    <row r="319" spans="2:22" ht="18" customHeight="1" thickBot="1" x14ac:dyDescent="0.3">
      <c r="B319" s="497"/>
      <c r="C319" s="498">
        <v>9</v>
      </c>
      <c r="D319" s="498"/>
      <c r="E319" s="499" t="s">
        <v>812</v>
      </c>
      <c r="F319" s="499"/>
      <c r="G319" s="500"/>
      <c r="H319" s="492"/>
      <c r="I319" s="501">
        <v>0</v>
      </c>
      <c r="J319" s="492"/>
      <c r="K319" s="501">
        <v>0</v>
      </c>
      <c r="L319" s="498"/>
      <c r="M319" s="503"/>
      <c r="N319" s="503"/>
      <c r="O319" s="504"/>
      <c r="P319" s="492"/>
      <c r="Q319" s="505">
        <v>0</v>
      </c>
      <c r="R319" s="493">
        <f t="shared" si="37"/>
        <v>9</v>
      </c>
      <c r="S319" s="493" t="s">
        <v>431</v>
      </c>
      <c r="T319" s="506">
        <f>Q319*CEPCI!$G$3</f>
        <v>0</v>
      </c>
    </row>
    <row r="320" spans="2:22" ht="18" customHeight="1" thickBot="1" x14ac:dyDescent="0.3">
      <c r="B320" s="497"/>
      <c r="C320" s="498">
        <v>1</v>
      </c>
      <c r="D320" s="498"/>
      <c r="E320" s="499" t="s">
        <v>813</v>
      </c>
      <c r="F320" s="499"/>
      <c r="G320" s="500"/>
      <c r="H320" s="492"/>
      <c r="I320" s="501">
        <v>0</v>
      </c>
      <c r="J320" s="492"/>
      <c r="K320" s="501">
        <v>0</v>
      </c>
      <c r="L320" s="498"/>
      <c r="M320" s="503"/>
      <c r="N320" s="503"/>
      <c r="O320" s="504"/>
      <c r="P320" s="492"/>
      <c r="Q320" s="505">
        <v>0</v>
      </c>
      <c r="R320" s="493">
        <f t="shared" si="37"/>
        <v>1</v>
      </c>
      <c r="S320" s="493" t="s">
        <v>431</v>
      </c>
      <c r="T320" s="506">
        <f>Q320*CEPCI!$G$3</f>
        <v>0</v>
      </c>
    </row>
    <row r="321" spans="2:22" ht="15.75" customHeight="1" thickBot="1" x14ac:dyDescent="0.3">
      <c r="B321" s="503"/>
      <c r="C321" s="514" t="s">
        <v>588</v>
      </c>
      <c r="D321" s="514"/>
      <c r="E321" s="514"/>
      <c r="F321" s="514"/>
      <c r="G321" s="515"/>
      <c r="H321" s="492"/>
      <c r="I321" s="492"/>
      <c r="J321" s="492"/>
      <c r="K321" s="492"/>
      <c r="L321" s="498"/>
      <c r="M321" s="503"/>
      <c r="N321" s="503"/>
      <c r="O321" s="504"/>
      <c r="P321" s="492"/>
      <c r="Q321" s="492"/>
      <c r="R321" s="493" t="str">
        <f t="shared" si="37"/>
        <v>Equipment Leak Surveys--Method 21 Testing</v>
      </c>
      <c r="S321" s="493" t="s">
        <v>431</v>
      </c>
      <c r="T321" s="506">
        <f>Q321*CEPCI!$G$3</f>
        <v>0</v>
      </c>
    </row>
    <row r="322" spans="2:22" ht="15.75" customHeight="1" thickBot="1" x14ac:dyDescent="0.3">
      <c r="B322" s="497"/>
      <c r="C322" s="513">
        <v>5</v>
      </c>
      <c r="E322" s="499" t="s">
        <v>814</v>
      </c>
      <c r="F322" s="499"/>
      <c r="G322" s="500"/>
      <c r="H322" s="492"/>
      <c r="I322" s="553">
        <v>5951</v>
      </c>
      <c r="J322" s="492"/>
      <c r="K322" s="501">
        <v>449</v>
      </c>
      <c r="L322" s="498"/>
      <c r="M322" s="503"/>
      <c r="N322" s="503"/>
      <c r="O322" s="504"/>
      <c r="P322" s="492"/>
      <c r="Q322" s="548">
        <v>8176317</v>
      </c>
      <c r="R322" s="493">
        <f t="shared" si="37"/>
        <v>5</v>
      </c>
      <c r="S322" s="493" t="s">
        <v>431</v>
      </c>
      <c r="T322" s="506">
        <f>Q322*CEPCI!$G$3</f>
        <v>10200585.790308369</v>
      </c>
      <c r="U322" s="53"/>
      <c r="V322" s="549"/>
    </row>
    <row r="323" spans="2:22" ht="18" customHeight="1" thickBot="1" x14ac:dyDescent="0.3">
      <c r="B323" s="497"/>
      <c r="C323" s="513">
        <v>6</v>
      </c>
      <c r="E323" s="499" t="s">
        <v>815</v>
      </c>
      <c r="F323" s="499"/>
      <c r="G323" s="500"/>
      <c r="H323" s="492"/>
      <c r="I323" s="553">
        <v>3839</v>
      </c>
      <c r="J323" s="492"/>
      <c r="K323" s="501">
        <v>532</v>
      </c>
      <c r="L323" s="498"/>
      <c r="M323" s="503"/>
      <c r="N323" s="503"/>
      <c r="O323" s="504"/>
      <c r="P323" s="492"/>
      <c r="Q323" s="548">
        <v>6249585</v>
      </c>
      <c r="R323" s="493">
        <f t="shared" si="37"/>
        <v>6</v>
      </c>
      <c r="S323" s="493" t="s">
        <v>431</v>
      </c>
      <c r="T323" s="506">
        <f>Q323*CEPCI!$G$3</f>
        <v>7796839.0837004408</v>
      </c>
    </row>
    <row r="324" spans="2:22" ht="15.75" customHeight="1" thickBot="1" x14ac:dyDescent="0.3">
      <c r="B324" s="497"/>
      <c r="C324" s="513">
        <v>10</v>
      </c>
      <c r="E324" s="499" t="s">
        <v>816</v>
      </c>
      <c r="F324" s="499"/>
      <c r="G324" s="500"/>
      <c r="H324" s="492"/>
      <c r="I324" s="553">
        <v>7864</v>
      </c>
      <c r="J324" s="492"/>
      <c r="K324" s="501">
        <v>48</v>
      </c>
      <c r="L324" s="498"/>
      <c r="M324" s="503"/>
      <c r="N324" s="503"/>
      <c r="O324" s="504"/>
      <c r="P324" s="492"/>
      <c r="Q324" s="548">
        <v>1155064</v>
      </c>
      <c r="R324" s="493">
        <f t="shared" si="37"/>
        <v>10</v>
      </c>
      <c r="S324" s="493" t="s">
        <v>431</v>
      </c>
      <c r="T324" s="506">
        <f>Q324*CEPCI!$G$3</f>
        <v>1441031.386784141</v>
      </c>
    </row>
    <row r="325" spans="2:22" ht="15.75" customHeight="1" thickBot="1" x14ac:dyDescent="0.3">
      <c r="B325" s="497"/>
      <c r="C325" s="513">
        <v>2</v>
      </c>
      <c r="E325" s="499" t="s">
        <v>817</v>
      </c>
      <c r="F325" s="499"/>
      <c r="G325" s="500"/>
      <c r="H325" s="492"/>
      <c r="I325" s="553">
        <v>5600</v>
      </c>
      <c r="J325" s="492"/>
      <c r="K325" s="501">
        <v>6</v>
      </c>
      <c r="L325" s="498"/>
      <c r="M325" s="503"/>
      <c r="N325" s="503"/>
      <c r="O325" s="504"/>
      <c r="P325" s="492"/>
      <c r="Q325" s="548">
        <v>102816</v>
      </c>
      <c r="R325" s="493">
        <f t="shared" si="37"/>
        <v>2</v>
      </c>
      <c r="S325" s="493" t="s">
        <v>431</v>
      </c>
      <c r="T325" s="506">
        <f>Q325*CEPCI!$G$3</f>
        <v>128270.88634361234</v>
      </c>
    </row>
    <row r="326" spans="2:22" ht="18" customHeight="1" thickBot="1" x14ac:dyDescent="0.3">
      <c r="B326" s="497"/>
      <c r="C326" s="513">
        <v>9</v>
      </c>
      <c r="E326" s="499" t="s">
        <v>818</v>
      </c>
      <c r="F326" s="499"/>
      <c r="G326" s="500"/>
      <c r="H326" s="492"/>
      <c r="I326" s="501">
        <v>0</v>
      </c>
      <c r="J326" s="492"/>
      <c r="K326" s="501">
        <v>0</v>
      </c>
      <c r="L326" s="498"/>
      <c r="M326" s="503"/>
      <c r="N326" s="503"/>
      <c r="O326" s="504"/>
      <c r="P326" s="492"/>
      <c r="Q326" s="548">
        <v>0</v>
      </c>
      <c r="R326" s="493">
        <f t="shared" si="37"/>
        <v>9</v>
      </c>
      <c r="S326" s="493" t="s">
        <v>431</v>
      </c>
      <c r="T326" s="506">
        <f>Q326*CEPCI!$G$3</f>
        <v>0</v>
      </c>
    </row>
    <row r="327" spans="2:22" ht="15.75" customHeight="1" thickBot="1" x14ac:dyDescent="0.3">
      <c r="B327" s="497"/>
      <c r="C327" s="513">
        <v>4</v>
      </c>
      <c r="E327" s="499" t="s">
        <v>819</v>
      </c>
      <c r="F327" s="499"/>
      <c r="G327" s="500"/>
      <c r="H327" s="492"/>
      <c r="I327" s="553">
        <v>2080</v>
      </c>
      <c r="J327" s="492"/>
      <c r="K327" s="501">
        <v>169</v>
      </c>
      <c r="L327" s="498"/>
      <c r="M327" s="503"/>
      <c r="N327" s="503"/>
      <c r="O327" s="504"/>
      <c r="P327" s="492"/>
      <c r="Q327" s="548">
        <v>1075651</v>
      </c>
      <c r="R327" s="493">
        <f t="shared" si="37"/>
        <v>4</v>
      </c>
      <c r="S327" s="493" t="s">
        <v>431</v>
      </c>
      <c r="T327" s="506">
        <f>Q327*CEPCI!$G$3</f>
        <v>1341957.5471365638</v>
      </c>
    </row>
    <row r="328" spans="2:22" ht="15.75" customHeight="1" thickBot="1" x14ac:dyDescent="0.3">
      <c r="B328" s="497"/>
      <c r="C328" s="513">
        <v>3</v>
      </c>
      <c r="E328" s="499" t="s">
        <v>820</v>
      </c>
      <c r="F328" s="499"/>
      <c r="G328" s="500"/>
      <c r="H328" s="492"/>
      <c r="I328" s="553">
        <v>1400</v>
      </c>
      <c r="J328" s="492"/>
      <c r="K328" s="501">
        <v>6</v>
      </c>
      <c r="L328" s="498"/>
      <c r="M328" s="503"/>
      <c r="N328" s="503"/>
      <c r="O328" s="504"/>
      <c r="P328" s="492"/>
      <c r="Q328" s="548">
        <v>25704</v>
      </c>
      <c r="R328" s="493">
        <f t="shared" si="37"/>
        <v>3</v>
      </c>
      <c r="S328" s="493" t="s">
        <v>431</v>
      </c>
      <c r="T328" s="506">
        <f>Q328*CEPCI!$G$3</f>
        <v>32067.721585903084</v>
      </c>
    </row>
    <row r="329" spans="2:22" ht="18" customHeight="1" thickBot="1" x14ac:dyDescent="0.3">
      <c r="B329" s="497"/>
      <c r="C329" s="513">
        <v>1</v>
      </c>
      <c r="E329" s="499" t="s">
        <v>821</v>
      </c>
      <c r="F329" s="499"/>
      <c r="G329" s="500"/>
      <c r="H329" s="492"/>
      <c r="I329" s="501">
        <v>0</v>
      </c>
      <c r="J329" s="492"/>
      <c r="K329" s="501">
        <v>0</v>
      </c>
      <c r="L329" s="498"/>
      <c r="M329" s="503"/>
      <c r="N329" s="503"/>
      <c r="O329" s="504"/>
      <c r="P329" s="492"/>
      <c r="Q329" s="548">
        <v>0</v>
      </c>
      <c r="R329" s="493">
        <f t="shared" si="37"/>
        <v>1</v>
      </c>
      <c r="S329" s="493" t="s">
        <v>431</v>
      </c>
      <c r="T329" s="506">
        <f>Q329*CEPCI!$G$3</f>
        <v>0</v>
      </c>
    </row>
    <row r="330" spans="2:22" ht="15.75" customHeight="1" thickBot="1" x14ac:dyDescent="0.3">
      <c r="B330" s="497"/>
      <c r="C330" s="513"/>
      <c r="E330" s="554" t="s">
        <v>814</v>
      </c>
      <c r="F330" s="499"/>
      <c r="G330" s="500"/>
      <c r="H330" s="492"/>
      <c r="I330" s="553">
        <v>5951</v>
      </c>
      <c r="J330" s="492"/>
      <c r="K330" s="501">
        <v>449</v>
      </c>
      <c r="L330" s="498"/>
      <c r="M330" s="503"/>
      <c r="N330" s="503"/>
      <c r="O330" s="504"/>
      <c r="P330" s="492"/>
      <c r="Q330" s="548">
        <v>8176317</v>
      </c>
      <c r="R330" s="493"/>
      <c r="S330" s="493" t="s">
        <v>431</v>
      </c>
      <c r="T330" s="506">
        <f>Q330*CEPCI!$G$3</f>
        <v>10200585.790308369</v>
      </c>
    </row>
    <row r="331" spans="2:22" ht="15.75" thickBot="1" x14ac:dyDescent="0.3">
      <c r="B331" s="538"/>
      <c r="C331" s="539"/>
      <c r="D331" s="539"/>
      <c r="E331" s="555"/>
      <c r="F331" s="556"/>
      <c r="G331" s="539"/>
      <c r="H331" s="539"/>
      <c r="I331" s="539"/>
      <c r="J331" s="539"/>
      <c r="K331" s="539"/>
      <c r="L331" s="539"/>
      <c r="M331" s="539"/>
      <c r="N331" s="539"/>
      <c r="O331" s="539"/>
      <c r="P331" s="539"/>
      <c r="Q331" s="542"/>
      <c r="R331" s="493">
        <f t="shared" si="37"/>
        <v>0</v>
      </c>
      <c r="S331" s="493"/>
    </row>
    <row r="332" spans="2:22" ht="15.75" customHeight="1" thickBot="1" x14ac:dyDescent="0.3">
      <c r="B332" s="543" t="s">
        <v>822</v>
      </c>
      <c r="C332" s="511"/>
      <c r="D332" s="511"/>
      <c r="E332" s="511"/>
      <c r="F332" s="511"/>
      <c r="G332" s="512"/>
      <c r="H332" s="492"/>
      <c r="I332" s="492"/>
      <c r="J332" s="492"/>
      <c r="K332" s="492"/>
      <c r="L332" s="498"/>
      <c r="M332" s="503"/>
      <c r="N332" s="503"/>
      <c r="O332" s="504"/>
      <c r="P332" s="492"/>
      <c r="Q332" s="492"/>
      <c r="R332" s="493">
        <f t="shared" ref="R332:R381" si="38">C332</f>
        <v>0</v>
      </c>
      <c r="S332" s="493"/>
    </row>
    <row r="333" spans="2:22" ht="15.75" customHeight="1" thickBot="1" x14ac:dyDescent="0.3">
      <c r="B333" s="503"/>
      <c r="C333" s="514" t="s">
        <v>823</v>
      </c>
      <c r="D333" s="514"/>
      <c r="E333" s="514"/>
      <c r="F333" s="514"/>
      <c r="G333" s="515"/>
      <c r="H333" s="492"/>
      <c r="I333" s="492"/>
      <c r="J333" s="492"/>
      <c r="K333" s="492"/>
      <c r="L333" s="498"/>
      <c r="M333" s="503"/>
      <c r="N333" s="503"/>
      <c r="O333" s="504"/>
      <c r="P333" s="492"/>
      <c r="Q333" s="492"/>
      <c r="R333" s="493" t="str">
        <f t="shared" si="38"/>
        <v>Blowdown vent stacks--flow meter</v>
      </c>
      <c r="S333" s="493"/>
    </row>
    <row r="334" spans="2:22" ht="15.75" customHeight="1" thickBot="1" x14ac:dyDescent="0.3">
      <c r="B334" s="497"/>
      <c r="C334" s="513">
        <v>5</v>
      </c>
      <c r="E334" s="499" t="s">
        <v>824</v>
      </c>
      <c r="F334" s="499"/>
      <c r="G334" s="500"/>
      <c r="H334" s="492"/>
      <c r="I334" s="501">
        <v>0</v>
      </c>
      <c r="J334" s="492"/>
      <c r="K334" s="501">
        <v>0</v>
      </c>
      <c r="L334" s="498"/>
      <c r="M334" s="503"/>
      <c r="N334" s="503"/>
      <c r="O334" s="504"/>
      <c r="P334" s="492"/>
      <c r="Q334" s="505">
        <v>0</v>
      </c>
      <c r="R334" s="493">
        <f t="shared" si="38"/>
        <v>5</v>
      </c>
      <c r="S334" s="493"/>
      <c r="T334" s="506">
        <f t="shared" ref="T334:T338" si="39">L334*$L$1+M334*$M$1+N334*$N$1+$O334*O$1+P334*$P$1</f>
        <v>0</v>
      </c>
      <c r="U334" s="53"/>
      <c r="V334" s="507"/>
    </row>
    <row r="335" spans="2:22" ht="18" customHeight="1" thickBot="1" x14ac:dyDescent="0.3">
      <c r="B335" s="497"/>
      <c r="C335" s="513">
        <v>6</v>
      </c>
      <c r="E335" s="499" t="s">
        <v>825</v>
      </c>
      <c r="F335" s="499"/>
      <c r="G335" s="500"/>
      <c r="H335" s="492"/>
      <c r="I335" s="501">
        <v>0</v>
      </c>
      <c r="J335" s="492"/>
      <c r="K335" s="501">
        <v>0</v>
      </c>
      <c r="L335" s="498"/>
      <c r="M335" s="503"/>
      <c r="N335" s="503"/>
      <c r="O335" s="504"/>
      <c r="P335" s="492"/>
      <c r="Q335" s="505">
        <v>0</v>
      </c>
      <c r="R335" s="493">
        <f t="shared" si="38"/>
        <v>6</v>
      </c>
      <c r="S335" s="493"/>
      <c r="T335" s="506">
        <f t="shared" si="39"/>
        <v>0</v>
      </c>
    </row>
    <row r="336" spans="2:22" ht="15.75" customHeight="1" thickBot="1" x14ac:dyDescent="0.3">
      <c r="B336" s="497"/>
      <c r="C336" s="513">
        <v>2</v>
      </c>
      <c r="E336" s="499" t="s">
        <v>826</v>
      </c>
      <c r="F336" s="499"/>
      <c r="G336" s="500"/>
      <c r="H336" s="492"/>
      <c r="I336" s="501">
        <v>0</v>
      </c>
      <c r="J336" s="492"/>
      <c r="K336" s="501">
        <v>0</v>
      </c>
      <c r="L336" s="498"/>
      <c r="M336" s="503"/>
      <c r="N336" s="503"/>
      <c r="O336" s="504"/>
      <c r="P336" s="492"/>
      <c r="Q336" s="505">
        <v>0</v>
      </c>
      <c r="R336" s="493">
        <f t="shared" si="38"/>
        <v>2</v>
      </c>
      <c r="S336" s="493"/>
      <c r="T336" s="506">
        <f t="shared" si="39"/>
        <v>0</v>
      </c>
    </row>
    <row r="337" spans="2:22" ht="15.75" customHeight="1" thickBot="1" x14ac:dyDescent="0.3">
      <c r="B337" s="497"/>
      <c r="C337" s="513">
        <v>7</v>
      </c>
      <c r="E337" s="499" t="s">
        <v>827</v>
      </c>
      <c r="F337" s="499"/>
      <c r="G337" s="500"/>
      <c r="H337" s="492"/>
      <c r="I337" s="501">
        <v>0</v>
      </c>
      <c r="J337" s="492"/>
      <c r="K337" s="501">
        <v>0</v>
      </c>
      <c r="L337" s="498"/>
      <c r="M337" s="503"/>
      <c r="N337" s="503"/>
      <c r="O337" s="504"/>
      <c r="P337" s="492"/>
      <c r="Q337" s="505">
        <v>0</v>
      </c>
      <c r="R337" s="493">
        <f t="shared" si="38"/>
        <v>7</v>
      </c>
      <c r="S337" s="493"/>
      <c r="T337" s="506">
        <f t="shared" si="39"/>
        <v>0</v>
      </c>
    </row>
    <row r="338" spans="2:22" ht="18" customHeight="1" thickBot="1" x14ac:dyDescent="0.3">
      <c r="B338" s="497"/>
      <c r="C338" s="513">
        <v>1</v>
      </c>
      <c r="E338" s="499" t="s">
        <v>828</v>
      </c>
      <c r="F338" s="499"/>
      <c r="G338" s="500"/>
      <c r="H338" s="492"/>
      <c r="I338" s="501">
        <v>0</v>
      </c>
      <c r="J338" s="492"/>
      <c r="K338" s="501">
        <v>0</v>
      </c>
      <c r="L338" s="498"/>
      <c r="M338" s="503"/>
      <c r="N338" s="503"/>
      <c r="O338" s="504"/>
      <c r="P338" s="492"/>
      <c r="Q338" s="505">
        <v>0</v>
      </c>
      <c r="R338" s="493">
        <f t="shared" si="38"/>
        <v>1</v>
      </c>
      <c r="S338" s="493"/>
      <c r="T338" s="506">
        <f t="shared" si="39"/>
        <v>0</v>
      </c>
    </row>
    <row r="339" spans="2:22" ht="15.75" customHeight="1" thickBot="1" x14ac:dyDescent="0.3">
      <c r="B339" s="530"/>
      <c r="C339" s="514" t="s">
        <v>829</v>
      </c>
      <c r="E339" s="514"/>
      <c r="F339" s="514"/>
      <c r="G339" s="515"/>
      <c r="H339" s="492"/>
      <c r="I339" s="492"/>
      <c r="J339" s="492"/>
      <c r="K339" s="492"/>
      <c r="L339" s="498"/>
      <c r="M339" s="503"/>
      <c r="N339" s="503"/>
      <c r="O339" s="504"/>
      <c r="P339" s="492"/>
      <c r="Q339" s="492"/>
      <c r="R339" s="493" t="str">
        <f t="shared" si="38"/>
        <v>Centrifugal and Reciprocating Compressors--flow meter</v>
      </c>
      <c r="S339" s="493"/>
    </row>
    <row r="340" spans="2:22" ht="15.75" customHeight="1" thickBot="1" x14ac:dyDescent="0.3">
      <c r="B340" s="497"/>
      <c r="C340" s="513">
        <v>5</v>
      </c>
      <c r="E340" s="499" t="s">
        <v>609</v>
      </c>
      <c r="F340" s="499"/>
      <c r="G340" s="500"/>
      <c r="H340" s="492"/>
      <c r="I340" s="501">
        <v>1</v>
      </c>
      <c r="J340" s="492"/>
      <c r="K340" s="501">
        <v>0</v>
      </c>
      <c r="L340" s="498"/>
      <c r="M340" s="503"/>
      <c r="N340" s="503"/>
      <c r="O340" s="504"/>
      <c r="P340" s="492"/>
      <c r="Q340" s="505">
        <v>0</v>
      </c>
      <c r="R340" s="493">
        <f t="shared" si="38"/>
        <v>5</v>
      </c>
      <c r="S340" s="493"/>
      <c r="T340" s="506">
        <f t="shared" ref="T340:T344" si="40">L340*$L$1+M340*$M$1+N340*$N$1+$O340*O$1+P340*$P$1</f>
        <v>0</v>
      </c>
      <c r="U340" s="53"/>
      <c r="V340" s="507"/>
    </row>
    <row r="341" spans="2:22" ht="18" customHeight="1" thickBot="1" x14ac:dyDescent="0.3">
      <c r="B341" s="497"/>
      <c r="C341" s="513">
        <v>6</v>
      </c>
      <c r="E341" s="499" t="s">
        <v>611</v>
      </c>
      <c r="F341" s="499"/>
      <c r="G341" s="500"/>
      <c r="H341" s="492"/>
      <c r="I341" s="501">
        <v>1</v>
      </c>
      <c r="J341" s="492"/>
      <c r="K341" s="501">
        <v>0</v>
      </c>
      <c r="L341" s="498"/>
      <c r="M341" s="503"/>
      <c r="N341" s="503"/>
      <c r="O341" s="504"/>
      <c r="P341" s="492"/>
      <c r="Q341" s="505">
        <v>0</v>
      </c>
      <c r="R341" s="493">
        <f t="shared" si="38"/>
        <v>6</v>
      </c>
      <c r="S341" s="493"/>
      <c r="T341" s="506">
        <f t="shared" si="40"/>
        <v>0</v>
      </c>
    </row>
    <row r="342" spans="2:22" ht="15.75" customHeight="1" thickBot="1" x14ac:dyDescent="0.3">
      <c r="B342" s="497"/>
      <c r="C342" s="513">
        <v>10</v>
      </c>
      <c r="E342" s="499" t="s">
        <v>613</v>
      </c>
      <c r="F342" s="499"/>
      <c r="G342" s="500"/>
      <c r="H342" s="492"/>
      <c r="I342" s="501">
        <v>1</v>
      </c>
      <c r="J342" s="492"/>
      <c r="K342" s="501">
        <v>0</v>
      </c>
      <c r="L342" s="498"/>
      <c r="M342" s="503"/>
      <c r="N342" s="503"/>
      <c r="O342" s="504"/>
      <c r="P342" s="492"/>
      <c r="Q342" s="505">
        <v>0</v>
      </c>
      <c r="R342" s="493">
        <f t="shared" si="38"/>
        <v>10</v>
      </c>
      <c r="S342" s="493"/>
      <c r="T342" s="506">
        <f t="shared" si="40"/>
        <v>0</v>
      </c>
    </row>
    <row r="343" spans="2:22" ht="15.75" customHeight="1" thickBot="1" x14ac:dyDescent="0.3">
      <c r="B343" s="497"/>
      <c r="C343" s="513">
        <v>2</v>
      </c>
      <c r="E343" s="499" t="s">
        <v>615</v>
      </c>
      <c r="F343" s="499"/>
      <c r="G343" s="500"/>
      <c r="H343" s="492"/>
      <c r="I343" s="501">
        <v>1</v>
      </c>
      <c r="J343" s="492"/>
      <c r="K343" s="501">
        <v>0</v>
      </c>
      <c r="L343" s="498"/>
      <c r="M343" s="503"/>
      <c r="N343" s="503"/>
      <c r="O343" s="504"/>
      <c r="P343" s="492"/>
      <c r="Q343" s="505">
        <v>0</v>
      </c>
      <c r="R343" s="493">
        <f t="shared" si="38"/>
        <v>2</v>
      </c>
      <c r="S343" s="493"/>
      <c r="T343" s="506">
        <f t="shared" si="40"/>
        <v>0</v>
      </c>
    </row>
    <row r="344" spans="2:22" ht="15.75" customHeight="1" thickBot="1" x14ac:dyDescent="0.3">
      <c r="B344" s="497"/>
      <c r="C344" s="513">
        <v>3</v>
      </c>
      <c r="E344" s="499" t="s">
        <v>617</v>
      </c>
      <c r="F344" s="499"/>
      <c r="G344" s="500"/>
      <c r="H344" s="492"/>
      <c r="I344" s="501">
        <v>1</v>
      </c>
      <c r="J344" s="492"/>
      <c r="K344" s="501">
        <v>0</v>
      </c>
      <c r="L344" s="498"/>
      <c r="M344" s="503"/>
      <c r="N344" s="503"/>
      <c r="O344" s="504"/>
      <c r="P344" s="492"/>
      <c r="Q344" s="505">
        <v>0</v>
      </c>
      <c r="R344" s="493">
        <f t="shared" si="38"/>
        <v>3</v>
      </c>
      <c r="S344" s="493"/>
      <c r="T344" s="506">
        <f t="shared" si="40"/>
        <v>0</v>
      </c>
    </row>
    <row r="345" spans="2:22" ht="15.75" customHeight="1" thickBot="1" x14ac:dyDescent="0.3">
      <c r="B345" s="503"/>
      <c r="C345" s="514" t="s">
        <v>830</v>
      </c>
      <c r="E345" s="514"/>
      <c r="F345" s="514"/>
      <c r="G345" s="515"/>
      <c r="H345" s="492"/>
      <c r="I345" s="492"/>
      <c r="J345" s="492"/>
      <c r="K345" s="492"/>
      <c r="L345" s="498"/>
      <c r="M345" s="503"/>
      <c r="N345" s="503"/>
      <c r="O345" s="504"/>
      <c r="P345" s="492"/>
      <c r="Q345" s="492"/>
      <c r="R345" s="493" t="str">
        <f t="shared" si="38"/>
        <v>Equipment Leak surveys--acoustic leak detection device</v>
      </c>
      <c r="S345" s="493"/>
    </row>
    <row r="346" spans="2:22" ht="15.75" customHeight="1" thickBot="1" x14ac:dyDescent="0.3">
      <c r="B346" s="497"/>
      <c r="C346" s="513">
        <v>5</v>
      </c>
      <c r="E346" s="499" t="s">
        <v>831</v>
      </c>
      <c r="F346" s="499"/>
      <c r="G346" s="500"/>
      <c r="H346" s="492"/>
      <c r="I346" s="501">
        <v>0</v>
      </c>
      <c r="J346" s="492"/>
      <c r="K346" s="501">
        <v>0</v>
      </c>
      <c r="L346" s="498"/>
      <c r="M346" s="503"/>
      <c r="N346" s="503"/>
      <c r="O346" s="504"/>
      <c r="P346" s="492"/>
      <c r="Q346" s="505">
        <v>0</v>
      </c>
      <c r="R346" s="493">
        <f t="shared" si="38"/>
        <v>5</v>
      </c>
      <c r="S346" s="493"/>
      <c r="T346" s="506">
        <f t="shared" ref="T346:T351" si="41">L346*$L$1+M346*$M$1+N346*$N$1+$O346*O$1+P346*$P$1</f>
        <v>0</v>
      </c>
      <c r="U346" s="53"/>
      <c r="V346" s="507"/>
    </row>
    <row r="347" spans="2:22" ht="18" customHeight="1" thickBot="1" x14ac:dyDescent="0.3">
      <c r="B347" s="497"/>
      <c r="C347" s="513">
        <v>6</v>
      </c>
      <c r="E347" s="499" t="s">
        <v>832</v>
      </c>
      <c r="F347" s="499"/>
      <c r="G347" s="500"/>
      <c r="H347" s="492"/>
      <c r="I347" s="501">
        <v>0</v>
      </c>
      <c r="J347" s="492"/>
      <c r="K347" s="501">
        <v>0</v>
      </c>
      <c r="L347" s="498"/>
      <c r="M347" s="503"/>
      <c r="N347" s="503"/>
      <c r="O347" s="504"/>
      <c r="P347" s="492"/>
      <c r="Q347" s="505">
        <v>0</v>
      </c>
      <c r="R347" s="493">
        <f t="shared" si="38"/>
        <v>6</v>
      </c>
      <c r="S347" s="493"/>
      <c r="T347" s="506">
        <f t="shared" si="41"/>
        <v>0</v>
      </c>
    </row>
    <row r="348" spans="2:22" ht="15.75" customHeight="1" thickBot="1" x14ac:dyDescent="0.3">
      <c r="B348" s="497"/>
      <c r="C348" s="513">
        <v>10</v>
      </c>
      <c r="E348" s="499" t="s">
        <v>833</v>
      </c>
      <c r="F348" s="499"/>
      <c r="G348" s="500"/>
      <c r="H348" s="492"/>
      <c r="I348" s="501">
        <v>0</v>
      </c>
      <c r="J348" s="492"/>
      <c r="K348" s="501">
        <v>0</v>
      </c>
      <c r="L348" s="498"/>
      <c r="M348" s="503"/>
      <c r="N348" s="503"/>
      <c r="O348" s="504"/>
      <c r="P348" s="492"/>
      <c r="Q348" s="505">
        <v>0</v>
      </c>
      <c r="R348" s="493">
        <f t="shared" si="38"/>
        <v>10</v>
      </c>
      <c r="S348" s="493"/>
      <c r="T348" s="506">
        <f t="shared" si="41"/>
        <v>0</v>
      </c>
    </row>
    <row r="349" spans="2:22" ht="15.75" customHeight="1" thickBot="1" x14ac:dyDescent="0.3">
      <c r="B349" s="497"/>
      <c r="C349" s="513">
        <v>2</v>
      </c>
      <c r="E349" s="499" t="s">
        <v>834</v>
      </c>
      <c r="F349" s="499"/>
      <c r="G349" s="500"/>
      <c r="H349" s="492"/>
      <c r="I349" s="501">
        <v>0</v>
      </c>
      <c r="J349" s="492"/>
      <c r="K349" s="501">
        <v>0</v>
      </c>
      <c r="L349" s="498"/>
      <c r="M349" s="503"/>
      <c r="N349" s="503"/>
      <c r="O349" s="504"/>
      <c r="P349" s="492"/>
      <c r="Q349" s="505">
        <v>0</v>
      </c>
      <c r="R349" s="493">
        <f t="shared" si="38"/>
        <v>2</v>
      </c>
      <c r="S349" s="493"/>
      <c r="T349" s="506">
        <f t="shared" si="41"/>
        <v>0</v>
      </c>
    </row>
    <row r="350" spans="2:22" ht="15.75" customHeight="1" thickBot="1" x14ac:dyDescent="0.3">
      <c r="B350" s="497"/>
      <c r="C350" s="513">
        <v>4</v>
      </c>
      <c r="E350" s="499" t="s">
        <v>835</v>
      </c>
      <c r="F350" s="499"/>
      <c r="G350" s="500"/>
      <c r="H350" s="492"/>
      <c r="I350" s="501">
        <v>0</v>
      </c>
      <c r="J350" s="492"/>
      <c r="K350" s="501">
        <v>0</v>
      </c>
      <c r="L350" s="498"/>
      <c r="M350" s="503"/>
      <c r="N350" s="503"/>
      <c r="O350" s="504"/>
      <c r="P350" s="492"/>
      <c r="Q350" s="505">
        <v>0</v>
      </c>
      <c r="R350" s="493">
        <f t="shared" si="38"/>
        <v>4</v>
      </c>
      <c r="S350" s="493"/>
      <c r="T350" s="506">
        <f t="shared" si="41"/>
        <v>0</v>
      </c>
    </row>
    <row r="351" spans="2:22" ht="15.75" customHeight="1" thickBot="1" x14ac:dyDescent="0.3">
      <c r="B351" s="497"/>
      <c r="C351" s="513">
        <v>3</v>
      </c>
      <c r="E351" s="499" t="s">
        <v>836</v>
      </c>
      <c r="F351" s="499"/>
      <c r="G351" s="500"/>
      <c r="H351" s="492"/>
      <c r="I351" s="501">
        <v>0</v>
      </c>
      <c r="J351" s="492"/>
      <c r="K351" s="501">
        <v>0</v>
      </c>
      <c r="L351" s="498"/>
      <c r="M351" s="503"/>
      <c r="N351" s="503"/>
      <c r="O351" s="504"/>
      <c r="P351" s="492"/>
      <c r="Q351" s="505">
        <v>0</v>
      </c>
      <c r="R351" s="493">
        <f t="shared" si="38"/>
        <v>3</v>
      </c>
      <c r="S351" s="493"/>
      <c r="T351" s="506">
        <f t="shared" si="41"/>
        <v>0</v>
      </c>
    </row>
    <row r="352" spans="2:22" ht="18" customHeight="1" thickBot="1" x14ac:dyDescent="0.3">
      <c r="B352" s="503"/>
      <c r="C352" s="514" t="s">
        <v>837</v>
      </c>
      <c r="E352" s="514"/>
      <c r="F352" s="514"/>
      <c r="G352" s="515"/>
      <c r="H352" s="492"/>
      <c r="I352" s="492"/>
      <c r="J352" s="492"/>
      <c r="K352" s="492"/>
      <c r="L352" s="498"/>
      <c r="M352" s="503"/>
      <c r="N352" s="503"/>
      <c r="O352" s="504"/>
      <c r="P352" s="492"/>
      <c r="Q352" s="492"/>
      <c r="R352" s="493" t="str">
        <f t="shared" si="38"/>
        <v>Equipment Leak surveys--infrared laser beam illuminated instrument</v>
      </c>
      <c r="S352" s="493"/>
    </row>
    <row r="353" spans="2:22" ht="15.75" customHeight="1" thickBot="1" x14ac:dyDescent="0.3">
      <c r="B353" s="497"/>
      <c r="C353" s="513">
        <v>5</v>
      </c>
      <c r="E353" s="499" t="s">
        <v>831</v>
      </c>
      <c r="F353" s="499"/>
      <c r="G353" s="500"/>
      <c r="H353" s="492"/>
      <c r="I353" s="501">
        <v>0</v>
      </c>
      <c r="J353" s="492"/>
      <c r="K353" s="501">
        <v>0</v>
      </c>
      <c r="L353" s="498"/>
      <c r="M353" s="503"/>
      <c r="N353" s="503"/>
      <c r="O353" s="504"/>
      <c r="P353" s="492"/>
      <c r="Q353" s="505">
        <v>0</v>
      </c>
      <c r="R353" s="493">
        <f t="shared" si="38"/>
        <v>5</v>
      </c>
      <c r="S353" s="493"/>
      <c r="T353" s="506">
        <f t="shared" ref="T353:T358" si="42">L353*$L$1+M353*$M$1+N353*$N$1+$O353*O$1+P353*$P$1</f>
        <v>0</v>
      </c>
      <c r="U353" s="53"/>
      <c r="V353" s="507"/>
    </row>
    <row r="354" spans="2:22" ht="18" customHeight="1" thickBot="1" x14ac:dyDescent="0.3">
      <c r="B354" s="497"/>
      <c r="C354" s="513">
        <v>6</v>
      </c>
      <c r="E354" s="499" t="s">
        <v>832</v>
      </c>
      <c r="F354" s="499"/>
      <c r="G354" s="500"/>
      <c r="H354" s="492"/>
      <c r="I354" s="501">
        <v>0</v>
      </c>
      <c r="J354" s="492"/>
      <c r="K354" s="501">
        <v>0</v>
      </c>
      <c r="L354" s="498"/>
      <c r="M354" s="503"/>
      <c r="N354" s="503"/>
      <c r="O354" s="504"/>
      <c r="P354" s="492"/>
      <c r="Q354" s="505">
        <v>0</v>
      </c>
      <c r="R354" s="493">
        <f t="shared" si="38"/>
        <v>6</v>
      </c>
      <c r="S354" s="493"/>
      <c r="T354" s="506">
        <f t="shared" si="42"/>
        <v>0</v>
      </c>
    </row>
    <row r="355" spans="2:22" ht="15.75" customHeight="1" thickBot="1" x14ac:dyDescent="0.3">
      <c r="B355" s="497"/>
      <c r="C355" s="513">
        <v>10</v>
      </c>
      <c r="E355" s="499" t="s">
        <v>833</v>
      </c>
      <c r="F355" s="499"/>
      <c r="G355" s="500"/>
      <c r="H355" s="492"/>
      <c r="I355" s="501">
        <v>0</v>
      </c>
      <c r="J355" s="492"/>
      <c r="K355" s="501">
        <v>0</v>
      </c>
      <c r="L355" s="498"/>
      <c r="M355" s="503"/>
      <c r="N355" s="503"/>
      <c r="O355" s="504"/>
      <c r="P355" s="492"/>
      <c r="Q355" s="505">
        <v>0</v>
      </c>
      <c r="R355" s="493">
        <f t="shared" si="38"/>
        <v>10</v>
      </c>
      <c r="S355" s="493"/>
      <c r="T355" s="506">
        <f t="shared" si="42"/>
        <v>0</v>
      </c>
    </row>
    <row r="356" spans="2:22" ht="15.75" customHeight="1" thickBot="1" x14ac:dyDescent="0.3">
      <c r="B356" s="497"/>
      <c r="C356" s="513">
        <v>2</v>
      </c>
      <c r="E356" s="499" t="s">
        <v>834</v>
      </c>
      <c r="F356" s="499"/>
      <c r="G356" s="500"/>
      <c r="H356" s="492"/>
      <c r="I356" s="501">
        <v>0</v>
      </c>
      <c r="J356" s="492"/>
      <c r="K356" s="501">
        <v>0</v>
      </c>
      <c r="L356" s="498"/>
      <c r="M356" s="503"/>
      <c r="N356" s="503"/>
      <c r="O356" s="504"/>
      <c r="P356" s="492"/>
      <c r="Q356" s="505">
        <v>0</v>
      </c>
      <c r="R356" s="493">
        <f t="shared" si="38"/>
        <v>2</v>
      </c>
      <c r="S356" s="493"/>
      <c r="T356" s="506">
        <f t="shared" si="42"/>
        <v>0</v>
      </c>
    </row>
    <row r="357" spans="2:22" ht="15.75" customHeight="1" thickBot="1" x14ac:dyDescent="0.3">
      <c r="B357" s="497"/>
      <c r="C357" s="513">
        <v>4</v>
      </c>
      <c r="E357" s="499" t="s">
        <v>835</v>
      </c>
      <c r="F357" s="499"/>
      <c r="G357" s="500"/>
      <c r="H357" s="492"/>
      <c r="I357" s="501">
        <v>0</v>
      </c>
      <c r="J357" s="492"/>
      <c r="K357" s="501">
        <v>0</v>
      </c>
      <c r="L357" s="498"/>
      <c r="M357" s="503"/>
      <c r="N357" s="503"/>
      <c r="O357" s="504"/>
      <c r="P357" s="492"/>
      <c r="Q357" s="505">
        <v>0</v>
      </c>
      <c r="R357" s="493">
        <f t="shared" si="38"/>
        <v>4</v>
      </c>
      <c r="S357" s="493"/>
      <c r="T357" s="506">
        <f t="shared" si="42"/>
        <v>0</v>
      </c>
    </row>
    <row r="358" spans="2:22" ht="15.75" customHeight="1" thickBot="1" x14ac:dyDescent="0.3">
      <c r="B358" s="497"/>
      <c r="C358" s="513">
        <v>3</v>
      </c>
      <c r="E358" s="499" t="s">
        <v>836</v>
      </c>
      <c r="F358" s="499"/>
      <c r="G358" s="500"/>
      <c r="H358" s="492"/>
      <c r="I358" s="501">
        <v>0</v>
      </c>
      <c r="J358" s="492"/>
      <c r="K358" s="501">
        <v>0</v>
      </c>
      <c r="L358" s="498"/>
      <c r="M358" s="503"/>
      <c r="N358" s="503"/>
      <c r="O358" s="504"/>
      <c r="P358" s="492"/>
      <c r="Q358" s="505">
        <v>0</v>
      </c>
      <c r="R358" s="493">
        <f t="shared" si="38"/>
        <v>3</v>
      </c>
      <c r="S358" s="493"/>
      <c r="T358" s="506">
        <f t="shared" si="42"/>
        <v>0</v>
      </c>
    </row>
    <row r="359" spans="2:22" ht="15.75" customHeight="1" thickBot="1" x14ac:dyDescent="0.3">
      <c r="B359" s="503"/>
      <c r="C359" s="514" t="s">
        <v>838</v>
      </c>
      <c r="E359" s="514"/>
      <c r="F359" s="514"/>
      <c r="G359" s="515"/>
      <c r="H359" s="492"/>
      <c r="I359" s="492"/>
      <c r="J359" s="492"/>
      <c r="K359" s="492"/>
      <c r="L359" s="498"/>
      <c r="M359" s="503"/>
      <c r="N359" s="503"/>
      <c r="O359" s="504"/>
      <c r="P359" s="492"/>
      <c r="Q359" s="492"/>
      <c r="R359" s="493" t="str">
        <f t="shared" si="38"/>
        <v>Equipment Leak surveys--optical gas imaging instrument</v>
      </c>
      <c r="S359" s="493"/>
    </row>
    <row r="360" spans="2:22" ht="15.75" customHeight="1" thickBot="1" x14ac:dyDescent="0.3">
      <c r="B360" s="497"/>
      <c r="C360" s="513">
        <v>5</v>
      </c>
      <c r="E360" s="499" t="s">
        <v>839</v>
      </c>
      <c r="F360" s="499"/>
      <c r="G360" s="500"/>
      <c r="H360" s="492"/>
      <c r="I360" s="501">
        <v>0</v>
      </c>
      <c r="J360" s="492"/>
      <c r="K360" s="501">
        <v>0</v>
      </c>
      <c r="L360" s="498"/>
      <c r="M360" s="503"/>
      <c r="N360" s="503"/>
      <c r="O360" s="504"/>
      <c r="P360" s="492"/>
      <c r="Q360" s="505">
        <v>0</v>
      </c>
      <c r="R360" s="493">
        <f t="shared" si="38"/>
        <v>5</v>
      </c>
      <c r="S360" s="493"/>
      <c r="T360" s="506">
        <f t="shared" ref="T360:T365" si="43">L360*$L$1+M360*$M$1+N360*$N$1+$O360*O$1+P360*$P$1</f>
        <v>0</v>
      </c>
      <c r="U360" s="53"/>
      <c r="V360" s="507"/>
    </row>
    <row r="361" spans="2:22" ht="18" customHeight="1" thickBot="1" x14ac:dyDescent="0.3">
      <c r="B361" s="497"/>
      <c r="C361" s="513">
        <v>6</v>
      </c>
      <c r="E361" s="499" t="s">
        <v>832</v>
      </c>
      <c r="F361" s="499"/>
      <c r="G361" s="500"/>
      <c r="H361" s="492"/>
      <c r="I361" s="501">
        <v>0</v>
      </c>
      <c r="J361" s="492"/>
      <c r="K361" s="501">
        <v>0</v>
      </c>
      <c r="L361" s="498"/>
      <c r="M361" s="503"/>
      <c r="N361" s="503"/>
      <c r="O361" s="504"/>
      <c r="P361" s="492"/>
      <c r="Q361" s="505">
        <v>0</v>
      </c>
      <c r="R361" s="493">
        <f t="shared" si="38"/>
        <v>6</v>
      </c>
      <c r="S361" s="493"/>
      <c r="T361" s="506">
        <f t="shared" si="43"/>
        <v>0</v>
      </c>
    </row>
    <row r="362" spans="2:22" ht="15.75" customHeight="1" thickBot="1" x14ac:dyDescent="0.3">
      <c r="B362" s="497"/>
      <c r="C362" s="513">
        <v>10</v>
      </c>
      <c r="E362" s="499" t="s">
        <v>833</v>
      </c>
      <c r="F362" s="499"/>
      <c r="G362" s="500"/>
      <c r="H362" s="492"/>
      <c r="I362" s="501">
        <v>0</v>
      </c>
      <c r="J362" s="492"/>
      <c r="K362" s="501">
        <v>0</v>
      </c>
      <c r="L362" s="498"/>
      <c r="M362" s="503"/>
      <c r="N362" s="503"/>
      <c r="O362" s="504"/>
      <c r="P362" s="492"/>
      <c r="Q362" s="505">
        <v>0</v>
      </c>
      <c r="R362" s="493">
        <f t="shared" si="38"/>
        <v>10</v>
      </c>
      <c r="S362" s="493"/>
      <c r="T362" s="506">
        <f t="shared" si="43"/>
        <v>0</v>
      </c>
    </row>
    <row r="363" spans="2:22" ht="15.75" customHeight="1" thickBot="1" x14ac:dyDescent="0.3">
      <c r="B363" s="497"/>
      <c r="C363" s="513">
        <v>2</v>
      </c>
      <c r="E363" s="499" t="s">
        <v>834</v>
      </c>
      <c r="F363" s="499"/>
      <c r="G363" s="500"/>
      <c r="H363" s="492"/>
      <c r="I363" s="501">
        <v>0</v>
      </c>
      <c r="J363" s="492"/>
      <c r="K363" s="501">
        <v>0</v>
      </c>
      <c r="L363" s="498"/>
      <c r="M363" s="503"/>
      <c r="N363" s="503"/>
      <c r="O363" s="504"/>
      <c r="P363" s="492"/>
      <c r="Q363" s="505">
        <v>0</v>
      </c>
      <c r="R363" s="493">
        <f t="shared" si="38"/>
        <v>2</v>
      </c>
      <c r="S363" s="493"/>
      <c r="T363" s="506">
        <f t="shared" si="43"/>
        <v>0</v>
      </c>
    </row>
    <row r="364" spans="2:22" ht="15.75" customHeight="1" thickBot="1" x14ac:dyDescent="0.3">
      <c r="B364" s="497"/>
      <c r="C364" s="513">
        <v>4</v>
      </c>
      <c r="E364" s="499" t="s">
        <v>835</v>
      </c>
      <c r="F364" s="499"/>
      <c r="G364" s="500"/>
      <c r="H364" s="492"/>
      <c r="I364" s="501">
        <v>0</v>
      </c>
      <c r="J364" s="492"/>
      <c r="K364" s="501">
        <v>0</v>
      </c>
      <c r="L364" s="498"/>
      <c r="M364" s="503"/>
      <c r="N364" s="503"/>
      <c r="O364" s="504"/>
      <c r="P364" s="492"/>
      <c r="Q364" s="505">
        <v>0</v>
      </c>
      <c r="R364" s="493">
        <f t="shared" si="38"/>
        <v>4</v>
      </c>
      <c r="S364" s="493"/>
      <c r="T364" s="506">
        <f t="shared" si="43"/>
        <v>0</v>
      </c>
    </row>
    <row r="365" spans="2:22" ht="15.75" customHeight="1" thickBot="1" x14ac:dyDescent="0.3">
      <c r="B365" s="497"/>
      <c r="C365" s="513">
        <v>3</v>
      </c>
      <c r="E365" s="499" t="s">
        <v>836</v>
      </c>
      <c r="F365" s="499"/>
      <c r="G365" s="500"/>
      <c r="H365" s="492"/>
      <c r="I365" s="501">
        <v>0</v>
      </c>
      <c r="J365" s="492"/>
      <c r="K365" s="501">
        <v>0</v>
      </c>
      <c r="L365" s="498"/>
      <c r="M365" s="503"/>
      <c r="N365" s="503"/>
      <c r="O365" s="504"/>
      <c r="P365" s="492"/>
      <c r="Q365" s="505">
        <v>0</v>
      </c>
      <c r="R365" s="493">
        <f t="shared" si="38"/>
        <v>3</v>
      </c>
      <c r="S365" s="493"/>
      <c r="T365" s="506">
        <f t="shared" si="43"/>
        <v>0</v>
      </c>
    </row>
    <row r="366" spans="2:22" ht="15.75" customHeight="1" thickBot="1" x14ac:dyDescent="0.3">
      <c r="B366" s="503"/>
      <c r="C366" s="514" t="s">
        <v>624</v>
      </c>
      <c r="E366" s="514"/>
      <c r="F366" s="514"/>
      <c r="G366" s="515"/>
      <c r="H366" s="492"/>
      <c r="I366" s="492"/>
      <c r="J366" s="492"/>
      <c r="K366" s="492"/>
      <c r="L366" s="498"/>
      <c r="M366" s="503"/>
      <c r="N366" s="503"/>
      <c r="O366" s="504"/>
      <c r="P366" s="492"/>
      <c r="Q366" s="492"/>
      <c r="R366" s="493" t="str">
        <f t="shared" si="38"/>
        <v>Transmission storage tanks--flow meter</v>
      </c>
      <c r="S366" s="493"/>
    </row>
    <row r="367" spans="2:22" ht="18" customHeight="1" thickBot="1" x14ac:dyDescent="0.3">
      <c r="B367" s="497"/>
      <c r="C367" s="513">
        <v>6</v>
      </c>
      <c r="E367" s="499" t="s">
        <v>840</v>
      </c>
      <c r="F367" s="499"/>
      <c r="G367" s="500"/>
      <c r="H367" s="492"/>
      <c r="I367" s="501">
        <v>1</v>
      </c>
      <c r="J367" s="492"/>
      <c r="K367" s="501">
        <v>0</v>
      </c>
      <c r="L367" s="498"/>
      <c r="M367" s="503"/>
      <c r="N367" s="503"/>
      <c r="O367" s="504"/>
      <c r="P367" s="492"/>
      <c r="Q367" s="505">
        <v>0</v>
      </c>
      <c r="R367" s="493">
        <f t="shared" si="38"/>
        <v>6</v>
      </c>
      <c r="S367" s="493"/>
      <c r="T367" s="506">
        <f t="shared" ref="T367" si="44">L367*$L$1+M367*$M$1+N367*$N$1+$O367*O$1+P367*$P$1</f>
        <v>0</v>
      </c>
    </row>
    <row r="368" spans="2:22" ht="18" customHeight="1" thickBot="1" x14ac:dyDescent="0.3">
      <c r="B368" s="503"/>
      <c r="C368" s="514" t="s">
        <v>616</v>
      </c>
      <c r="E368" s="514"/>
      <c r="F368" s="514"/>
      <c r="G368" s="515"/>
      <c r="H368" s="492"/>
      <c r="I368" s="492"/>
      <c r="J368" s="492"/>
      <c r="K368" s="492"/>
      <c r="L368" s="498"/>
      <c r="M368" s="503"/>
      <c r="N368" s="503"/>
      <c r="O368" s="504"/>
      <c r="P368" s="492"/>
      <c r="Q368" s="492"/>
      <c r="R368" s="493" t="str">
        <f t="shared" si="38"/>
        <v>Transmission storage tanks--acoustic leak detection device</v>
      </c>
      <c r="S368" s="493"/>
    </row>
    <row r="369" spans="2:22" ht="18" customHeight="1" thickBot="1" x14ac:dyDescent="0.3">
      <c r="B369" s="497"/>
      <c r="C369" s="513">
        <v>6</v>
      </c>
      <c r="E369" s="499" t="s">
        <v>832</v>
      </c>
      <c r="F369" s="499"/>
      <c r="G369" s="500"/>
      <c r="H369" s="492"/>
      <c r="I369" s="501">
        <v>0</v>
      </c>
      <c r="J369" s="492"/>
      <c r="K369" s="501">
        <v>0</v>
      </c>
      <c r="L369" s="498"/>
      <c r="M369" s="503"/>
      <c r="N369" s="503"/>
      <c r="O369" s="504"/>
      <c r="P369" s="492"/>
      <c r="Q369" s="505">
        <v>0</v>
      </c>
      <c r="R369" s="493">
        <f t="shared" si="38"/>
        <v>6</v>
      </c>
      <c r="S369" s="493"/>
      <c r="T369" s="506">
        <f t="shared" ref="T369" si="45">L369*$L$1+M369*$M$1+N369*$N$1+$O369*O$1+P369*$P$1</f>
        <v>0</v>
      </c>
    </row>
    <row r="370" spans="2:22" ht="18" customHeight="1" thickBot="1" x14ac:dyDescent="0.3">
      <c r="B370" s="503"/>
      <c r="C370" s="514" t="s">
        <v>632</v>
      </c>
      <c r="E370" s="514"/>
      <c r="F370" s="514"/>
      <c r="G370" s="515"/>
      <c r="H370" s="492"/>
      <c r="I370" s="492"/>
      <c r="J370" s="492"/>
      <c r="K370" s="492"/>
      <c r="L370" s="498"/>
      <c r="M370" s="503"/>
      <c r="N370" s="503"/>
      <c r="O370" s="504"/>
      <c r="P370" s="492"/>
      <c r="Q370" s="492"/>
      <c r="R370" s="493" t="str">
        <f t="shared" si="38"/>
        <v>Transmission storage tanks--optical gas imaging instrument</v>
      </c>
      <c r="S370" s="493"/>
    </row>
    <row r="371" spans="2:22" ht="18" customHeight="1" thickBot="1" x14ac:dyDescent="0.3">
      <c r="B371" s="497"/>
      <c r="C371" s="513">
        <v>6</v>
      </c>
      <c r="E371" s="499" t="s">
        <v>832</v>
      </c>
      <c r="F371" s="499"/>
      <c r="G371" s="500"/>
      <c r="H371" s="492"/>
      <c r="I371" s="501">
        <v>0</v>
      </c>
      <c r="J371" s="492"/>
      <c r="K371" s="501">
        <v>0</v>
      </c>
      <c r="L371" s="498"/>
      <c r="M371" s="503"/>
      <c r="N371" s="503"/>
      <c r="O371" s="504"/>
      <c r="P371" s="492"/>
      <c r="Q371" s="505">
        <v>0</v>
      </c>
      <c r="R371" s="493">
        <f t="shared" si="38"/>
        <v>6</v>
      </c>
      <c r="S371" s="493"/>
      <c r="T371" s="506">
        <f t="shared" ref="T371" si="46">L371*$L$1+M371*$M$1+N371*$N$1+$O371*O$1+P371*$P$1</f>
        <v>0</v>
      </c>
    </row>
    <row r="372" spans="2:22" ht="15.75" customHeight="1" thickBot="1" x14ac:dyDescent="0.3">
      <c r="B372" s="503"/>
      <c r="C372" s="514" t="s">
        <v>628</v>
      </c>
      <c r="E372" s="514"/>
      <c r="F372" s="514"/>
      <c r="G372" s="515"/>
      <c r="H372" s="492"/>
      <c r="I372" s="492"/>
      <c r="J372" s="492"/>
      <c r="K372" s="492"/>
      <c r="L372" s="498"/>
      <c r="M372" s="503"/>
      <c r="N372" s="503"/>
      <c r="O372" s="504"/>
      <c r="P372" s="492"/>
      <c r="Q372" s="492"/>
      <c r="R372" s="493" t="str">
        <f t="shared" si="38"/>
        <v>Transmission storage tanks--high volume sampler</v>
      </c>
      <c r="S372" s="493"/>
    </row>
    <row r="373" spans="2:22" ht="18" customHeight="1" thickBot="1" x14ac:dyDescent="0.3">
      <c r="B373" s="497"/>
      <c r="C373" s="513">
        <v>6</v>
      </c>
      <c r="E373" s="499" t="s">
        <v>832</v>
      </c>
      <c r="F373" s="499"/>
      <c r="G373" s="500"/>
      <c r="H373" s="492"/>
      <c r="I373" s="501">
        <v>0</v>
      </c>
      <c r="J373" s="492"/>
      <c r="K373" s="501">
        <v>0</v>
      </c>
      <c r="L373" s="498"/>
      <c r="M373" s="503"/>
      <c r="N373" s="503"/>
      <c r="O373" s="504"/>
      <c r="P373" s="492"/>
      <c r="Q373" s="505">
        <v>0</v>
      </c>
      <c r="R373" s="493">
        <f t="shared" si="38"/>
        <v>6</v>
      </c>
      <c r="S373" s="493"/>
      <c r="T373" s="506">
        <f t="shared" ref="T373" si="47">L373*$L$1+M373*$M$1+N373*$N$1+$O373*O$1+P373*$P$1</f>
        <v>0</v>
      </c>
    </row>
    <row r="374" spans="2:22" ht="15.75" customHeight="1" thickBot="1" x14ac:dyDescent="0.3">
      <c r="B374" s="503"/>
      <c r="C374" s="514" t="s">
        <v>620</v>
      </c>
      <c r="E374" s="514"/>
      <c r="F374" s="514"/>
      <c r="G374" s="515"/>
      <c r="H374" s="492"/>
      <c r="I374" s="492"/>
      <c r="J374" s="492"/>
      <c r="K374" s="492"/>
      <c r="L374" s="498"/>
      <c r="M374" s="503"/>
      <c r="N374" s="503"/>
      <c r="O374" s="504"/>
      <c r="P374" s="492"/>
      <c r="Q374" s="492"/>
      <c r="R374" s="493" t="str">
        <f t="shared" si="38"/>
        <v>Transmission storage tanks--calibrated bag</v>
      </c>
      <c r="S374" s="493"/>
    </row>
    <row r="375" spans="2:22" ht="18" customHeight="1" thickBot="1" x14ac:dyDescent="0.3">
      <c r="B375" s="497"/>
      <c r="C375" s="513">
        <v>6</v>
      </c>
      <c r="E375" s="499" t="s">
        <v>832</v>
      </c>
      <c r="F375" s="499"/>
      <c r="G375" s="500"/>
      <c r="H375" s="492"/>
      <c r="I375" s="501">
        <v>0</v>
      </c>
      <c r="J375" s="492"/>
      <c r="K375" s="501">
        <v>0</v>
      </c>
      <c r="L375" s="498"/>
      <c r="M375" s="503"/>
      <c r="N375" s="503"/>
      <c r="O375" s="504"/>
      <c r="P375" s="492"/>
      <c r="Q375" s="505">
        <v>0</v>
      </c>
      <c r="R375" s="493">
        <f t="shared" si="38"/>
        <v>6</v>
      </c>
      <c r="S375" s="493"/>
      <c r="T375" s="506">
        <f t="shared" ref="T375" si="48">L375*$L$1+M375*$M$1+N375*$N$1+$O375*O$1+P375*$P$1</f>
        <v>0</v>
      </c>
    </row>
    <row r="376" spans="2:22" ht="18" customHeight="1" thickBot="1" x14ac:dyDescent="0.3">
      <c r="B376" s="503"/>
      <c r="C376" s="514" t="s">
        <v>841</v>
      </c>
      <c r="E376" s="514"/>
      <c r="F376" s="514"/>
      <c r="G376" s="515"/>
      <c r="H376" s="492"/>
      <c r="I376" s="492"/>
      <c r="J376" s="492"/>
      <c r="K376" s="492"/>
      <c r="L376" s="498"/>
      <c r="M376" s="503"/>
      <c r="N376" s="503"/>
      <c r="O376" s="504"/>
      <c r="P376" s="492"/>
      <c r="Q376" s="492"/>
      <c r="R376" s="493" t="str">
        <f t="shared" si="38"/>
        <v>Gas well completions and workovers with hydraulic fracturing--flow meter</v>
      </c>
      <c r="S376" s="493"/>
    </row>
    <row r="377" spans="2:22" ht="15.75" customHeight="1" thickBot="1" x14ac:dyDescent="0.3">
      <c r="B377" s="497"/>
      <c r="C377" s="498">
        <v>9</v>
      </c>
      <c r="E377" s="499" t="s">
        <v>842</v>
      </c>
      <c r="F377" s="499"/>
      <c r="G377" s="500"/>
      <c r="H377" s="492"/>
      <c r="I377" s="501">
        <v>0</v>
      </c>
      <c r="J377" s="492"/>
      <c r="K377" s="501">
        <v>0</v>
      </c>
      <c r="L377" s="498"/>
      <c r="M377" s="503"/>
      <c r="N377" s="503"/>
      <c r="O377" s="504"/>
      <c r="P377" s="492"/>
      <c r="Q377" s="505">
        <v>0</v>
      </c>
      <c r="R377" s="493">
        <f t="shared" si="38"/>
        <v>9</v>
      </c>
      <c r="S377" s="493"/>
      <c r="T377" s="506">
        <f t="shared" ref="T377" si="49">L377*$L$1+M377*$M$1+N377*$N$1+$O377*O$1+P377*$P$1</f>
        <v>0</v>
      </c>
    </row>
    <row r="378" spans="2:22" ht="18" customHeight="1" thickBot="1" x14ac:dyDescent="0.3">
      <c r="B378" s="503"/>
      <c r="C378" s="514" t="s">
        <v>843</v>
      </c>
      <c r="E378" s="514"/>
      <c r="F378" s="514"/>
      <c r="G378" s="515"/>
      <c r="H378" s="492"/>
      <c r="I378" s="492"/>
      <c r="J378" s="492"/>
      <c r="K378" s="492"/>
      <c r="L378" s="498"/>
      <c r="M378" s="503"/>
      <c r="N378" s="503"/>
      <c r="O378" s="504"/>
      <c r="P378" s="492"/>
      <c r="Q378" s="492"/>
      <c r="R378" s="493" t="str">
        <f t="shared" si="38"/>
        <v>Oil well completions and workovers with hydraulic fracturing--flow meter</v>
      </c>
      <c r="S378" s="493"/>
    </row>
    <row r="379" spans="2:22" ht="18" customHeight="1" thickBot="1" x14ac:dyDescent="0.3">
      <c r="B379" s="497"/>
      <c r="C379" s="498">
        <v>9</v>
      </c>
      <c r="E379" s="499" t="s">
        <v>844</v>
      </c>
      <c r="F379" s="499"/>
      <c r="G379" s="500"/>
      <c r="H379" s="492"/>
      <c r="I379" s="501">
        <v>0</v>
      </c>
      <c r="J379" s="492"/>
      <c r="K379" s="501">
        <v>0</v>
      </c>
      <c r="L379" s="498"/>
      <c r="M379" s="503"/>
      <c r="N379" s="503"/>
      <c r="O379" s="504"/>
      <c r="P379" s="492"/>
      <c r="Q379" s="505">
        <v>0</v>
      </c>
      <c r="R379" s="493">
        <f t="shared" si="38"/>
        <v>9</v>
      </c>
      <c r="S379" s="493"/>
      <c r="T379" s="506">
        <f t="shared" ref="T379" si="50">L379*$L$1+M379*$M$1+N379*$N$1+$O379*O$1+P379*$P$1</f>
        <v>0</v>
      </c>
    </row>
    <row r="380" spans="2:22" ht="15.75" customHeight="1" thickBot="1" x14ac:dyDescent="0.3">
      <c r="B380" s="503"/>
      <c r="C380" s="514" t="s">
        <v>845</v>
      </c>
      <c r="E380" s="514"/>
      <c r="F380" s="514"/>
      <c r="G380" s="515"/>
      <c r="H380" s="492"/>
      <c r="I380" s="492"/>
      <c r="J380" s="492"/>
      <c r="K380" s="492"/>
      <c r="L380" s="498"/>
      <c r="M380" s="503"/>
      <c r="N380" s="503"/>
      <c r="O380" s="504"/>
      <c r="P380" s="492"/>
      <c r="Q380" s="492"/>
      <c r="R380" s="493" t="str">
        <f t="shared" si="38"/>
        <v>Well venting for liquids unloading--flow meter</v>
      </c>
      <c r="S380" s="493"/>
    </row>
    <row r="381" spans="2:22" ht="15.75" customHeight="1" thickBot="1" x14ac:dyDescent="0.3">
      <c r="B381" s="497"/>
      <c r="C381" s="498">
        <v>9</v>
      </c>
      <c r="E381" s="499" t="s">
        <v>842</v>
      </c>
      <c r="F381" s="499"/>
      <c r="G381" s="500"/>
      <c r="H381" s="492"/>
      <c r="I381" s="501">
        <v>0</v>
      </c>
      <c r="J381" s="492"/>
      <c r="K381" s="501">
        <v>0</v>
      </c>
      <c r="L381" s="498"/>
      <c r="M381" s="503"/>
      <c r="N381" s="503"/>
      <c r="O381" s="504"/>
      <c r="P381" s="492"/>
      <c r="Q381" s="505">
        <v>0</v>
      </c>
      <c r="R381" s="493">
        <f t="shared" si="38"/>
        <v>9</v>
      </c>
      <c r="S381" s="493"/>
      <c r="T381" s="506">
        <f t="shared" ref="T381" si="51">L381*$L$1+M381*$M$1+N381*$N$1+$O381*O$1+P381*$P$1</f>
        <v>0</v>
      </c>
    </row>
    <row r="383" spans="2:22" x14ac:dyDescent="0.25">
      <c r="U383" s="469"/>
      <c r="V383" s="557"/>
    </row>
  </sheetData>
  <autoFilter ref="B11:T381" xr:uid="{13DD84EB-68AD-4DE0-9E86-BA4F466ADFE5}"/>
  <mergeCells count="21">
    <mergeCell ref="N2:N5"/>
    <mergeCell ref="H2:H5"/>
    <mergeCell ref="I2:I5"/>
    <mergeCell ref="K2:K5"/>
    <mergeCell ref="L2:L5"/>
    <mergeCell ref="M2:M5"/>
    <mergeCell ref="H262:H263"/>
    <mergeCell ref="I262:I263"/>
    <mergeCell ref="J262:J263"/>
    <mergeCell ref="K262:K263"/>
    <mergeCell ref="L262:L263"/>
    <mergeCell ref="O2:O5"/>
    <mergeCell ref="P2:P5"/>
    <mergeCell ref="Q2:Q5"/>
    <mergeCell ref="T2:T5"/>
    <mergeCell ref="AE5:AK8"/>
    <mergeCell ref="M262:M263"/>
    <mergeCell ref="N262:N263"/>
    <mergeCell ref="O262:O263"/>
    <mergeCell ref="P262:P263"/>
    <mergeCell ref="Q262:Q263"/>
  </mergeCells>
  <pageMargins left="0.7" right="0.7" top="0.75" bottom="0.75" header="0.3" footer="0.3"/>
  <pageSetup orientation="portrait" r:id="rId3"/>
  <legacyDrawing r:id="rId4"/>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98B2E-D124-4C3A-9DFA-900A885C919E}">
  <sheetPr codeName="Sheet52">
    <tabColor theme="7" tint="0.59999389629810485"/>
  </sheetPr>
  <dimension ref="A1:N38"/>
  <sheetViews>
    <sheetView topLeftCell="A4" workbookViewId="0">
      <selection activeCell="D41" sqref="D41"/>
    </sheetView>
  </sheetViews>
  <sheetFormatPr defaultRowHeight="15" x14ac:dyDescent="0.25"/>
  <cols>
    <col min="1" max="1" width="39" customWidth="1"/>
    <col min="2" max="2" width="14.28515625" customWidth="1"/>
  </cols>
  <sheetData>
    <row r="1" spans="1:13" x14ac:dyDescent="0.25">
      <c r="A1" s="6" t="s">
        <v>444</v>
      </c>
    </row>
    <row r="2" spans="1:13" x14ac:dyDescent="0.25">
      <c r="A2" s="364" t="s">
        <v>418</v>
      </c>
      <c r="C2" s="189">
        <v>7</v>
      </c>
      <c r="D2" s="189">
        <v>1</v>
      </c>
      <c r="E2" s="189">
        <v>5</v>
      </c>
      <c r="F2" s="189">
        <v>6</v>
      </c>
      <c r="G2" s="189">
        <v>10</v>
      </c>
      <c r="H2" s="189">
        <v>2</v>
      </c>
      <c r="I2" s="189">
        <v>9</v>
      </c>
      <c r="J2" s="189">
        <v>4</v>
      </c>
      <c r="K2" s="189">
        <v>3</v>
      </c>
      <c r="L2" s="189">
        <v>8</v>
      </c>
    </row>
    <row r="3" spans="1:13" x14ac:dyDescent="0.25">
      <c r="A3" s="1035" t="s">
        <v>59</v>
      </c>
      <c r="B3" s="448" t="s">
        <v>445</v>
      </c>
      <c r="C3" s="1110" t="s">
        <v>446</v>
      </c>
      <c r="D3" s="1091"/>
      <c r="E3" s="1091"/>
      <c r="F3" s="1091"/>
      <c r="G3" s="1091"/>
      <c r="H3" s="1091"/>
      <c r="I3" s="1091"/>
      <c r="J3" s="1091"/>
      <c r="K3" s="1091"/>
      <c r="L3" s="1091"/>
    </row>
    <row r="4" spans="1:13" ht="101.25" x14ac:dyDescent="0.25">
      <c r="A4" s="1035"/>
      <c r="B4" s="449" t="s">
        <v>447</v>
      </c>
      <c r="C4" s="450" t="s">
        <v>448</v>
      </c>
      <c r="D4" s="449" t="s">
        <v>449</v>
      </c>
      <c r="E4" s="449" t="s">
        <v>450</v>
      </c>
      <c r="F4" s="449" t="s">
        <v>451</v>
      </c>
      <c r="G4" s="449" t="s">
        <v>452</v>
      </c>
      <c r="H4" s="449" t="s">
        <v>453</v>
      </c>
      <c r="I4" s="449" t="s">
        <v>454</v>
      </c>
      <c r="J4" s="449" t="s">
        <v>455</v>
      </c>
      <c r="K4" s="449" t="s">
        <v>456</v>
      </c>
      <c r="L4" s="449" t="s">
        <v>457</v>
      </c>
    </row>
    <row r="5" spans="1:13" x14ac:dyDescent="0.25">
      <c r="A5" s="451" t="s">
        <v>174</v>
      </c>
      <c r="B5" s="452">
        <f>+C5+D5+E5+F5+G5+H5+I5+J5+K5+L5</f>
        <v>2317</v>
      </c>
      <c r="C5" s="453">
        <v>43</v>
      </c>
      <c r="D5" s="452">
        <v>354</v>
      </c>
      <c r="E5" s="452">
        <v>454</v>
      </c>
      <c r="F5" s="452">
        <v>619</v>
      </c>
      <c r="G5" s="452">
        <v>49</v>
      </c>
      <c r="H5" s="452">
        <v>11</v>
      </c>
      <c r="I5" s="452">
        <v>478</v>
      </c>
      <c r="J5" s="452">
        <v>163</v>
      </c>
      <c r="K5" s="452">
        <v>5</v>
      </c>
      <c r="L5" s="452">
        <f>+[2]W_old!E4</f>
        <v>141</v>
      </c>
    </row>
    <row r="6" spans="1:13" x14ac:dyDescent="0.25">
      <c r="A6" s="58" t="s">
        <v>62</v>
      </c>
      <c r="B6" s="452">
        <f>+C6+D6+E6+F6+G6+H6+I6+J6+K6+L6</f>
        <v>504</v>
      </c>
      <c r="C6" s="453">
        <v>13</v>
      </c>
      <c r="D6" s="452">
        <v>101</v>
      </c>
      <c r="E6" s="452">
        <v>68</v>
      </c>
      <c r="F6" s="452">
        <v>30</v>
      </c>
      <c r="G6" s="452">
        <v>30</v>
      </c>
      <c r="H6" s="452">
        <v>31</v>
      </c>
      <c r="I6" s="452">
        <v>173</v>
      </c>
      <c r="J6" s="452">
        <v>15</v>
      </c>
      <c r="K6" s="452">
        <v>30</v>
      </c>
      <c r="L6" s="452">
        <v>13</v>
      </c>
      <c r="M6" s="401"/>
    </row>
    <row r="7" spans="1:13" x14ac:dyDescent="0.25">
      <c r="A7" s="58" t="s">
        <v>63</v>
      </c>
      <c r="B7" s="452">
        <f>+C7+D7+E7+F7+G7+H7+I7+J7+K7+L7</f>
        <v>153</v>
      </c>
      <c r="C7" s="453">
        <v>2</v>
      </c>
      <c r="D7" s="452">
        <v>35</v>
      </c>
      <c r="E7" s="452">
        <v>19</v>
      </c>
      <c r="F7" s="452">
        <v>8</v>
      </c>
      <c r="G7" s="452">
        <v>7</v>
      </c>
      <c r="H7" s="452">
        <v>32</v>
      </c>
      <c r="I7" s="452">
        <v>39</v>
      </c>
      <c r="J7" s="452">
        <v>4</v>
      </c>
      <c r="K7" s="452">
        <v>7</v>
      </c>
      <c r="L7" s="452">
        <v>0</v>
      </c>
    </row>
    <row r="8" spans="1:13" x14ac:dyDescent="0.25">
      <c r="A8" s="58" t="s">
        <v>64</v>
      </c>
      <c r="B8" s="452">
        <f>+C8+D8+E8+F8+G8+H8+I8+J8+K8+L8</f>
        <v>107</v>
      </c>
      <c r="C8" s="453">
        <v>0</v>
      </c>
      <c r="D8" s="452">
        <v>17</v>
      </c>
      <c r="E8" s="452">
        <v>23</v>
      </c>
      <c r="F8" s="452">
        <v>13</v>
      </c>
      <c r="G8" s="452">
        <v>10</v>
      </c>
      <c r="H8" s="452">
        <v>10</v>
      </c>
      <c r="I8" s="452">
        <v>17</v>
      </c>
      <c r="J8" s="452">
        <v>7</v>
      </c>
      <c r="K8" s="452">
        <v>10</v>
      </c>
      <c r="L8" s="452">
        <v>0</v>
      </c>
    </row>
    <row r="9" spans="1:13" x14ac:dyDescent="0.25">
      <c r="A9" s="59" t="s">
        <v>65</v>
      </c>
      <c r="B9" s="452">
        <f>+C9+D9+E9+F9+G9+H9+I9+J9+K9+L9</f>
        <v>550</v>
      </c>
      <c r="C9" s="453">
        <f t="shared" ref="C9:L9" si="0">C6+C7-C8</f>
        <v>15</v>
      </c>
      <c r="D9" s="452">
        <f t="shared" si="0"/>
        <v>119</v>
      </c>
      <c r="E9" s="452">
        <f t="shared" si="0"/>
        <v>64</v>
      </c>
      <c r="F9" s="452">
        <f t="shared" si="0"/>
        <v>25</v>
      </c>
      <c r="G9" s="452">
        <f t="shared" si="0"/>
        <v>27</v>
      </c>
      <c r="H9" s="452">
        <f t="shared" si="0"/>
        <v>53</v>
      </c>
      <c r="I9" s="452">
        <f t="shared" si="0"/>
        <v>195</v>
      </c>
      <c r="J9" s="452">
        <f t="shared" si="0"/>
        <v>12</v>
      </c>
      <c r="K9" s="452">
        <f t="shared" si="0"/>
        <v>27</v>
      </c>
      <c r="L9" s="452">
        <f t="shared" si="0"/>
        <v>13</v>
      </c>
    </row>
    <row r="10" spans="1:13" x14ac:dyDescent="0.25">
      <c r="A10" s="58" t="s">
        <v>66</v>
      </c>
      <c r="B10" s="454">
        <f t="shared" ref="B10:L10" si="1">3/60</f>
        <v>0.05</v>
      </c>
      <c r="C10" s="455">
        <f t="shared" si="1"/>
        <v>0.05</v>
      </c>
      <c r="D10" s="454">
        <f t="shared" si="1"/>
        <v>0.05</v>
      </c>
      <c r="E10" s="454">
        <f t="shared" si="1"/>
        <v>0.05</v>
      </c>
      <c r="F10" s="454">
        <f t="shared" si="1"/>
        <v>0.05</v>
      </c>
      <c r="G10" s="454">
        <f t="shared" si="1"/>
        <v>0.05</v>
      </c>
      <c r="H10" s="454">
        <f t="shared" si="1"/>
        <v>0.05</v>
      </c>
      <c r="I10" s="454">
        <f t="shared" si="1"/>
        <v>0.05</v>
      </c>
      <c r="J10" s="454">
        <f t="shared" si="1"/>
        <v>0.05</v>
      </c>
      <c r="K10" s="454">
        <f t="shared" si="1"/>
        <v>0.05</v>
      </c>
      <c r="L10" s="454">
        <f t="shared" si="1"/>
        <v>0.05</v>
      </c>
    </row>
    <row r="11" spans="1:13" x14ac:dyDescent="0.25">
      <c r="A11" s="59" t="s">
        <v>458</v>
      </c>
      <c r="B11" s="456"/>
      <c r="C11" s="457"/>
      <c r="D11" s="456"/>
      <c r="E11" s="456"/>
      <c r="F11" s="456"/>
      <c r="G11" s="456"/>
      <c r="H11" s="456"/>
      <c r="I11" s="456"/>
      <c r="J11" s="456"/>
      <c r="K11" s="456"/>
      <c r="L11" s="456"/>
    </row>
    <row r="12" spans="1:13" x14ac:dyDescent="0.25">
      <c r="A12" s="66" t="s">
        <v>68</v>
      </c>
      <c r="B12" s="68">
        <f>+C12+D12+E12+F12+G12+H12+I12+J12+K12+L12</f>
        <v>27.5</v>
      </c>
      <c r="C12" s="455">
        <f t="shared" ref="C12:L12" si="2">C9*C10</f>
        <v>0.75</v>
      </c>
      <c r="D12" s="68">
        <f t="shared" si="2"/>
        <v>5.95</v>
      </c>
      <c r="E12" s="68">
        <f t="shared" si="2"/>
        <v>3.2</v>
      </c>
      <c r="F12" s="68">
        <f t="shared" si="2"/>
        <v>1.25</v>
      </c>
      <c r="G12" s="68">
        <f t="shared" si="2"/>
        <v>1.35</v>
      </c>
      <c r="H12" s="68">
        <f t="shared" si="2"/>
        <v>2.6500000000000004</v>
      </c>
      <c r="I12" s="68">
        <f t="shared" si="2"/>
        <v>9.75</v>
      </c>
      <c r="J12" s="68">
        <f t="shared" si="2"/>
        <v>0.60000000000000009</v>
      </c>
      <c r="K12" s="68">
        <f t="shared" si="2"/>
        <v>1.35</v>
      </c>
      <c r="L12" s="68">
        <f t="shared" si="2"/>
        <v>0.65</v>
      </c>
    </row>
    <row r="13" spans="1:13" x14ac:dyDescent="0.25">
      <c r="A13" s="66" t="s">
        <v>69</v>
      </c>
      <c r="B13" s="68">
        <f>+C13+D13+E13+F13+G13+H13+I13+J13+K13+L13</f>
        <v>2.7500000000000004</v>
      </c>
      <c r="C13" s="455">
        <f t="shared" ref="C13:L13" si="3">C12*0.1</f>
        <v>7.5000000000000011E-2</v>
      </c>
      <c r="D13" s="68">
        <f t="shared" si="3"/>
        <v>0.59500000000000008</v>
      </c>
      <c r="E13" s="68">
        <f t="shared" si="3"/>
        <v>0.32000000000000006</v>
      </c>
      <c r="F13" s="68">
        <f t="shared" si="3"/>
        <v>0.125</v>
      </c>
      <c r="G13" s="68">
        <f t="shared" si="3"/>
        <v>0.13500000000000001</v>
      </c>
      <c r="H13" s="68">
        <f t="shared" si="3"/>
        <v>0.26500000000000007</v>
      </c>
      <c r="I13" s="68">
        <f t="shared" si="3"/>
        <v>0.97500000000000009</v>
      </c>
      <c r="J13" s="68">
        <f t="shared" si="3"/>
        <v>6.0000000000000012E-2</v>
      </c>
      <c r="K13" s="68">
        <f t="shared" si="3"/>
        <v>0.13500000000000001</v>
      </c>
      <c r="L13" s="68">
        <f t="shared" si="3"/>
        <v>6.5000000000000002E-2</v>
      </c>
    </row>
    <row r="14" spans="1:13" x14ac:dyDescent="0.25">
      <c r="A14" s="66" t="s">
        <v>70</v>
      </c>
      <c r="B14" s="68">
        <f>+C14+D14+E14+F14+G14+H14+I14+J14+K14+L14</f>
        <v>1.3750000000000002</v>
      </c>
      <c r="C14" s="455">
        <f t="shared" ref="C14:L14" si="4">C12*0.05</f>
        <v>3.7500000000000006E-2</v>
      </c>
      <c r="D14" s="68">
        <f t="shared" si="4"/>
        <v>0.29750000000000004</v>
      </c>
      <c r="E14" s="68">
        <f t="shared" si="4"/>
        <v>0.16000000000000003</v>
      </c>
      <c r="F14" s="68">
        <f t="shared" si="4"/>
        <v>6.25E-2</v>
      </c>
      <c r="G14" s="68">
        <f t="shared" si="4"/>
        <v>6.7500000000000004E-2</v>
      </c>
      <c r="H14" s="68">
        <f t="shared" si="4"/>
        <v>0.13250000000000003</v>
      </c>
      <c r="I14" s="68">
        <f t="shared" si="4"/>
        <v>0.48750000000000004</v>
      </c>
      <c r="J14" s="68">
        <f t="shared" si="4"/>
        <v>3.0000000000000006E-2</v>
      </c>
      <c r="K14" s="68">
        <f t="shared" si="4"/>
        <v>6.7500000000000004E-2</v>
      </c>
      <c r="L14" s="68">
        <f t="shared" si="4"/>
        <v>3.2500000000000001E-2</v>
      </c>
    </row>
    <row r="15" spans="1:13" x14ac:dyDescent="0.25">
      <c r="A15" s="66" t="s">
        <v>43</v>
      </c>
      <c r="B15" s="68">
        <f>+C15+D15+E15+F15+G15+H15+I15+J15+K15+L15</f>
        <v>31.624999999999996</v>
      </c>
      <c r="C15" s="455">
        <f t="shared" ref="C15:L15" si="5">C14+C13+C12</f>
        <v>0.86250000000000004</v>
      </c>
      <c r="D15" s="68">
        <f t="shared" si="5"/>
        <v>6.8425000000000002</v>
      </c>
      <c r="E15" s="68">
        <f t="shared" si="5"/>
        <v>3.68</v>
      </c>
      <c r="F15" s="68">
        <f t="shared" si="5"/>
        <v>1.4375</v>
      </c>
      <c r="G15" s="68">
        <f t="shared" si="5"/>
        <v>1.5525000000000002</v>
      </c>
      <c r="H15" s="68">
        <f t="shared" si="5"/>
        <v>3.0475000000000003</v>
      </c>
      <c r="I15" s="68">
        <f t="shared" si="5"/>
        <v>11.2125</v>
      </c>
      <c r="J15" s="68">
        <f t="shared" si="5"/>
        <v>0.69000000000000017</v>
      </c>
      <c r="K15" s="68">
        <f t="shared" si="5"/>
        <v>1.5525000000000002</v>
      </c>
      <c r="L15" s="68">
        <f t="shared" si="5"/>
        <v>0.74750000000000005</v>
      </c>
    </row>
    <row r="16" spans="1:13" x14ac:dyDescent="0.25">
      <c r="A16" s="59" t="s">
        <v>459</v>
      </c>
      <c r="B16" s="456"/>
      <c r="C16" s="457"/>
      <c r="D16" s="456"/>
      <c r="E16" s="456"/>
      <c r="F16" s="456"/>
      <c r="G16" s="456"/>
      <c r="H16" s="456"/>
      <c r="I16" s="456"/>
      <c r="J16" s="456"/>
      <c r="K16" s="456"/>
      <c r="L16" s="456"/>
    </row>
    <row r="17" spans="1:14" x14ac:dyDescent="0.25">
      <c r="A17" s="66" t="s">
        <v>68</v>
      </c>
      <c r="B17" s="458">
        <f>+C17+D17+E17+F17+G17+H17+I17+J17+K17+L17</f>
        <v>3029.6172500000002</v>
      </c>
      <c r="C17" s="459">
        <f t="shared" ref="C17:L17" si="6">C12*$B$36</f>
        <v>82.625924999999995</v>
      </c>
      <c r="D17" s="11">
        <f t="shared" si="6"/>
        <v>655.49900500000001</v>
      </c>
      <c r="E17" s="11">
        <f t="shared" si="6"/>
        <v>352.53728000000001</v>
      </c>
      <c r="F17" s="11">
        <f t="shared" si="6"/>
        <v>137.70987500000001</v>
      </c>
      <c r="G17" s="11">
        <f t="shared" si="6"/>
        <v>148.72666500000003</v>
      </c>
      <c r="H17" s="11">
        <f t="shared" si="6"/>
        <v>291.94493500000004</v>
      </c>
      <c r="I17" s="11">
        <f t="shared" si="6"/>
        <v>1074.137025</v>
      </c>
      <c r="J17" s="11">
        <f t="shared" si="6"/>
        <v>66.100740000000016</v>
      </c>
      <c r="K17" s="11">
        <f t="shared" si="6"/>
        <v>148.72666500000003</v>
      </c>
      <c r="L17" s="11">
        <f t="shared" si="6"/>
        <v>71.609135000000009</v>
      </c>
    </row>
    <row r="18" spans="1:14" x14ac:dyDescent="0.25">
      <c r="A18" s="66" t="s">
        <v>69</v>
      </c>
      <c r="B18" s="458">
        <f>+C18+D18+E18+F18+G18+H18+I18+J18+K18+L18</f>
        <v>214.46851250000006</v>
      </c>
      <c r="C18" s="459">
        <f t="shared" ref="C18:L18" si="7">C13*$B$37</f>
        <v>5.8491412500000015</v>
      </c>
      <c r="D18" s="11">
        <f t="shared" si="7"/>
        <v>46.403187250000009</v>
      </c>
      <c r="E18" s="11">
        <f t="shared" si="7"/>
        <v>24.956336000000007</v>
      </c>
      <c r="F18" s="11">
        <f t="shared" si="7"/>
        <v>9.7485687500000004</v>
      </c>
      <c r="G18" s="11">
        <f t="shared" si="7"/>
        <v>10.528454250000001</v>
      </c>
      <c r="H18" s="11">
        <f t="shared" si="7"/>
        <v>20.666965750000006</v>
      </c>
      <c r="I18" s="11">
        <f t="shared" si="7"/>
        <v>76.038836250000017</v>
      </c>
      <c r="J18" s="11">
        <f t="shared" si="7"/>
        <v>4.6793130000000014</v>
      </c>
      <c r="K18" s="11">
        <f t="shared" si="7"/>
        <v>10.528454250000001</v>
      </c>
      <c r="L18" s="11">
        <f t="shared" si="7"/>
        <v>5.0692557500000008</v>
      </c>
    </row>
    <row r="19" spans="1:14" x14ac:dyDescent="0.25">
      <c r="A19" s="66" t="s">
        <v>70</v>
      </c>
      <c r="B19" s="458">
        <f>+C19+D19+E19+F19+G19+H19+I19+J19+K19+L19</f>
        <v>169.75615250000007</v>
      </c>
      <c r="C19" s="459">
        <f t="shared" ref="C19:L19" si="8">C14*$B$35</f>
        <v>4.6297132500000018</v>
      </c>
      <c r="D19" s="11">
        <f t="shared" si="8"/>
        <v>36.729058450000011</v>
      </c>
      <c r="E19" s="11">
        <f t="shared" si="8"/>
        <v>19.753443200000007</v>
      </c>
      <c r="F19" s="11">
        <f t="shared" si="8"/>
        <v>7.7161887500000015</v>
      </c>
      <c r="G19" s="11">
        <f t="shared" si="8"/>
        <v>8.3334838500000021</v>
      </c>
      <c r="H19" s="11">
        <f t="shared" si="8"/>
        <v>16.358320150000008</v>
      </c>
      <c r="I19" s="11">
        <f t="shared" si="8"/>
        <v>60.186272250000016</v>
      </c>
      <c r="J19" s="11">
        <f t="shared" si="8"/>
        <v>3.7037706000000012</v>
      </c>
      <c r="K19" s="11">
        <f t="shared" si="8"/>
        <v>8.3334838500000021</v>
      </c>
      <c r="L19" s="11">
        <f t="shared" si="8"/>
        <v>4.0124181500000011</v>
      </c>
    </row>
    <row r="20" spans="1:14" x14ac:dyDescent="0.25">
      <c r="A20" s="66" t="s">
        <v>43</v>
      </c>
      <c r="B20" s="460">
        <f>+C20+D20+E20+F20+G20+H20+I20+J20+K20+L20</f>
        <v>3413.8419149999995</v>
      </c>
      <c r="C20" s="461">
        <f t="shared" ref="C20:L20" si="9">C19+C18+C17</f>
        <v>93.104779500000006</v>
      </c>
      <c r="D20" s="11">
        <f t="shared" si="9"/>
        <v>738.63125070000001</v>
      </c>
      <c r="E20" s="11">
        <f t="shared" si="9"/>
        <v>397.24705920000002</v>
      </c>
      <c r="F20" s="11">
        <f t="shared" si="9"/>
        <v>155.1746325</v>
      </c>
      <c r="G20" s="11">
        <f t="shared" si="9"/>
        <v>167.58860310000003</v>
      </c>
      <c r="H20" s="11">
        <f t="shared" si="9"/>
        <v>328.97022090000007</v>
      </c>
      <c r="I20" s="11">
        <f t="shared" si="9"/>
        <v>1210.3621335</v>
      </c>
      <c r="J20" s="11">
        <f t="shared" si="9"/>
        <v>74.483823600000022</v>
      </c>
      <c r="K20" s="11">
        <f t="shared" si="9"/>
        <v>167.58860310000003</v>
      </c>
      <c r="L20" s="11">
        <f t="shared" si="9"/>
        <v>80.690808900000007</v>
      </c>
    </row>
    <row r="21" spans="1:14" hidden="1" x14ac:dyDescent="0.25">
      <c r="A21" s="71" t="s">
        <v>460</v>
      </c>
      <c r="B21" s="456"/>
      <c r="C21" s="457"/>
      <c r="D21" s="456"/>
      <c r="E21" s="456"/>
      <c r="F21" s="456"/>
      <c r="G21" s="456"/>
      <c r="H21" s="456"/>
      <c r="I21" s="456"/>
      <c r="J21" s="456"/>
      <c r="K21" s="456"/>
      <c r="L21" s="456"/>
    </row>
    <row r="22" spans="1:14" hidden="1" x14ac:dyDescent="0.25">
      <c r="A22" s="462" t="s">
        <v>461</v>
      </c>
      <c r="B22" s="452" t="e">
        <f>NA()</f>
        <v>#N/A</v>
      </c>
      <c r="C22" s="453" t="e">
        <f>NA()</f>
        <v>#N/A</v>
      </c>
      <c r="D22" s="452" t="e">
        <f>NA()</f>
        <v>#N/A</v>
      </c>
      <c r="E22" s="452" t="e">
        <f>NA()</f>
        <v>#N/A</v>
      </c>
      <c r="F22" s="452" t="e">
        <f>NA()</f>
        <v>#N/A</v>
      </c>
      <c r="G22" s="452" t="e">
        <f>NA()</f>
        <v>#N/A</v>
      </c>
      <c r="H22" s="452" t="e">
        <f>NA()</f>
        <v>#N/A</v>
      </c>
      <c r="I22" s="452" t="e">
        <f>NA()</f>
        <v>#N/A</v>
      </c>
      <c r="J22" s="452" t="e">
        <f>NA()</f>
        <v>#N/A</v>
      </c>
      <c r="K22" s="452" t="e">
        <f>NA()</f>
        <v>#N/A</v>
      </c>
      <c r="L22" s="452" t="e">
        <f>NA()</f>
        <v>#N/A</v>
      </c>
    </row>
    <row r="23" spans="1:14" x14ac:dyDescent="0.25">
      <c r="A23" s="71" t="s">
        <v>72</v>
      </c>
      <c r="B23" s="456"/>
      <c r="C23" s="457"/>
      <c r="D23" s="456"/>
      <c r="E23" s="456"/>
      <c r="F23" s="456"/>
      <c r="G23" s="456"/>
      <c r="H23" s="456"/>
      <c r="I23" s="456"/>
      <c r="J23" s="456"/>
      <c r="K23" s="456"/>
      <c r="L23" s="456"/>
    </row>
    <row r="24" spans="1:14" x14ac:dyDescent="0.25">
      <c r="A24" s="66" t="s">
        <v>43</v>
      </c>
      <c r="B24" s="458">
        <f>+C24+D24+E24+F24+G24+H24+I24+J24+K24+L24</f>
        <v>1156622.0547725998</v>
      </c>
      <c r="C24" s="459">
        <f t="shared" ref="C24:L24" si="10">C20*C5</f>
        <v>4003.5055185000001</v>
      </c>
      <c r="D24" s="458">
        <f t="shared" si="10"/>
        <v>261475.46274779999</v>
      </c>
      <c r="E24" s="458">
        <f t="shared" si="10"/>
        <v>180350.1648768</v>
      </c>
      <c r="F24" s="458">
        <f t="shared" si="10"/>
        <v>96053.097517500006</v>
      </c>
      <c r="G24" s="458">
        <f t="shared" si="10"/>
        <v>8211.8415519000009</v>
      </c>
      <c r="H24" s="458">
        <f t="shared" si="10"/>
        <v>3618.6724299000007</v>
      </c>
      <c r="I24" s="458">
        <f t="shared" si="10"/>
        <v>578553.09981300007</v>
      </c>
      <c r="J24" s="458">
        <f t="shared" si="10"/>
        <v>12140.863246800003</v>
      </c>
      <c r="K24" s="458">
        <f t="shared" si="10"/>
        <v>837.94301550000012</v>
      </c>
      <c r="L24" s="463">
        <f t="shared" si="10"/>
        <v>11377.404054900002</v>
      </c>
      <c r="M24" s="402"/>
    </row>
    <row r="25" spans="1:14" x14ac:dyDescent="0.25">
      <c r="A25" s="66" t="s">
        <v>462</v>
      </c>
      <c r="B25" s="458">
        <f t="shared" ref="B25:L25" si="11">B24/B5</f>
        <v>499.18949278057823</v>
      </c>
      <c r="C25" s="459">
        <f t="shared" si="11"/>
        <v>93.104779500000006</v>
      </c>
      <c r="D25" s="458">
        <f t="shared" si="11"/>
        <v>738.63125070000001</v>
      </c>
      <c r="E25" s="458">
        <f t="shared" si="11"/>
        <v>397.24705920000002</v>
      </c>
      <c r="F25" s="458">
        <f t="shared" si="11"/>
        <v>155.1746325</v>
      </c>
      <c r="G25" s="458">
        <f t="shared" si="11"/>
        <v>167.58860310000003</v>
      </c>
      <c r="H25" s="458">
        <f t="shared" si="11"/>
        <v>328.97022090000007</v>
      </c>
      <c r="I25" s="458">
        <f t="shared" si="11"/>
        <v>1210.3621335</v>
      </c>
      <c r="J25" s="458">
        <f t="shared" si="11"/>
        <v>74.483823600000022</v>
      </c>
      <c r="K25" s="458">
        <f t="shared" si="11"/>
        <v>167.58860310000003</v>
      </c>
      <c r="L25" s="463">
        <f t="shared" si="11"/>
        <v>80.690808900000007</v>
      </c>
      <c r="M25" s="12"/>
      <c r="N25" s="402"/>
    </row>
    <row r="26" spans="1:14" x14ac:dyDescent="0.25">
      <c r="A26" s="75" t="s">
        <v>74</v>
      </c>
    </row>
    <row r="27" spans="1:14" x14ac:dyDescent="0.25">
      <c r="A27" s="1111" t="s">
        <v>463</v>
      </c>
      <c r="B27" s="1111"/>
      <c r="C27" s="1111"/>
      <c r="D27" s="1111"/>
      <c r="E27" s="1111"/>
      <c r="F27" s="1111"/>
      <c r="G27" s="1111"/>
      <c r="H27" s="1111"/>
      <c r="I27" s="1111"/>
      <c r="J27" s="1111"/>
      <c r="K27" s="1111"/>
      <c r="L27" s="1111"/>
      <c r="M27" s="1111"/>
    </row>
    <row r="28" spans="1:14" x14ac:dyDescent="0.25">
      <c r="A28" t="s">
        <v>464</v>
      </c>
    </row>
    <row r="29" spans="1:14" x14ac:dyDescent="0.25">
      <c r="A29" t="s">
        <v>465</v>
      </c>
      <c r="L29" s="464"/>
      <c r="M29" s="465"/>
    </row>
    <row r="30" spans="1:14" x14ac:dyDescent="0.25">
      <c r="L30" s="464"/>
      <c r="M30" s="465"/>
    </row>
    <row r="31" spans="1:14" ht="15.75" thickBot="1" x14ac:dyDescent="0.3">
      <c r="A31" s="110" t="s">
        <v>466</v>
      </c>
      <c r="B31" s="111"/>
      <c r="C31" s="111"/>
      <c r="D31" s="111"/>
      <c r="E31" s="111"/>
      <c r="L31" s="464"/>
      <c r="M31" s="465"/>
    </row>
    <row r="32" spans="1:14" x14ac:dyDescent="0.25">
      <c r="A32" s="80" t="s">
        <v>467</v>
      </c>
      <c r="B32" s="81"/>
      <c r="C32" s="81"/>
      <c r="D32" s="81"/>
      <c r="E32" s="82"/>
    </row>
    <row r="33" spans="1:10" ht="26.25" x14ac:dyDescent="0.25">
      <c r="A33" s="84" t="s">
        <v>76</v>
      </c>
      <c r="B33" s="148" t="s">
        <v>77</v>
      </c>
      <c r="C33" s="1080" t="s">
        <v>78</v>
      </c>
      <c r="D33" s="1080"/>
      <c r="E33" s="1080"/>
    </row>
    <row r="34" spans="1:10" x14ac:dyDescent="0.25">
      <c r="A34" s="86" t="s">
        <v>79</v>
      </c>
      <c r="B34" s="87"/>
      <c r="C34" s="1081" t="s">
        <v>103</v>
      </c>
      <c r="D34" s="1081"/>
      <c r="E34" s="1081"/>
    </row>
    <row r="35" spans="1:10" x14ac:dyDescent="0.25">
      <c r="A35" s="86" t="s">
        <v>70</v>
      </c>
      <c r="B35" s="466">
        <f>Inputs!D51</f>
        <v>123.45902000000002</v>
      </c>
      <c r="C35" s="1081" t="s">
        <v>104</v>
      </c>
      <c r="D35" s="1081"/>
      <c r="E35" s="1081"/>
      <c r="F35" t="s">
        <v>468</v>
      </c>
      <c r="J35" s="12"/>
    </row>
    <row r="36" spans="1:10" x14ac:dyDescent="0.25">
      <c r="A36" s="86" t="s">
        <v>68</v>
      </c>
      <c r="B36" s="466">
        <f>Inputs!D53</f>
        <v>110.1679</v>
      </c>
      <c r="C36" s="1081" t="s">
        <v>105</v>
      </c>
      <c r="D36" s="1081"/>
      <c r="E36" s="1081"/>
      <c r="F36" t="s">
        <v>469</v>
      </c>
      <c r="J36" s="12"/>
    </row>
    <row r="37" spans="1:10" x14ac:dyDescent="0.25">
      <c r="A37" s="86" t="s">
        <v>69</v>
      </c>
      <c r="B37" s="466">
        <f>Inputs!D54</f>
        <v>77.988550000000004</v>
      </c>
      <c r="C37" s="1081" t="s">
        <v>106</v>
      </c>
      <c r="D37" s="1081"/>
      <c r="E37" s="1081"/>
      <c r="F37" t="s">
        <v>470</v>
      </c>
      <c r="J37" s="12"/>
    </row>
    <row r="38" spans="1:10" ht="15.75" thickBot="1" x14ac:dyDescent="0.3">
      <c r="A38" s="1082"/>
      <c r="B38" s="1083"/>
      <c r="C38" s="1083"/>
      <c r="D38" s="1083"/>
      <c r="E38" s="1083"/>
    </row>
  </sheetData>
  <mergeCells count="9">
    <mergeCell ref="C36:E36"/>
    <mergeCell ref="C37:E37"/>
    <mergeCell ref="A38:E38"/>
    <mergeCell ref="A3:A4"/>
    <mergeCell ref="C3:L3"/>
    <mergeCell ref="A27:M27"/>
    <mergeCell ref="C33:E33"/>
    <mergeCell ref="C34:E34"/>
    <mergeCell ref="C35:E35"/>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14CAD-8377-4761-A36E-9470CE6B24D7}">
  <sheetPr codeName="Sheet53">
    <tabColor theme="7" tint="0.59999389629810485"/>
  </sheetPr>
  <dimension ref="A1:DD45"/>
  <sheetViews>
    <sheetView topLeftCell="AY1" workbookViewId="0">
      <selection activeCell="J28" sqref="J28:O28"/>
    </sheetView>
  </sheetViews>
  <sheetFormatPr defaultRowHeight="15" x14ac:dyDescent="0.25"/>
  <cols>
    <col min="1" max="1" width="21" customWidth="1"/>
    <col min="7" max="7" width="3.5703125" customWidth="1"/>
    <col min="8" max="8" width="4.85546875" customWidth="1"/>
    <col min="9" max="9" width="5.28515625" bestFit="1" customWidth="1"/>
    <col min="10" max="10" width="11.85546875" customWidth="1"/>
    <col min="16" max="16" width="5.140625" customWidth="1"/>
    <col min="17" max="17" width="4.7109375" customWidth="1"/>
    <col min="18" max="18" width="5.28515625" bestFit="1" customWidth="1"/>
    <col min="19" max="19" width="17.140625" customWidth="1"/>
    <col min="22" max="22" width="12.28515625" customWidth="1"/>
    <col min="23" max="23" width="11.7109375" customWidth="1"/>
    <col min="25" max="25" width="4.5703125" customWidth="1"/>
    <col min="26" max="26" width="4.42578125" customWidth="1"/>
    <col min="28" max="28" width="14.85546875" customWidth="1"/>
    <col min="31" max="31" width="12.7109375" customWidth="1"/>
    <col min="32" max="32" width="12.140625" customWidth="1"/>
    <col min="33" max="33" width="8.7109375" bestFit="1" customWidth="1"/>
    <col min="34" max="34" width="6" customWidth="1"/>
    <col min="35" max="35" width="5.28515625" hidden="1" customWidth="1"/>
    <col min="36" max="36" width="18.140625" hidden="1" customWidth="1"/>
    <col min="37" max="42" width="0" hidden="1" customWidth="1"/>
    <col min="43" max="43" width="0" style="570" hidden="1" customWidth="1"/>
    <col min="44" max="44" width="18.140625" style="561" hidden="1" customWidth="1"/>
    <col min="45" max="45" width="10.5703125" hidden="1" customWidth="1"/>
    <col min="46" max="46" width="0" hidden="1" customWidth="1"/>
    <col min="47" max="47" width="10.5703125" hidden="1" customWidth="1"/>
    <col min="48" max="48" width="0" hidden="1" customWidth="1"/>
    <col min="50" max="50" width="18.42578125" customWidth="1"/>
    <col min="51" max="51" width="9.140625" style="562"/>
    <col min="52" max="52" width="12.5703125" style="562" customWidth="1"/>
    <col min="53" max="53" width="9.140625" style="563"/>
    <col min="54" max="54" width="11.42578125" style="562" customWidth="1"/>
    <col min="55" max="55" width="9.140625" style="562"/>
    <col min="56" max="56" width="14.28515625" style="562" customWidth="1"/>
    <col min="57" max="57" width="11.28515625" style="562" customWidth="1"/>
    <col min="58" max="58" width="6.28515625" customWidth="1"/>
    <col min="59" max="59" width="11.42578125" customWidth="1"/>
    <col min="60" max="60" width="15.28515625" customWidth="1"/>
    <col min="61" max="62" width="11.5703125" customWidth="1"/>
    <col min="64" max="64" width="11.7109375" customWidth="1"/>
    <col min="65" max="65" width="11.28515625" customWidth="1"/>
    <col min="66" max="68" width="11.42578125" customWidth="1"/>
    <col min="70" max="70" width="11.7109375" hidden="1" customWidth="1"/>
    <col min="71" max="71" width="11" hidden="1" customWidth="1"/>
    <col min="72" max="72" width="0" hidden="1" customWidth="1"/>
    <col min="73" max="73" width="12.5703125" hidden="1" customWidth="1"/>
    <col min="74" max="74" width="0" hidden="1" customWidth="1"/>
    <col min="75" max="75" width="11.5703125" hidden="1" customWidth="1"/>
    <col min="76" max="76" width="10.5703125" hidden="1" customWidth="1"/>
    <col min="77" max="77" width="17.5703125" hidden="1" customWidth="1"/>
    <col min="78" max="78" width="14.5703125" style="561" hidden="1" customWidth="1"/>
    <col min="79" max="79" width="0" hidden="1" customWidth="1"/>
    <col min="80" max="80" width="10.140625" hidden="1" customWidth="1"/>
    <col min="81" max="81" width="10.42578125" bestFit="1" customWidth="1"/>
    <col min="84" max="84" width="14" bestFit="1" customWidth="1"/>
  </cols>
  <sheetData>
    <row r="1" spans="1:108" x14ac:dyDescent="0.25">
      <c r="A1" s="558" t="s">
        <v>846</v>
      </c>
      <c r="B1" s="559"/>
      <c r="C1" s="559"/>
      <c r="D1" s="559"/>
      <c r="E1" s="559"/>
      <c r="F1" s="559"/>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c r="AI1" s="559"/>
      <c r="AJ1" s="559"/>
      <c r="AK1" s="559"/>
      <c r="AL1" s="559"/>
      <c r="AM1" s="559"/>
      <c r="AN1" s="559"/>
      <c r="AO1" s="559"/>
      <c r="AP1" s="559"/>
      <c r="AQ1" s="560"/>
      <c r="AX1" s="559" t="s">
        <v>847</v>
      </c>
    </row>
    <row r="2" spans="1:108" x14ac:dyDescent="0.25">
      <c r="A2" s="559" t="s">
        <v>847</v>
      </c>
      <c r="B2" s="559"/>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c r="AI2" s="559"/>
      <c r="AJ2" s="559"/>
      <c r="AK2" s="559"/>
      <c r="AL2" s="559"/>
      <c r="AM2" s="559"/>
      <c r="AN2" s="559"/>
      <c r="AO2" s="559"/>
      <c r="AP2" s="559"/>
      <c r="AQ2" s="560"/>
      <c r="AX2" s="559"/>
    </row>
    <row r="3" spans="1:108" x14ac:dyDescent="0.25">
      <c r="A3" s="559" t="s">
        <v>848</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c r="AN3" s="559"/>
      <c r="AO3" s="559"/>
      <c r="AP3" s="559"/>
      <c r="AQ3" s="560"/>
      <c r="AX3" s="115" t="s">
        <v>849</v>
      </c>
      <c r="AY3" s="564"/>
      <c r="AZ3" s="564"/>
      <c r="BA3" s="565"/>
      <c r="BB3" s="564"/>
      <c r="BC3" s="564"/>
      <c r="BD3" s="564"/>
      <c r="BE3" s="564"/>
      <c r="BF3" s="115"/>
      <c r="BG3" s="115"/>
      <c r="BH3" s="115"/>
      <c r="BI3" s="115"/>
      <c r="BJ3" s="115"/>
      <c r="BK3" s="115"/>
      <c r="BL3" s="115"/>
      <c r="BM3" s="115"/>
      <c r="BN3" s="115"/>
      <c r="BO3" s="115"/>
      <c r="BP3" s="115"/>
      <c r="CA3" t="s">
        <v>850</v>
      </c>
      <c r="CB3" t="s">
        <v>851</v>
      </c>
    </row>
    <row r="4" spans="1:108" ht="51" customHeight="1" thickBot="1" x14ac:dyDescent="0.3">
      <c r="A4" s="1153" t="s">
        <v>852</v>
      </c>
      <c r="B4" s="1153"/>
      <c r="C4" s="1153"/>
      <c r="D4" s="1153"/>
      <c r="E4" s="1153"/>
      <c r="F4" s="1153"/>
      <c r="G4" s="559"/>
      <c r="H4" s="559"/>
      <c r="I4" s="559"/>
      <c r="J4" s="1153" t="s">
        <v>853</v>
      </c>
      <c r="K4" s="1153"/>
      <c r="L4" s="1153"/>
      <c r="M4" s="1153"/>
      <c r="N4" s="1153"/>
      <c r="O4" s="1153"/>
      <c r="P4" s="559"/>
      <c r="Q4" s="559"/>
      <c r="R4" s="559"/>
      <c r="S4" s="1153" t="s">
        <v>854</v>
      </c>
      <c r="T4" s="1153"/>
      <c r="U4" s="1153"/>
      <c r="V4" s="1153"/>
      <c r="W4" s="1153"/>
      <c r="X4" s="1153"/>
      <c r="Y4" s="559"/>
      <c r="Z4" s="559"/>
      <c r="AA4" s="559"/>
      <c r="AB4" s="1153" t="s">
        <v>855</v>
      </c>
      <c r="AC4" s="1153"/>
      <c r="AD4" s="1153"/>
      <c r="AE4" s="1153"/>
      <c r="AF4" s="1153"/>
      <c r="AG4" s="1153"/>
      <c r="AH4" s="559"/>
      <c r="AI4" s="559"/>
      <c r="AJ4" s="1153" t="s">
        <v>856</v>
      </c>
      <c r="AK4" s="1153"/>
      <c r="AL4" s="1153"/>
      <c r="AM4" s="1153"/>
      <c r="AN4" s="1153"/>
      <c r="AO4" s="1153"/>
      <c r="AP4" s="566"/>
      <c r="AQ4" s="560"/>
      <c r="AR4" s="1154" t="s">
        <v>857</v>
      </c>
      <c r="AS4" s="1154"/>
      <c r="AT4" s="1154"/>
      <c r="AU4" s="1154"/>
      <c r="AX4" s="1146" t="s">
        <v>858</v>
      </c>
      <c r="AY4" s="1146"/>
      <c r="AZ4" s="1146"/>
      <c r="BA4" s="1146"/>
      <c r="BB4" s="1146"/>
      <c r="BC4" s="1146"/>
      <c r="BD4" s="1146"/>
      <c r="BE4" s="1146"/>
      <c r="BL4" s="567"/>
      <c r="BP4" s="435"/>
      <c r="BZ4" s="561" t="s">
        <v>859</v>
      </c>
      <c r="CA4" s="568">
        <f>SUM(CA7:CA22)</f>
        <v>249.69</v>
      </c>
      <c r="CB4" s="305">
        <f>SUM(CB7:CB22)</f>
        <v>33852.507318900003</v>
      </c>
    </row>
    <row r="5" spans="1:108" ht="28.5" customHeight="1" thickBot="1" x14ac:dyDescent="0.3">
      <c r="A5" s="1147" t="s">
        <v>860</v>
      </c>
      <c r="B5" s="1149" t="s">
        <v>861</v>
      </c>
      <c r="C5" s="1150"/>
      <c r="D5" s="1150"/>
      <c r="E5" s="1150"/>
      <c r="F5" s="1150"/>
      <c r="G5" s="559"/>
      <c r="H5" s="559"/>
      <c r="I5" s="559"/>
      <c r="J5" s="1147" t="s">
        <v>860</v>
      </c>
      <c r="K5" s="1149" t="s">
        <v>861</v>
      </c>
      <c r="L5" s="1150"/>
      <c r="M5" s="1150"/>
      <c r="N5" s="1150"/>
      <c r="O5" s="1152"/>
      <c r="P5" s="559"/>
      <c r="Q5" s="559"/>
      <c r="R5" s="559"/>
      <c r="S5" s="1147" t="s">
        <v>860</v>
      </c>
      <c r="T5" s="1149" t="s">
        <v>861</v>
      </c>
      <c r="U5" s="1150"/>
      <c r="V5" s="1150"/>
      <c r="W5" s="1150"/>
      <c r="X5" s="1150"/>
      <c r="Y5" s="559"/>
      <c r="Z5" s="559"/>
      <c r="AA5" s="559"/>
      <c r="AB5" s="1147" t="s">
        <v>860</v>
      </c>
      <c r="AC5" s="1149" t="s">
        <v>861</v>
      </c>
      <c r="AD5" s="1150"/>
      <c r="AE5" s="1150"/>
      <c r="AF5" s="1150"/>
      <c r="AG5" s="1152"/>
      <c r="AH5" s="559"/>
      <c r="AI5" s="559"/>
      <c r="AJ5" s="1147" t="s">
        <v>860</v>
      </c>
      <c r="AK5" s="1149" t="s">
        <v>861</v>
      </c>
      <c r="AL5" s="1150"/>
      <c r="AM5" s="1150"/>
      <c r="AN5" s="1150"/>
      <c r="AO5" s="1152"/>
      <c r="AP5" s="566"/>
      <c r="AQ5" s="560"/>
      <c r="AX5" s="1147" t="s">
        <v>860</v>
      </c>
      <c r="AY5" s="1155" t="s">
        <v>862</v>
      </c>
      <c r="AZ5" s="1156"/>
      <c r="BA5" s="1156"/>
      <c r="BB5" s="1156"/>
      <c r="BC5" s="1156"/>
      <c r="BD5" s="1156"/>
      <c r="BE5" s="1157"/>
      <c r="BH5" s="569"/>
      <c r="BL5" s="1139" t="s">
        <v>863</v>
      </c>
      <c r="BM5" s="1139"/>
      <c r="BN5" s="1139"/>
      <c r="BO5" s="1139"/>
      <c r="BY5" s="570" t="s">
        <v>864</v>
      </c>
    </row>
    <row r="6" spans="1:108" ht="119.25" customHeight="1" thickBot="1" x14ac:dyDescent="0.3">
      <c r="A6" s="1148"/>
      <c r="B6" s="571" t="s">
        <v>527</v>
      </c>
      <c r="C6" s="571" t="s">
        <v>591</v>
      </c>
      <c r="D6" s="571" t="s">
        <v>865</v>
      </c>
      <c r="E6" s="571" t="s">
        <v>693</v>
      </c>
      <c r="F6" s="571" t="s">
        <v>866</v>
      </c>
      <c r="G6" s="559"/>
      <c r="H6" s="559"/>
      <c r="I6" s="559"/>
      <c r="J6" s="1151"/>
      <c r="K6" s="572" t="s">
        <v>527</v>
      </c>
      <c r="L6" s="572" t="s">
        <v>591</v>
      </c>
      <c r="M6" s="572" t="s">
        <v>865</v>
      </c>
      <c r="N6" s="571" t="s">
        <v>693</v>
      </c>
      <c r="O6" s="571" t="s">
        <v>866</v>
      </c>
      <c r="P6" s="559"/>
      <c r="Q6" s="559"/>
      <c r="R6" s="559"/>
      <c r="S6" s="1148"/>
      <c r="T6" s="571" t="s">
        <v>527</v>
      </c>
      <c r="U6" s="571" t="s">
        <v>591</v>
      </c>
      <c r="V6" s="571" t="s">
        <v>865</v>
      </c>
      <c r="W6" s="571" t="s">
        <v>693</v>
      </c>
      <c r="X6" s="571" t="s">
        <v>866</v>
      </c>
      <c r="Y6" s="559"/>
      <c r="Z6" s="559"/>
      <c r="AA6" s="559"/>
      <c r="AB6" s="1151"/>
      <c r="AC6" s="572" t="s">
        <v>527</v>
      </c>
      <c r="AD6" s="572" t="s">
        <v>591</v>
      </c>
      <c r="AE6" s="572" t="s">
        <v>865</v>
      </c>
      <c r="AF6" s="572" t="s">
        <v>693</v>
      </c>
      <c r="AG6" s="572" t="s">
        <v>866</v>
      </c>
      <c r="AH6" s="559"/>
      <c r="AI6" s="559"/>
      <c r="AJ6" s="1151"/>
      <c r="AK6" s="572" t="s">
        <v>527</v>
      </c>
      <c r="AL6" s="572" t="s">
        <v>591</v>
      </c>
      <c r="AM6" s="572" t="s">
        <v>865</v>
      </c>
      <c r="AN6" s="572" t="s">
        <v>693</v>
      </c>
      <c r="AO6" s="573" t="s">
        <v>866</v>
      </c>
      <c r="AP6" s="566"/>
      <c r="AQ6" s="574" t="s">
        <v>418</v>
      </c>
      <c r="AR6" s="575" t="str">
        <f>AJ5</f>
        <v>Industry segment</v>
      </c>
      <c r="AS6" s="575" t="s">
        <v>430</v>
      </c>
      <c r="AT6" s="575" t="s">
        <v>431</v>
      </c>
      <c r="AU6" s="575" t="s">
        <v>43</v>
      </c>
      <c r="AW6" s="574" t="s">
        <v>418</v>
      </c>
      <c r="AX6" s="1148"/>
      <c r="AY6" s="576" t="s">
        <v>867</v>
      </c>
      <c r="AZ6" s="576" t="s">
        <v>868</v>
      </c>
      <c r="BA6" s="576" t="s">
        <v>869</v>
      </c>
      <c r="BB6" s="576" t="s">
        <v>870</v>
      </c>
      <c r="BC6" s="576" t="s">
        <v>871</v>
      </c>
      <c r="BD6" s="576" t="s">
        <v>872</v>
      </c>
      <c r="BE6" s="576" t="s">
        <v>870</v>
      </c>
      <c r="BG6" s="577" t="s">
        <v>873</v>
      </c>
      <c r="BH6" s="578" t="s">
        <v>874</v>
      </c>
      <c r="BI6" s="578" t="s">
        <v>875</v>
      </c>
      <c r="BJ6" s="578" t="s">
        <v>876</v>
      </c>
      <c r="BK6" s="578" t="s">
        <v>877</v>
      </c>
      <c r="BL6" s="579" t="s">
        <v>878</v>
      </c>
      <c r="BM6" s="580" t="s">
        <v>879</v>
      </c>
      <c r="BN6" s="581" t="s">
        <v>880</v>
      </c>
      <c r="BO6" s="581" t="s">
        <v>881</v>
      </c>
      <c r="BP6" s="578" t="s">
        <v>882</v>
      </c>
      <c r="BR6" s="582" t="s">
        <v>883</v>
      </c>
      <c r="BS6" s="583" t="s">
        <v>884</v>
      </c>
      <c r="BT6" s="584" t="s">
        <v>885</v>
      </c>
      <c r="BU6" s="584" t="s">
        <v>886</v>
      </c>
      <c r="BV6" s="584" t="s">
        <v>877</v>
      </c>
      <c r="BW6" s="583" t="s">
        <v>887</v>
      </c>
      <c r="BX6" s="584" t="s">
        <v>888</v>
      </c>
      <c r="BY6" s="585" t="s">
        <v>889</v>
      </c>
      <c r="BZ6" s="586" t="s">
        <v>419</v>
      </c>
      <c r="CA6" s="586" t="s">
        <v>890</v>
      </c>
      <c r="CB6" s="586" t="s">
        <v>891</v>
      </c>
    </row>
    <row r="7" spans="1:108" s="601" customFormat="1" ht="48.75" customHeight="1" thickBot="1" x14ac:dyDescent="0.3">
      <c r="A7" s="1116" t="s">
        <v>892</v>
      </c>
      <c r="B7" s="1133"/>
      <c r="C7" s="1131">
        <v>49</v>
      </c>
      <c r="D7" s="1131">
        <v>5</v>
      </c>
      <c r="E7" s="1133">
        <v>454</v>
      </c>
      <c r="F7" s="1133">
        <v>104</v>
      </c>
      <c r="G7" s="587"/>
      <c r="H7" s="587"/>
      <c r="I7" s="587" t="s">
        <v>431</v>
      </c>
      <c r="J7" s="1115" t="s">
        <v>892</v>
      </c>
      <c r="K7" s="589"/>
      <c r="L7" s="590"/>
      <c r="M7" s="589"/>
      <c r="N7" s="591"/>
      <c r="O7" s="591">
        <v>0</v>
      </c>
      <c r="P7" s="587"/>
      <c r="Q7" s="587"/>
      <c r="R7" s="587" t="s">
        <v>431</v>
      </c>
      <c r="S7" s="1116" t="s">
        <v>892</v>
      </c>
      <c r="T7" s="592"/>
      <c r="U7" s="592">
        <v>0</v>
      </c>
      <c r="V7" s="592">
        <v>0</v>
      </c>
      <c r="W7" s="592">
        <v>0</v>
      </c>
      <c r="X7" s="592">
        <v>0</v>
      </c>
      <c r="Y7" s="587"/>
      <c r="Z7" s="587"/>
      <c r="AA7" s="587" t="s">
        <v>431</v>
      </c>
      <c r="AB7" s="1116" t="s">
        <v>892</v>
      </c>
      <c r="AC7" s="592"/>
      <c r="AD7" s="592">
        <v>0</v>
      </c>
      <c r="AE7" s="592">
        <v>0</v>
      </c>
      <c r="AF7" s="592">
        <v>0</v>
      </c>
      <c r="AG7" s="592">
        <v>0</v>
      </c>
      <c r="AH7" s="587"/>
      <c r="AI7" s="587" t="s">
        <v>431</v>
      </c>
      <c r="AJ7" s="1116" t="s">
        <v>892</v>
      </c>
      <c r="AK7" s="592"/>
      <c r="AL7" s="592">
        <v>0</v>
      </c>
      <c r="AM7" s="592">
        <v>0</v>
      </c>
      <c r="AN7" s="592">
        <v>0</v>
      </c>
      <c r="AO7" s="593">
        <v>0</v>
      </c>
      <c r="AP7" s="594"/>
      <c r="AQ7" s="595">
        <v>5</v>
      </c>
      <c r="AR7" s="596" t="str">
        <f>AJ7</f>
        <v>Onshore Natural Gas Processing</v>
      </c>
      <c r="AS7" s="597">
        <f>SUM(AK8:AO8)</f>
        <v>1243.9698566032182</v>
      </c>
      <c r="AT7" s="598">
        <f>SUM(AK7:AO7)</f>
        <v>0</v>
      </c>
      <c r="AU7" s="597">
        <f>AS7+AT7</f>
        <v>1243.9698566032182</v>
      </c>
      <c r="AV7" s="599" t="e">
        <f>AS7/[1]Rates!$J$7</f>
        <v>#DIV/0!</v>
      </c>
      <c r="AW7" s="595">
        <v>5</v>
      </c>
      <c r="AX7" s="1116" t="s">
        <v>892</v>
      </c>
      <c r="AY7" s="1118"/>
      <c r="AZ7" s="1135">
        <v>4</v>
      </c>
      <c r="BA7" s="1135">
        <v>5</v>
      </c>
      <c r="BB7" s="1140">
        <v>0.01</v>
      </c>
      <c r="BC7" s="1135">
        <v>4.5</v>
      </c>
      <c r="BD7" s="1142">
        <f>20/60</f>
        <v>0.33333333333333331</v>
      </c>
      <c r="BE7" s="1144">
        <v>0.4</v>
      </c>
      <c r="BG7" s="602">
        <v>9.3800000000000008</v>
      </c>
      <c r="BH7" s="603">
        <v>-0.61</v>
      </c>
      <c r="BI7" s="603">
        <v>0.47</v>
      </c>
      <c r="BJ7" s="603">
        <v>0.94</v>
      </c>
      <c r="BK7" s="602">
        <f>SUM(BG7:BJ7)</f>
        <v>10.180000000000001</v>
      </c>
      <c r="BL7" s="604">
        <f>BG7*Eng</f>
        <v>1033.374902</v>
      </c>
      <c r="BM7" s="604">
        <f>BH7*Tech</f>
        <v>-45.034476099999999</v>
      </c>
      <c r="BN7" s="605">
        <f>BI7*SrManager</f>
        <v>62.1877633</v>
      </c>
      <c r="BO7" s="605">
        <f>BJ7*MdManager</f>
        <v>116.05147880000001</v>
      </c>
      <c r="BP7" s="604">
        <f>SUM(BL7:BO7)</f>
        <v>1166.5796680000001</v>
      </c>
      <c r="BQ7"/>
      <c r="BR7" s="436">
        <f>VLOOKUP(AW7,'[1]New Reporters'!$A$4:$E$13,5,FALSE)</f>
        <v>0</v>
      </c>
      <c r="BS7" s="446">
        <f>BG7*$BR7</f>
        <v>0</v>
      </c>
      <c r="BT7" s="446">
        <f>BH7*$BR7</f>
        <v>0</v>
      </c>
      <c r="BU7" s="446">
        <f>BI7*$BR7</f>
        <v>0</v>
      </c>
      <c r="BV7" s="446">
        <f>BK7*$BR7</f>
        <v>0</v>
      </c>
      <c r="BW7" s="606">
        <f>BL7*$BR7</f>
        <v>0</v>
      </c>
      <c r="BX7" s="606">
        <f>BM7*$BR7</f>
        <v>0</v>
      </c>
      <c r="BY7" s="606">
        <f>BN7*$BR7</f>
        <v>0</v>
      </c>
      <c r="BZ7" s="607" t="str">
        <f>VLOOKUP(AW7,'[1]New Reporters'!$A$4:$E$13,2,FALSE)</f>
        <v>Natural Gas Processing</v>
      </c>
      <c r="CA7" s="608">
        <f>SUM(BS7,BT7,BU7)</f>
        <v>0</v>
      </c>
      <c r="CB7" s="434">
        <f>SUM(BW7,BX7,BY7)</f>
        <v>0</v>
      </c>
      <c r="CC7" s="53"/>
      <c r="CD7"/>
      <c r="CE7"/>
      <c r="CF7" s="435"/>
      <c r="CG7"/>
      <c r="CH7"/>
      <c r="CI7"/>
      <c r="CJ7"/>
      <c r="CK7"/>
      <c r="CL7"/>
      <c r="CM7"/>
      <c r="CN7"/>
      <c r="CO7"/>
      <c r="CP7"/>
      <c r="CQ7"/>
      <c r="CR7"/>
      <c r="CS7"/>
      <c r="CT7"/>
      <c r="CU7"/>
      <c r="CV7"/>
      <c r="CW7"/>
      <c r="CX7"/>
      <c r="CY7"/>
      <c r="CZ7"/>
      <c r="DA7"/>
      <c r="DB7"/>
      <c r="DC7"/>
      <c r="DD7"/>
    </row>
    <row r="8" spans="1:108" s="601" customFormat="1" ht="15.75" thickBot="1" x14ac:dyDescent="0.3">
      <c r="A8" s="1117"/>
      <c r="B8" s="1134"/>
      <c r="C8" s="1132"/>
      <c r="D8" s="1132"/>
      <c r="E8" s="1134"/>
      <c r="F8" s="1132"/>
      <c r="G8" s="587"/>
      <c r="H8" s="587"/>
      <c r="I8" s="587" t="s">
        <v>893</v>
      </c>
      <c r="J8" s="1115"/>
      <c r="K8" s="589"/>
      <c r="L8" s="590"/>
      <c r="M8" s="589"/>
      <c r="N8" s="591"/>
      <c r="O8" s="591">
        <v>10766.958749999998</v>
      </c>
      <c r="P8" s="587"/>
      <c r="Q8" s="587"/>
      <c r="R8" s="587" t="s">
        <v>893</v>
      </c>
      <c r="S8" s="1117"/>
      <c r="T8" s="592"/>
      <c r="U8" s="592">
        <v>18088.511999999999</v>
      </c>
      <c r="V8" s="592">
        <v>2445.8625000000002</v>
      </c>
      <c r="W8" s="592">
        <v>222084.315</v>
      </c>
      <c r="X8" s="592">
        <v>0</v>
      </c>
      <c r="Y8" s="587"/>
      <c r="Z8" s="587"/>
      <c r="AA8" s="587" t="s">
        <v>893</v>
      </c>
      <c r="AB8" s="1117"/>
      <c r="AC8" s="592"/>
      <c r="AD8" s="592">
        <v>18088.511999999999</v>
      </c>
      <c r="AE8" s="592">
        <v>2445.8625000000002</v>
      </c>
      <c r="AF8" s="592">
        <v>222084.315</v>
      </c>
      <c r="AG8" s="592">
        <v>-10766.958749999998</v>
      </c>
      <c r="AH8" s="587"/>
      <c r="AI8" s="587" t="s">
        <v>893</v>
      </c>
      <c r="AJ8" s="1117"/>
      <c r="AK8" s="592"/>
      <c r="AL8" s="592">
        <f>AD8/C7</f>
        <v>369.15330612244895</v>
      </c>
      <c r="AM8" s="592">
        <f>AE8/D7</f>
        <v>489.17250000000001</v>
      </c>
      <c r="AN8" s="592">
        <f>AF8/E7</f>
        <v>489.17250000000001</v>
      </c>
      <c r="AO8" s="593">
        <f>AG8/F7</f>
        <v>-103.52844951923075</v>
      </c>
      <c r="AP8" s="594"/>
      <c r="AQ8" s="595"/>
      <c r="AR8" s="596"/>
      <c r="AS8" s="610"/>
      <c r="AT8" s="610"/>
      <c r="AU8" s="610"/>
      <c r="AW8" s="595"/>
      <c r="AX8" s="1117"/>
      <c r="AY8" s="1119"/>
      <c r="AZ8" s="1136"/>
      <c r="BA8" s="1136"/>
      <c r="BB8" s="1141"/>
      <c r="BC8" s="1136"/>
      <c r="BD8" s="1143"/>
      <c r="BE8" s="1145"/>
      <c r="BG8" s="610"/>
      <c r="BH8" s="610"/>
      <c r="BI8" s="610"/>
      <c r="BJ8" s="610"/>
      <c r="BK8" s="602">
        <f t="shared" ref="BK8:BK22" si="0">SUM(BG8:BJ8)</f>
        <v>0</v>
      </c>
      <c r="BL8" s="610"/>
      <c r="BM8" s="610"/>
      <c r="BN8" s="612"/>
      <c r="BO8" s="612"/>
      <c r="BP8" s="610"/>
      <c r="BQ8"/>
      <c r="BR8" s="436"/>
      <c r="BS8" s="446"/>
      <c r="BT8" s="446"/>
      <c r="BU8" s="446"/>
      <c r="BV8" s="446"/>
      <c r="BW8" s="606"/>
      <c r="BX8" s="606"/>
      <c r="BY8" s="606"/>
      <c r="BZ8" s="613"/>
      <c r="CA8" s="436"/>
      <c r="CB8" s="436"/>
      <c r="CC8"/>
      <c r="CD8"/>
      <c r="CE8"/>
      <c r="CF8"/>
      <c r="CG8"/>
      <c r="CH8"/>
      <c r="CI8"/>
      <c r="CJ8"/>
      <c r="CK8"/>
      <c r="CL8"/>
      <c r="CM8"/>
      <c r="CN8"/>
      <c r="CO8"/>
      <c r="CP8"/>
      <c r="CQ8"/>
      <c r="CR8"/>
      <c r="CS8"/>
      <c r="CT8"/>
      <c r="CU8"/>
      <c r="CV8"/>
      <c r="CW8"/>
      <c r="CX8"/>
      <c r="CY8"/>
      <c r="CZ8"/>
      <c r="DA8"/>
      <c r="DB8"/>
      <c r="DC8"/>
      <c r="DD8"/>
    </row>
    <row r="9" spans="1:108" s="601" customFormat="1" ht="54" customHeight="1" thickBot="1" x14ac:dyDescent="0.3">
      <c r="A9" s="1116" t="s">
        <v>894</v>
      </c>
      <c r="B9" s="1133"/>
      <c r="C9" s="1133"/>
      <c r="D9" s="1131">
        <v>5</v>
      </c>
      <c r="E9" s="1133"/>
      <c r="F9" s="1131"/>
      <c r="G9" s="587"/>
      <c r="H9" s="587"/>
      <c r="I9" s="587" t="s">
        <v>431</v>
      </c>
      <c r="J9" s="1115" t="s">
        <v>894</v>
      </c>
      <c r="K9" s="589"/>
      <c r="L9" s="614"/>
      <c r="M9" s="589"/>
      <c r="N9" s="615"/>
      <c r="O9" s="615"/>
      <c r="P9" s="587"/>
      <c r="Q9" s="587"/>
      <c r="R9" s="587" t="s">
        <v>431</v>
      </c>
      <c r="S9" s="1116" t="s">
        <v>894</v>
      </c>
      <c r="T9" s="592"/>
      <c r="U9" s="592"/>
      <c r="V9" s="592">
        <v>0</v>
      </c>
      <c r="W9" s="592"/>
      <c r="X9" s="616"/>
      <c r="Y9" s="587"/>
      <c r="Z9" s="587"/>
      <c r="AA9" s="587" t="s">
        <v>431</v>
      </c>
      <c r="AB9" s="1116" t="s">
        <v>894</v>
      </c>
      <c r="AC9" s="592"/>
      <c r="AD9" s="592"/>
      <c r="AE9" s="592">
        <v>0</v>
      </c>
      <c r="AF9" s="592"/>
      <c r="AG9" s="592"/>
      <c r="AH9" s="587"/>
      <c r="AI9" s="587" t="s">
        <v>431</v>
      </c>
      <c r="AJ9" s="1116" t="s">
        <v>894</v>
      </c>
      <c r="AK9" s="592"/>
      <c r="AL9" s="592"/>
      <c r="AM9" s="592">
        <v>0</v>
      </c>
      <c r="AN9" s="592"/>
      <c r="AO9" s="593"/>
      <c r="AP9" s="594"/>
      <c r="AQ9" s="595">
        <v>6</v>
      </c>
      <c r="AR9" s="596" t="str">
        <f>AJ9</f>
        <v>Onshore Natural Gas Transmission Compression</v>
      </c>
      <c r="AS9" s="597">
        <f>SUM(AK10:AO10)</f>
        <v>576.13650000000007</v>
      </c>
      <c r="AT9" s="598">
        <f>SUM(AK9:AO9)</f>
        <v>0</v>
      </c>
      <c r="AU9" s="597">
        <f>AS9+AT9</f>
        <v>576.13650000000007</v>
      </c>
      <c r="AV9" s="599" t="e">
        <f>AS9/[1]Rates!$J$7</f>
        <v>#DIV/0!</v>
      </c>
      <c r="AW9" s="595">
        <v>6</v>
      </c>
      <c r="AX9" s="1116" t="s">
        <v>894</v>
      </c>
      <c r="AY9" s="1118"/>
      <c r="AZ9" s="1118"/>
      <c r="BA9" s="1135">
        <v>5</v>
      </c>
      <c r="BB9" s="600">
        <v>0.01</v>
      </c>
      <c r="BC9" s="1118"/>
      <c r="BD9" s="1118"/>
      <c r="BE9" s="1118"/>
      <c r="BG9" s="617">
        <v>5</v>
      </c>
      <c r="BH9" s="617">
        <v>0</v>
      </c>
      <c r="BI9" s="618">
        <v>0.25</v>
      </c>
      <c r="BJ9" s="618">
        <v>0.5</v>
      </c>
      <c r="BK9" s="602">
        <f t="shared" si="0"/>
        <v>5.75</v>
      </c>
      <c r="BL9" s="604">
        <f>BG9*Eng</f>
        <v>550.83950000000004</v>
      </c>
      <c r="BM9" s="604">
        <f>BH9*Tech</f>
        <v>0</v>
      </c>
      <c r="BN9" s="605">
        <f>BI9*SrManager</f>
        <v>33.078597500000001</v>
      </c>
      <c r="BO9" s="605">
        <f>BJ9*MdManager</f>
        <v>61.729510000000012</v>
      </c>
      <c r="BP9" s="604">
        <f>SUM(BL9:BO9)</f>
        <v>645.64760750000005</v>
      </c>
      <c r="BQ9"/>
      <c r="BR9" s="436">
        <f>VLOOKUP(AW9,'[1]New Reporters'!$A$4:$E$13,5,FALSE)</f>
        <v>14</v>
      </c>
      <c r="BS9" s="446">
        <f t="shared" ref="BS9:BU22" si="1">BG9*$BR9</f>
        <v>70</v>
      </c>
      <c r="BT9" s="446">
        <f t="shared" si="1"/>
        <v>0</v>
      </c>
      <c r="BU9" s="446">
        <f t="shared" si="1"/>
        <v>3.5</v>
      </c>
      <c r="BV9" s="446">
        <f t="shared" ref="BV9:BY22" si="2">BK9*$BR9</f>
        <v>80.5</v>
      </c>
      <c r="BW9" s="606">
        <f t="shared" si="2"/>
        <v>7711.7530000000006</v>
      </c>
      <c r="BX9" s="606">
        <f t="shared" si="2"/>
        <v>0</v>
      </c>
      <c r="BY9" s="606">
        <f t="shared" si="2"/>
        <v>463.10036500000001</v>
      </c>
      <c r="BZ9" s="613" t="str">
        <f>VLOOKUP(AW9,'[1]New Reporters'!$A$4:$E$13,2,FALSE)</f>
        <v>Natural Gas Transmission Compression</v>
      </c>
      <c r="CA9" s="446">
        <f>SUM(BS9,BT9,BU9)</f>
        <v>73.5</v>
      </c>
      <c r="CB9" s="442">
        <f>SUM(BW9,BX9,BY9)</f>
        <v>8174.8533650000008</v>
      </c>
      <c r="CC9" s="53"/>
      <c r="CD9"/>
      <c r="CE9"/>
      <c r="CF9" s="435"/>
      <c r="CG9"/>
      <c r="CH9"/>
      <c r="CI9"/>
      <c r="CJ9"/>
      <c r="CK9"/>
      <c r="CL9"/>
      <c r="CM9"/>
      <c r="CN9"/>
      <c r="CO9"/>
      <c r="CP9"/>
      <c r="CQ9"/>
      <c r="CR9"/>
      <c r="CS9"/>
      <c r="CT9"/>
      <c r="CU9"/>
      <c r="CV9"/>
      <c r="CW9"/>
      <c r="CX9"/>
      <c r="CY9"/>
      <c r="CZ9"/>
      <c r="DA9"/>
      <c r="DB9"/>
      <c r="DC9"/>
      <c r="DD9"/>
    </row>
    <row r="10" spans="1:108" s="601" customFormat="1" ht="18.75" customHeight="1" thickBot="1" x14ac:dyDescent="0.3">
      <c r="A10" s="1117"/>
      <c r="B10" s="1134"/>
      <c r="C10" s="1134"/>
      <c r="D10" s="1132"/>
      <c r="E10" s="1134"/>
      <c r="F10" s="1132"/>
      <c r="G10" s="587"/>
      <c r="H10" s="587"/>
      <c r="I10" s="587" t="s">
        <v>893</v>
      </c>
      <c r="J10" s="1115"/>
      <c r="K10" s="589"/>
      <c r="L10" s="614"/>
      <c r="M10" s="589"/>
      <c r="N10" s="619"/>
      <c r="O10" s="619"/>
      <c r="P10" s="587"/>
      <c r="Q10" s="587"/>
      <c r="R10" s="587" t="s">
        <v>893</v>
      </c>
      <c r="S10" s="1117"/>
      <c r="T10" s="592"/>
      <c r="U10" s="592"/>
      <c r="V10" s="592">
        <v>2880.6825000000003</v>
      </c>
      <c r="W10" s="592"/>
      <c r="X10" s="620"/>
      <c r="Y10" s="587"/>
      <c r="Z10" s="587"/>
      <c r="AA10" s="587" t="s">
        <v>893</v>
      </c>
      <c r="AB10" s="1117"/>
      <c r="AC10" s="592"/>
      <c r="AD10" s="592"/>
      <c r="AE10" s="592">
        <v>2880.6825000000003</v>
      </c>
      <c r="AF10" s="592"/>
      <c r="AG10" s="592"/>
      <c r="AH10" s="587"/>
      <c r="AI10" s="587" t="s">
        <v>893</v>
      </c>
      <c r="AJ10" s="1117"/>
      <c r="AK10" s="592"/>
      <c r="AL10" s="592"/>
      <c r="AM10" s="592">
        <f>AE10/D9</f>
        <v>576.13650000000007</v>
      </c>
      <c r="AN10" s="592"/>
      <c r="AO10" s="593"/>
      <c r="AP10" s="594"/>
      <c r="AQ10" s="595"/>
      <c r="AR10" s="596"/>
      <c r="AS10" s="610"/>
      <c r="AT10" s="610"/>
      <c r="AU10" s="610"/>
      <c r="AW10" s="595"/>
      <c r="AX10" s="1117"/>
      <c r="AY10" s="1119"/>
      <c r="AZ10" s="1119"/>
      <c r="BA10" s="1136"/>
      <c r="BB10" s="611"/>
      <c r="BC10" s="1119"/>
      <c r="BD10" s="1119"/>
      <c r="BE10" s="1119"/>
      <c r="BG10" s="617"/>
      <c r="BH10" s="617"/>
      <c r="BI10" s="618"/>
      <c r="BJ10" s="618"/>
      <c r="BK10" s="602">
        <f t="shared" si="0"/>
        <v>0</v>
      </c>
      <c r="BL10" s="610"/>
      <c r="BM10" s="610"/>
      <c r="BN10" s="612"/>
      <c r="BO10" s="612"/>
      <c r="BP10" s="610"/>
      <c r="BQ10"/>
      <c r="BR10" s="436"/>
      <c r="BS10" s="446"/>
      <c r="BT10" s="446"/>
      <c r="BU10" s="446"/>
      <c r="BV10" s="446"/>
      <c r="BW10" s="606"/>
      <c r="BX10" s="606"/>
      <c r="BY10" s="606"/>
      <c r="BZ10" s="613"/>
      <c r="CA10" s="436"/>
      <c r="CB10" s="436"/>
      <c r="CC10"/>
      <c r="CD10"/>
      <c r="CE10"/>
      <c r="CF10"/>
      <c r="CG10"/>
      <c r="CH10"/>
      <c r="CI10"/>
      <c r="CJ10"/>
      <c r="CK10"/>
      <c r="CL10"/>
      <c r="CM10"/>
      <c r="CN10"/>
      <c r="CO10"/>
      <c r="CP10"/>
      <c r="CQ10"/>
      <c r="CR10"/>
      <c r="CS10"/>
      <c r="CT10"/>
      <c r="CU10"/>
      <c r="CV10"/>
      <c r="CW10"/>
      <c r="CX10"/>
      <c r="CY10"/>
      <c r="CZ10"/>
      <c r="DA10"/>
      <c r="DB10"/>
      <c r="DC10"/>
      <c r="DD10"/>
    </row>
    <row r="11" spans="1:108" s="601" customFormat="1" ht="50.25" customHeight="1" thickBot="1" x14ac:dyDescent="0.3">
      <c r="A11" s="1116" t="s">
        <v>441</v>
      </c>
      <c r="B11" s="1131"/>
      <c r="C11" s="1131"/>
      <c r="D11" s="1131">
        <v>1</v>
      </c>
      <c r="E11" s="1133"/>
      <c r="F11" s="1131"/>
      <c r="G11" s="587"/>
      <c r="H11" s="587"/>
      <c r="I11" s="587" t="s">
        <v>431</v>
      </c>
      <c r="J11" s="1115" t="s">
        <v>441</v>
      </c>
      <c r="K11" s="589"/>
      <c r="L11" s="614"/>
      <c r="M11" s="589"/>
      <c r="N11" s="619"/>
      <c r="O11" s="619"/>
      <c r="P11" s="587"/>
      <c r="Q11" s="587"/>
      <c r="R11" s="587" t="s">
        <v>431</v>
      </c>
      <c r="S11" s="1116" t="s">
        <v>441</v>
      </c>
      <c r="T11" s="592"/>
      <c r="U11" s="592"/>
      <c r="V11" s="592">
        <v>0</v>
      </c>
      <c r="W11" s="592"/>
      <c r="X11" s="620"/>
      <c r="Y11" s="587"/>
      <c r="Z11" s="587"/>
      <c r="AA11" s="587" t="s">
        <v>431</v>
      </c>
      <c r="AB11" s="1116" t="s">
        <v>441</v>
      </c>
      <c r="AC11" s="592"/>
      <c r="AD11" s="592"/>
      <c r="AE11" s="592">
        <v>0</v>
      </c>
      <c r="AF11" s="592"/>
      <c r="AG11" s="592"/>
      <c r="AH11" s="587"/>
      <c r="AI11" s="587" t="s">
        <v>431</v>
      </c>
      <c r="AJ11" s="1116" t="s">
        <v>441</v>
      </c>
      <c r="AK11" s="592"/>
      <c r="AL11" s="592"/>
      <c r="AM11" s="592">
        <v>0</v>
      </c>
      <c r="AN11" s="592"/>
      <c r="AO11" s="593"/>
      <c r="AP11" s="594"/>
      <c r="AQ11" s="595">
        <v>10</v>
      </c>
      <c r="AR11" s="596" t="str">
        <f>AJ11</f>
        <v>Underground Natural Gas Storage</v>
      </c>
      <c r="AS11" s="597">
        <f>SUM(AK12:AO12)</f>
        <v>271.76249999999999</v>
      </c>
      <c r="AT11" s="598">
        <f>SUM(AK11:AO11)</f>
        <v>0</v>
      </c>
      <c r="AU11" s="597">
        <f>AS11+AT11</f>
        <v>271.76249999999999</v>
      </c>
      <c r="AV11" s="599" t="e">
        <f>AS11/[1]Rates!$J$7</f>
        <v>#DIV/0!</v>
      </c>
      <c r="AW11" s="595">
        <v>10</v>
      </c>
      <c r="AX11" s="1116" t="s">
        <v>441</v>
      </c>
      <c r="AY11" s="1118"/>
      <c r="AZ11" s="1118"/>
      <c r="BA11" s="1135">
        <v>5</v>
      </c>
      <c r="BB11" s="600">
        <v>0.01</v>
      </c>
      <c r="BC11" s="1118"/>
      <c r="BD11" s="1118"/>
      <c r="BE11" s="1118"/>
      <c r="BG11" s="617">
        <v>5</v>
      </c>
      <c r="BH11" s="617">
        <v>0</v>
      </c>
      <c r="BI11" s="618">
        <v>0.25</v>
      </c>
      <c r="BJ11" s="618">
        <v>0.5</v>
      </c>
      <c r="BK11" s="602">
        <f t="shared" si="0"/>
        <v>5.75</v>
      </c>
      <c r="BL11" s="604">
        <f>BG11*Eng</f>
        <v>550.83950000000004</v>
      </c>
      <c r="BM11" s="604">
        <f>BH11*Tech</f>
        <v>0</v>
      </c>
      <c r="BN11" s="605">
        <f>BI11*SrManager</f>
        <v>33.078597500000001</v>
      </c>
      <c r="BO11" s="605">
        <f>BJ11*MdManager</f>
        <v>61.729510000000012</v>
      </c>
      <c r="BP11" s="604">
        <f>SUM(BL11:BO11)</f>
        <v>645.64760750000005</v>
      </c>
      <c r="BQ11"/>
      <c r="BR11" s="436">
        <f>VLOOKUP(AW11,'[1]New Reporters'!$A$4:$E$13,5,FALSE)</f>
        <v>3</v>
      </c>
      <c r="BS11" s="446">
        <f t="shared" si="1"/>
        <v>15</v>
      </c>
      <c r="BT11" s="446">
        <f t="shared" si="1"/>
        <v>0</v>
      </c>
      <c r="BU11" s="446">
        <f t="shared" si="1"/>
        <v>0.75</v>
      </c>
      <c r="BV11" s="446">
        <f t="shared" si="2"/>
        <v>17.25</v>
      </c>
      <c r="BW11" s="606">
        <f t="shared" si="2"/>
        <v>1652.5185000000001</v>
      </c>
      <c r="BX11" s="606">
        <f t="shared" si="2"/>
        <v>0</v>
      </c>
      <c r="BY11" s="606">
        <f t="shared" si="2"/>
        <v>99.235792500000002</v>
      </c>
      <c r="BZ11" s="613" t="str">
        <f>VLOOKUP(AW11,'[1]New Reporters'!$A$4:$E$13,2,FALSE)</f>
        <v>Underground Natural Gas Storage</v>
      </c>
      <c r="CA11" s="446">
        <f>SUM(BS11,BT11,BU11)</f>
        <v>15.75</v>
      </c>
      <c r="CB11" s="442">
        <f>SUM(BW11,BX11,BY11)</f>
        <v>1751.7542925000002</v>
      </c>
      <c r="CC11" s="53"/>
      <c r="CD11"/>
      <c r="CE11"/>
      <c r="CF11" s="435"/>
      <c r="CG11"/>
      <c r="CH11"/>
      <c r="CI11"/>
      <c r="CJ11"/>
      <c r="CK11"/>
      <c r="CL11"/>
      <c r="CM11"/>
      <c r="CN11"/>
      <c r="CO11"/>
      <c r="CP11"/>
      <c r="CQ11"/>
      <c r="CR11"/>
      <c r="CS11"/>
      <c r="CT11"/>
      <c r="CU11"/>
      <c r="CV11"/>
      <c r="CW11"/>
      <c r="CX11"/>
      <c r="CY11"/>
      <c r="CZ11"/>
      <c r="DA11"/>
      <c r="DB11"/>
      <c r="DC11"/>
      <c r="DD11"/>
    </row>
    <row r="12" spans="1:108" s="601" customFormat="1" ht="15.75" thickBot="1" x14ac:dyDescent="0.3">
      <c r="A12" s="1117"/>
      <c r="B12" s="1132"/>
      <c r="C12" s="1132"/>
      <c r="D12" s="1132"/>
      <c r="E12" s="1134"/>
      <c r="F12" s="1132"/>
      <c r="G12" s="587"/>
      <c r="H12" s="587"/>
      <c r="I12" s="587" t="s">
        <v>893</v>
      </c>
      <c r="J12" s="1115"/>
      <c r="K12" s="589"/>
      <c r="L12" s="588"/>
      <c r="M12" s="589"/>
      <c r="N12" s="619"/>
      <c r="O12" s="619"/>
      <c r="P12" s="587"/>
      <c r="Q12" s="587"/>
      <c r="R12" s="587" t="s">
        <v>893</v>
      </c>
      <c r="S12" s="1117"/>
      <c r="T12" s="592"/>
      <c r="U12" s="592"/>
      <c r="V12" s="592">
        <v>271.76249999999999</v>
      </c>
      <c r="W12" s="592"/>
      <c r="X12" s="620"/>
      <c r="Y12" s="587"/>
      <c r="Z12" s="587"/>
      <c r="AA12" s="587" t="s">
        <v>893</v>
      </c>
      <c r="AB12" s="1117"/>
      <c r="AC12" s="592"/>
      <c r="AD12" s="592"/>
      <c r="AE12" s="592">
        <v>271.76249999999999</v>
      </c>
      <c r="AF12" s="592"/>
      <c r="AG12" s="592"/>
      <c r="AH12" s="587"/>
      <c r="AI12" s="587" t="s">
        <v>893</v>
      </c>
      <c r="AJ12" s="1117"/>
      <c r="AK12" s="592"/>
      <c r="AL12" s="592"/>
      <c r="AM12" s="592">
        <f>AE12/D11</f>
        <v>271.76249999999999</v>
      </c>
      <c r="AN12" s="592"/>
      <c r="AO12" s="593"/>
      <c r="AP12" s="594"/>
      <c r="AQ12" s="595"/>
      <c r="AR12" s="596"/>
      <c r="AS12" s="610"/>
      <c r="AT12" s="610"/>
      <c r="AU12" s="610"/>
      <c r="AW12" s="595"/>
      <c r="AX12" s="1117"/>
      <c r="AY12" s="1119"/>
      <c r="AZ12" s="1119"/>
      <c r="BA12" s="1136"/>
      <c r="BB12" s="611"/>
      <c r="BC12" s="1119"/>
      <c r="BD12" s="1119"/>
      <c r="BE12" s="1119"/>
      <c r="BG12" s="610"/>
      <c r="BH12" s="610"/>
      <c r="BI12" s="610"/>
      <c r="BJ12" s="610"/>
      <c r="BK12" s="602">
        <f t="shared" si="0"/>
        <v>0</v>
      </c>
      <c r="BL12" s="610"/>
      <c r="BM12" s="610"/>
      <c r="BN12" s="612"/>
      <c r="BO12" s="612"/>
      <c r="BP12" s="610"/>
      <c r="BQ12"/>
      <c r="BR12" s="436"/>
      <c r="BS12" s="446"/>
      <c r="BT12" s="446"/>
      <c r="BU12" s="446"/>
      <c r="BV12" s="446"/>
      <c r="BW12" s="606"/>
      <c r="BX12" s="606"/>
      <c r="BY12" s="606"/>
      <c r="BZ12" s="613"/>
      <c r="CA12" s="436"/>
      <c r="CB12" s="436"/>
      <c r="CC12"/>
      <c r="CD12"/>
      <c r="CE12"/>
      <c r="CF12"/>
      <c r="CG12"/>
      <c r="CH12"/>
      <c r="CI12"/>
      <c r="CJ12"/>
      <c r="CK12"/>
      <c r="CL12"/>
      <c r="CM12"/>
      <c r="CN12"/>
      <c r="CO12"/>
      <c r="CP12"/>
      <c r="CQ12"/>
      <c r="CR12"/>
      <c r="CS12"/>
      <c r="CT12"/>
      <c r="CU12"/>
      <c r="CV12"/>
      <c r="CW12"/>
      <c r="CX12"/>
      <c r="CY12"/>
      <c r="CZ12"/>
      <c r="DA12"/>
      <c r="DB12"/>
      <c r="DC12"/>
      <c r="DD12"/>
    </row>
    <row r="13" spans="1:108" s="634" customFormat="1" ht="30.75" thickBot="1" x14ac:dyDescent="0.3">
      <c r="A13" s="1129" t="s">
        <v>895</v>
      </c>
      <c r="B13" s="1137">
        <v>6</v>
      </c>
      <c r="C13" s="1126"/>
      <c r="D13" s="1126">
        <v>0.1</v>
      </c>
      <c r="E13" s="1137"/>
      <c r="F13" s="1126"/>
      <c r="G13" s="559"/>
      <c r="H13" s="559"/>
      <c r="I13" s="559" t="s">
        <v>431</v>
      </c>
      <c r="J13" s="1128" t="s">
        <v>895</v>
      </c>
      <c r="K13" s="622"/>
      <c r="L13" s="621"/>
      <c r="M13" s="622"/>
      <c r="N13" s="623"/>
      <c r="O13" s="623"/>
      <c r="P13" s="559"/>
      <c r="Q13" s="559"/>
      <c r="R13" s="559" t="s">
        <v>431</v>
      </c>
      <c r="S13" s="1129" t="s">
        <v>895</v>
      </c>
      <c r="T13" s="624">
        <v>8666.6666666666661</v>
      </c>
      <c r="U13" s="624"/>
      <c r="V13" s="624">
        <v>0</v>
      </c>
      <c r="W13" s="624"/>
      <c r="X13" s="625"/>
      <c r="Y13" s="559"/>
      <c r="Z13" s="559"/>
      <c r="AA13" s="559" t="s">
        <v>431</v>
      </c>
      <c r="AB13" s="1129" t="s">
        <v>895</v>
      </c>
      <c r="AC13" s="624">
        <v>8666.6666666666661</v>
      </c>
      <c r="AD13" s="624"/>
      <c r="AE13" s="624">
        <v>0</v>
      </c>
      <c r="AF13" s="624"/>
      <c r="AG13" s="624"/>
      <c r="AH13" s="559"/>
      <c r="AI13" s="559" t="s">
        <v>431</v>
      </c>
      <c r="AJ13" s="1129" t="s">
        <v>895</v>
      </c>
      <c r="AK13" s="624">
        <f>AC13/B13</f>
        <v>1444.4444444444443</v>
      </c>
      <c r="AL13" s="624"/>
      <c r="AM13" s="624">
        <v>0</v>
      </c>
      <c r="AN13" s="624"/>
      <c r="AO13" s="626"/>
      <c r="AP13" s="627"/>
      <c r="AQ13" s="628">
        <v>2</v>
      </c>
      <c r="AR13" s="629" t="str">
        <f>AJ13</f>
        <v>LNG Import and Export Equipment</v>
      </c>
      <c r="AS13" s="630">
        <f>SUM(AK14:AO14)</f>
        <v>683.93562499999996</v>
      </c>
      <c r="AT13" s="631">
        <f>SUM(AK13:AO13)</f>
        <v>1444.4444444444443</v>
      </c>
      <c r="AU13" s="630">
        <f>AS13+AT13</f>
        <v>2128.3800694444444</v>
      </c>
      <c r="AV13" s="632" t="e">
        <f>AS13/[1]Rates!$J$7</f>
        <v>#DIV/0!</v>
      </c>
      <c r="AW13" s="628">
        <v>2</v>
      </c>
      <c r="AX13" s="1129" t="s">
        <v>895</v>
      </c>
      <c r="AY13" s="1124"/>
      <c r="AZ13" s="1124"/>
      <c r="BA13" s="1124"/>
      <c r="BB13" s="633"/>
      <c r="BC13" s="1124"/>
      <c r="BD13" s="1124"/>
      <c r="BE13" s="1124"/>
      <c r="BG13" s="635"/>
      <c r="BH13" s="635"/>
      <c r="BI13" s="635"/>
      <c r="BJ13" s="635"/>
      <c r="BK13" s="636">
        <f t="shared" si="0"/>
        <v>0</v>
      </c>
      <c r="BL13" s="635"/>
      <c r="BM13" s="635"/>
      <c r="BN13" s="637"/>
      <c r="BO13" s="637"/>
      <c r="BP13" s="635"/>
      <c r="BR13" s="635"/>
      <c r="BS13" s="638"/>
      <c r="BT13" s="638"/>
      <c r="BU13" s="638"/>
      <c r="BV13" s="638"/>
      <c r="BW13" s="639"/>
      <c r="BX13" s="639"/>
      <c r="BY13" s="639"/>
      <c r="BZ13" s="629"/>
      <c r="CA13" s="635"/>
      <c r="CB13" s="635"/>
      <c r="CC13" s="640"/>
      <c r="CF13" s="641"/>
    </row>
    <row r="14" spans="1:108" s="634" customFormat="1" ht="15.75" thickBot="1" x14ac:dyDescent="0.3">
      <c r="A14" s="1130"/>
      <c r="B14" s="1127"/>
      <c r="C14" s="1127"/>
      <c r="D14" s="1127"/>
      <c r="E14" s="1138"/>
      <c r="F14" s="1127"/>
      <c r="G14" s="559"/>
      <c r="H14" s="559"/>
      <c r="I14" s="559" t="s">
        <v>893</v>
      </c>
      <c r="J14" s="1128"/>
      <c r="K14" s="622"/>
      <c r="L14" s="621"/>
      <c r="M14" s="622"/>
      <c r="N14" s="623"/>
      <c r="O14" s="623"/>
      <c r="P14" s="559"/>
      <c r="Q14" s="559"/>
      <c r="R14" s="559" t="s">
        <v>893</v>
      </c>
      <c r="S14" s="1130"/>
      <c r="T14" s="624">
        <v>842.46375</v>
      </c>
      <c r="U14" s="624"/>
      <c r="V14" s="624">
        <v>54.352499999999999</v>
      </c>
      <c r="W14" s="624"/>
      <c r="X14" s="625"/>
      <c r="Y14" s="559"/>
      <c r="Z14" s="559"/>
      <c r="AA14" s="559" t="s">
        <v>893</v>
      </c>
      <c r="AB14" s="1130"/>
      <c r="AC14" s="624">
        <v>842.46375</v>
      </c>
      <c r="AD14" s="624"/>
      <c r="AE14" s="624">
        <v>54.352499999999999</v>
      </c>
      <c r="AF14" s="624"/>
      <c r="AG14" s="624">
        <v>0</v>
      </c>
      <c r="AH14" s="559"/>
      <c r="AI14" s="559" t="s">
        <v>893</v>
      </c>
      <c r="AJ14" s="1130"/>
      <c r="AK14" s="624">
        <f>AC14/B13</f>
        <v>140.41062500000001</v>
      </c>
      <c r="AL14" s="624"/>
      <c r="AM14" s="624">
        <f>AE14/D13</f>
        <v>543.52499999999998</v>
      </c>
      <c r="AN14" s="624"/>
      <c r="AO14" s="626">
        <v>0</v>
      </c>
      <c r="AP14" s="627"/>
      <c r="AQ14" s="628"/>
      <c r="AR14" s="629"/>
      <c r="AS14" s="635"/>
      <c r="AT14" s="635"/>
      <c r="AU14" s="635"/>
      <c r="AW14" s="628"/>
      <c r="AX14" s="1130"/>
      <c r="AY14" s="1125"/>
      <c r="AZ14" s="1125"/>
      <c r="BA14" s="1125"/>
      <c r="BB14" s="643"/>
      <c r="BC14" s="1125"/>
      <c r="BD14" s="1125"/>
      <c r="BE14" s="1125"/>
      <c r="BG14" s="635"/>
      <c r="BH14" s="635"/>
      <c r="BI14" s="635"/>
      <c r="BJ14" s="635"/>
      <c r="BK14" s="636">
        <f t="shared" si="0"/>
        <v>0</v>
      </c>
      <c r="BL14" s="635"/>
      <c r="BM14" s="635"/>
      <c r="BN14" s="637"/>
      <c r="BO14" s="637"/>
      <c r="BP14" s="635"/>
      <c r="BR14" s="635"/>
      <c r="BS14" s="638"/>
      <c r="BT14" s="638"/>
      <c r="BU14" s="638"/>
      <c r="BV14" s="638"/>
      <c r="BW14" s="639"/>
      <c r="BX14" s="639"/>
      <c r="BY14" s="639"/>
      <c r="BZ14" s="629"/>
      <c r="CA14" s="635"/>
      <c r="CB14" s="635"/>
    </row>
    <row r="15" spans="1:108" s="601" customFormat="1" ht="60.75" thickBot="1" x14ac:dyDescent="0.3">
      <c r="A15" s="609" t="s">
        <v>896</v>
      </c>
      <c r="B15" s="644"/>
      <c r="C15" s="644"/>
      <c r="D15" s="644">
        <v>15</v>
      </c>
      <c r="E15" s="644"/>
      <c r="F15" s="645">
        <v>23</v>
      </c>
      <c r="G15" s="587"/>
      <c r="H15" s="587"/>
      <c r="I15" s="587" t="s">
        <v>893</v>
      </c>
      <c r="J15" s="588" t="s">
        <v>896</v>
      </c>
      <c r="K15" s="588"/>
      <c r="L15" s="588"/>
      <c r="M15" s="588"/>
      <c r="N15" s="616"/>
      <c r="O15" s="591">
        <v>15095.767499999998</v>
      </c>
      <c r="P15" s="587"/>
      <c r="Q15" s="587"/>
      <c r="R15" s="587" t="s">
        <v>893</v>
      </c>
      <c r="S15" s="609" t="s">
        <v>896</v>
      </c>
      <c r="T15" s="592"/>
      <c r="U15" s="592"/>
      <c r="V15" s="592">
        <v>16197.045</v>
      </c>
      <c r="W15" s="592"/>
      <c r="X15" s="616">
        <v>0</v>
      </c>
      <c r="Y15" s="587"/>
      <c r="Z15" s="587"/>
      <c r="AA15" s="587" t="s">
        <v>893</v>
      </c>
      <c r="AB15" s="609" t="s">
        <v>896</v>
      </c>
      <c r="AC15" s="592"/>
      <c r="AD15" s="592"/>
      <c r="AE15" s="592">
        <v>16197.045</v>
      </c>
      <c r="AF15" s="592"/>
      <c r="AG15" s="592">
        <v>-15095.767499999998</v>
      </c>
      <c r="AH15" s="587"/>
      <c r="AI15" s="587" t="s">
        <v>893</v>
      </c>
      <c r="AJ15" s="609" t="s">
        <v>896</v>
      </c>
      <c r="AK15" s="592"/>
      <c r="AL15" s="592"/>
      <c r="AM15" s="592">
        <f>AE15/D15</f>
        <v>1079.8030000000001</v>
      </c>
      <c r="AN15" s="592"/>
      <c r="AO15" s="593">
        <f>AG15/F15</f>
        <v>-656.3377173913043</v>
      </c>
      <c r="AP15" s="594"/>
      <c r="AQ15" s="595">
        <v>9</v>
      </c>
      <c r="AR15" s="596" t="str">
        <f>AJ15</f>
        <v>Onshore Petroleum and Natural Gas Production</v>
      </c>
      <c r="AS15" s="597">
        <f>SUM(AK15:AO15)</f>
        <v>423.46528260869582</v>
      </c>
      <c r="AT15" s="610"/>
      <c r="AU15" s="597">
        <f>AS15+AT15</f>
        <v>423.46528260869582</v>
      </c>
      <c r="AV15" s="599" t="e">
        <f>AS15/[1]Rates!$J$7</f>
        <v>#DIV/0!</v>
      </c>
      <c r="AW15" s="595">
        <v>9</v>
      </c>
      <c r="AX15" s="609" t="s">
        <v>896</v>
      </c>
      <c r="AY15" s="646"/>
      <c r="AZ15" s="646"/>
      <c r="BA15" s="647">
        <v>5</v>
      </c>
      <c r="BB15" s="648">
        <v>0.03</v>
      </c>
      <c r="BC15" s="646"/>
      <c r="BD15" s="649">
        <f>20/60</f>
        <v>0.33333333333333331</v>
      </c>
      <c r="BE15" s="650">
        <v>0.4</v>
      </c>
      <c r="BG15" s="603">
        <v>6.13</v>
      </c>
      <c r="BH15" s="617">
        <v>-3.87</v>
      </c>
      <c r="BI15" s="617">
        <v>0.31</v>
      </c>
      <c r="BJ15" s="617">
        <v>0.61</v>
      </c>
      <c r="BK15" s="602">
        <f t="shared" si="0"/>
        <v>3.1799999999999997</v>
      </c>
      <c r="BL15" s="604">
        <f>BG15*Eng</f>
        <v>675.32922700000006</v>
      </c>
      <c r="BM15" s="604">
        <f>BH15*Tech</f>
        <v>-285.7105287</v>
      </c>
      <c r="BN15" s="605">
        <f>BI15*SrManager</f>
        <v>41.017460900000003</v>
      </c>
      <c r="BO15" s="605">
        <f>BJ15*MdManager</f>
        <v>75.310002200000014</v>
      </c>
      <c r="BP15" s="604">
        <f>SUM(BL15:BO15)</f>
        <v>505.94616140000005</v>
      </c>
      <c r="BQ15"/>
      <c r="BR15" s="436">
        <f>VLOOKUP(AW15,'[1]New Reporters'!$A$4:$E$13,5,FALSE)</f>
        <v>42</v>
      </c>
      <c r="BS15" s="446">
        <f t="shared" si="1"/>
        <v>257.45999999999998</v>
      </c>
      <c r="BT15" s="446">
        <f t="shared" si="1"/>
        <v>-162.54</v>
      </c>
      <c r="BU15" s="446">
        <f t="shared" si="1"/>
        <v>13.02</v>
      </c>
      <c r="BV15" s="446">
        <f t="shared" si="2"/>
        <v>133.56</v>
      </c>
      <c r="BW15" s="606">
        <f t="shared" si="2"/>
        <v>28363.827534000004</v>
      </c>
      <c r="BX15" s="606">
        <f t="shared" si="2"/>
        <v>-11999.8422054</v>
      </c>
      <c r="BY15" s="606">
        <f t="shared" si="2"/>
        <v>1722.7333578000002</v>
      </c>
      <c r="BZ15" s="613" t="str">
        <f>VLOOKUP(AW15,'[1]New Reporters'!$A$4:$E$13,2,FALSE)</f>
        <v>Onshore Production</v>
      </c>
      <c r="CA15" s="446">
        <f>SUM(BS15,BT15,BU15)</f>
        <v>107.93999999999998</v>
      </c>
      <c r="CB15" s="442">
        <f>SUM(BW15,BX15,BY15)</f>
        <v>18086.718686400003</v>
      </c>
      <c r="CC15" s="53"/>
      <c r="CD15"/>
      <c r="CE15"/>
      <c r="CF15" s="435"/>
      <c r="CG15"/>
      <c r="CH15"/>
      <c r="CI15"/>
      <c r="CJ15"/>
      <c r="CK15"/>
      <c r="CL15"/>
      <c r="CM15"/>
      <c r="CN15"/>
      <c r="CO15"/>
      <c r="CP15"/>
      <c r="CQ15"/>
      <c r="CR15"/>
      <c r="CS15"/>
      <c r="CT15"/>
      <c r="CU15"/>
      <c r="CV15"/>
      <c r="CW15"/>
      <c r="CX15"/>
      <c r="CY15"/>
      <c r="CZ15"/>
      <c r="DA15"/>
      <c r="DB15"/>
      <c r="DC15"/>
      <c r="DD15"/>
    </row>
    <row r="16" spans="1:108" s="634" customFormat="1" ht="30.75" thickBot="1" x14ac:dyDescent="0.3">
      <c r="A16" s="1129" t="s">
        <v>435</v>
      </c>
      <c r="B16" s="1126"/>
      <c r="C16" s="1126"/>
      <c r="D16" s="1126">
        <v>5</v>
      </c>
      <c r="E16" s="1137"/>
      <c r="F16" s="1126"/>
      <c r="G16" s="559"/>
      <c r="H16" s="559"/>
      <c r="I16" s="559" t="s">
        <v>431</v>
      </c>
      <c r="J16" s="1128" t="s">
        <v>435</v>
      </c>
      <c r="K16" s="651"/>
      <c r="L16" s="651"/>
      <c r="M16" s="624"/>
      <c r="N16" s="625"/>
      <c r="O16" s="623"/>
      <c r="P16" s="559"/>
      <c r="Q16" s="559"/>
      <c r="R16" s="559" t="s">
        <v>431</v>
      </c>
      <c r="S16" s="1129" t="s">
        <v>435</v>
      </c>
      <c r="T16" s="624"/>
      <c r="U16" s="624"/>
      <c r="V16" s="624">
        <v>0</v>
      </c>
      <c r="W16" s="624"/>
      <c r="X16" s="625"/>
      <c r="Y16" s="559"/>
      <c r="Z16" s="559"/>
      <c r="AA16" s="559" t="s">
        <v>431</v>
      </c>
      <c r="AB16" s="1129" t="s">
        <v>435</v>
      </c>
      <c r="AC16" s="624"/>
      <c r="AD16" s="624"/>
      <c r="AE16" s="624">
        <v>0</v>
      </c>
      <c r="AF16" s="624"/>
      <c r="AG16" s="624"/>
      <c r="AH16" s="559"/>
      <c r="AI16" s="559" t="s">
        <v>431</v>
      </c>
      <c r="AJ16" s="1129" t="s">
        <v>435</v>
      </c>
      <c r="AK16" s="624"/>
      <c r="AL16" s="624"/>
      <c r="AM16" s="624">
        <v>0</v>
      </c>
      <c r="AN16" s="624"/>
      <c r="AO16" s="626"/>
      <c r="AP16" s="627"/>
      <c r="AQ16" s="628">
        <v>4</v>
      </c>
      <c r="AR16" s="629" t="str">
        <f>AJ16</f>
        <v>Natural Gas Distribution</v>
      </c>
      <c r="AS16" s="630">
        <f>SUM(AK17:AO17)</f>
        <v>1108.7909999999999</v>
      </c>
      <c r="AT16" s="631">
        <f>SUM(AK16:AO16)</f>
        <v>0</v>
      </c>
      <c r="AU16" s="630">
        <f>AS16+AT16</f>
        <v>1108.7909999999999</v>
      </c>
      <c r="AW16" s="628">
        <v>4</v>
      </c>
      <c r="AX16" s="1129" t="s">
        <v>435</v>
      </c>
      <c r="AY16" s="1124"/>
      <c r="AZ16" s="1124"/>
      <c r="BA16" s="1124"/>
      <c r="BB16" s="633"/>
      <c r="BC16" s="1124"/>
      <c r="BD16" s="1124"/>
      <c r="BE16" s="1124"/>
      <c r="BG16" s="635"/>
      <c r="BH16" s="635"/>
      <c r="BI16" s="635"/>
      <c r="BJ16" s="635"/>
      <c r="BK16" s="636">
        <f t="shared" si="0"/>
        <v>0</v>
      </c>
      <c r="BL16" s="635"/>
      <c r="BM16" s="635"/>
      <c r="BN16" s="637"/>
      <c r="BO16" s="637"/>
      <c r="BP16" s="635"/>
      <c r="BR16" s="635"/>
      <c r="BS16" s="638"/>
      <c r="BT16" s="638"/>
      <c r="BU16" s="638"/>
      <c r="BV16" s="638"/>
      <c r="BW16" s="639"/>
      <c r="BX16" s="639"/>
      <c r="BY16" s="639"/>
      <c r="BZ16" s="629"/>
      <c r="CA16" s="635"/>
      <c r="CB16" s="635"/>
      <c r="CC16" s="640"/>
      <c r="CF16" s="641"/>
    </row>
    <row r="17" spans="1:108" s="634" customFormat="1" ht="15.75" thickBot="1" x14ac:dyDescent="0.3">
      <c r="A17" s="1130"/>
      <c r="B17" s="1127"/>
      <c r="C17" s="1127"/>
      <c r="D17" s="1127"/>
      <c r="E17" s="1138"/>
      <c r="F17" s="1127"/>
      <c r="G17" s="559"/>
      <c r="H17" s="559"/>
      <c r="I17" s="559" t="s">
        <v>893</v>
      </c>
      <c r="J17" s="1128"/>
      <c r="K17" s="651"/>
      <c r="L17" s="651"/>
      <c r="M17" s="624"/>
      <c r="N17" s="625"/>
      <c r="O17" s="623"/>
      <c r="P17" s="559"/>
      <c r="Q17" s="559"/>
      <c r="R17" s="559" t="s">
        <v>893</v>
      </c>
      <c r="S17" s="1130"/>
      <c r="T17" s="624"/>
      <c r="U17" s="624"/>
      <c r="V17" s="624">
        <v>5543.9549999999999</v>
      </c>
      <c r="W17" s="624"/>
      <c r="X17" s="625"/>
      <c r="Y17" s="559"/>
      <c r="Z17" s="559"/>
      <c r="AA17" s="559" t="s">
        <v>893</v>
      </c>
      <c r="AB17" s="1130"/>
      <c r="AC17" s="624"/>
      <c r="AD17" s="624"/>
      <c r="AE17" s="624">
        <v>5543.9549999999999</v>
      </c>
      <c r="AF17" s="624"/>
      <c r="AG17" s="624"/>
      <c r="AH17" s="559"/>
      <c r="AI17" s="559" t="s">
        <v>893</v>
      </c>
      <c r="AJ17" s="1130"/>
      <c r="AK17" s="624"/>
      <c r="AL17" s="624"/>
      <c r="AM17" s="624">
        <f>AE17/D16</f>
        <v>1108.7909999999999</v>
      </c>
      <c r="AN17" s="624"/>
      <c r="AO17" s="626"/>
      <c r="AP17" s="627"/>
      <c r="AQ17" s="628"/>
      <c r="AR17" s="629"/>
      <c r="AS17" s="635"/>
      <c r="AT17" s="635"/>
      <c r="AU17" s="635"/>
      <c r="AW17" s="628"/>
      <c r="AX17" s="1130"/>
      <c r="AY17" s="1125"/>
      <c r="AZ17" s="1125"/>
      <c r="BA17" s="1125"/>
      <c r="BB17" s="643"/>
      <c r="BC17" s="1125"/>
      <c r="BD17" s="1125"/>
      <c r="BE17" s="1125"/>
      <c r="BG17" s="635"/>
      <c r="BH17" s="635"/>
      <c r="BI17" s="635"/>
      <c r="BJ17" s="635"/>
      <c r="BK17" s="636">
        <f t="shared" si="0"/>
        <v>0</v>
      </c>
      <c r="BL17" s="635"/>
      <c r="BM17" s="635"/>
      <c r="BN17" s="637"/>
      <c r="BO17" s="637"/>
      <c r="BP17" s="635"/>
      <c r="BR17" s="635"/>
      <c r="BS17" s="638"/>
      <c r="BT17" s="638"/>
      <c r="BU17" s="638"/>
      <c r="BV17" s="638"/>
      <c r="BW17" s="639"/>
      <c r="BX17" s="639"/>
      <c r="BY17" s="639"/>
      <c r="BZ17" s="629"/>
      <c r="CA17" s="635"/>
      <c r="CB17" s="635"/>
    </row>
    <row r="18" spans="1:108" s="601" customFormat="1" ht="36" customHeight="1" thickBot="1" x14ac:dyDescent="0.3">
      <c r="A18" s="1116" t="s">
        <v>434</v>
      </c>
      <c r="B18" s="1131"/>
      <c r="C18" s="1131"/>
      <c r="D18" s="1131">
        <v>0.1</v>
      </c>
      <c r="E18" s="1133"/>
      <c r="F18" s="1131"/>
      <c r="G18" s="587"/>
      <c r="H18" s="587"/>
      <c r="I18" s="587" t="s">
        <v>431</v>
      </c>
      <c r="J18" s="1115" t="s">
        <v>434</v>
      </c>
      <c r="K18" s="589"/>
      <c r="L18" s="652"/>
      <c r="M18" s="589"/>
      <c r="N18" s="620"/>
      <c r="O18" s="619"/>
      <c r="P18" s="587"/>
      <c r="Q18" s="587"/>
      <c r="R18" s="587" t="s">
        <v>431</v>
      </c>
      <c r="S18" s="1116" t="s">
        <v>434</v>
      </c>
      <c r="T18" s="592"/>
      <c r="U18" s="592"/>
      <c r="V18" s="592">
        <v>0</v>
      </c>
      <c r="W18" s="592"/>
      <c r="X18" s="620"/>
      <c r="Y18" s="587"/>
      <c r="Z18" s="587"/>
      <c r="AA18" s="587" t="s">
        <v>431</v>
      </c>
      <c r="AB18" s="1116" t="s">
        <v>434</v>
      </c>
      <c r="AC18" s="592"/>
      <c r="AD18" s="592"/>
      <c r="AE18" s="592">
        <v>0</v>
      </c>
      <c r="AF18" s="592"/>
      <c r="AG18" s="592"/>
      <c r="AH18" s="587"/>
      <c r="AI18" s="587" t="s">
        <v>431</v>
      </c>
      <c r="AJ18" s="1116" t="s">
        <v>434</v>
      </c>
      <c r="AK18" s="592"/>
      <c r="AL18" s="592"/>
      <c r="AM18" s="592">
        <v>0</v>
      </c>
      <c r="AN18" s="592"/>
      <c r="AO18" s="593"/>
      <c r="AP18" s="594"/>
      <c r="AQ18" s="595">
        <v>3</v>
      </c>
      <c r="AR18" s="596" t="str">
        <f>AJ18</f>
        <v>LNG Storage</v>
      </c>
      <c r="AS18" s="597">
        <f>SUM(AK19:AO19)</f>
        <v>543.52499999999998</v>
      </c>
      <c r="AT18" s="598">
        <f>SUM(AK18:AO18)</f>
        <v>0</v>
      </c>
      <c r="AU18" s="597">
        <f>AS18+AT18</f>
        <v>543.52499999999998</v>
      </c>
      <c r="AV18" s="599" t="e">
        <f>AS18/[1]Rates!$J$7</f>
        <v>#DIV/0!</v>
      </c>
      <c r="AW18" s="595">
        <v>3</v>
      </c>
      <c r="AX18" s="1116" t="s">
        <v>434</v>
      </c>
      <c r="AY18" s="1118"/>
      <c r="AZ18" s="1118"/>
      <c r="BA18" s="1135">
        <v>5</v>
      </c>
      <c r="BB18" s="600">
        <v>0.01</v>
      </c>
      <c r="BC18" s="1118"/>
      <c r="BD18" s="1118"/>
      <c r="BE18" s="1118"/>
      <c r="BG18" s="617">
        <v>5</v>
      </c>
      <c r="BH18" s="617">
        <v>0</v>
      </c>
      <c r="BI18" s="618">
        <v>0.25</v>
      </c>
      <c r="BJ18" s="618">
        <v>0.5</v>
      </c>
      <c r="BK18" s="602">
        <f t="shared" si="0"/>
        <v>5.75</v>
      </c>
      <c r="BL18" s="604">
        <f>BG18*Eng</f>
        <v>550.83950000000004</v>
      </c>
      <c r="BM18" s="604">
        <f>BH18*Tech</f>
        <v>0</v>
      </c>
      <c r="BN18" s="605">
        <f>BI18*SrManager</f>
        <v>33.078597500000001</v>
      </c>
      <c r="BO18" s="605">
        <f>BJ18*MdManager</f>
        <v>61.729510000000012</v>
      </c>
      <c r="BP18" s="604">
        <f>SUM(BL18:BO18)</f>
        <v>645.64760750000005</v>
      </c>
      <c r="BQ18"/>
      <c r="BR18" s="436">
        <f>VLOOKUP(AW18,'[1]New Reporters'!$A$4:$E$13,5,FALSE)</f>
        <v>1</v>
      </c>
      <c r="BS18" s="446">
        <f t="shared" si="1"/>
        <v>5</v>
      </c>
      <c r="BT18" s="446">
        <f t="shared" si="1"/>
        <v>0</v>
      </c>
      <c r="BU18" s="446">
        <f t="shared" si="1"/>
        <v>0.25</v>
      </c>
      <c r="BV18" s="446">
        <f t="shared" si="2"/>
        <v>5.75</v>
      </c>
      <c r="BW18" s="606">
        <f t="shared" si="2"/>
        <v>550.83950000000004</v>
      </c>
      <c r="BX18" s="606">
        <f t="shared" si="2"/>
        <v>0</v>
      </c>
      <c r="BY18" s="606">
        <f t="shared" si="2"/>
        <v>33.078597500000001</v>
      </c>
      <c r="BZ18" s="613" t="str">
        <f>VLOOKUP(AW18,'[1]New Reporters'!$A$4:$E$13,2,FALSE)</f>
        <v>LNG Storage</v>
      </c>
      <c r="CA18" s="653">
        <f>SUM(BS18,BT18,BU18)</f>
        <v>5.25</v>
      </c>
      <c r="CB18" s="654">
        <f>SUM(BW18,BX18,BY18)</f>
        <v>583.91809750000004</v>
      </c>
      <c r="CC18" s="53"/>
      <c r="CD18"/>
      <c r="CE18"/>
      <c r="CF18" s="435"/>
      <c r="CG18"/>
      <c r="CH18"/>
      <c r="CI18"/>
      <c r="CJ18"/>
      <c r="CK18"/>
      <c r="CL18"/>
      <c r="CM18"/>
      <c r="CN18"/>
      <c r="CO18"/>
      <c r="CP18"/>
      <c r="CQ18"/>
      <c r="CR18"/>
      <c r="CS18"/>
      <c r="CT18"/>
      <c r="CU18"/>
      <c r="CV18"/>
      <c r="CW18"/>
      <c r="CX18"/>
      <c r="CY18"/>
      <c r="CZ18"/>
      <c r="DA18"/>
      <c r="DB18"/>
      <c r="DC18"/>
      <c r="DD18"/>
    </row>
    <row r="19" spans="1:108" s="601" customFormat="1" ht="15.75" thickBot="1" x14ac:dyDescent="0.3">
      <c r="A19" s="1117"/>
      <c r="B19" s="1132"/>
      <c r="C19" s="1132"/>
      <c r="D19" s="1132"/>
      <c r="E19" s="1134"/>
      <c r="F19" s="1132"/>
      <c r="G19" s="587"/>
      <c r="H19" s="587"/>
      <c r="I19" s="587" t="s">
        <v>893</v>
      </c>
      <c r="J19" s="1115"/>
      <c r="K19" s="589"/>
      <c r="L19" s="588"/>
      <c r="M19" s="589"/>
      <c r="N19" s="620"/>
      <c r="O19" s="619"/>
      <c r="P19" s="587"/>
      <c r="Q19" s="587"/>
      <c r="R19" s="587" t="s">
        <v>893</v>
      </c>
      <c r="S19" s="1117"/>
      <c r="T19" s="592"/>
      <c r="U19" s="592"/>
      <c r="V19" s="592">
        <v>54.352499999999999</v>
      </c>
      <c r="W19" s="592"/>
      <c r="X19" s="620"/>
      <c r="Y19" s="587"/>
      <c r="Z19" s="587"/>
      <c r="AA19" s="587" t="s">
        <v>893</v>
      </c>
      <c r="AB19" s="1117"/>
      <c r="AC19" s="592"/>
      <c r="AD19" s="592"/>
      <c r="AE19" s="592">
        <v>54.352499999999999</v>
      </c>
      <c r="AF19" s="592"/>
      <c r="AG19" s="592">
        <v>0</v>
      </c>
      <c r="AH19" s="587"/>
      <c r="AI19" s="587" t="s">
        <v>893</v>
      </c>
      <c r="AJ19" s="1117"/>
      <c r="AK19" s="592"/>
      <c r="AL19" s="592"/>
      <c r="AM19" s="592">
        <f>AE19/D18</f>
        <v>543.52499999999998</v>
      </c>
      <c r="AN19" s="592"/>
      <c r="AO19" s="593">
        <v>0</v>
      </c>
      <c r="AP19" s="594"/>
      <c r="AQ19" s="595"/>
      <c r="AR19" s="596"/>
      <c r="AS19" s="610"/>
      <c r="AT19" s="610"/>
      <c r="AU19" s="610"/>
      <c r="AW19" s="595"/>
      <c r="AX19" s="1117"/>
      <c r="AY19" s="1119"/>
      <c r="AZ19" s="1119"/>
      <c r="BA19" s="1136"/>
      <c r="BB19" s="611"/>
      <c r="BC19" s="1119"/>
      <c r="BD19" s="1119"/>
      <c r="BE19" s="1119"/>
      <c r="BG19" s="610"/>
      <c r="BH19" s="610"/>
      <c r="BI19" s="610"/>
      <c r="BJ19" s="610"/>
      <c r="BK19" s="602">
        <f t="shared" si="0"/>
        <v>0</v>
      </c>
      <c r="BL19" s="610"/>
      <c r="BM19" s="610"/>
      <c r="BN19" s="612"/>
      <c r="BO19" s="612"/>
      <c r="BP19" s="610"/>
      <c r="BQ19"/>
      <c r="BR19" s="436"/>
      <c r="BS19" s="446"/>
      <c r="BT19" s="446"/>
      <c r="BU19" s="446"/>
      <c r="BV19" s="446"/>
      <c r="BW19" s="606"/>
      <c r="BX19" s="606"/>
      <c r="BY19" s="606"/>
      <c r="BZ19" s="613"/>
      <c r="CA19" s="436"/>
      <c r="CB19" s="436"/>
      <c r="CC19"/>
      <c r="CD19"/>
      <c r="CE19"/>
      <c r="CF19"/>
      <c r="CG19"/>
      <c r="CH19"/>
      <c r="CI19"/>
      <c r="CJ19"/>
      <c r="CK19"/>
      <c r="CL19"/>
      <c r="CM19"/>
      <c r="CN19"/>
      <c r="CO19"/>
      <c r="CP19"/>
      <c r="CQ19"/>
      <c r="CR19"/>
      <c r="CS19"/>
      <c r="CT19"/>
      <c r="CU19"/>
      <c r="CV19"/>
      <c r="CW19"/>
      <c r="CX19"/>
      <c r="CY19"/>
      <c r="CZ19"/>
      <c r="DA19"/>
      <c r="DB19"/>
      <c r="DC19"/>
      <c r="DD19"/>
    </row>
    <row r="20" spans="1:108" s="634" customFormat="1" ht="65.25" customHeight="1" thickBot="1" x14ac:dyDescent="0.3">
      <c r="A20" s="642" t="s">
        <v>897</v>
      </c>
      <c r="B20" s="655"/>
      <c r="C20" s="655">
        <v>6</v>
      </c>
      <c r="D20" s="655">
        <v>10</v>
      </c>
      <c r="E20" s="655"/>
      <c r="F20" s="656">
        <v>16</v>
      </c>
      <c r="G20" s="559"/>
      <c r="H20" s="559"/>
      <c r="I20" s="559" t="s">
        <v>893</v>
      </c>
      <c r="J20" s="621" t="s">
        <v>897</v>
      </c>
      <c r="K20" s="621"/>
      <c r="L20" s="621"/>
      <c r="M20" s="621"/>
      <c r="N20" s="657"/>
      <c r="O20" s="657">
        <v>2202.5250000000001</v>
      </c>
      <c r="P20" s="559"/>
      <c r="Q20" s="559"/>
      <c r="R20" s="559" t="s">
        <v>893</v>
      </c>
      <c r="S20" s="642" t="s">
        <v>897</v>
      </c>
      <c r="T20" s="624"/>
      <c r="U20" s="624">
        <v>4174.2720000000008</v>
      </c>
      <c r="V20" s="624">
        <v>10435.68</v>
      </c>
      <c r="W20" s="624"/>
      <c r="X20" s="657">
        <v>0</v>
      </c>
      <c r="Y20" s="559"/>
      <c r="Z20" s="559"/>
      <c r="AA20" s="559" t="s">
        <v>893</v>
      </c>
      <c r="AB20" s="642" t="s">
        <v>897</v>
      </c>
      <c r="AC20" s="624"/>
      <c r="AD20" s="624">
        <v>4174.2720000000008</v>
      </c>
      <c r="AE20" s="624">
        <v>10435.68</v>
      </c>
      <c r="AF20" s="624"/>
      <c r="AG20" s="624">
        <v>-2202.5250000000001</v>
      </c>
      <c r="AH20" s="559"/>
      <c r="AI20" s="559" t="s">
        <v>893</v>
      </c>
      <c r="AJ20" s="642" t="s">
        <v>897</v>
      </c>
      <c r="AK20" s="624"/>
      <c r="AL20" s="624">
        <f>AD20/C20</f>
        <v>695.7120000000001</v>
      </c>
      <c r="AM20" s="624">
        <f>AE20/D20</f>
        <v>1043.568</v>
      </c>
      <c r="AN20" s="624"/>
      <c r="AO20" s="626">
        <f>AG20/F20</f>
        <v>-137.65781250000001</v>
      </c>
      <c r="AP20" s="627"/>
      <c r="AQ20" s="628">
        <v>1</v>
      </c>
      <c r="AR20" s="629" t="str">
        <f t="shared" ref="AR20:AR22" si="3">AJ20</f>
        <v>Onshore Petroleum and Natural Gas Gathering and Boosting</v>
      </c>
      <c r="AS20" s="630">
        <f>SUM(AK20:AO20)</f>
        <v>1601.6221875000001</v>
      </c>
      <c r="AT20" s="635"/>
      <c r="AU20" s="630">
        <f t="shared" ref="AU20:AU22" si="4">AS20+AT20</f>
        <v>1601.6221875000001</v>
      </c>
      <c r="AV20" s="632" t="e">
        <f>AS20/[1]Rates!$J$7</f>
        <v>#DIV/0!</v>
      </c>
      <c r="AW20" s="628">
        <v>1</v>
      </c>
      <c r="AX20" s="642" t="s">
        <v>897</v>
      </c>
      <c r="AY20" s="658"/>
      <c r="AZ20" s="658"/>
      <c r="BA20" s="658"/>
      <c r="BB20" s="658"/>
      <c r="BC20" s="658"/>
      <c r="BD20" s="658"/>
      <c r="BE20" s="658"/>
      <c r="BG20" s="635"/>
      <c r="BH20" s="635"/>
      <c r="BI20" s="635"/>
      <c r="BJ20" s="635"/>
      <c r="BK20" s="636">
        <f t="shared" si="0"/>
        <v>0</v>
      </c>
      <c r="BL20" s="635"/>
      <c r="BM20" s="635"/>
      <c r="BN20" s="637"/>
      <c r="BO20" s="637"/>
      <c r="BP20" s="635"/>
      <c r="BR20" s="635"/>
      <c r="BS20" s="638"/>
      <c r="BT20" s="638"/>
      <c r="BU20" s="638"/>
      <c r="BV20" s="638"/>
      <c r="BW20" s="639"/>
      <c r="BX20" s="639"/>
      <c r="BY20" s="639"/>
      <c r="BZ20" s="629"/>
      <c r="CA20" s="635"/>
      <c r="CB20" s="635"/>
      <c r="CC20" s="640"/>
      <c r="CF20" s="641"/>
    </row>
    <row r="21" spans="1:108" s="601" customFormat="1" ht="63" customHeight="1" thickBot="1" x14ac:dyDescent="0.3">
      <c r="A21" s="609" t="s">
        <v>898</v>
      </c>
      <c r="B21" s="644"/>
      <c r="C21" s="644"/>
      <c r="D21" s="644">
        <v>1</v>
      </c>
      <c r="E21" s="644"/>
      <c r="F21" s="645"/>
      <c r="G21" s="587"/>
      <c r="H21" s="587"/>
      <c r="I21" s="587" t="s">
        <v>893</v>
      </c>
      <c r="J21" s="609" t="s">
        <v>898</v>
      </c>
      <c r="K21" s="619"/>
      <c r="L21" s="619"/>
      <c r="M21" s="619"/>
      <c r="N21" s="616"/>
      <c r="O21" s="615"/>
      <c r="P21" s="587"/>
      <c r="Q21" s="587"/>
      <c r="R21" s="587" t="s">
        <v>893</v>
      </c>
      <c r="S21" s="609" t="s">
        <v>898</v>
      </c>
      <c r="T21" s="616"/>
      <c r="U21" s="616"/>
      <c r="V21" s="616">
        <v>1087.05</v>
      </c>
      <c r="W21" s="616"/>
      <c r="X21" s="616"/>
      <c r="Y21" s="587"/>
      <c r="Z21" s="587"/>
      <c r="AA21" s="587" t="s">
        <v>893</v>
      </c>
      <c r="AB21" s="609" t="s">
        <v>898</v>
      </c>
      <c r="AC21" s="592"/>
      <c r="AD21" s="592"/>
      <c r="AE21" s="592">
        <v>1087.05</v>
      </c>
      <c r="AF21" s="592"/>
      <c r="AG21" s="592"/>
      <c r="AH21" s="587"/>
      <c r="AI21" s="587" t="s">
        <v>893</v>
      </c>
      <c r="AJ21" s="609" t="s">
        <v>898</v>
      </c>
      <c r="AK21" s="592"/>
      <c r="AL21" s="592"/>
      <c r="AM21" s="592">
        <f>AE21/D21</f>
        <v>1087.05</v>
      </c>
      <c r="AN21" s="592"/>
      <c r="AO21" s="593"/>
      <c r="AP21" s="594"/>
      <c r="AQ21" s="595">
        <v>7</v>
      </c>
      <c r="AR21" s="596" t="str">
        <f t="shared" si="3"/>
        <v>Natural Gas Transmission Pipeline</v>
      </c>
      <c r="AS21" s="597">
        <f>SUM(AK21:AO21)</f>
        <v>1087.05</v>
      </c>
      <c r="AT21" s="610"/>
      <c r="AU21" s="597">
        <f t="shared" si="4"/>
        <v>1087.05</v>
      </c>
      <c r="AV21" s="599" t="e">
        <f>AS21/[1]Rates!$J$7</f>
        <v>#DIV/0!</v>
      </c>
      <c r="AW21" s="595">
        <v>7</v>
      </c>
      <c r="AX21" s="609" t="s">
        <v>898</v>
      </c>
      <c r="AY21" s="646"/>
      <c r="AZ21" s="646"/>
      <c r="BA21" s="647">
        <v>5</v>
      </c>
      <c r="BB21" s="648">
        <v>0.03</v>
      </c>
      <c r="BC21" s="646"/>
      <c r="BD21" s="646"/>
      <c r="BE21" s="646"/>
      <c r="BG21" s="603">
        <v>10</v>
      </c>
      <c r="BH21" s="617">
        <v>0</v>
      </c>
      <c r="BI21" s="617">
        <v>0.5</v>
      </c>
      <c r="BJ21" s="617">
        <v>1</v>
      </c>
      <c r="BK21" s="602">
        <f t="shared" si="0"/>
        <v>11.5</v>
      </c>
      <c r="BL21" s="604">
        <f>BG21*Eng</f>
        <v>1101.6790000000001</v>
      </c>
      <c r="BM21" s="604">
        <f>BH21*Tech</f>
        <v>0</v>
      </c>
      <c r="BN21" s="605">
        <f>BI21*SrManager</f>
        <v>66.157195000000002</v>
      </c>
      <c r="BO21" s="605">
        <f>BJ21*MdManager</f>
        <v>123.45902000000002</v>
      </c>
      <c r="BP21" s="604">
        <f>SUM(BL21:BO21)</f>
        <v>1291.2952150000001</v>
      </c>
      <c r="BQ21"/>
      <c r="BR21" s="436">
        <f>VLOOKUP(AW21,'[1]New Reporters'!$A$4:$E$13,5,FALSE)</f>
        <v>1</v>
      </c>
      <c r="BS21" s="446">
        <f t="shared" si="1"/>
        <v>10</v>
      </c>
      <c r="BT21" s="446">
        <f t="shared" si="1"/>
        <v>0</v>
      </c>
      <c r="BU21" s="446">
        <f t="shared" si="1"/>
        <v>0.5</v>
      </c>
      <c r="BV21" s="446">
        <f t="shared" si="2"/>
        <v>11.5</v>
      </c>
      <c r="BW21" s="606">
        <f t="shared" si="2"/>
        <v>1101.6790000000001</v>
      </c>
      <c r="BX21" s="606">
        <f t="shared" si="2"/>
        <v>0</v>
      </c>
      <c r="BY21" s="606">
        <f t="shared" si="2"/>
        <v>66.157195000000002</v>
      </c>
      <c r="BZ21" s="613" t="str">
        <f>VLOOKUP(AW21,'[1]New Reporters'!$A$4:$E$13,2,FALSE)</f>
        <v>Natural Gas Transmission Pipelines</v>
      </c>
      <c r="CA21" s="446">
        <f>SUM(BS21,BT21,BU21)</f>
        <v>10.5</v>
      </c>
      <c r="CB21" s="442">
        <f>SUM(BW21,BX21,BY21)</f>
        <v>1167.8361950000001</v>
      </c>
      <c r="CC21" s="53"/>
      <c r="CD21"/>
      <c r="CE21"/>
      <c r="CF21" s="435"/>
      <c r="CG21"/>
      <c r="CH21"/>
      <c r="CI21"/>
      <c r="CJ21"/>
      <c r="CK21"/>
      <c r="CL21"/>
      <c r="CM21"/>
      <c r="CN21"/>
      <c r="CO21"/>
      <c r="CP21"/>
      <c r="CQ21"/>
      <c r="CR21"/>
      <c r="CS21"/>
      <c r="CT21"/>
      <c r="CU21"/>
      <c r="CV21"/>
      <c r="CW21"/>
      <c r="CX21"/>
      <c r="CY21"/>
      <c r="CZ21"/>
      <c r="DA21"/>
      <c r="DB21"/>
      <c r="DC21"/>
      <c r="DD21"/>
    </row>
    <row r="22" spans="1:108" s="601" customFormat="1" ht="56.25" customHeight="1" thickBot="1" x14ac:dyDescent="0.3">
      <c r="A22" s="609" t="s">
        <v>899</v>
      </c>
      <c r="B22" s="644"/>
      <c r="C22" s="644"/>
      <c r="D22" s="644">
        <v>1</v>
      </c>
      <c r="E22" s="644"/>
      <c r="F22" s="644"/>
      <c r="G22" s="587"/>
      <c r="H22" s="587"/>
      <c r="I22" s="587" t="s">
        <v>893</v>
      </c>
      <c r="J22" s="609" t="s">
        <v>899</v>
      </c>
      <c r="K22" s="619"/>
      <c r="L22" s="619"/>
      <c r="M22" s="619"/>
      <c r="N22" s="616"/>
      <c r="O22" s="615"/>
      <c r="P22" s="587"/>
      <c r="Q22" s="587"/>
      <c r="R22" s="587" t="s">
        <v>893</v>
      </c>
      <c r="S22" s="609" t="s">
        <v>899</v>
      </c>
      <c r="T22" s="616"/>
      <c r="U22" s="616"/>
      <c r="V22" s="616">
        <v>760.93500000000006</v>
      </c>
      <c r="W22" s="616"/>
      <c r="X22" s="616"/>
      <c r="Y22" s="587"/>
      <c r="Z22" s="587"/>
      <c r="AA22" s="587" t="s">
        <v>893</v>
      </c>
      <c r="AB22" s="609" t="s">
        <v>899</v>
      </c>
      <c r="AC22" s="592"/>
      <c r="AD22" s="592"/>
      <c r="AE22" s="592">
        <v>760.93500000000006</v>
      </c>
      <c r="AF22" s="592"/>
      <c r="AG22" s="592"/>
      <c r="AH22" s="587"/>
      <c r="AI22" s="587" t="s">
        <v>893</v>
      </c>
      <c r="AJ22" s="588" t="s">
        <v>899</v>
      </c>
      <c r="AK22" s="592"/>
      <c r="AL22" s="592"/>
      <c r="AM22" s="592">
        <f>AE22/D22</f>
        <v>760.93500000000006</v>
      </c>
      <c r="AN22" s="592"/>
      <c r="AO22" s="593"/>
      <c r="AP22" s="594"/>
      <c r="AQ22" s="595">
        <v>8</v>
      </c>
      <c r="AR22" s="596" t="str">
        <f t="shared" si="3"/>
        <v>Offshore Petroleum and Natural Gas Production</v>
      </c>
      <c r="AS22" s="597">
        <f>SUM(AK22:AO22)</f>
        <v>760.93500000000006</v>
      </c>
      <c r="AT22" s="610"/>
      <c r="AU22" s="597">
        <f t="shared" si="4"/>
        <v>760.93500000000006</v>
      </c>
      <c r="AV22" s="599" t="e">
        <f>AS22/[1]Rates!$J$7</f>
        <v>#DIV/0!</v>
      </c>
      <c r="AW22" s="595">
        <v>8</v>
      </c>
      <c r="AX22" s="659" t="s">
        <v>899</v>
      </c>
      <c r="AY22" s="660"/>
      <c r="AZ22" s="660"/>
      <c r="BA22" s="661">
        <v>5</v>
      </c>
      <c r="BB22" s="600">
        <v>0.01</v>
      </c>
      <c r="BC22" s="660"/>
      <c r="BD22" s="660"/>
      <c r="BE22" s="660"/>
      <c r="BG22" s="617">
        <v>5</v>
      </c>
      <c r="BH22" s="617">
        <v>0</v>
      </c>
      <c r="BI22" s="618">
        <v>0.25</v>
      </c>
      <c r="BJ22" s="618">
        <v>0.5</v>
      </c>
      <c r="BK22" s="602">
        <f t="shared" si="0"/>
        <v>5.75</v>
      </c>
      <c r="BL22" s="604">
        <f>BG22*Eng</f>
        <v>550.83950000000004</v>
      </c>
      <c r="BM22" s="604">
        <f>BH22*Tech</f>
        <v>0</v>
      </c>
      <c r="BN22" s="605">
        <f>BI22*SrManager</f>
        <v>33.078597500000001</v>
      </c>
      <c r="BO22" s="605">
        <f>BJ22*MdManager</f>
        <v>61.729510000000012</v>
      </c>
      <c r="BP22" s="604">
        <f>SUM(BL22:BO22)</f>
        <v>645.64760750000005</v>
      </c>
      <c r="BQ22" s="53"/>
      <c r="BR22" s="436">
        <f>VLOOKUP(AW22,'[1]New Reporters'!$A$4:$E$13,5,FALSE)</f>
        <v>7</v>
      </c>
      <c r="BS22" s="446">
        <f t="shared" si="1"/>
        <v>35</v>
      </c>
      <c r="BT22" s="446">
        <f t="shared" si="1"/>
        <v>0</v>
      </c>
      <c r="BU22" s="446">
        <f t="shared" si="1"/>
        <v>1.75</v>
      </c>
      <c r="BV22" s="446">
        <f t="shared" si="2"/>
        <v>40.25</v>
      </c>
      <c r="BW22" s="606">
        <f t="shared" si="2"/>
        <v>3855.8765000000003</v>
      </c>
      <c r="BX22" s="606">
        <f t="shared" si="2"/>
        <v>0</v>
      </c>
      <c r="BY22" s="606">
        <f t="shared" si="2"/>
        <v>231.55018250000001</v>
      </c>
      <c r="BZ22" s="613" t="str">
        <f>VLOOKUP(AW22,'[1]New Reporters'!$A$4:$E$13,2,FALSE)</f>
        <v>Offshore Production</v>
      </c>
      <c r="CA22" s="446">
        <f>SUM(BS22,BT22,BU22)</f>
        <v>36.75</v>
      </c>
      <c r="CB22" s="442">
        <f>SUM(BW22,BX22,BY22)</f>
        <v>4087.4266825000004</v>
      </c>
      <c r="CC22" s="53"/>
      <c r="CD22"/>
      <c r="CE22"/>
      <c r="CF22" s="435"/>
      <c r="CG22"/>
      <c r="CH22"/>
      <c r="CI22"/>
      <c r="CJ22"/>
      <c r="CK22"/>
      <c r="CL22"/>
      <c r="CM22"/>
      <c r="CN22"/>
      <c r="CO22"/>
      <c r="CP22"/>
      <c r="CQ22"/>
      <c r="CR22"/>
      <c r="CS22"/>
      <c r="CT22"/>
      <c r="CU22"/>
      <c r="CV22"/>
      <c r="CW22"/>
      <c r="CX22"/>
      <c r="CY22"/>
      <c r="CZ22"/>
      <c r="DA22"/>
      <c r="DB22"/>
      <c r="DC22"/>
      <c r="DD22"/>
    </row>
    <row r="23" spans="1:108" ht="15.75" thickBot="1" x14ac:dyDescent="0.3">
      <c r="A23" s="662"/>
      <c r="B23" s="663"/>
      <c r="C23" s="663"/>
      <c r="D23" s="663"/>
      <c r="E23" s="663"/>
      <c r="F23" s="663"/>
      <c r="G23" s="559"/>
      <c r="H23" s="559"/>
      <c r="I23" s="559"/>
      <c r="J23" s="664"/>
      <c r="K23" s="665"/>
      <c r="L23" s="665"/>
      <c r="M23" s="665"/>
      <c r="N23" s="665"/>
      <c r="O23" s="665"/>
      <c r="P23" s="559"/>
      <c r="Q23" s="559"/>
      <c r="R23" s="559"/>
      <c r="S23" s="666"/>
      <c r="T23" s="667"/>
      <c r="U23" s="667"/>
      <c r="V23" s="667"/>
      <c r="W23" s="667"/>
      <c r="X23" s="667"/>
      <c r="Y23" s="559"/>
      <c r="Z23" s="559"/>
      <c r="AA23" s="559"/>
      <c r="AB23" s="662"/>
      <c r="AC23" s="663"/>
      <c r="AD23" s="663"/>
      <c r="AE23" s="663"/>
      <c r="AF23" s="663"/>
      <c r="AG23" s="663"/>
      <c r="AH23" s="559"/>
      <c r="AI23" s="559"/>
      <c r="AJ23" s="668"/>
      <c r="AK23" s="669"/>
      <c r="AL23" s="669"/>
      <c r="AM23" s="669"/>
      <c r="AN23" s="669"/>
      <c r="AO23" s="669"/>
      <c r="AP23" s="669"/>
      <c r="AQ23" s="560"/>
      <c r="AY23" s="670"/>
      <c r="AZ23" s="670"/>
      <c r="BA23" s="670"/>
      <c r="BB23" s="670"/>
      <c r="BC23" s="670"/>
      <c r="BD23" s="670"/>
      <c r="BE23" s="670"/>
      <c r="BQ23" s="53"/>
    </row>
    <row r="24" spans="1:108" ht="15" customHeight="1" thickBot="1" x14ac:dyDescent="0.3">
      <c r="A24" s="671" t="s">
        <v>900</v>
      </c>
      <c r="B24" s="656">
        <v>6</v>
      </c>
      <c r="C24" s="656">
        <v>55</v>
      </c>
      <c r="D24" s="656">
        <v>43.2</v>
      </c>
      <c r="E24" s="656">
        <v>454</v>
      </c>
      <c r="F24" s="656">
        <v>143</v>
      </c>
      <c r="G24" s="559"/>
      <c r="H24" s="559"/>
      <c r="I24" s="559"/>
      <c r="J24" s="671" t="s">
        <v>901</v>
      </c>
      <c r="K24" s="672">
        <v>0</v>
      </c>
      <c r="L24" s="672">
        <v>0</v>
      </c>
      <c r="M24" s="672">
        <v>0</v>
      </c>
      <c r="N24" s="672">
        <v>0</v>
      </c>
      <c r="O24" s="672">
        <v>28065.251250000001</v>
      </c>
      <c r="P24" s="559"/>
      <c r="Q24" s="559"/>
      <c r="R24" s="559"/>
      <c r="S24" s="671" t="s">
        <v>901</v>
      </c>
      <c r="T24" s="672">
        <v>9509.1304166666669</v>
      </c>
      <c r="U24" s="672">
        <v>22262.784</v>
      </c>
      <c r="V24" s="672">
        <v>39731.677500000005</v>
      </c>
      <c r="W24" s="672">
        <v>222084.315</v>
      </c>
      <c r="X24" s="672">
        <v>0</v>
      </c>
      <c r="Y24" s="559"/>
      <c r="Z24" s="559"/>
      <c r="AA24" s="559"/>
      <c r="AB24" s="671" t="s">
        <v>901</v>
      </c>
      <c r="AC24" s="672">
        <v>9509.1304166666669</v>
      </c>
      <c r="AD24" s="672">
        <v>22262.784</v>
      </c>
      <c r="AE24" s="672">
        <v>39731.677500000005</v>
      </c>
      <c r="AF24" s="672">
        <v>222084.315</v>
      </c>
      <c r="AG24" s="672">
        <v>-28065.251249999998</v>
      </c>
      <c r="AH24" s="559"/>
      <c r="AI24" s="559"/>
      <c r="AJ24" s="673"/>
      <c r="AK24" s="674"/>
      <c r="AL24" s="674"/>
      <c r="AM24" s="674"/>
      <c r="AN24" s="674"/>
      <c r="AO24" s="674"/>
      <c r="AP24" s="674"/>
      <c r="AQ24" s="560"/>
      <c r="AX24" t="s">
        <v>902</v>
      </c>
      <c r="AY24" s="675"/>
      <c r="AZ24" s="675"/>
      <c r="BA24" s="675"/>
      <c r="BB24" s="675"/>
      <c r="BC24" s="675"/>
      <c r="BD24" s="675"/>
      <c r="BE24" s="675"/>
    </row>
    <row r="25" spans="1:108" ht="15" customHeight="1" thickBot="1" x14ac:dyDescent="0.3">
      <c r="A25" s="671" t="s">
        <v>903</v>
      </c>
      <c r="B25" s="1112">
        <v>701.2</v>
      </c>
      <c r="C25" s="1113"/>
      <c r="D25" s="1113"/>
      <c r="E25" s="1113"/>
      <c r="F25" s="1114"/>
      <c r="G25" s="559"/>
      <c r="H25" s="559"/>
      <c r="I25" s="559"/>
      <c r="J25" s="671" t="s">
        <v>904</v>
      </c>
      <c r="K25" s="676">
        <v>0</v>
      </c>
      <c r="L25" s="676">
        <v>0</v>
      </c>
      <c r="M25" s="676">
        <v>0</v>
      </c>
      <c r="N25" s="676">
        <v>0</v>
      </c>
      <c r="O25" s="676">
        <v>196.26049825174823</v>
      </c>
      <c r="P25" s="559"/>
      <c r="Q25" s="559"/>
      <c r="R25" s="559"/>
      <c r="S25" s="671" t="s">
        <v>905</v>
      </c>
      <c r="T25" s="672">
        <v>1584.8550694444446</v>
      </c>
      <c r="U25" s="672">
        <v>404.7778909090909</v>
      </c>
      <c r="V25" s="672">
        <v>919.7147569444445</v>
      </c>
      <c r="W25" s="672">
        <v>489.17250000000001</v>
      </c>
      <c r="X25" s="672">
        <v>0</v>
      </c>
      <c r="Y25" s="559"/>
      <c r="Z25" s="559"/>
      <c r="AA25" s="559"/>
      <c r="AB25" s="671" t="s">
        <v>905</v>
      </c>
      <c r="AC25" s="672">
        <v>1584.8550694444446</v>
      </c>
      <c r="AD25" s="672">
        <v>404.7778909090909</v>
      </c>
      <c r="AE25" s="672">
        <v>919.7147569444445</v>
      </c>
      <c r="AF25" s="672">
        <v>489.17250000000001</v>
      </c>
      <c r="AG25" s="672">
        <v>-196.26049825174823</v>
      </c>
      <c r="AH25" s="559"/>
      <c r="AI25" s="559"/>
      <c r="AJ25" s="673"/>
      <c r="AK25" s="674"/>
      <c r="AL25" s="674"/>
      <c r="AM25" s="674"/>
      <c r="AN25" s="674"/>
      <c r="AO25" s="674"/>
      <c r="AP25" s="674"/>
      <c r="AQ25" s="560"/>
      <c r="AX25" s="677" t="s">
        <v>906</v>
      </c>
      <c r="AY25" s="678"/>
      <c r="AZ25" s="678"/>
      <c r="BA25" s="678"/>
      <c r="BB25" s="678"/>
      <c r="BC25" s="678"/>
      <c r="BD25" s="678"/>
      <c r="BE25" s="678"/>
      <c r="BP25" s="435"/>
      <c r="CC25" s="53"/>
      <c r="CD25" s="53"/>
      <c r="CE25" s="53"/>
      <c r="CF25" s="53"/>
    </row>
    <row r="26" spans="1:108" ht="15" customHeight="1" thickBot="1" x14ac:dyDescent="0.3">
      <c r="A26" s="559" t="s">
        <v>907</v>
      </c>
      <c r="B26" s="559"/>
      <c r="C26" s="559"/>
      <c r="D26" s="559"/>
      <c r="E26" s="559"/>
      <c r="F26" s="559"/>
      <c r="G26" s="679"/>
      <c r="H26" s="559"/>
      <c r="I26" s="559"/>
      <c r="J26" s="671" t="s">
        <v>908</v>
      </c>
      <c r="K26" s="680">
        <v>0</v>
      </c>
      <c r="L26" s="681" t="s">
        <v>431</v>
      </c>
      <c r="M26" s="682">
        <v>28065.251249999998</v>
      </c>
      <c r="N26" s="681" t="s">
        <v>893</v>
      </c>
      <c r="O26" s="683"/>
      <c r="P26" s="559"/>
      <c r="Q26" s="559"/>
      <c r="R26" s="559"/>
      <c r="S26" s="671" t="s">
        <v>908</v>
      </c>
      <c r="T26" s="680">
        <v>8666.6666666666661</v>
      </c>
      <c r="U26" s="681" t="s">
        <v>431</v>
      </c>
      <c r="V26" s="682">
        <v>284921.24025000003</v>
      </c>
      <c r="W26" s="681" t="s">
        <v>893</v>
      </c>
      <c r="X26" s="683"/>
      <c r="Y26" s="559"/>
      <c r="Z26" s="559"/>
      <c r="AA26" s="559"/>
      <c r="AB26" s="671" t="s">
        <v>908</v>
      </c>
      <c r="AC26" s="680">
        <v>8666.6666666666661</v>
      </c>
      <c r="AD26" s="681" t="s">
        <v>431</v>
      </c>
      <c r="AE26" s="682">
        <v>256855.98900000006</v>
      </c>
      <c r="AF26" s="681" t="s">
        <v>893</v>
      </c>
      <c r="AG26" s="683"/>
      <c r="AH26" s="559"/>
      <c r="AI26" s="559"/>
      <c r="AJ26" s="673"/>
      <c r="AK26" s="684"/>
      <c r="AL26" s="685"/>
      <c r="AM26" s="684"/>
      <c r="AN26" s="685"/>
      <c r="AO26" s="685"/>
      <c r="AP26" s="685"/>
      <c r="AQ26" s="560"/>
      <c r="AX26" s="686" t="s">
        <v>909</v>
      </c>
    </row>
    <row r="27" spans="1:108" ht="15" customHeight="1" thickBot="1" x14ac:dyDescent="0.3">
      <c r="A27" s="1120" t="s">
        <v>910</v>
      </c>
      <c r="B27" s="1120"/>
      <c r="C27" s="1120"/>
      <c r="D27" s="1120"/>
      <c r="E27" s="1120"/>
      <c r="F27" s="1120"/>
      <c r="G27" s="679"/>
      <c r="H27" s="559"/>
      <c r="I27" s="559"/>
      <c r="J27" s="671" t="s">
        <v>911</v>
      </c>
      <c r="K27" s="680">
        <v>0</v>
      </c>
      <c r="L27" s="681" t="s">
        <v>431</v>
      </c>
      <c r="M27" s="682">
        <v>47.010471105527635</v>
      </c>
      <c r="N27" s="681" t="s">
        <v>893</v>
      </c>
      <c r="O27" s="683"/>
      <c r="P27" s="687"/>
      <c r="Q27" s="559"/>
      <c r="R27" s="559"/>
      <c r="S27" s="671" t="s">
        <v>911</v>
      </c>
      <c r="T27" s="680">
        <v>12.359764213728845</v>
      </c>
      <c r="U27" s="681" t="s">
        <v>431</v>
      </c>
      <c r="V27" s="682">
        <v>477.25500879396992</v>
      </c>
      <c r="W27" s="681" t="s">
        <v>893</v>
      </c>
      <c r="X27" s="683"/>
      <c r="Y27" s="559"/>
      <c r="Z27" s="559"/>
      <c r="AA27" s="559"/>
      <c r="AB27" s="671" t="s">
        <v>911</v>
      </c>
      <c r="AC27" s="680">
        <v>12.359764213728845</v>
      </c>
      <c r="AD27" s="681" t="s">
        <v>431</v>
      </c>
      <c r="AE27" s="682">
        <v>430.24453768844234</v>
      </c>
      <c r="AF27" s="681" t="s">
        <v>893</v>
      </c>
      <c r="AG27" s="683"/>
      <c r="AH27" s="559"/>
      <c r="AI27" s="559"/>
      <c r="AJ27" s="673"/>
      <c r="AK27" s="684"/>
      <c r="AL27" s="685"/>
      <c r="AM27" s="684"/>
      <c r="AN27" s="685"/>
      <c r="AO27" s="685"/>
      <c r="AP27" s="685"/>
      <c r="AQ27" s="560"/>
      <c r="AX27" s="686" t="s">
        <v>912</v>
      </c>
    </row>
    <row r="28" spans="1:108" ht="15" customHeight="1" x14ac:dyDescent="0.25">
      <c r="A28" s="1120" t="s">
        <v>913</v>
      </c>
      <c r="B28" s="1120"/>
      <c r="C28" s="1120"/>
      <c r="D28" s="1120"/>
      <c r="E28" s="1120"/>
      <c r="F28" s="1120"/>
      <c r="G28" s="559"/>
      <c r="H28" s="559"/>
      <c r="I28" s="559"/>
      <c r="J28" s="1122" t="s">
        <v>914</v>
      </c>
      <c r="K28" s="1122"/>
      <c r="L28" s="1122"/>
      <c r="M28" s="1122"/>
      <c r="N28" s="1122"/>
      <c r="O28" s="1122"/>
      <c r="P28" s="559"/>
      <c r="Q28" s="559"/>
      <c r="R28" s="559"/>
      <c r="S28" s="1122" t="s">
        <v>915</v>
      </c>
      <c r="T28" s="1122"/>
      <c r="U28" s="1122"/>
      <c r="V28" s="1122"/>
      <c r="W28" s="1122"/>
      <c r="X28" s="1122"/>
      <c r="Y28" s="559"/>
      <c r="Z28" s="559"/>
      <c r="AA28" s="559"/>
      <c r="AB28" s="559"/>
      <c r="AC28" s="559"/>
      <c r="AD28" s="559"/>
      <c r="AE28" s="559"/>
      <c r="AF28" s="559"/>
      <c r="AG28" s="559"/>
      <c r="AH28" s="559"/>
      <c r="AI28" s="559"/>
      <c r="AJ28" s="559"/>
      <c r="AK28" s="559"/>
      <c r="AL28" s="559"/>
      <c r="AM28" s="559"/>
      <c r="AN28" s="559"/>
      <c r="AO28" s="559"/>
      <c r="AP28" s="559"/>
      <c r="AQ28" s="560"/>
      <c r="AX28" s="686" t="s">
        <v>916</v>
      </c>
    </row>
    <row r="29" spans="1:108" ht="15" customHeight="1" x14ac:dyDescent="0.25">
      <c r="A29" s="1123" t="s">
        <v>917</v>
      </c>
      <c r="B29" s="1123"/>
      <c r="C29" s="1123"/>
      <c r="D29" s="1123"/>
      <c r="E29" s="1123"/>
      <c r="F29" s="1123"/>
      <c r="G29" s="559"/>
      <c r="H29" s="559"/>
      <c r="I29" s="559"/>
      <c r="J29" s="1120" t="s">
        <v>918</v>
      </c>
      <c r="K29" s="1120"/>
      <c r="L29" s="1120"/>
      <c r="M29" s="1120"/>
      <c r="N29" s="1120"/>
      <c r="O29" s="1120"/>
      <c r="P29" s="559"/>
      <c r="Q29" s="559"/>
      <c r="R29" s="559"/>
      <c r="S29" s="1120" t="s">
        <v>919</v>
      </c>
      <c r="T29" s="1120"/>
      <c r="U29" s="1120"/>
      <c r="V29" s="1120"/>
      <c r="W29" s="1120"/>
      <c r="X29" s="1120"/>
      <c r="Y29" s="559"/>
      <c r="Z29" s="559"/>
      <c r="AA29" s="559"/>
      <c r="AB29" s="559"/>
      <c r="AC29" s="688"/>
      <c r="AD29" s="688"/>
      <c r="AE29" s="559"/>
      <c r="AF29" s="559"/>
      <c r="AG29" s="559"/>
      <c r="AH29" s="559"/>
      <c r="AI29" s="559"/>
      <c r="AJ29" s="559"/>
      <c r="AK29" s="559"/>
      <c r="AL29" s="559"/>
      <c r="AM29" s="559"/>
      <c r="AN29" s="559"/>
      <c r="AO29" s="559"/>
      <c r="AP29" s="559"/>
      <c r="AQ29" s="560"/>
      <c r="AX29" s="686" t="s">
        <v>920</v>
      </c>
    </row>
    <row r="30" spans="1:108" ht="15" customHeight="1" x14ac:dyDescent="0.25">
      <c r="A30" s="1120" t="s">
        <v>921</v>
      </c>
      <c r="B30" s="1120"/>
      <c r="C30" s="1120"/>
      <c r="D30" s="1120"/>
      <c r="E30" s="1120"/>
      <c r="F30" s="1120"/>
      <c r="G30" s="559"/>
      <c r="H30" s="559"/>
      <c r="I30" s="559"/>
      <c r="J30" s="1120" t="s">
        <v>922</v>
      </c>
      <c r="K30" s="1120"/>
      <c r="L30" s="1120"/>
      <c r="M30" s="1120"/>
      <c r="N30" s="1120"/>
      <c r="O30" s="1120"/>
      <c r="P30" s="559"/>
      <c r="Q30" s="559"/>
      <c r="R30" s="559"/>
      <c r="S30" s="1120" t="s">
        <v>923</v>
      </c>
      <c r="T30" s="1120"/>
      <c r="U30" s="1120"/>
      <c r="V30" s="1120"/>
      <c r="W30" s="1120"/>
      <c r="X30" s="1120"/>
      <c r="Y30" s="559"/>
      <c r="Z30" s="559"/>
      <c r="AA30" s="559"/>
      <c r="AB30" s="559"/>
      <c r="AC30" s="559"/>
      <c r="AD30" s="688"/>
      <c r="AE30" s="688"/>
      <c r="AF30" s="559"/>
      <c r="AG30" s="559"/>
      <c r="AH30" s="559"/>
      <c r="AI30" s="559"/>
      <c r="AJ30" s="559"/>
      <c r="AK30" s="559"/>
      <c r="AL30" s="559"/>
      <c r="AM30" s="559"/>
      <c r="AN30" s="559"/>
      <c r="AO30" s="559"/>
      <c r="AP30" s="559"/>
      <c r="AQ30" s="560"/>
      <c r="AX30" s="686" t="s">
        <v>924</v>
      </c>
    </row>
    <row r="31" spans="1:108" ht="15" customHeight="1" x14ac:dyDescent="0.25">
      <c r="A31" s="1120" t="s">
        <v>925</v>
      </c>
      <c r="B31" s="1120"/>
      <c r="C31" s="1120"/>
      <c r="D31" s="1120"/>
      <c r="E31" s="1120"/>
      <c r="F31" s="1120"/>
      <c r="G31" s="559"/>
      <c r="H31" s="559"/>
      <c r="I31" s="559"/>
      <c r="J31" s="559"/>
      <c r="K31" s="559"/>
      <c r="L31" s="688"/>
      <c r="M31" s="559"/>
      <c r="N31" s="559"/>
      <c r="O31" s="559"/>
      <c r="P31" s="559"/>
      <c r="Q31" s="559"/>
      <c r="R31" s="559"/>
      <c r="S31" s="1121" t="s">
        <v>926</v>
      </c>
      <c r="T31" s="1121"/>
      <c r="U31" s="1121"/>
      <c r="V31" s="1121"/>
      <c r="W31" s="1121"/>
      <c r="X31" s="1121"/>
      <c r="Y31" s="559"/>
      <c r="Z31" s="559"/>
      <c r="AA31" s="559"/>
      <c r="AB31" s="559"/>
      <c r="AC31" s="688"/>
      <c r="AD31" s="559"/>
      <c r="AE31" s="559"/>
      <c r="AF31" s="559"/>
      <c r="AG31" s="559"/>
      <c r="AH31" s="559"/>
      <c r="AI31" s="559"/>
      <c r="AJ31" s="559"/>
      <c r="AK31" s="559"/>
      <c r="AL31" s="559"/>
      <c r="AM31" s="559"/>
      <c r="AN31" s="559"/>
      <c r="AO31" s="559"/>
      <c r="AP31" s="559"/>
      <c r="AQ31" s="560"/>
      <c r="AX31" s="686" t="s">
        <v>927</v>
      </c>
    </row>
    <row r="32" spans="1:108" ht="15" customHeight="1" x14ac:dyDescent="0.25">
      <c r="A32" s="559"/>
      <c r="B32" s="559"/>
      <c r="C32" s="559"/>
      <c r="D32" s="559"/>
      <c r="E32" s="559"/>
      <c r="F32" s="559"/>
      <c r="G32" s="559"/>
      <c r="H32" s="559"/>
      <c r="I32" s="559"/>
      <c r="J32" s="559"/>
      <c r="K32" s="559"/>
      <c r="L32" s="559"/>
      <c r="M32" s="559"/>
      <c r="N32" s="559"/>
      <c r="O32" s="559"/>
      <c r="P32" s="559"/>
      <c r="Q32" s="559"/>
      <c r="R32" s="559"/>
      <c r="S32" s="1120" t="s">
        <v>928</v>
      </c>
      <c r="T32" s="1120"/>
      <c r="U32" s="1120"/>
      <c r="V32" s="1120"/>
      <c r="W32" s="1120"/>
      <c r="X32" s="1120"/>
      <c r="Y32" s="559"/>
      <c r="Z32" s="559"/>
      <c r="AA32" s="559"/>
      <c r="AB32" s="559"/>
      <c r="AC32" s="559"/>
      <c r="AD32" s="559"/>
      <c r="AE32" s="559"/>
      <c r="AF32" s="559"/>
      <c r="AG32" s="559"/>
      <c r="AH32" s="559"/>
      <c r="AI32" s="559"/>
      <c r="AJ32" s="559"/>
      <c r="AK32" s="559"/>
      <c r="AL32" s="559"/>
      <c r="AM32" s="559"/>
      <c r="AN32" s="559"/>
      <c r="AO32" s="559"/>
      <c r="AP32" s="559"/>
      <c r="AQ32" s="560"/>
      <c r="AX32" s="686" t="s">
        <v>929</v>
      </c>
    </row>
    <row r="33" spans="1:50" ht="15" customHeight="1" x14ac:dyDescent="0.25">
      <c r="A33" s="559"/>
      <c r="B33" s="559"/>
      <c r="C33" s="559"/>
      <c r="D33" s="559"/>
      <c r="E33" s="559"/>
      <c r="F33" s="559"/>
      <c r="G33" s="559"/>
      <c r="H33" s="559"/>
      <c r="I33" s="559"/>
      <c r="J33" s="559"/>
      <c r="K33" s="688"/>
      <c r="L33" s="559"/>
      <c r="M33" s="559"/>
      <c r="N33" s="559"/>
      <c r="O33" s="559"/>
      <c r="P33" s="559"/>
      <c r="Q33" s="559"/>
      <c r="R33" s="559"/>
      <c r="S33" s="1120" t="s">
        <v>930</v>
      </c>
      <c r="T33" s="1120"/>
      <c r="U33" s="1120"/>
      <c r="V33" s="1120"/>
      <c r="W33" s="1120"/>
      <c r="X33" s="1120"/>
      <c r="Y33" s="559"/>
      <c r="Z33" s="559"/>
      <c r="AA33" s="559"/>
      <c r="AB33" s="559"/>
      <c r="AC33" s="688"/>
      <c r="AD33" s="559"/>
      <c r="AE33" s="559"/>
      <c r="AF33" s="559"/>
      <c r="AG33" s="559"/>
      <c r="AH33" s="559"/>
      <c r="AI33" s="559"/>
      <c r="AJ33" s="559"/>
      <c r="AK33" s="559"/>
      <c r="AL33" s="559"/>
      <c r="AM33" s="559"/>
      <c r="AN33" s="559"/>
      <c r="AO33" s="559"/>
      <c r="AP33" s="559"/>
      <c r="AQ33" s="560"/>
      <c r="AX33" s="689" t="s">
        <v>931</v>
      </c>
    </row>
    <row r="34" spans="1:50" ht="15" customHeight="1" x14ac:dyDescent="0.25">
      <c r="A34" s="559"/>
      <c r="B34" s="559"/>
      <c r="C34" s="559"/>
      <c r="D34" s="559"/>
      <c r="E34" s="559"/>
      <c r="F34" s="559"/>
      <c r="G34" s="559"/>
      <c r="H34" s="559"/>
      <c r="I34" s="559"/>
      <c r="J34" s="559"/>
      <c r="K34" s="559"/>
      <c r="L34" s="559"/>
      <c r="M34" s="559"/>
      <c r="N34" s="559"/>
      <c r="O34" s="559"/>
      <c r="P34" s="559"/>
      <c r="Q34" s="559"/>
      <c r="R34" s="559"/>
      <c r="S34" s="1120" t="s">
        <v>932</v>
      </c>
      <c r="T34" s="1120"/>
      <c r="U34" s="1120"/>
      <c r="V34" s="1120"/>
      <c r="W34" s="1120"/>
      <c r="X34" s="1120"/>
      <c r="Y34" s="559"/>
      <c r="Z34" s="559"/>
      <c r="AA34" s="559"/>
      <c r="AB34" s="559"/>
      <c r="AC34" s="559"/>
      <c r="AD34" s="559"/>
      <c r="AE34" s="559"/>
      <c r="AF34" s="559"/>
      <c r="AG34" s="559"/>
      <c r="AH34" s="559"/>
      <c r="AI34" s="559"/>
      <c r="AJ34" s="559"/>
      <c r="AK34" s="559"/>
      <c r="AL34" s="559"/>
      <c r="AM34" s="559"/>
      <c r="AN34" s="559"/>
      <c r="AO34" s="559"/>
      <c r="AP34" s="559"/>
      <c r="AQ34" s="560"/>
      <c r="AX34" s="677" t="s">
        <v>933</v>
      </c>
    </row>
    <row r="35" spans="1:50" ht="15" customHeight="1" x14ac:dyDescent="0.25">
      <c r="A35" s="559"/>
      <c r="B35" s="559"/>
      <c r="C35" s="559"/>
      <c r="D35" s="559"/>
      <c r="E35" s="559"/>
      <c r="F35" s="559"/>
      <c r="G35" s="559"/>
      <c r="H35" s="559"/>
      <c r="I35" s="559"/>
      <c r="J35" s="559"/>
      <c r="K35" s="559"/>
      <c r="L35" s="559"/>
      <c r="M35" s="559"/>
      <c r="N35" s="559"/>
      <c r="O35" s="559"/>
      <c r="P35" s="559"/>
      <c r="Q35" s="559"/>
      <c r="R35" s="559"/>
      <c r="S35" s="559"/>
      <c r="T35" s="559"/>
      <c r="U35" s="559"/>
      <c r="V35" s="559"/>
      <c r="W35" s="559"/>
      <c r="X35" s="559"/>
      <c r="Y35" s="559"/>
      <c r="Z35" s="559"/>
      <c r="AA35" s="559"/>
      <c r="AB35" s="559"/>
      <c r="AC35" s="559"/>
      <c r="AD35" s="559"/>
      <c r="AE35" s="559"/>
      <c r="AF35" s="559"/>
      <c r="AG35" s="559"/>
      <c r="AH35" s="559"/>
      <c r="AI35" s="559"/>
      <c r="AJ35" s="559"/>
      <c r="AK35" s="559"/>
      <c r="AL35" s="559"/>
      <c r="AM35" s="559"/>
      <c r="AN35" s="559"/>
      <c r="AO35" s="559"/>
      <c r="AP35" s="559"/>
      <c r="AQ35" s="560"/>
      <c r="AX35" s="686" t="s">
        <v>934</v>
      </c>
    </row>
    <row r="36" spans="1:50" ht="15" customHeight="1" x14ac:dyDescent="0.25">
      <c r="A36" s="559"/>
      <c r="B36" s="559"/>
      <c r="C36" s="559"/>
      <c r="D36" s="559"/>
      <c r="E36" s="559"/>
      <c r="F36" s="559"/>
      <c r="G36" s="559"/>
      <c r="H36" s="559"/>
      <c r="I36" s="559"/>
      <c r="J36" s="559"/>
      <c r="K36" s="559"/>
      <c r="L36" s="559"/>
      <c r="M36" s="559"/>
      <c r="N36" s="559"/>
      <c r="O36" s="559"/>
      <c r="P36" s="559"/>
      <c r="Q36" s="559"/>
      <c r="R36" s="559"/>
      <c r="S36" s="559"/>
      <c r="T36" s="559"/>
      <c r="U36" s="559"/>
      <c r="V36" s="559"/>
      <c r="W36" s="559"/>
      <c r="X36" s="559"/>
      <c r="Y36" s="559"/>
      <c r="Z36" s="559"/>
      <c r="AA36" s="559"/>
      <c r="AB36" s="559"/>
      <c r="AC36" s="559"/>
      <c r="AD36" s="559"/>
      <c r="AE36" s="559"/>
      <c r="AF36" s="559"/>
      <c r="AG36" s="559"/>
      <c r="AH36" s="559"/>
      <c r="AI36" s="559"/>
      <c r="AJ36" s="559"/>
      <c r="AK36" s="559"/>
      <c r="AL36" s="559"/>
      <c r="AM36" s="559"/>
      <c r="AN36" s="559"/>
      <c r="AO36" s="559"/>
      <c r="AP36" s="559"/>
      <c r="AQ36" s="560"/>
      <c r="AX36" s="677" t="s">
        <v>935</v>
      </c>
    </row>
    <row r="37" spans="1:50" ht="15" customHeight="1" x14ac:dyDescent="0.25">
      <c r="A37" s="559"/>
      <c r="B37" s="559"/>
      <c r="C37" s="559"/>
      <c r="D37" s="559"/>
      <c r="E37" s="559"/>
      <c r="F37" s="559"/>
      <c r="G37" s="559"/>
      <c r="H37" s="559"/>
      <c r="I37" s="559"/>
      <c r="J37" s="559"/>
      <c r="K37" s="559"/>
      <c r="L37" s="559"/>
      <c r="M37" s="559"/>
      <c r="N37" s="559"/>
      <c r="O37" s="559"/>
      <c r="P37" s="559"/>
      <c r="Q37" s="559"/>
      <c r="R37" s="559"/>
      <c r="S37" s="559"/>
      <c r="T37" s="559"/>
      <c r="U37" s="559"/>
      <c r="V37" s="559"/>
      <c r="W37" s="559"/>
      <c r="X37" s="559"/>
      <c r="Y37" s="559"/>
      <c r="Z37" s="559"/>
      <c r="AA37" s="559"/>
      <c r="AB37" s="559"/>
      <c r="AC37" s="559"/>
      <c r="AD37" s="559"/>
      <c r="AE37" s="559"/>
      <c r="AF37" s="559"/>
      <c r="AG37" s="559"/>
      <c r="AH37" s="559"/>
      <c r="AI37" s="559"/>
      <c r="AJ37" s="559"/>
      <c r="AK37" s="559"/>
      <c r="AL37" s="559"/>
      <c r="AM37" s="559"/>
      <c r="AN37" s="559"/>
      <c r="AO37" s="559"/>
      <c r="AP37" s="559"/>
      <c r="AQ37" s="560"/>
      <c r="AX37" s="686" t="s">
        <v>928</v>
      </c>
    </row>
    <row r="38" spans="1:50" ht="15" customHeight="1" x14ac:dyDescent="0.25">
      <c r="A38" s="559"/>
      <c r="B38" s="559"/>
      <c r="C38" s="559"/>
      <c r="D38" s="559"/>
      <c r="E38" s="559"/>
      <c r="F38" s="559"/>
      <c r="G38" s="559"/>
      <c r="H38" s="559"/>
      <c r="I38" s="559"/>
      <c r="J38" s="559"/>
      <c r="K38" s="688"/>
      <c r="L38" s="559"/>
      <c r="M38" s="559"/>
      <c r="N38" s="559"/>
      <c r="O38" s="559"/>
      <c r="P38" s="559"/>
      <c r="Q38" s="559"/>
      <c r="R38" s="559"/>
      <c r="S38" s="559"/>
      <c r="T38" s="688"/>
      <c r="U38" s="559"/>
      <c r="V38" s="559"/>
      <c r="W38" s="559"/>
      <c r="X38" s="559"/>
      <c r="Y38" s="559"/>
      <c r="Z38" s="559"/>
      <c r="AA38" s="559"/>
      <c r="AB38" s="559"/>
      <c r="AC38" s="688"/>
      <c r="AD38" s="559"/>
      <c r="AE38" s="559"/>
      <c r="AF38" s="559"/>
      <c r="AG38" s="559"/>
      <c r="AH38" s="559"/>
      <c r="AI38" s="559"/>
      <c r="AJ38" s="559"/>
      <c r="AK38" s="559"/>
      <c r="AL38" s="559"/>
      <c r="AM38" s="559"/>
      <c r="AN38" s="559"/>
      <c r="AO38" s="559"/>
      <c r="AP38" s="559"/>
      <c r="AQ38" s="560"/>
      <c r="AX38" s="686" t="s">
        <v>936</v>
      </c>
    </row>
    <row r="39" spans="1:50" ht="15" customHeight="1" x14ac:dyDescent="0.25">
      <c r="A39" s="559"/>
      <c r="B39" s="559"/>
      <c r="C39" s="559"/>
      <c r="D39" s="559"/>
      <c r="E39" s="559"/>
      <c r="F39" s="559"/>
      <c r="G39" s="559"/>
      <c r="H39" s="559"/>
      <c r="I39" s="559"/>
      <c r="J39" s="559"/>
      <c r="K39" s="559"/>
      <c r="L39" s="559"/>
      <c r="M39" s="559"/>
      <c r="N39" s="559"/>
      <c r="O39" s="559"/>
      <c r="P39" s="559"/>
      <c r="Q39" s="559"/>
      <c r="R39" s="559"/>
      <c r="S39" s="559"/>
      <c r="T39" s="559"/>
      <c r="U39" s="559"/>
      <c r="V39" s="559"/>
      <c r="W39" s="559"/>
      <c r="X39" s="559"/>
      <c r="Y39" s="559"/>
      <c r="Z39" s="559"/>
      <c r="AA39" s="559"/>
      <c r="AB39" s="559"/>
      <c r="AC39" s="559"/>
      <c r="AD39" s="559"/>
      <c r="AE39" s="559"/>
      <c r="AF39" s="559"/>
      <c r="AG39" s="559"/>
      <c r="AH39" s="559"/>
      <c r="AI39" s="559"/>
      <c r="AJ39" s="559"/>
      <c r="AK39" s="559"/>
      <c r="AL39" s="559"/>
      <c r="AM39" s="559"/>
      <c r="AN39" s="559"/>
      <c r="AO39" s="559"/>
      <c r="AP39" s="559"/>
      <c r="AQ39" s="560"/>
      <c r="AX39" s="686" t="s">
        <v>917</v>
      </c>
    </row>
    <row r="40" spans="1:50" ht="15" customHeight="1" x14ac:dyDescent="0.25">
      <c r="A40" s="559"/>
      <c r="B40" s="559"/>
      <c r="C40" s="559"/>
      <c r="D40" s="559"/>
      <c r="E40" s="559"/>
      <c r="F40" s="559"/>
      <c r="G40" s="559"/>
      <c r="H40" s="559"/>
      <c r="I40" s="559"/>
      <c r="J40" s="559"/>
      <c r="K40" s="559"/>
      <c r="L40" s="559"/>
      <c r="M40" s="559"/>
      <c r="N40" s="559"/>
      <c r="O40" s="559"/>
      <c r="P40" s="559"/>
      <c r="Q40" s="559"/>
      <c r="R40" s="559"/>
      <c r="S40" s="559"/>
      <c r="T40" s="559"/>
      <c r="U40" s="559"/>
      <c r="V40" s="559"/>
      <c r="W40" s="559"/>
      <c r="X40" s="559"/>
      <c r="Y40" s="559"/>
      <c r="Z40" s="559"/>
      <c r="AA40" s="559"/>
      <c r="AB40" s="559"/>
      <c r="AC40" s="559"/>
      <c r="AD40" s="559"/>
      <c r="AE40" s="559"/>
      <c r="AF40" s="559"/>
      <c r="AG40" s="559"/>
      <c r="AH40" s="559"/>
      <c r="AI40" s="559"/>
      <c r="AJ40" s="559"/>
      <c r="AK40" s="559"/>
      <c r="AL40" s="559"/>
      <c r="AM40" s="559"/>
      <c r="AN40" s="559"/>
      <c r="AO40" s="559"/>
      <c r="AP40" s="559"/>
      <c r="AQ40" s="560"/>
      <c r="AX40" s="677" t="s">
        <v>937</v>
      </c>
    </row>
    <row r="41" spans="1:50" ht="15" customHeight="1" x14ac:dyDescent="0.25">
      <c r="AX41" s="686" t="s">
        <v>930</v>
      </c>
    </row>
    <row r="42" spans="1:50" ht="15" customHeight="1" x14ac:dyDescent="0.25">
      <c r="AX42" s="686" t="s">
        <v>925</v>
      </c>
    </row>
    <row r="43" spans="1:50" ht="15" customHeight="1" x14ac:dyDescent="0.25">
      <c r="AX43" s="677" t="s">
        <v>938</v>
      </c>
    </row>
    <row r="44" spans="1:50" ht="15" customHeight="1" x14ac:dyDescent="0.25">
      <c r="AX44" s="686" t="s">
        <v>923</v>
      </c>
    </row>
    <row r="45" spans="1:50" ht="15" customHeight="1" x14ac:dyDescent="0.25">
      <c r="AX45" s="686" t="s">
        <v>922</v>
      </c>
    </row>
  </sheetData>
  <mergeCells count="139">
    <mergeCell ref="AX4:BE4"/>
    <mergeCell ref="A5:A6"/>
    <mergeCell ref="B5:F5"/>
    <mergeCell ref="J5:J6"/>
    <mergeCell ref="K5:O5"/>
    <mergeCell ref="S5:S6"/>
    <mergeCell ref="T5:X5"/>
    <mergeCell ref="AB5:AB6"/>
    <mergeCell ref="AC5:AG5"/>
    <mergeCell ref="AJ5:AJ6"/>
    <mergeCell ref="A4:F4"/>
    <mergeCell ref="J4:O4"/>
    <mergeCell ref="S4:X4"/>
    <mergeCell ref="AB4:AG4"/>
    <mergeCell ref="AJ4:AO4"/>
    <mergeCell ref="AR4:AU4"/>
    <mergeCell ref="AK5:AO5"/>
    <mergeCell ref="AX5:AX6"/>
    <mergeCell ref="AY5:BE5"/>
    <mergeCell ref="BL5:BO5"/>
    <mergeCell ref="A7:A8"/>
    <mergeCell ref="B7:B8"/>
    <mergeCell ref="C7:C8"/>
    <mergeCell ref="D7:D8"/>
    <mergeCell ref="E7:E8"/>
    <mergeCell ref="F7:F8"/>
    <mergeCell ref="AZ7:AZ8"/>
    <mergeCell ref="BA7:BA8"/>
    <mergeCell ref="BB7:BB8"/>
    <mergeCell ref="BC7:BC8"/>
    <mergeCell ref="BD7:BD8"/>
    <mergeCell ref="BE7:BE8"/>
    <mergeCell ref="J7:J8"/>
    <mergeCell ref="S7:S8"/>
    <mergeCell ref="AB7:AB8"/>
    <mergeCell ref="AJ7:AJ8"/>
    <mergeCell ref="AX7:AX8"/>
    <mergeCell ref="AY7:AY8"/>
    <mergeCell ref="AZ9:AZ10"/>
    <mergeCell ref="BA9:BA10"/>
    <mergeCell ref="BC9:BC10"/>
    <mergeCell ref="BD9:BD10"/>
    <mergeCell ref="BE9:BE10"/>
    <mergeCell ref="A11:A12"/>
    <mergeCell ref="B11:B12"/>
    <mergeCell ref="C11:C12"/>
    <mergeCell ref="D11:D12"/>
    <mergeCell ref="E11:E12"/>
    <mergeCell ref="J9:J10"/>
    <mergeCell ref="S9:S10"/>
    <mergeCell ref="AB9:AB10"/>
    <mergeCell ref="AJ9:AJ10"/>
    <mergeCell ref="AX9:AX10"/>
    <mergeCell ref="AY9:AY10"/>
    <mergeCell ref="A9:A10"/>
    <mergeCell ref="B9:B10"/>
    <mergeCell ref="C9:C10"/>
    <mergeCell ref="D9:D10"/>
    <mergeCell ref="E9:E10"/>
    <mergeCell ref="F9:F10"/>
    <mergeCell ref="AY11:AY12"/>
    <mergeCell ref="AZ11:AZ12"/>
    <mergeCell ref="BA11:BA12"/>
    <mergeCell ref="BC11:BC12"/>
    <mergeCell ref="BD11:BD12"/>
    <mergeCell ref="BE11:BE12"/>
    <mergeCell ref="F11:F12"/>
    <mergeCell ref="J11:J12"/>
    <mergeCell ref="S11:S12"/>
    <mergeCell ref="AB11:AB12"/>
    <mergeCell ref="AJ11:AJ12"/>
    <mergeCell ref="AX11:AX12"/>
    <mergeCell ref="AZ13:AZ14"/>
    <mergeCell ref="BA13:BA14"/>
    <mergeCell ref="BC13:BC14"/>
    <mergeCell ref="BD13:BD14"/>
    <mergeCell ref="BE13:BE14"/>
    <mergeCell ref="A16:A17"/>
    <mergeCell ref="B16:B17"/>
    <mergeCell ref="C16:C17"/>
    <mergeCell ref="D16:D17"/>
    <mergeCell ref="E16:E17"/>
    <mergeCell ref="J13:J14"/>
    <mergeCell ref="S13:S14"/>
    <mergeCell ref="AB13:AB14"/>
    <mergeCell ref="AJ13:AJ14"/>
    <mergeCell ref="AX13:AX14"/>
    <mergeCell ref="AY13:AY14"/>
    <mergeCell ref="A13:A14"/>
    <mergeCell ref="B13:B14"/>
    <mergeCell ref="C13:C14"/>
    <mergeCell ref="D13:D14"/>
    <mergeCell ref="E13:E14"/>
    <mergeCell ref="F13:F14"/>
    <mergeCell ref="BC16:BC17"/>
    <mergeCell ref="BD16:BD17"/>
    <mergeCell ref="BE16:BE17"/>
    <mergeCell ref="F16:F17"/>
    <mergeCell ref="J16:J17"/>
    <mergeCell ref="S16:S17"/>
    <mergeCell ref="AB16:AB17"/>
    <mergeCell ref="AJ16:AJ17"/>
    <mergeCell ref="AX16:AX17"/>
    <mergeCell ref="A18:A19"/>
    <mergeCell ref="B18:B19"/>
    <mergeCell ref="C18:C19"/>
    <mergeCell ref="D18:D19"/>
    <mergeCell ref="E18:E19"/>
    <mergeCell ref="F18:F19"/>
    <mergeCell ref="AY16:AY17"/>
    <mergeCell ref="AZ16:AZ17"/>
    <mergeCell ref="BA16:BA17"/>
    <mergeCell ref="AZ18:AZ19"/>
    <mergeCell ref="BA18:BA19"/>
    <mergeCell ref="BC18:BC19"/>
    <mergeCell ref="BD18:BD19"/>
    <mergeCell ref="BE18:BE19"/>
    <mergeCell ref="B25:F25"/>
    <mergeCell ref="J18:J19"/>
    <mergeCell ref="S18:S19"/>
    <mergeCell ref="AB18:AB19"/>
    <mergeCell ref="AJ18:AJ19"/>
    <mergeCell ref="AX18:AX19"/>
    <mergeCell ref="AY18:AY19"/>
    <mergeCell ref="S33:X33"/>
    <mergeCell ref="S34:X34"/>
    <mergeCell ref="A30:F30"/>
    <mergeCell ref="J30:O30"/>
    <mergeCell ref="S30:X30"/>
    <mergeCell ref="A31:F31"/>
    <mergeCell ref="S31:X31"/>
    <mergeCell ref="S32:X32"/>
    <mergeCell ref="A27:F27"/>
    <mergeCell ref="A28:F28"/>
    <mergeCell ref="J28:O28"/>
    <mergeCell ref="S28:X28"/>
    <mergeCell ref="A29:F29"/>
    <mergeCell ref="J29:O29"/>
    <mergeCell ref="S29:X29"/>
  </mergeCell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A0A65-1E46-4E0B-9016-5E1B812A4D4D}">
  <sheetPr codeName="Sheet54">
    <tabColor theme="7" tint="0.59999389629810485"/>
  </sheetPr>
  <dimension ref="B1:G52"/>
  <sheetViews>
    <sheetView workbookViewId="0">
      <selection activeCell="G3" sqref="G3"/>
    </sheetView>
  </sheetViews>
  <sheetFormatPr defaultRowHeight="15" x14ac:dyDescent="0.25"/>
  <cols>
    <col min="2" max="2" width="25" bestFit="1" customWidth="1"/>
    <col min="3" max="3" width="7" bestFit="1" customWidth="1"/>
  </cols>
  <sheetData>
    <row r="1" spans="2:7" x14ac:dyDescent="0.25">
      <c r="B1" s="104" t="s">
        <v>102</v>
      </c>
      <c r="C1" s="82"/>
      <c r="F1" t="s">
        <v>963</v>
      </c>
    </row>
    <row r="2" spans="2:7" x14ac:dyDescent="0.25">
      <c r="B2" s="106">
        <v>2017</v>
      </c>
      <c r="C2" s="93">
        <v>567.5</v>
      </c>
      <c r="F2">
        <v>2019</v>
      </c>
      <c r="G2">
        <f>C15/C2</f>
        <v>1.0704845814977975</v>
      </c>
    </row>
    <row r="3" spans="2:7" x14ac:dyDescent="0.25">
      <c r="B3" s="100">
        <v>2013</v>
      </c>
      <c r="C3" s="93">
        <v>567.29999999999995</v>
      </c>
      <c r="F3">
        <v>2021</v>
      </c>
      <c r="G3">
        <f>C41/C2</f>
        <v>1.2475770925110132</v>
      </c>
    </row>
    <row r="4" spans="2:7" x14ac:dyDescent="0.25">
      <c r="B4" s="100">
        <v>2011</v>
      </c>
      <c r="C4" s="93">
        <v>585.70000000000005</v>
      </c>
    </row>
    <row r="5" spans="2:7" x14ac:dyDescent="0.25">
      <c r="B5" s="100">
        <v>2010</v>
      </c>
      <c r="C5" s="93">
        <v>550.79999999999995</v>
      </c>
    </row>
    <row r="6" spans="2:7" x14ac:dyDescent="0.25">
      <c r="B6" s="100">
        <v>2009</v>
      </c>
      <c r="C6" s="93">
        <v>521.9</v>
      </c>
    </row>
    <row r="7" spans="2:7" x14ac:dyDescent="0.25">
      <c r="B7" s="100">
        <v>2008</v>
      </c>
      <c r="C7" s="93">
        <v>575.4</v>
      </c>
    </row>
    <row r="8" spans="2:7" x14ac:dyDescent="0.25">
      <c r="B8" s="100">
        <v>2007</v>
      </c>
      <c r="C8" s="93">
        <v>525.4</v>
      </c>
    </row>
    <row r="9" spans="2:7" ht="15.75" thickBot="1" x14ac:dyDescent="0.3">
      <c r="B9" s="107">
        <v>2006</v>
      </c>
      <c r="C9" s="108">
        <v>499.6</v>
      </c>
    </row>
    <row r="12" spans="2:7" x14ac:dyDescent="0.25">
      <c r="B12" t="s">
        <v>964</v>
      </c>
    </row>
    <row r="13" spans="2:7" x14ac:dyDescent="0.25">
      <c r="B13">
        <v>2019</v>
      </c>
    </row>
    <row r="15" spans="2:7" x14ac:dyDescent="0.25">
      <c r="B15" t="s">
        <v>965</v>
      </c>
      <c r="C15">
        <v>607.5</v>
      </c>
      <c r="D15">
        <v>2019</v>
      </c>
    </row>
    <row r="16" spans="2:7" x14ac:dyDescent="0.25">
      <c r="B16" t="s">
        <v>966</v>
      </c>
      <c r="C16">
        <v>740</v>
      </c>
      <c r="D16">
        <v>2019</v>
      </c>
    </row>
    <row r="17" spans="2:4" x14ac:dyDescent="0.25">
      <c r="B17" t="s">
        <v>967</v>
      </c>
      <c r="C17">
        <v>649.79999999999995</v>
      </c>
      <c r="D17">
        <v>2019</v>
      </c>
    </row>
    <row r="18" spans="2:4" x14ac:dyDescent="0.25">
      <c r="B18" t="s">
        <v>968</v>
      </c>
      <c r="C18">
        <v>725.4</v>
      </c>
      <c r="D18">
        <v>2019</v>
      </c>
    </row>
    <row r="19" spans="2:4" x14ac:dyDescent="0.25">
      <c r="B19" t="s">
        <v>969</v>
      </c>
      <c r="C19">
        <v>963.3</v>
      </c>
      <c r="D19">
        <v>2019</v>
      </c>
    </row>
    <row r="20" spans="2:4" x14ac:dyDescent="0.25">
      <c r="B20" t="s">
        <v>970</v>
      </c>
      <c r="C20">
        <v>418.4</v>
      </c>
      <c r="D20">
        <v>2019</v>
      </c>
    </row>
    <row r="21" spans="2:4" x14ac:dyDescent="0.25">
      <c r="B21" t="s">
        <v>971</v>
      </c>
      <c r="C21">
        <v>1069.2</v>
      </c>
      <c r="D21">
        <v>2019</v>
      </c>
    </row>
    <row r="22" spans="2:4" x14ac:dyDescent="0.25">
      <c r="B22" t="s">
        <v>972</v>
      </c>
      <c r="C22">
        <v>558.5</v>
      </c>
      <c r="D22">
        <v>2019</v>
      </c>
    </row>
    <row r="23" spans="2:4" x14ac:dyDescent="0.25">
      <c r="B23" t="s">
        <v>973</v>
      </c>
      <c r="C23">
        <v>801.7</v>
      </c>
      <c r="D23">
        <v>2019</v>
      </c>
    </row>
    <row r="24" spans="2:4" x14ac:dyDescent="0.25">
      <c r="B24" t="s">
        <v>974</v>
      </c>
      <c r="C24">
        <v>336.1</v>
      </c>
      <c r="D24">
        <v>2019</v>
      </c>
    </row>
    <row r="25" spans="2:4" x14ac:dyDescent="0.25">
      <c r="B25" t="s">
        <v>975</v>
      </c>
      <c r="C25">
        <v>594.4</v>
      </c>
      <c r="D25">
        <v>2019</v>
      </c>
    </row>
    <row r="26" spans="2:4" x14ac:dyDescent="0.25">
      <c r="B26" t="s">
        <v>976</v>
      </c>
      <c r="C26">
        <v>315</v>
      </c>
      <c r="D26">
        <v>2019</v>
      </c>
    </row>
    <row r="27" spans="2:4" x14ac:dyDescent="0.25">
      <c r="B27">
        <v>2020</v>
      </c>
    </row>
    <row r="28" spans="2:4" x14ac:dyDescent="0.25">
      <c r="B28" t="s">
        <v>965</v>
      </c>
      <c r="C28">
        <v>596.20000000000005</v>
      </c>
      <c r="D28">
        <v>2020</v>
      </c>
    </row>
    <row r="29" spans="2:4" x14ac:dyDescent="0.25">
      <c r="B29" t="s">
        <v>966</v>
      </c>
      <c r="C29">
        <v>722.7</v>
      </c>
      <c r="D29">
        <v>2020</v>
      </c>
    </row>
    <row r="30" spans="2:4" x14ac:dyDescent="0.25">
      <c r="B30" t="s">
        <v>967</v>
      </c>
      <c r="C30">
        <v>614.5</v>
      </c>
      <c r="D30">
        <v>2020</v>
      </c>
    </row>
    <row r="31" spans="2:4" x14ac:dyDescent="0.25">
      <c r="B31" t="s">
        <v>968</v>
      </c>
      <c r="C31">
        <v>722.8</v>
      </c>
      <c r="D31">
        <v>2020</v>
      </c>
    </row>
    <row r="32" spans="2:4" x14ac:dyDescent="0.25">
      <c r="B32" t="s">
        <v>969</v>
      </c>
      <c r="C32">
        <v>956.9</v>
      </c>
      <c r="D32">
        <v>2020</v>
      </c>
    </row>
    <row r="33" spans="2:4" x14ac:dyDescent="0.25">
      <c r="B33" t="s">
        <v>970</v>
      </c>
      <c r="C33">
        <v>418.2</v>
      </c>
      <c r="D33">
        <v>2020</v>
      </c>
    </row>
    <row r="34" spans="2:4" x14ac:dyDescent="0.25">
      <c r="B34" t="s">
        <v>971</v>
      </c>
      <c r="C34">
        <v>1084.3</v>
      </c>
      <c r="D34">
        <v>2020</v>
      </c>
    </row>
    <row r="35" spans="2:4" x14ac:dyDescent="0.25">
      <c r="B35" t="s">
        <v>972</v>
      </c>
      <c r="C35">
        <v>564.6</v>
      </c>
      <c r="D35">
        <v>2020</v>
      </c>
    </row>
    <row r="36" spans="2:4" x14ac:dyDescent="0.25">
      <c r="B36" t="s">
        <v>973</v>
      </c>
      <c r="C36">
        <v>766.2</v>
      </c>
      <c r="D36">
        <v>2020</v>
      </c>
    </row>
    <row r="37" spans="2:4" x14ac:dyDescent="0.25">
      <c r="B37" t="s">
        <v>974</v>
      </c>
      <c r="C37">
        <v>336.1</v>
      </c>
      <c r="D37">
        <v>2020</v>
      </c>
    </row>
    <row r="38" spans="2:4" x14ac:dyDescent="0.25">
      <c r="B38" t="s">
        <v>975</v>
      </c>
      <c r="C38">
        <v>600.5</v>
      </c>
      <c r="D38">
        <v>2020</v>
      </c>
    </row>
    <row r="39" spans="2:4" x14ac:dyDescent="0.25">
      <c r="B39" t="s">
        <v>976</v>
      </c>
      <c r="C39">
        <v>312.3</v>
      </c>
      <c r="D39">
        <v>2020</v>
      </c>
    </row>
    <row r="40" spans="2:4" x14ac:dyDescent="0.25">
      <c r="B40">
        <v>2021</v>
      </c>
    </row>
    <row r="41" spans="2:4" x14ac:dyDescent="0.25">
      <c r="B41" t="s">
        <v>965</v>
      </c>
      <c r="C41">
        <v>708</v>
      </c>
      <c r="D41">
        <v>2021</v>
      </c>
    </row>
    <row r="42" spans="2:4" x14ac:dyDescent="0.25">
      <c r="B42" t="s">
        <v>966</v>
      </c>
      <c r="C42">
        <v>880.6</v>
      </c>
      <c r="D42">
        <v>2021</v>
      </c>
    </row>
    <row r="43" spans="2:4" x14ac:dyDescent="0.25">
      <c r="B43" t="s">
        <v>967</v>
      </c>
      <c r="C43">
        <v>753.3</v>
      </c>
      <c r="D43">
        <v>2021</v>
      </c>
    </row>
    <row r="44" spans="2:4" x14ac:dyDescent="0.25">
      <c r="B44" t="s">
        <v>968</v>
      </c>
      <c r="C44">
        <v>884.4</v>
      </c>
      <c r="D44">
        <v>2021</v>
      </c>
    </row>
    <row r="45" spans="2:4" x14ac:dyDescent="0.25">
      <c r="B45" t="s">
        <v>969</v>
      </c>
      <c r="C45">
        <v>1225.3</v>
      </c>
      <c r="D45">
        <v>2021</v>
      </c>
    </row>
    <row r="46" spans="2:4" x14ac:dyDescent="0.25">
      <c r="B46" t="s">
        <v>970</v>
      </c>
      <c r="C46">
        <v>517.29999999999995</v>
      </c>
      <c r="D46">
        <v>2021</v>
      </c>
    </row>
    <row r="47" spans="2:4" x14ac:dyDescent="0.25">
      <c r="B47" t="s">
        <v>971</v>
      </c>
      <c r="C47">
        <v>1141.4000000000001</v>
      </c>
      <c r="D47">
        <v>2021</v>
      </c>
    </row>
    <row r="48" spans="2:4" x14ac:dyDescent="0.25">
      <c r="B48" t="s">
        <v>972</v>
      </c>
      <c r="C48">
        <v>617.1</v>
      </c>
      <c r="D48">
        <v>2021</v>
      </c>
    </row>
    <row r="49" spans="2:4" x14ac:dyDescent="0.25">
      <c r="B49" t="s">
        <v>973</v>
      </c>
      <c r="C49">
        <v>954.8</v>
      </c>
      <c r="D49">
        <v>2021</v>
      </c>
    </row>
    <row r="50" spans="2:4" x14ac:dyDescent="0.25">
      <c r="B50" t="s">
        <v>974</v>
      </c>
      <c r="C50">
        <v>342.7</v>
      </c>
      <c r="D50">
        <v>2021</v>
      </c>
    </row>
    <row r="51" spans="2:4" x14ac:dyDescent="0.25">
      <c r="B51" t="s">
        <v>975</v>
      </c>
      <c r="C51">
        <v>739.3</v>
      </c>
      <c r="D51">
        <v>2021</v>
      </c>
    </row>
    <row r="52" spans="2:4" x14ac:dyDescent="0.25">
      <c r="B52" t="s">
        <v>976</v>
      </c>
      <c r="C52">
        <v>310.60000000000002</v>
      </c>
      <c r="D52">
        <v>2021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02F98-E731-4F4E-9806-18C037E81D88}">
  <sheetPr codeName="Sheet6"/>
  <dimension ref="B1:X39"/>
  <sheetViews>
    <sheetView topLeftCell="A24" zoomScale="95" zoomScaleNormal="95" workbookViewId="0">
      <selection activeCell="B35" sqref="B35"/>
    </sheetView>
  </sheetViews>
  <sheetFormatPr defaultRowHeight="15" x14ac:dyDescent="0.25"/>
  <cols>
    <col min="2" max="2" width="12.42578125" customWidth="1"/>
    <col min="5" max="5" width="10.7109375" customWidth="1"/>
    <col min="6" max="6" width="11.28515625" customWidth="1"/>
  </cols>
  <sheetData>
    <row r="1" spans="2:18" x14ac:dyDescent="0.25">
      <c r="B1" s="709" t="s">
        <v>977</v>
      </c>
    </row>
    <row r="2" spans="2:18" x14ac:dyDescent="0.25">
      <c r="B2" s="13" t="s">
        <v>255</v>
      </c>
    </row>
    <row r="3" spans="2:18" ht="15.75" thickBot="1" x14ac:dyDescent="0.3">
      <c r="B3" s="13" t="s">
        <v>142</v>
      </c>
    </row>
    <row r="4" spans="2:18" ht="41.25" customHeight="1" thickTop="1" x14ac:dyDescent="0.25">
      <c r="B4" s="993" t="s">
        <v>28</v>
      </c>
      <c r="C4" s="995" t="s">
        <v>29</v>
      </c>
      <c r="D4" s="996"/>
      <c r="E4" s="996"/>
      <c r="F4" s="996"/>
      <c r="G4" s="996"/>
      <c r="H4" s="996"/>
      <c r="I4" s="996"/>
      <c r="J4" s="997"/>
      <c r="K4" s="1001" t="s">
        <v>30</v>
      </c>
      <c r="L4" s="1002"/>
      <c r="N4" s="290"/>
    </row>
    <row r="5" spans="2:18" ht="30" customHeight="1" x14ac:dyDescent="0.25">
      <c r="B5" s="1000"/>
      <c r="C5" s="1003" t="s">
        <v>31</v>
      </c>
      <c r="D5" s="1004"/>
      <c r="E5" s="1003" t="s">
        <v>32</v>
      </c>
      <c r="F5" s="1004"/>
      <c r="G5" s="1005" t="s">
        <v>33</v>
      </c>
      <c r="H5" s="1006"/>
      <c r="I5" s="1005" t="s">
        <v>34</v>
      </c>
      <c r="J5" s="1006"/>
      <c r="K5" s="1007" t="s">
        <v>132</v>
      </c>
      <c r="L5" s="1008"/>
      <c r="N5" s="291" t="s">
        <v>207</v>
      </c>
    </row>
    <row r="6" spans="2:18" x14ac:dyDescent="0.25">
      <c r="B6" s="1000"/>
      <c r="C6" s="1009">
        <f>Lawyer</f>
        <v>114.79721000000001</v>
      </c>
      <c r="D6" s="1010"/>
      <c r="E6" s="1011">
        <f>Manager</f>
        <v>91.328059999999994</v>
      </c>
      <c r="F6" s="1010"/>
      <c r="G6" s="1011">
        <f>Tech</f>
        <v>73.827010000000001</v>
      </c>
      <c r="H6" s="1010"/>
      <c r="I6" s="1011">
        <f>Admin</f>
        <v>34.089750000000002</v>
      </c>
      <c r="J6" s="1010"/>
      <c r="K6" s="1012"/>
      <c r="L6" s="1013"/>
    </row>
    <row r="7" spans="2:18" ht="36" x14ac:dyDescent="0.25">
      <c r="B7" s="994"/>
      <c r="C7" s="306" t="s">
        <v>35</v>
      </c>
      <c r="D7" s="303" t="s">
        <v>36</v>
      </c>
      <c r="E7" s="303" t="s">
        <v>35</v>
      </c>
      <c r="F7" s="303" t="s">
        <v>36</v>
      </c>
      <c r="G7" s="303" t="s">
        <v>35</v>
      </c>
      <c r="H7" s="303" t="s">
        <v>36</v>
      </c>
      <c r="I7" s="303" t="s">
        <v>35</v>
      </c>
      <c r="J7" s="303" t="s">
        <v>36</v>
      </c>
      <c r="K7" s="14" t="s">
        <v>3</v>
      </c>
      <c r="L7" s="15" t="s">
        <v>37</v>
      </c>
    </row>
    <row r="8" spans="2:18" x14ac:dyDescent="0.25">
      <c r="B8" s="307" t="s">
        <v>38</v>
      </c>
      <c r="C8" s="321">
        <v>1</v>
      </c>
      <c r="D8" s="322">
        <v>1</v>
      </c>
      <c r="E8" s="322">
        <v>1</v>
      </c>
      <c r="F8" s="322">
        <v>1</v>
      </c>
      <c r="G8" s="322">
        <v>2</v>
      </c>
      <c r="H8" s="322">
        <v>2</v>
      </c>
      <c r="I8" s="322">
        <v>0</v>
      </c>
      <c r="J8" s="322">
        <v>0</v>
      </c>
      <c r="K8" s="52">
        <f>C8*$C$6+E8*$E$6+G8*$G$6+I8*$I$6</f>
        <v>353.77929</v>
      </c>
      <c r="L8" s="50">
        <f>D8*$C$6+F8*$E$6+H8*$G$6+J8*$I$6</f>
        <v>353.77929</v>
      </c>
      <c r="N8" s="269" t="s">
        <v>210</v>
      </c>
    </row>
    <row r="9" spans="2:18" x14ac:dyDescent="0.25">
      <c r="B9" s="308" t="s">
        <v>39</v>
      </c>
      <c r="C9" s="319">
        <v>0</v>
      </c>
      <c r="D9" s="187">
        <v>0</v>
      </c>
      <c r="E9" s="187">
        <v>0</v>
      </c>
      <c r="F9" s="187">
        <v>0</v>
      </c>
      <c r="G9" s="187">
        <v>2</v>
      </c>
      <c r="H9" s="187">
        <v>2</v>
      </c>
      <c r="I9" s="187">
        <v>0</v>
      </c>
      <c r="J9" s="187">
        <v>0</v>
      </c>
      <c r="K9" s="40">
        <f t="shared" ref="K9:L12" si="0">C9*$C$6+E9*$E$6+G9*$G$6+I9*$I$6</f>
        <v>147.65402</v>
      </c>
      <c r="L9" s="41">
        <f t="shared" si="0"/>
        <v>147.65402</v>
      </c>
      <c r="N9" s="269" t="s">
        <v>212</v>
      </c>
    </row>
    <row r="10" spans="2:18" x14ac:dyDescent="0.25">
      <c r="B10" s="307" t="s">
        <v>40</v>
      </c>
      <c r="C10" s="320">
        <v>0</v>
      </c>
      <c r="D10" s="188">
        <v>0</v>
      </c>
      <c r="E10" s="188">
        <v>0.5</v>
      </c>
      <c r="F10" s="188">
        <v>0.5</v>
      </c>
      <c r="G10" s="188">
        <v>5</v>
      </c>
      <c r="H10" s="188">
        <v>5</v>
      </c>
      <c r="I10" s="188">
        <v>0.5</v>
      </c>
      <c r="J10" s="188">
        <v>0.5</v>
      </c>
      <c r="K10" s="52">
        <f t="shared" si="0"/>
        <v>431.84395499999999</v>
      </c>
      <c r="L10" s="50">
        <f t="shared" si="0"/>
        <v>431.84395499999999</v>
      </c>
      <c r="N10" s="269" t="s">
        <v>204</v>
      </c>
    </row>
    <row r="11" spans="2:18" ht="36" x14ac:dyDescent="0.25">
      <c r="B11" s="308" t="s">
        <v>41</v>
      </c>
      <c r="C11" s="319">
        <v>0</v>
      </c>
      <c r="D11" s="187">
        <v>0</v>
      </c>
      <c r="E11" s="187">
        <v>2</v>
      </c>
      <c r="F11" s="187">
        <v>2</v>
      </c>
      <c r="G11" s="187">
        <v>12</v>
      </c>
      <c r="H11" s="187">
        <v>12</v>
      </c>
      <c r="I11" s="187">
        <v>4</v>
      </c>
      <c r="J11" s="187">
        <v>4</v>
      </c>
      <c r="K11" s="40">
        <f t="shared" si="0"/>
        <v>1204.9392399999999</v>
      </c>
      <c r="L11" s="41">
        <f t="shared" si="0"/>
        <v>1204.9392399999999</v>
      </c>
      <c r="N11" s="269" t="s">
        <v>211</v>
      </c>
    </row>
    <row r="12" spans="2:18" x14ac:dyDescent="0.25">
      <c r="B12" s="307" t="s">
        <v>42</v>
      </c>
      <c r="C12" s="321">
        <v>0</v>
      </c>
      <c r="D12" s="322">
        <v>0</v>
      </c>
      <c r="E12" s="322">
        <v>1</v>
      </c>
      <c r="F12" s="322">
        <v>1</v>
      </c>
      <c r="G12" s="322">
        <v>10</v>
      </c>
      <c r="H12" s="322">
        <v>10</v>
      </c>
      <c r="I12" s="322">
        <v>1</v>
      </c>
      <c r="J12" s="322">
        <v>1</v>
      </c>
      <c r="K12" s="52">
        <f t="shared" si="0"/>
        <v>863.68790999999999</v>
      </c>
      <c r="L12" s="50">
        <f t="shared" si="0"/>
        <v>863.68790999999999</v>
      </c>
      <c r="N12" s="269" t="s">
        <v>213</v>
      </c>
    </row>
    <row r="13" spans="2:18" ht="15.75" thickBot="1" x14ac:dyDescent="0.3">
      <c r="B13" s="44" t="s">
        <v>43</v>
      </c>
      <c r="C13" s="45">
        <f>SUM(C8:C12)</f>
        <v>1</v>
      </c>
      <c r="D13" s="45">
        <f t="shared" ref="D13:J13" si="1">SUM(D8:D12)</f>
        <v>1</v>
      </c>
      <c r="E13" s="45">
        <f t="shared" si="1"/>
        <v>4.5</v>
      </c>
      <c r="F13" s="45">
        <f t="shared" si="1"/>
        <v>4.5</v>
      </c>
      <c r="G13" s="45">
        <f t="shared" si="1"/>
        <v>31</v>
      </c>
      <c r="H13" s="45">
        <f>SUM(H8:H12)</f>
        <v>31</v>
      </c>
      <c r="I13" s="45">
        <f t="shared" si="1"/>
        <v>5.5</v>
      </c>
      <c r="J13" s="45">
        <f t="shared" si="1"/>
        <v>5.5</v>
      </c>
      <c r="K13" s="47">
        <f>SUM(K8:K12)</f>
        <v>3001.904415</v>
      </c>
      <c r="L13" s="48">
        <f>SUM(L8:L12)</f>
        <v>3001.904415</v>
      </c>
      <c r="M13" s="53"/>
    </row>
    <row r="14" spans="2:18" ht="16.5" thickTop="1" thickBot="1" x14ac:dyDescent="0.3">
      <c r="C14" s="189"/>
      <c r="D14" s="189"/>
      <c r="E14" s="190"/>
      <c r="F14" s="190"/>
      <c r="G14" s="190"/>
      <c r="H14" s="190"/>
      <c r="I14" s="190"/>
      <c r="J14" s="190"/>
      <c r="K14" s="128"/>
      <c r="L14" s="128"/>
    </row>
    <row r="15" spans="2:18" ht="25.5" thickTop="1" thickBot="1" x14ac:dyDescent="0.3">
      <c r="B15" s="159" t="s">
        <v>161</v>
      </c>
      <c r="C15" s="191">
        <f t="shared" ref="C15:J15" si="2">C13</f>
        <v>1</v>
      </c>
      <c r="D15" s="191">
        <f t="shared" si="2"/>
        <v>1</v>
      </c>
      <c r="E15" s="191">
        <f t="shared" si="2"/>
        <v>4.5</v>
      </c>
      <c r="F15" s="191">
        <f t="shared" si="2"/>
        <v>4.5</v>
      </c>
      <c r="G15" s="191">
        <f t="shared" si="2"/>
        <v>31</v>
      </c>
      <c r="H15" s="191">
        <f t="shared" si="2"/>
        <v>31</v>
      </c>
      <c r="I15" s="191">
        <f t="shared" si="2"/>
        <v>5.5</v>
      </c>
      <c r="J15" s="191">
        <f t="shared" si="2"/>
        <v>5.5</v>
      </c>
      <c r="K15" s="119">
        <f>K13</f>
        <v>3001.904415</v>
      </c>
      <c r="L15" s="120">
        <f>L13</f>
        <v>3001.904415</v>
      </c>
      <c r="M15" s="121"/>
    </row>
    <row r="16" spans="2:18" ht="15.75" customHeight="1" thickTop="1" x14ac:dyDescent="0.25">
      <c r="Q16" s="364" t="s">
        <v>353</v>
      </c>
      <c r="R16" s="49">
        <f>G6*1.2+0.12*I6+0.06*E6</f>
        <v>98.162865600000003</v>
      </c>
    </row>
    <row r="17" spans="2:11" ht="15.75" customHeight="1" thickBot="1" x14ac:dyDescent="0.3">
      <c r="B17" s="13" t="s">
        <v>143</v>
      </c>
    </row>
    <row r="18" spans="2:11" ht="42" customHeight="1" thickTop="1" x14ac:dyDescent="0.25">
      <c r="B18" s="993" t="s">
        <v>28</v>
      </c>
      <c r="C18" s="995" t="s">
        <v>45</v>
      </c>
      <c r="D18" s="996"/>
      <c r="E18" s="996"/>
      <c r="F18" s="997"/>
      <c r="G18" s="998" t="s">
        <v>133</v>
      </c>
      <c r="H18" s="999"/>
    </row>
    <row r="19" spans="2:11" ht="36" x14ac:dyDescent="0.25">
      <c r="B19" s="994"/>
      <c r="C19" s="14" t="s">
        <v>134</v>
      </c>
      <c r="D19" s="14" t="s">
        <v>46</v>
      </c>
      <c r="E19" s="14" t="s">
        <v>135</v>
      </c>
      <c r="F19" s="14" t="s">
        <v>136</v>
      </c>
      <c r="G19" s="14" t="s">
        <v>3</v>
      </c>
      <c r="H19" s="15" t="s">
        <v>47</v>
      </c>
    </row>
    <row r="20" spans="2:11" ht="48" x14ac:dyDescent="0.25">
      <c r="B20" s="16" t="s">
        <v>48</v>
      </c>
      <c r="C20" s="177" t="s">
        <v>49</v>
      </c>
      <c r="D20" s="177"/>
      <c r="E20" s="177" t="s">
        <v>49</v>
      </c>
      <c r="F20" s="177" t="s">
        <v>49</v>
      </c>
      <c r="G20" s="177" t="s">
        <v>49</v>
      </c>
      <c r="H20" s="178" t="s">
        <v>49</v>
      </c>
    </row>
    <row r="21" spans="2:11" ht="24" x14ac:dyDescent="0.25">
      <c r="B21" s="19" t="s">
        <v>50</v>
      </c>
      <c r="C21" s="180" t="s">
        <v>49</v>
      </c>
      <c r="D21" s="179"/>
      <c r="E21" s="180" t="s">
        <v>49</v>
      </c>
      <c r="F21" s="180" t="s">
        <v>49</v>
      </c>
      <c r="G21" s="180" t="s">
        <v>49</v>
      </c>
      <c r="H21" s="181" t="s">
        <v>49</v>
      </c>
    </row>
    <row r="22" spans="2:11" x14ac:dyDescent="0.25">
      <c r="B22" s="16" t="s">
        <v>40</v>
      </c>
      <c r="C22" s="177">
        <v>0</v>
      </c>
      <c r="D22" s="177"/>
      <c r="E22" s="177">
        <v>0</v>
      </c>
      <c r="F22" s="203">
        <f>50*Inflation</f>
        <v>62.378854625550659</v>
      </c>
      <c r="G22" s="203">
        <f>50*Inflation</f>
        <v>62.378854625550659</v>
      </c>
      <c r="H22" s="203">
        <f>50*Inflation</f>
        <v>62.378854625550659</v>
      </c>
      <c r="I22" s="326" t="s">
        <v>216</v>
      </c>
    </row>
    <row r="23" spans="2:11" x14ac:dyDescent="0.25">
      <c r="B23" s="19" t="s">
        <v>51</v>
      </c>
      <c r="C23" s="180" t="s">
        <v>49</v>
      </c>
      <c r="D23" s="179"/>
      <c r="E23" s="180" t="s">
        <v>49</v>
      </c>
      <c r="F23" s="180" t="s">
        <v>49</v>
      </c>
      <c r="G23" s="180" t="s">
        <v>49</v>
      </c>
      <c r="H23" s="181" t="s">
        <v>49</v>
      </c>
      <c r="I23" s="134"/>
    </row>
    <row r="24" spans="2:11" ht="24" x14ac:dyDescent="0.25">
      <c r="B24" s="16" t="s">
        <v>52</v>
      </c>
      <c r="C24" s="177" t="s">
        <v>49</v>
      </c>
      <c r="D24" s="177"/>
      <c r="E24" s="177" t="s">
        <v>49</v>
      </c>
      <c r="F24" s="203">
        <f>1200*Inflation</f>
        <v>1497.0925110132159</v>
      </c>
      <c r="G24" s="203">
        <f>F24</f>
        <v>1497.0925110132159</v>
      </c>
      <c r="H24" s="183">
        <f>F24</f>
        <v>1497.0925110132159</v>
      </c>
      <c r="I24" s="326" t="s">
        <v>214</v>
      </c>
    </row>
    <row r="25" spans="2:11" ht="15.75" thickBot="1" x14ac:dyDescent="0.3">
      <c r="B25" s="25" t="s">
        <v>43</v>
      </c>
      <c r="C25" s="182">
        <v>0</v>
      </c>
      <c r="D25" s="192"/>
      <c r="E25" s="182">
        <v>0</v>
      </c>
      <c r="F25" s="186">
        <f>SUM(F22,F24)</f>
        <v>1559.4713656387667</v>
      </c>
      <c r="G25" s="186">
        <f>SUM(G22,G24)</f>
        <v>1559.4713656387667</v>
      </c>
      <c r="H25" s="205">
        <f>SUM(H22,H24)</f>
        <v>1559.4713656387667</v>
      </c>
      <c r="I25" s="281"/>
    </row>
    <row r="26" spans="2:11" ht="16.5" thickTop="1" thickBot="1" x14ac:dyDescent="0.3">
      <c r="B26" s="29"/>
    </row>
    <row r="27" spans="2:11" ht="16.5" thickTop="1" thickBot="1" x14ac:dyDescent="0.3">
      <c r="B27" s="30" t="s">
        <v>53</v>
      </c>
      <c r="C27" s="31"/>
      <c r="D27" s="31"/>
      <c r="E27" s="31"/>
      <c r="F27" s="31"/>
      <c r="G27" s="32">
        <f>G25</f>
        <v>1559.4713656387667</v>
      </c>
      <c r="H27" s="339">
        <f>H25</f>
        <v>1559.4713656387667</v>
      </c>
    </row>
    <row r="28" spans="2:11" ht="16.5" thickTop="1" thickBot="1" x14ac:dyDescent="0.3"/>
    <row r="29" spans="2:11" ht="48.75" thickTop="1" x14ac:dyDescent="0.25">
      <c r="B29" s="351" t="s">
        <v>162</v>
      </c>
      <c r="C29" s="352"/>
      <c r="D29" s="353"/>
      <c r="E29" s="353"/>
      <c r="F29" s="353"/>
      <c r="G29" s="354">
        <f>K15+G27</f>
        <v>4561.3757806387666</v>
      </c>
      <c r="H29" s="355">
        <f>L15+H27</f>
        <v>4561.3757806387666</v>
      </c>
      <c r="J29" s="122"/>
    </row>
    <row r="30" spans="2:11" ht="60.75" thickBot="1" x14ac:dyDescent="0.3">
      <c r="B30" s="356" t="s">
        <v>352</v>
      </c>
      <c r="C30" s="357"/>
      <c r="D30" s="357"/>
      <c r="E30" s="357"/>
      <c r="F30" s="358"/>
      <c r="G30" s="359">
        <f>98.16</f>
        <v>98.16</v>
      </c>
      <c r="H30" s="360">
        <v>98.16</v>
      </c>
      <c r="J30" s="365"/>
      <c r="K30" s="53"/>
    </row>
    <row r="31" spans="2:11" ht="15.75" thickTop="1" x14ac:dyDescent="0.25">
      <c r="B31" s="35" t="s">
        <v>163</v>
      </c>
    </row>
    <row r="32" spans="2:11" ht="15.75" thickBot="1" x14ac:dyDescent="0.3"/>
    <row r="33" spans="2:24" ht="15.75" thickTop="1" x14ac:dyDescent="0.25">
      <c r="B33" s="989" t="s">
        <v>152</v>
      </c>
      <c r="C33" s="990"/>
      <c r="D33" s="991"/>
      <c r="E33" s="167"/>
      <c r="F33" s="989" t="s">
        <v>154</v>
      </c>
      <c r="G33" s="991"/>
    </row>
    <row r="34" spans="2:24" ht="24" x14ac:dyDescent="0.25">
      <c r="B34" s="164" t="s">
        <v>57</v>
      </c>
      <c r="C34" s="324" t="s">
        <v>3</v>
      </c>
      <c r="D34" s="169" t="s">
        <v>47</v>
      </c>
      <c r="F34" s="168" t="s">
        <v>3</v>
      </c>
      <c r="G34" s="169" t="s">
        <v>47</v>
      </c>
    </row>
    <row r="35" spans="2:24" ht="15.75" thickBot="1" x14ac:dyDescent="0.3">
      <c r="B35" s="979">
        <v>2</v>
      </c>
      <c r="C35" s="284">
        <f>(K15*$B$35)+($B$35*G30)</f>
        <v>6200.1288299999997</v>
      </c>
      <c r="D35" s="300">
        <f>L15*$B$35+B35*H30</f>
        <v>6200.1288299999997</v>
      </c>
      <c r="F35" s="287">
        <f>B35*G27</f>
        <v>3118.9427312775333</v>
      </c>
      <c r="G35" s="288">
        <f>B35*H27</f>
        <v>3118.9427312775333</v>
      </c>
    </row>
    <row r="36" spans="2:24" ht="15.75" customHeight="1" thickTop="1" x14ac:dyDescent="0.25">
      <c r="B36" s="165" t="s">
        <v>58</v>
      </c>
      <c r="C36" s="166"/>
      <c r="D36" s="166"/>
      <c r="E36" s="166"/>
      <c r="I36" s="1024" t="s">
        <v>1150</v>
      </c>
      <c r="J36" s="1024"/>
      <c r="K36" s="1024"/>
      <c r="L36" s="1024"/>
      <c r="M36" s="1024"/>
      <c r="N36" s="1024"/>
      <c r="O36" s="1024"/>
      <c r="P36" s="1024"/>
      <c r="Q36" s="1024"/>
      <c r="R36" s="1024"/>
      <c r="S36" s="1024"/>
    </row>
    <row r="37" spans="2:24" ht="47.25" customHeight="1" x14ac:dyDescent="0.25">
      <c r="B37" s="992" t="s">
        <v>355</v>
      </c>
      <c r="C37" s="992"/>
      <c r="D37" s="992"/>
      <c r="E37" s="992"/>
      <c r="I37" s="1024" t="s">
        <v>1149</v>
      </c>
      <c r="J37" s="1024"/>
      <c r="K37" s="1024"/>
      <c r="L37" s="1024"/>
      <c r="M37" s="1024"/>
      <c r="N37" s="1024"/>
      <c r="O37" s="1024"/>
      <c r="P37" s="1024"/>
      <c r="Q37" s="1024"/>
      <c r="R37" s="1024"/>
      <c r="S37" s="1024"/>
      <c r="X37" s="5"/>
    </row>
    <row r="39" spans="2:24" x14ac:dyDescent="0.25">
      <c r="B39" s="346" t="s">
        <v>349</v>
      </c>
    </row>
  </sheetData>
  <mergeCells count="21">
    <mergeCell ref="K5:L5"/>
    <mergeCell ref="C6:D6"/>
    <mergeCell ref="E6:F6"/>
    <mergeCell ref="I36:S36"/>
    <mergeCell ref="B33:D33"/>
    <mergeCell ref="B37:E37"/>
    <mergeCell ref="F33:G33"/>
    <mergeCell ref="G6:H6"/>
    <mergeCell ref="I6:J6"/>
    <mergeCell ref="I37:S37"/>
    <mergeCell ref="K6:L6"/>
    <mergeCell ref="B18:B19"/>
    <mergeCell ref="C18:F18"/>
    <mergeCell ref="G18:H18"/>
    <mergeCell ref="B4:B7"/>
    <mergeCell ref="C4:J4"/>
    <mergeCell ref="K4:L4"/>
    <mergeCell ref="C5:D5"/>
    <mergeCell ref="E5:F5"/>
    <mergeCell ref="G5:H5"/>
    <mergeCell ref="I5:J5"/>
  </mergeCells>
  <hyperlinks>
    <hyperlink ref="B39" location="'Table of Contents'!A1" display="Table of Contents" xr:uid="{82CADA24-C43F-4B52-9450-D4F6A6B7E074}"/>
  </hyperlink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9B731-A9EF-4418-9C2D-5BCCB760272A}">
  <sheetPr codeName="Sheet7"/>
  <dimension ref="B1:U40"/>
  <sheetViews>
    <sheetView topLeftCell="A23" zoomScale="95" zoomScaleNormal="95" workbookViewId="0">
      <selection activeCell="B35" sqref="B35"/>
    </sheetView>
  </sheetViews>
  <sheetFormatPr defaultRowHeight="15" x14ac:dyDescent="0.25"/>
  <cols>
    <col min="2" max="2" width="12.42578125" customWidth="1"/>
    <col min="5" max="5" width="10.7109375" customWidth="1"/>
    <col min="14" max="14" width="10.28515625" bestFit="1" customWidth="1"/>
  </cols>
  <sheetData>
    <row r="1" spans="2:21" x14ac:dyDescent="0.25">
      <c r="B1" s="709" t="s">
        <v>977</v>
      </c>
    </row>
    <row r="2" spans="2:21" x14ac:dyDescent="0.25">
      <c r="B2" s="13" t="s">
        <v>255</v>
      </c>
    </row>
    <row r="3" spans="2:21" ht="15.75" thickBot="1" x14ac:dyDescent="0.3">
      <c r="B3" s="13" t="s">
        <v>986</v>
      </c>
    </row>
    <row r="4" spans="2:21" ht="41.25" customHeight="1" thickTop="1" x14ac:dyDescent="0.25">
      <c r="B4" s="993" t="s">
        <v>28</v>
      </c>
      <c r="C4" s="995" t="s">
        <v>29</v>
      </c>
      <c r="D4" s="996"/>
      <c r="E4" s="996"/>
      <c r="F4" s="996"/>
      <c r="G4" s="996"/>
      <c r="H4" s="996"/>
      <c r="I4" s="996"/>
      <c r="J4" s="997"/>
      <c r="K4" s="1001" t="s">
        <v>30</v>
      </c>
      <c r="L4" s="1002"/>
      <c r="N4" s="176"/>
    </row>
    <row r="5" spans="2:21" ht="30" customHeight="1" x14ac:dyDescent="0.25">
      <c r="B5" s="1000"/>
      <c r="C5" s="1003" t="s">
        <v>31</v>
      </c>
      <c r="D5" s="1004"/>
      <c r="E5" s="1003" t="s">
        <v>32</v>
      </c>
      <c r="F5" s="1004"/>
      <c r="G5" s="1005" t="s">
        <v>33</v>
      </c>
      <c r="H5" s="1006"/>
      <c r="I5" s="1005" t="s">
        <v>34</v>
      </c>
      <c r="J5" s="1006"/>
      <c r="K5" s="1007" t="s">
        <v>132</v>
      </c>
      <c r="L5" s="1008"/>
      <c r="N5" s="291" t="s">
        <v>207</v>
      </c>
    </row>
    <row r="6" spans="2:21" x14ac:dyDescent="0.25">
      <c r="B6" s="1000"/>
      <c r="C6" s="1009">
        <f>Lawyer</f>
        <v>114.79721000000001</v>
      </c>
      <c r="D6" s="1010"/>
      <c r="E6" s="1011">
        <f>Manager</f>
        <v>91.328059999999994</v>
      </c>
      <c r="F6" s="1010"/>
      <c r="G6" s="1011">
        <f>Tech</f>
        <v>73.827010000000001</v>
      </c>
      <c r="H6" s="1010"/>
      <c r="I6" s="1011">
        <f>Admin</f>
        <v>34.089750000000002</v>
      </c>
      <c r="J6" s="1010"/>
      <c r="K6" s="1012"/>
      <c r="L6" s="1013"/>
      <c r="N6" s="275" t="s">
        <v>987</v>
      </c>
    </row>
    <row r="7" spans="2:21" ht="36" x14ac:dyDescent="0.25">
      <c r="B7" s="994"/>
      <c r="C7" s="306" t="s">
        <v>35</v>
      </c>
      <c r="D7" s="303" t="s">
        <v>36</v>
      </c>
      <c r="E7" s="303" t="s">
        <v>35</v>
      </c>
      <c r="F7" s="303" t="s">
        <v>36</v>
      </c>
      <c r="G7" s="303" t="s">
        <v>35</v>
      </c>
      <c r="H7" s="303" t="s">
        <v>36</v>
      </c>
      <c r="I7" s="303" t="s">
        <v>35</v>
      </c>
      <c r="J7" s="303" t="s">
        <v>36</v>
      </c>
      <c r="K7" s="14" t="s">
        <v>3</v>
      </c>
      <c r="L7" s="15" t="s">
        <v>37</v>
      </c>
    </row>
    <row r="8" spans="2:21" x14ac:dyDescent="0.25">
      <c r="B8" s="323" t="s">
        <v>38</v>
      </c>
      <c r="C8" s="17">
        <v>2</v>
      </c>
      <c r="D8" s="17">
        <v>1</v>
      </c>
      <c r="E8" s="17">
        <v>1</v>
      </c>
      <c r="F8" s="17">
        <v>1</v>
      </c>
      <c r="G8" s="17">
        <v>21</v>
      </c>
      <c r="H8" s="17">
        <v>1</v>
      </c>
      <c r="I8" s="17">
        <v>2</v>
      </c>
      <c r="J8" s="315">
        <v>1</v>
      </c>
      <c r="K8" s="52">
        <f>C8*$C$6+E8*$E$6+G8*$G$6+I8*$I$6</f>
        <v>1939.46919</v>
      </c>
      <c r="L8" s="50">
        <f>D8*$C$6+F8*$E$6+H8*$G$6+J8*$I$6</f>
        <v>314.04202999999995</v>
      </c>
      <c r="N8" s="269" t="s">
        <v>1179</v>
      </c>
    </row>
    <row r="9" spans="2:21" x14ac:dyDescent="0.25">
      <c r="B9" s="19" t="s">
        <v>39</v>
      </c>
      <c r="C9" s="20">
        <v>0</v>
      </c>
      <c r="D9" s="20">
        <v>0</v>
      </c>
      <c r="E9" s="20">
        <v>1</v>
      </c>
      <c r="F9" s="20">
        <v>1</v>
      </c>
      <c r="G9" s="20">
        <v>13</v>
      </c>
      <c r="H9" s="20">
        <v>6</v>
      </c>
      <c r="I9" s="20">
        <v>1</v>
      </c>
      <c r="J9" s="317">
        <v>1</v>
      </c>
      <c r="K9" s="40">
        <f t="shared" ref="K9:L12" si="0">C9*$C$6+E9*$E$6+G9*$G$6+I9*$I$6</f>
        <v>1085.16894</v>
      </c>
      <c r="L9" s="41">
        <f t="shared" si="0"/>
        <v>568.37986999999998</v>
      </c>
      <c r="N9" s="269" t="s">
        <v>212</v>
      </c>
    </row>
    <row r="10" spans="2:21" x14ac:dyDescent="0.25">
      <c r="B10" s="16" t="s">
        <v>40</v>
      </c>
      <c r="C10" s="17">
        <v>0</v>
      </c>
      <c r="D10" s="17">
        <v>0</v>
      </c>
      <c r="E10" s="17">
        <v>1</v>
      </c>
      <c r="F10" s="17">
        <v>1</v>
      </c>
      <c r="G10" s="17">
        <v>13</v>
      </c>
      <c r="H10" s="17">
        <v>13</v>
      </c>
      <c r="I10" s="17">
        <v>1</v>
      </c>
      <c r="J10" s="318">
        <v>1</v>
      </c>
      <c r="K10" s="52">
        <f t="shared" si="0"/>
        <v>1085.16894</v>
      </c>
      <c r="L10" s="50">
        <f t="shared" si="0"/>
        <v>1085.16894</v>
      </c>
      <c r="N10" s="269" t="s">
        <v>204</v>
      </c>
    </row>
    <row r="11" spans="2:21" ht="36" x14ac:dyDescent="0.25">
      <c r="B11" s="19" t="s">
        <v>41</v>
      </c>
      <c r="C11" s="20">
        <v>0</v>
      </c>
      <c r="D11" s="20">
        <v>0</v>
      </c>
      <c r="E11" s="20">
        <v>1</v>
      </c>
      <c r="F11" s="20">
        <v>0</v>
      </c>
      <c r="G11" s="20">
        <v>16</v>
      </c>
      <c r="H11" s="20">
        <v>8</v>
      </c>
      <c r="I11" s="20">
        <v>2</v>
      </c>
      <c r="J11" s="317">
        <v>1</v>
      </c>
      <c r="K11" s="40">
        <f t="shared" si="0"/>
        <v>1340.73972</v>
      </c>
      <c r="L11" s="41">
        <f t="shared" si="0"/>
        <v>624.70582999999999</v>
      </c>
      <c r="N11" s="269" t="s">
        <v>218</v>
      </c>
    </row>
    <row r="12" spans="2:21" x14ac:dyDescent="0.25">
      <c r="B12" s="16" t="s">
        <v>42</v>
      </c>
      <c r="C12" s="315">
        <v>0</v>
      </c>
      <c r="D12" s="316">
        <v>0</v>
      </c>
      <c r="E12" s="316">
        <v>2</v>
      </c>
      <c r="F12" s="316">
        <v>2</v>
      </c>
      <c r="G12" s="316">
        <v>26</v>
      </c>
      <c r="H12" s="316">
        <v>26</v>
      </c>
      <c r="I12" s="316">
        <v>2</v>
      </c>
      <c r="J12" s="316">
        <v>2</v>
      </c>
      <c r="K12" s="52">
        <f t="shared" si="0"/>
        <v>2170.33788</v>
      </c>
      <c r="L12" s="50">
        <f t="shared" si="0"/>
        <v>2170.33788</v>
      </c>
      <c r="N12" s="269" t="s">
        <v>213</v>
      </c>
    </row>
    <row r="13" spans="2:21" ht="15.75" thickBot="1" x14ac:dyDescent="0.3">
      <c r="B13" s="44" t="s">
        <v>43</v>
      </c>
      <c r="C13" s="46">
        <f>SUM(C8:C12)</f>
        <v>2</v>
      </c>
      <c r="D13" s="46">
        <f t="shared" ref="D13:J13" si="1">SUM(D8:D12)</f>
        <v>1</v>
      </c>
      <c r="E13" s="46">
        <f t="shared" si="1"/>
        <v>6</v>
      </c>
      <c r="F13" s="46">
        <f t="shared" si="1"/>
        <v>5</v>
      </c>
      <c r="G13" s="46">
        <f t="shared" si="1"/>
        <v>89</v>
      </c>
      <c r="H13" s="46">
        <f>SUM(H8:H12)</f>
        <v>54</v>
      </c>
      <c r="I13" s="46">
        <f t="shared" si="1"/>
        <v>8</v>
      </c>
      <c r="J13" s="46">
        <f t="shared" si="1"/>
        <v>6</v>
      </c>
      <c r="K13" s="47">
        <f>SUM(K8:K12)</f>
        <v>7620.8846700000004</v>
      </c>
      <c r="L13" s="48">
        <f>SUM(L8:L12)</f>
        <v>4762.6345499999998</v>
      </c>
      <c r="M13" s="53"/>
    </row>
    <row r="14" spans="2:21" ht="16.5" thickTop="1" thickBot="1" x14ac:dyDescent="0.3">
      <c r="E14" s="128"/>
      <c r="F14" s="128"/>
      <c r="G14" s="128"/>
      <c r="H14" s="128"/>
      <c r="I14" s="128"/>
      <c r="J14" s="128"/>
      <c r="K14" s="128"/>
      <c r="L14" s="128"/>
    </row>
    <row r="15" spans="2:21" ht="25.5" thickTop="1" thickBot="1" x14ac:dyDescent="0.3">
      <c r="B15" s="159" t="s">
        <v>161</v>
      </c>
      <c r="C15" s="31">
        <f t="shared" ref="C15:L15" si="2">C13</f>
        <v>2</v>
      </c>
      <c r="D15" s="31">
        <f t="shared" si="2"/>
        <v>1</v>
      </c>
      <c r="E15" s="31">
        <f t="shared" si="2"/>
        <v>6</v>
      </c>
      <c r="F15" s="31">
        <f t="shared" si="2"/>
        <v>5</v>
      </c>
      <c r="G15" s="31">
        <f t="shared" si="2"/>
        <v>89</v>
      </c>
      <c r="H15" s="31">
        <f t="shared" si="2"/>
        <v>54</v>
      </c>
      <c r="I15" s="31">
        <f t="shared" si="2"/>
        <v>8</v>
      </c>
      <c r="J15" s="31">
        <f t="shared" si="2"/>
        <v>6</v>
      </c>
      <c r="K15" s="119">
        <f t="shared" si="2"/>
        <v>7620.8846700000004</v>
      </c>
      <c r="L15" s="120">
        <f t="shared" si="2"/>
        <v>4762.6345499999998</v>
      </c>
      <c r="M15" s="121"/>
      <c r="N15" s="49"/>
    </row>
    <row r="16" spans="2:21" ht="15.75" thickTop="1" x14ac:dyDescent="0.25">
      <c r="T16" s="364" t="s">
        <v>353</v>
      </c>
      <c r="U16" s="49">
        <f>0.05*G6+0.01*I6+0.005*E6</f>
        <v>4.4888883000000002</v>
      </c>
    </row>
    <row r="17" spans="2:12" ht="15.75" thickBot="1" x14ac:dyDescent="0.3">
      <c r="B17" s="13" t="s">
        <v>227</v>
      </c>
    </row>
    <row r="18" spans="2:12" ht="42" customHeight="1" thickTop="1" x14ac:dyDescent="0.25">
      <c r="B18" s="993" t="s">
        <v>28</v>
      </c>
      <c r="C18" s="995" t="s">
        <v>45</v>
      </c>
      <c r="D18" s="996"/>
      <c r="E18" s="996"/>
      <c r="F18" s="997"/>
      <c r="G18" s="998" t="s">
        <v>133</v>
      </c>
      <c r="H18" s="999"/>
    </row>
    <row r="19" spans="2:12" ht="48" x14ac:dyDescent="0.25">
      <c r="B19" s="994"/>
      <c r="C19" s="14" t="s">
        <v>134</v>
      </c>
      <c r="D19" s="14" t="s">
        <v>46</v>
      </c>
      <c r="E19" s="14" t="s">
        <v>135</v>
      </c>
      <c r="F19" s="14" t="s">
        <v>136</v>
      </c>
      <c r="G19" s="14" t="s">
        <v>3</v>
      </c>
      <c r="H19" s="15" t="s">
        <v>47</v>
      </c>
    </row>
    <row r="20" spans="2:12" ht="48" x14ac:dyDescent="0.25">
      <c r="B20" s="16" t="s">
        <v>48</v>
      </c>
      <c r="C20" s="17" t="s">
        <v>49</v>
      </c>
      <c r="D20" s="17"/>
      <c r="E20" s="17" t="s">
        <v>49</v>
      </c>
      <c r="F20" s="17" t="s">
        <v>49</v>
      </c>
      <c r="G20" s="17" t="s">
        <v>49</v>
      </c>
      <c r="H20" s="18" t="s">
        <v>49</v>
      </c>
    </row>
    <row r="21" spans="2:12" ht="24" x14ac:dyDescent="0.25">
      <c r="B21" s="19" t="s">
        <v>50</v>
      </c>
      <c r="C21" s="20" t="s">
        <v>49</v>
      </c>
      <c r="D21" s="21"/>
      <c r="E21" s="20" t="s">
        <v>49</v>
      </c>
      <c r="F21" s="20" t="s">
        <v>49</v>
      </c>
      <c r="G21" s="20" t="s">
        <v>49</v>
      </c>
      <c r="H21" s="22" t="s">
        <v>49</v>
      </c>
    </row>
    <row r="22" spans="2:12" x14ac:dyDescent="0.25">
      <c r="B22" s="16" t="s">
        <v>40</v>
      </c>
      <c r="C22" s="23">
        <v>0</v>
      </c>
      <c r="D22" s="17"/>
      <c r="E22" s="23">
        <v>0</v>
      </c>
      <c r="F22" s="23">
        <f>50*Inflation</f>
        <v>62.378854625550659</v>
      </c>
      <c r="G22" s="23">
        <f>F22</f>
        <v>62.378854625550659</v>
      </c>
      <c r="H22" s="24">
        <f>F22</f>
        <v>62.378854625550659</v>
      </c>
      <c r="I22" s="326" t="s">
        <v>216</v>
      </c>
    </row>
    <row r="23" spans="2:12" x14ac:dyDescent="0.25">
      <c r="B23" s="19" t="s">
        <v>51</v>
      </c>
      <c r="C23" s="20" t="s">
        <v>49</v>
      </c>
      <c r="D23" s="21"/>
      <c r="E23" s="20" t="s">
        <v>49</v>
      </c>
      <c r="F23" s="20" t="s">
        <v>49</v>
      </c>
      <c r="G23" s="20" t="s">
        <v>49</v>
      </c>
      <c r="H23" s="22" t="s">
        <v>49</v>
      </c>
      <c r="I23" s="281"/>
    </row>
    <row r="24" spans="2:12" ht="24" x14ac:dyDescent="0.25">
      <c r="B24" s="16" t="s">
        <v>52</v>
      </c>
      <c r="C24" s="17" t="s">
        <v>49</v>
      </c>
      <c r="D24" s="17"/>
      <c r="E24" s="17" t="s">
        <v>49</v>
      </c>
      <c r="F24" s="17" t="s">
        <v>49</v>
      </c>
      <c r="G24" s="17" t="s">
        <v>49</v>
      </c>
      <c r="H24" s="18" t="s">
        <v>49</v>
      </c>
    </row>
    <row r="25" spans="2:12" ht="15.75" thickBot="1" x14ac:dyDescent="0.3">
      <c r="B25" s="25" t="s">
        <v>43</v>
      </c>
      <c r="C25" s="26">
        <v>0</v>
      </c>
      <c r="D25" s="27"/>
      <c r="E25" s="26">
        <v>0</v>
      </c>
      <c r="F25" s="26">
        <f>F22</f>
        <v>62.378854625550659</v>
      </c>
      <c r="G25" s="26">
        <f>G22</f>
        <v>62.378854625550659</v>
      </c>
      <c r="H25" s="28">
        <f>H22</f>
        <v>62.378854625550659</v>
      </c>
    </row>
    <row r="26" spans="2:12" ht="16.5" thickTop="1" thickBot="1" x14ac:dyDescent="0.3">
      <c r="B26" s="29"/>
    </row>
    <row r="27" spans="2:12" ht="16.5" thickTop="1" thickBot="1" x14ac:dyDescent="0.3">
      <c r="B27" s="30" t="s">
        <v>53</v>
      </c>
      <c r="C27" s="31"/>
      <c r="D27" s="31"/>
      <c r="E27" s="31"/>
      <c r="F27" s="31"/>
      <c r="G27" s="32">
        <f>G25</f>
        <v>62.378854625550659</v>
      </c>
      <c r="H27" s="33">
        <f>H25</f>
        <v>62.378854625550659</v>
      </c>
    </row>
    <row r="28" spans="2:12" ht="16.5" thickTop="1" thickBot="1" x14ac:dyDescent="0.3"/>
    <row r="29" spans="2:12" ht="48.75" thickTop="1" x14ac:dyDescent="0.25">
      <c r="B29" s="350" t="s">
        <v>162</v>
      </c>
      <c r="C29" s="361"/>
      <c r="D29" s="361"/>
      <c r="E29" s="361"/>
      <c r="F29" s="361"/>
      <c r="G29" s="348">
        <f>K15+G27</f>
        <v>7683.2635246255513</v>
      </c>
      <c r="H29" s="349">
        <f>L15+H27</f>
        <v>4825.0134046255507</v>
      </c>
      <c r="J29" s="122"/>
    </row>
    <row r="30" spans="2:12" ht="60.75" thickBot="1" x14ac:dyDescent="0.3">
      <c r="B30" s="356" t="s">
        <v>352</v>
      </c>
      <c r="C30" s="357"/>
      <c r="D30" s="357"/>
      <c r="E30" s="357"/>
      <c r="F30" s="358"/>
      <c r="G30" s="359">
        <v>4.49</v>
      </c>
      <c r="H30" s="360">
        <v>4.49</v>
      </c>
      <c r="J30" s="122"/>
      <c r="K30" s="53"/>
      <c r="L30" s="53"/>
    </row>
    <row r="31" spans="2:12" ht="15.75" thickTop="1" x14ac:dyDescent="0.25">
      <c r="B31" s="35" t="s">
        <v>163</v>
      </c>
    </row>
    <row r="32" spans="2:12" ht="15.75" thickBot="1" x14ac:dyDescent="0.3"/>
    <row r="33" spans="2:19" ht="15.75" thickTop="1" x14ac:dyDescent="0.25">
      <c r="B33" s="989" t="s">
        <v>152</v>
      </c>
      <c r="C33" s="990"/>
      <c r="D33" s="991"/>
      <c r="E33" s="167"/>
      <c r="F33" s="989" t="s">
        <v>154</v>
      </c>
      <c r="G33" s="991"/>
    </row>
    <row r="34" spans="2:19" ht="24" x14ac:dyDescent="0.25">
      <c r="B34" s="164" t="s">
        <v>57</v>
      </c>
      <c r="C34" s="325" t="s">
        <v>3</v>
      </c>
      <c r="D34" s="15" t="s">
        <v>47</v>
      </c>
      <c r="F34" s="168" t="s">
        <v>3</v>
      </c>
      <c r="G34" s="169" t="s">
        <v>47</v>
      </c>
    </row>
    <row r="35" spans="2:19" ht="15.75" thickBot="1" x14ac:dyDescent="0.3">
      <c r="B35" s="979">
        <v>6</v>
      </c>
      <c r="C35" s="284">
        <f>(1*K15)+(5*L15)+(6*G30)</f>
        <v>31460.997419999996</v>
      </c>
      <c r="D35" s="300">
        <f>L15*$B$35+(6*H30)</f>
        <v>28602.747299999999</v>
      </c>
      <c r="F35" s="287">
        <f>B35*G27</f>
        <v>374.27312775330392</v>
      </c>
      <c r="G35" s="288">
        <f>B35*H27</f>
        <v>374.27312775330392</v>
      </c>
      <c r="I35" s="275"/>
    </row>
    <row r="36" spans="2:19" ht="39.75" customHeight="1" thickTop="1" x14ac:dyDescent="0.25">
      <c r="B36" s="165" t="s">
        <v>58</v>
      </c>
      <c r="C36" s="166"/>
      <c r="D36" s="166"/>
      <c r="E36" s="166"/>
      <c r="I36" s="1024" t="s">
        <v>1153</v>
      </c>
      <c r="J36" s="1024"/>
      <c r="K36" s="1024"/>
      <c r="L36" s="1024"/>
      <c r="M36" s="1024"/>
      <c r="N36" s="1024"/>
      <c r="O36" s="1024"/>
      <c r="P36" s="1024"/>
      <c r="Q36" s="1024"/>
      <c r="R36" s="1024"/>
      <c r="S36" s="1024"/>
    </row>
    <row r="37" spans="2:19" ht="55.5" customHeight="1" x14ac:dyDescent="0.25">
      <c r="B37" s="992" t="s">
        <v>355</v>
      </c>
      <c r="C37" s="992"/>
      <c r="D37" s="992"/>
      <c r="E37" s="992"/>
      <c r="I37" s="1024" t="s">
        <v>228</v>
      </c>
      <c r="J37" s="1024"/>
      <c r="K37" s="1024"/>
      <c r="L37" s="1024"/>
      <c r="M37" s="1024"/>
      <c r="N37" s="1024"/>
      <c r="O37" s="1024"/>
      <c r="P37" s="1024"/>
      <c r="Q37" s="1024"/>
      <c r="R37" s="1024"/>
      <c r="S37" s="1024"/>
    </row>
    <row r="40" spans="2:19" x14ac:dyDescent="0.25">
      <c r="B40" s="346" t="s">
        <v>349</v>
      </c>
    </row>
  </sheetData>
  <mergeCells count="21">
    <mergeCell ref="C6:D6"/>
    <mergeCell ref="E6:F6"/>
    <mergeCell ref="I37:S37"/>
    <mergeCell ref="B33:D33"/>
    <mergeCell ref="B37:E37"/>
    <mergeCell ref="F33:G33"/>
    <mergeCell ref="G6:H6"/>
    <mergeCell ref="I6:J6"/>
    <mergeCell ref="I36:S36"/>
    <mergeCell ref="K6:L6"/>
    <mergeCell ref="B18:B19"/>
    <mergeCell ref="C18:F18"/>
    <mergeCell ref="G18:H18"/>
    <mergeCell ref="B4:B7"/>
    <mergeCell ref="C4:J4"/>
    <mergeCell ref="K4:L4"/>
    <mergeCell ref="C5:D5"/>
    <mergeCell ref="E5:F5"/>
    <mergeCell ref="G5:H5"/>
    <mergeCell ref="I5:J5"/>
    <mergeCell ref="K5:L5"/>
  </mergeCells>
  <hyperlinks>
    <hyperlink ref="B40" location="'Table of Contents'!A1" display="Table of Contents" xr:uid="{48F306D4-0577-48A4-BFE6-79C86F372B1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18F0F-C36E-4436-95C2-D188EF72CC00}">
  <sheetPr codeName="Sheet8"/>
  <dimension ref="B1:N38"/>
  <sheetViews>
    <sheetView topLeftCell="A29" zoomScale="95" zoomScaleNormal="95" workbookViewId="0">
      <selection activeCell="B34" sqref="B34"/>
    </sheetView>
  </sheetViews>
  <sheetFormatPr defaultRowHeight="15" x14ac:dyDescent="0.25"/>
  <cols>
    <col min="2" max="2" width="12.42578125" customWidth="1"/>
    <col min="5" max="5" width="10.7109375" customWidth="1"/>
    <col min="6" max="6" width="11" customWidth="1"/>
  </cols>
  <sheetData>
    <row r="1" spans="2:14" x14ac:dyDescent="0.25">
      <c r="B1" s="709" t="s">
        <v>977</v>
      </c>
    </row>
    <row r="2" spans="2:14" x14ac:dyDescent="0.25">
      <c r="B2" s="13" t="s">
        <v>255</v>
      </c>
    </row>
    <row r="3" spans="2:14" ht="15.75" thickBot="1" x14ac:dyDescent="0.3">
      <c r="B3" s="13" t="s">
        <v>141</v>
      </c>
    </row>
    <row r="4" spans="2:14" ht="41.25" customHeight="1" thickTop="1" x14ac:dyDescent="0.25">
      <c r="B4" s="993" t="s">
        <v>28</v>
      </c>
      <c r="C4" s="995" t="s">
        <v>29</v>
      </c>
      <c r="D4" s="996"/>
      <c r="E4" s="996"/>
      <c r="F4" s="996"/>
      <c r="G4" s="996"/>
      <c r="H4" s="996"/>
      <c r="I4" s="996"/>
      <c r="J4" s="997"/>
      <c r="K4" s="1001" t="s">
        <v>30</v>
      </c>
      <c r="L4" s="1002"/>
    </row>
    <row r="5" spans="2:14" ht="30" customHeight="1" x14ac:dyDescent="0.25">
      <c r="B5" s="1000"/>
      <c r="C5" s="1003" t="s">
        <v>31</v>
      </c>
      <c r="D5" s="1004"/>
      <c r="E5" s="1003" t="s">
        <v>32</v>
      </c>
      <c r="F5" s="1004"/>
      <c r="G5" s="1005" t="s">
        <v>33</v>
      </c>
      <c r="H5" s="1006"/>
      <c r="I5" s="1005" t="s">
        <v>34</v>
      </c>
      <c r="J5" s="1006"/>
      <c r="K5" s="1007" t="s">
        <v>132</v>
      </c>
      <c r="L5" s="1008"/>
      <c r="N5" s="291" t="s">
        <v>207</v>
      </c>
    </row>
    <row r="6" spans="2:14" x14ac:dyDescent="0.25">
      <c r="B6" s="1000"/>
      <c r="C6" s="1009">
        <f>Lawyer</f>
        <v>114.79721000000001</v>
      </c>
      <c r="D6" s="1010"/>
      <c r="E6" s="1011">
        <f>Manager</f>
        <v>91.328059999999994</v>
      </c>
      <c r="F6" s="1010"/>
      <c r="G6" s="1011">
        <f>Tech</f>
        <v>73.827010000000001</v>
      </c>
      <c r="H6" s="1010"/>
      <c r="I6" s="1011">
        <f>Admin</f>
        <v>34.089750000000002</v>
      </c>
      <c r="J6" s="1010"/>
      <c r="K6" s="1012"/>
      <c r="L6" s="1013"/>
    </row>
    <row r="7" spans="2:14" ht="36" x14ac:dyDescent="0.25">
      <c r="B7" s="994"/>
      <c r="C7" s="302" t="s">
        <v>35</v>
      </c>
      <c r="D7" s="302" t="s">
        <v>36</v>
      </c>
      <c r="E7" s="302" t="s">
        <v>35</v>
      </c>
      <c r="F7" s="302" t="s">
        <v>36</v>
      </c>
      <c r="G7" s="302" t="s">
        <v>35</v>
      </c>
      <c r="H7" s="302" t="s">
        <v>36</v>
      </c>
      <c r="I7" s="302" t="s">
        <v>35</v>
      </c>
      <c r="J7" s="302" t="s">
        <v>36</v>
      </c>
      <c r="K7" s="14" t="s">
        <v>3</v>
      </c>
      <c r="L7" s="15" t="s">
        <v>37</v>
      </c>
      <c r="N7" s="275" t="s">
        <v>171</v>
      </c>
    </row>
    <row r="8" spans="2:14" x14ac:dyDescent="0.25">
      <c r="B8" s="307" t="s">
        <v>38</v>
      </c>
      <c r="C8" s="315">
        <v>2</v>
      </c>
      <c r="D8" s="316">
        <v>1</v>
      </c>
      <c r="E8" s="316">
        <v>0.2</v>
      </c>
      <c r="F8" s="316">
        <v>0.1</v>
      </c>
      <c r="G8" s="332">
        <v>2</v>
      </c>
      <c r="H8" s="332">
        <v>1</v>
      </c>
      <c r="I8" s="316">
        <v>0.2</v>
      </c>
      <c r="J8" s="316">
        <v>0.1</v>
      </c>
      <c r="K8" s="52">
        <f>C8*$C$6+E8*$E$6+G8*$G$6+I8*$I$6</f>
        <v>402.33200199999999</v>
      </c>
      <c r="L8" s="50">
        <f>D8*$C$6+F8*$E$6+H8*$G$6+J8*$I$6</f>
        <v>201.16600099999999</v>
      </c>
      <c r="N8" s="269" t="s">
        <v>221</v>
      </c>
    </row>
    <row r="9" spans="2:14" x14ac:dyDescent="0.25">
      <c r="B9" s="333" t="s">
        <v>39</v>
      </c>
      <c r="C9" s="20">
        <v>0</v>
      </c>
      <c r="D9" s="20">
        <v>0</v>
      </c>
      <c r="E9" s="20">
        <v>0.2</v>
      </c>
      <c r="F9" s="20">
        <v>0.1</v>
      </c>
      <c r="G9" s="193">
        <v>2</v>
      </c>
      <c r="H9" s="193">
        <v>1</v>
      </c>
      <c r="I9" s="20">
        <v>0.2</v>
      </c>
      <c r="J9" s="334">
        <v>0.1</v>
      </c>
      <c r="K9" s="40">
        <f t="shared" ref="K9:L12" si="0">C9*$C$6+E9*$E$6+G9*$G$6+I9*$I$6</f>
        <v>172.737582</v>
      </c>
      <c r="L9" s="41">
        <f t="shared" si="0"/>
        <v>86.368791000000002</v>
      </c>
      <c r="N9" s="269" t="s">
        <v>212</v>
      </c>
    </row>
    <row r="10" spans="2:14" x14ac:dyDescent="0.25">
      <c r="B10" s="16" t="s">
        <v>40</v>
      </c>
      <c r="C10" s="17">
        <v>0</v>
      </c>
      <c r="D10" s="17">
        <v>0</v>
      </c>
      <c r="E10" s="17">
        <v>0.5</v>
      </c>
      <c r="F10" s="17">
        <v>0.5</v>
      </c>
      <c r="G10" s="194">
        <v>5</v>
      </c>
      <c r="H10" s="194">
        <v>5</v>
      </c>
      <c r="I10" s="17">
        <v>0.5</v>
      </c>
      <c r="J10" s="318">
        <v>0.5</v>
      </c>
      <c r="K10" s="52">
        <f t="shared" si="0"/>
        <v>431.84395499999999</v>
      </c>
      <c r="L10" s="50">
        <f t="shared" si="0"/>
        <v>431.84395499999999</v>
      </c>
      <c r="N10" s="269" t="s">
        <v>204</v>
      </c>
    </row>
    <row r="11" spans="2:14" ht="36" x14ac:dyDescent="0.25">
      <c r="B11" s="19" t="s">
        <v>41</v>
      </c>
      <c r="C11" s="20">
        <v>0</v>
      </c>
      <c r="D11" s="20">
        <v>0</v>
      </c>
      <c r="E11" s="193">
        <v>2</v>
      </c>
      <c r="F11" s="193">
        <v>2</v>
      </c>
      <c r="G11" s="193">
        <v>8</v>
      </c>
      <c r="H11" s="193">
        <v>8</v>
      </c>
      <c r="I11" s="20">
        <v>0</v>
      </c>
      <c r="J11" s="317">
        <v>0</v>
      </c>
      <c r="K11" s="40">
        <f t="shared" si="0"/>
        <v>773.2722</v>
      </c>
      <c r="L11" s="41">
        <f t="shared" si="0"/>
        <v>773.2722</v>
      </c>
      <c r="N11" s="269" t="s">
        <v>219</v>
      </c>
    </row>
    <row r="12" spans="2:14" x14ac:dyDescent="0.25">
      <c r="B12" s="16" t="s">
        <v>42</v>
      </c>
      <c r="C12" s="315">
        <v>0</v>
      </c>
      <c r="D12" s="316">
        <v>0</v>
      </c>
      <c r="E12" s="332">
        <v>1</v>
      </c>
      <c r="F12" s="332">
        <v>1</v>
      </c>
      <c r="G12" s="332">
        <v>10</v>
      </c>
      <c r="H12" s="332">
        <v>10</v>
      </c>
      <c r="I12" s="332">
        <v>1</v>
      </c>
      <c r="J12" s="332">
        <v>1</v>
      </c>
      <c r="K12" s="52">
        <f t="shared" si="0"/>
        <v>863.68790999999999</v>
      </c>
      <c r="L12" s="50">
        <f t="shared" si="0"/>
        <v>863.68790999999999</v>
      </c>
      <c r="N12" s="269" t="s">
        <v>220</v>
      </c>
    </row>
    <row r="13" spans="2:14" ht="15.75" thickBot="1" x14ac:dyDescent="0.3">
      <c r="B13" s="44" t="s">
        <v>43</v>
      </c>
      <c r="C13" s="45">
        <f>SUM(C8:C12)</f>
        <v>2</v>
      </c>
      <c r="D13" s="45">
        <f t="shared" ref="D13:J13" si="1">SUM(D8:D12)</f>
        <v>1</v>
      </c>
      <c r="E13" s="45">
        <f t="shared" si="1"/>
        <v>3.9</v>
      </c>
      <c r="F13" s="45">
        <f t="shared" si="1"/>
        <v>3.7</v>
      </c>
      <c r="G13" s="45">
        <f t="shared" si="1"/>
        <v>27</v>
      </c>
      <c r="H13" s="45">
        <f>SUM(H8:H12)</f>
        <v>25</v>
      </c>
      <c r="I13" s="45">
        <f t="shared" si="1"/>
        <v>1.9</v>
      </c>
      <c r="J13" s="45">
        <f t="shared" si="1"/>
        <v>1.7</v>
      </c>
      <c r="K13" s="47">
        <f>SUM(K8:K12)</f>
        <v>2643.8736490000001</v>
      </c>
      <c r="L13" s="48">
        <f>SUM(L8:L12)</f>
        <v>2356.3388570000002</v>
      </c>
      <c r="M13" s="53"/>
    </row>
    <row r="14" spans="2:14" ht="16.5" thickTop="1" thickBot="1" x14ac:dyDescent="0.3">
      <c r="E14" s="128"/>
      <c r="F14" s="128"/>
      <c r="G14" s="128"/>
      <c r="H14" s="128"/>
      <c r="I14" s="128"/>
      <c r="J14" s="128"/>
      <c r="K14" s="128"/>
      <c r="L14" s="128"/>
    </row>
    <row r="15" spans="2:14" ht="25.5" thickTop="1" thickBot="1" x14ac:dyDescent="0.3">
      <c r="B15" s="159" t="s">
        <v>166</v>
      </c>
      <c r="C15" s="31">
        <f t="shared" ref="C15:L15" si="2">C13</f>
        <v>2</v>
      </c>
      <c r="D15" s="31">
        <f t="shared" si="2"/>
        <v>1</v>
      </c>
      <c r="E15" s="31">
        <f t="shared" si="2"/>
        <v>3.9</v>
      </c>
      <c r="F15" s="31">
        <f t="shared" si="2"/>
        <v>3.7</v>
      </c>
      <c r="G15" s="31">
        <f t="shared" si="2"/>
        <v>27</v>
      </c>
      <c r="H15" s="31">
        <f t="shared" si="2"/>
        <v>25</v>
      </c>
      <c r="I15" s="31">
        <f t="shared" si="2"/>
        <v>1.9</v>
      </c>
      <c r="J15" s="31">
        <f t="shared" si="2"/>
        <v>1.7</v>
      </c>
      <c r="K15" s="119">
        <f t="shared" si="2"/>
        <v>2643.8736490000001</v>
      </c>
      <c r="L15" s="120">
        <f t="shared" si="2"/>
        <v>2356.3388570000002</v>
      </c>
      <c r="M15" s="121"/>
    </row>
    <row r="16" spans="2:14" ht="15.75" thickTop="1" x14ac:dyDescent="0.25"/>
    <row r="17" spans="2:10" ht="15.75" thickBot="1" x14ac:dyDescent="0.3">
      <c r="B17" s="13" t="s">
        <v>167</v>
      </c>
    </row>
    <row r="18" spans="2:10" ht="34.5" customHeight="1" thickTop="1" x14ac:dyDescent="0.25">
      <c r="B18" s="993" t="s">
        <v>28</v>
      </c>
      <c r="C18" s="995" t="s">
        <v>45</v>
      </c>
      <c r="D18" s="996"/>
      <c r="E18" s="996"/>
      <c r="F18" s="997"/>
      <c r="G18" s="998" t="s">
        <v>133</v>
      </c>
      <c r="H18" s="999"/>
    </row>
    <row r="19" spans="2:10" ht="36" x14ac:dyDescent="0.25">
      <c r="B19" s="994"/>
      <c r="C19" s="14" t="s">
        <v>134</v>
      </c>
      <c r="D19" s="14" t="s">
        <v>46</v>
      </c>
      <c r="E19" s="14" t="s">
        <v>135</v>
      </c>
      <c r="F19" s="14" t="s">
        <v>136</v>
      </c>
      <c r="G19" s="14" t="s">
        <v>3</v>
      </c>
      <c r="H19" s="15" t="s">
        <v>47</v>
      </c>
    </row>
    <row r="20" spans="2:10" ht="48" x14ac:dyDescent="0.25">
      <c r="B20" s="16" t="s">
        <v>48</v>
      </c>
      <c r="C20" s="17" t="s">
        <v>49</v>
      </c>
      <c r="D20" s="17"/>
      <c r="E20" s="17" t="s">
        <v>49</v>
      </c>
      <c r="F20" s="17" t="s">
        <v>49</v>
      </c>
      <c r="G20" s="17" t="s">
        <v>49</v>
      </c>
      <c r="H20" s="18" t="s">
        <v>49</v>
      </c>
    </row>
    <row r="21" spans="2:10" ht="24" x14ac:dyDescent="0.25">
      <c r="B21" s="19" t="s">
        <v>50</v>
      </c>
      <c r="C21" s="20" t="s">
        <v>49</v>
      </c>
      <c r="D21" s="21"/>
      <c r="E21" s="20" t="s">
        <v>49</v>
      </c>
      <c r="F21" s="20" t="s">
        <v>49</v>
      </c>
      <c r="G21" s="20" t="s">
        <v>49</v>
      </c>
      <c r="H21" s="22" t="s">
        <v>49</v>
      </c>
    </row>
    <row r="22" spans="2:10" x14ac:dyDescent="0.25">
      <c r="B22" s="16" t="s">
        <v>40</v>
      </c>
      <c r="C22" s="23">
        <v>0</v>
      </c>
      <c r="D22" s="17"/>
      <c r="E22" s="23">
        <v>0</v>
      </c>
      <c r="F22" s="23">
        <f>50*Inflation</f>
        <v>62.378854625550659</v>
      </c>
      <c r="G22" s="23">
        <f>F22</f>
        <v>62.378854625550659</v>
      </c>
      <c r="H22" s="247">
        <f>F22</f>
        <v>62.378854625550659</v>
      </c>
      <c r="I22" s="269" t="s">
        <v>216</v>
      </c>
    </row>
    <row r="23" spans="2:10" x14ac:dyDescent="0.25">
      <c r="B23" s="19" t="s">
        <v>51</v>
      </c>
      <c r="C23" s="20" t="s">
        <v>49</v>
      </c>
      <c r="D23" s="21"/>
      <c r="E23" s="20" t="s">
        <v>49</v>
      </c>
      <c r="F23" s="20" t="s">
        <v>49</v>
      </c>
      <c r="G23" s="20" t="s">
        <v>49</v>
      </c>
      <c r="H23" s="248" t="s">
        <v>49</v>
      </c>
      <c r="I23" s="134"/>
    </row>
    <row r="24" spans="2:10" ht="24" x14ac:dyDescent="0.25">
      <c r="B24" s="16" t="s">
        <v>52</v>
      </c>
      <c r="C24" s="23">
        <v>0</v>
      </c>
      <c r="D24" s="17"/>
      <c r="E24" s="23">
        <v>0</v>
      </c>
      <c r="F24" s="23">
        <f>1183*Inflation</f>
        <v>1475.8837004405286</v>
      </c>
      <c r="G24" s="23">
        <f>F24</f>
        <v>1475.8837004405286</v>
      </c>
      <c r="H24" s="293">
        <f>F24</f>
        <v>1475.8837004405286</v>
      </c>
      <c r="I24" s="269" t="s">
        <v>222</v>
      </c>
    </row>
    <row r="25" spans="2:10" ht="15.75" thickBot="1" x14ac:dyDescent="0.3">
      <c r="B25" s="25" t="s">
        <v>43</v>
      </c>
      <c r="C25" s="26">
        <v>0</v>
      </c>
      <c r="D25" s="27"/>
      <c r="E25" s="26">
        <v>0</v>
      </c>
      <c r="F25" s="26">
        <f>SUM(F22,F24)</f>
        <v>1538.2625550660794</v>
      </c>
      <c r="G25" s="26">
        <f>SUM(G22,G24)</f>
        <v>1538.2625550660794</v>
      </c>
      <c r="H25" s="294">
        <f>SUM(H22,H24)</f>
        <v>1538.2625550660794</v>
      </c>
    </row>
    <row r="26" spans="2:10" ht="16.5" thickTop="1" thickBot="1" x14ac:dyDescent="0.3">
      <c r="B26" s="29"/>
    </row>
    <row r="27" spans="2:10" ht="16.5" thickTop="1" thickBot="1" x14ac:dyDescent="0.3">
      <c r="B27" s="30" t="s">
        <v>53</v>
      </c>
      <c r="C27" s="31"/>
      <c r="D27" s="31"/>
      <c r="E27" s="31"/>
      <c r="F27" s="31"/>
      <c r="G27" s="32">
        <f>G25</f>
        <v>1538.2625550660794</v>
      </c>
      <c r="H27" s="33">
        <f>H25</f>
        <v>1538.2625550660794</v>
      </c>
    </row>
    <row r="28" spans="2:10" ht="16.5" thickTop="1" thickBot="1" x14ac:dyDescent="0.3"/>
    <row r="29" spans="2:10" ht="49.5" thickTop="1" thickBot="1" x14ac:dyDescent="0.3">
      <c r="B29" s="34" t="s">
        <v>162</v>
      </c>
      <c r="C29" s="31"/>
      <c r="D29" s="31"/>
      <c r="E29" s="31"/>
      <c r="F29" s="31"/>
      <c r="G29" s="32">
        <f>K15+G27</f>
        <v>4182.1362040660797</v>
      </c>
      <c r="H29" s="33">
        <f>L15+H27</f>
        <v>3894.6014120660793</v>
      </c>
      <c r="J29" s="122"/>
    </row>
    <row r="30" spans="2:10" ht="15.75" thickTop="1" x14ac:dyDescent="0.25">
      <c r="B30" s="35" t="s">
        <v>165</v>
      </c>
    </row>
    <row r="31" spans="2:10" ht="15.75" thickBot="1" x14ac:dyDescent="0.3"/>
    <row r="32" spans="2:10" ht="15.75" thickTop="1" x14ac:dyDescent="0.25">
      <c r="B32" s="989" t="s">
        <v>152</v>
      </c>
      <c r="C32" s="990"/>
      <c r="D32" s="991"/>
      <c r="E32" s="167"/>
      <c r="F32" s="989" t="s">
        <v>154</v>
      </c>
      <c r="G32" s="991"/>
    </row>
    <row r="33" spans="2:10" ht="24.75" thickBot="1" x14ac:dyDescent="0.3">
      <c r="B33" s="164" t="s">
        <v>57</v>
      </c>
      <c r="C33" s="324" t="s">
        <v>3</v>
      </c>
      <c r="D33" s="169" t="s">
        <v>47</v>
      </c>
      <c r="F33" s="295" t="s">
        <v>3</v>
      </c>
      <c r="G33" s="296" t="s">
        <v>47</v>
      </c>
    </row>
    <row r="34" spans="2:10" ht="16.5" thickTop="1" thickBot="1" x14ac:dyDescent="0.3">
      <c r="B34" s="979">
        <v>2</v>
      </c>
      <c r="C34" s="284">
        <f>K15*$B$34</f>
        <v>5287.7472980000002</v>
      </c>
      <c r="D34" s="300">
        <f t="shared" ref="D34" si="3">L15*$B$34</f>
        <v>4712.6777140000004</v>
      </c>
      <c r="F34" s="297">
        <f>B34*G27</f>
        <v>3076.5251101321587</v>
      </c>
      <c r="G34" s="298">
        <f>B34*H27</f>
        <v>3076.5251101321587</v>
      </c>
      <c r="I34" s="275"/>
      <c r="J34" s="275"/>
    </row>
    <row r="35" spans="2:10" ht="15.75" thickTop="1" x14ac:dyDescent="0.25">
      <c r="B35" s="165" t="s">
        <v>58</v>
      </c>
      <c r="C35" s="166"/>
      <c r="D35" s="166"/>
      <c r="E35" s="166"/>
      <c r="I35" s="269" t="s">
        <v>1154</v>
      </c>
      <c r="J35" s="275"/>
    </row>
    <row r="36" spans="2:10" x14ac:dyDescent="0.25">
      <c r="B36" s="992" t="s">
        <v>153</v>
      </c>
      <c r="C36" s="992"/>
      <c r="D36" s="992"/>
      <c r="E36" s="992"/>
    </row>
    <row r="38" spans="2:10" x14ac:dyDescent="0.25">
      <c r="B38" s="346" t="s">
        <v>349</v>
      </c>
    </row>
  </sheetData>
  <mergeCells count="19">
    <mergeCell ref="K6:L6"/>
    <mergeCell ref="B18:B19"/>
    <mergeCell ref="C18:F18"/>
    <mergeCell ref="G18:H18"/>
    <mergeCell ref="B4:B7"/>
    <mergeCell ref="C4:J4"/>
    <mergeCell ref="K4:L4"/>
    <mergeCell ref="C5:D5"/>
    <mergeCell ref="E5:F5"/>
    <mergeCell ref="G5:H5"/>
    <mergeCell ref="I5:J5"/>
    <mergeCell ref="K5:L5"/>
    <mergeCell ref="C6:D6"/>
    <mergeCell ref="E6:F6"/>
    <mergeCell ref="B32:D32"/>
    <mergeCell ref="B36:E36"/>
    <mergeCell ref="F32:G32"/>
    <mergeCell ref="G6:H6"/>
    <mergeCell ref="I6:J6"/>
  </mergeCells>
  <hyperlinks>
    <hyperlink ref="B38" location="'Table of Contents'!A1" display="Table of Contents" xr:uid="{7B332C75-BC62-4CF1-819F-FE1AB136542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8E600-EF9C-44DA-97BB-1868354502CB}">
  <sheetPr codeName="Sheet9"/>
  <dimension ref="B1:Q39"/>
  <sheetViews>
    <sheetView topLeftCell="B31" zoomScale="95" zoomScaleNormal="95" workbookViewId="0">
      <selection activeCell="B35" sqref="B35"/>
    </sheetView>
  </sheetViews>
  <sheetFormatPr defaultRowHeight="15" x14ac:dyDescent="0.25"/>
  <cols>
    <col min="2" max="2" width="12.42578125" customWidth="1"/>
    <col min="5" max="5" width="10.85546875" customWidth="1"/>
    <col min="6" max="6" width="11.5703125" customWidth="1"/>
    <col min="13" max="13" width="4" customWidth="1"/>
    <col min="16" max="16" width="10.28515625" bestFit="1" customWidth="1"/>
  </cols>
  <sheetData>
    <row r="1" spans="2:17" x14ac:dyDescent="0.25">
      <c r="B1" s="709" t="s">
        <v>977</v>
      </c>
    </row>
    <row r="2" spans="2:17" x14ac:dyDescent="0.25">
      <c r="B2" s="13" t="s">
        <v>255</v>
      </c>
    </row>
    <row r="3" spans="2:17" ht="15.75" thickBot="1" x14ac:dyDescent="0.3">
      <c r="B3" s="13" t="s">
        <v>234</v>
      </c>
    </row>
    <row r="4" spans="2:17" ht="41.25" customHeight="1" thickTop="1" x14ac:dyDescent="0.25">
      <c r="B4" s="993" t="s">
        <v>28</v>
      </c>
      <c r="C4" s="995" t="s">
        <v>29</v>
      </c>
      <c r="D4" s="995"/>
      <c r="E4" s="995"/>
      <c r="F4" s="995"/>
      <c r="G4" s="995"/>
      <c r="H4" s="995"/>
      <c r="I4" s="995"/>
      <c r="J4" s="995"/>
      <c r="K4" s="1001" t="s">
        <v>30</v>
      </c>
      <c r="L4" s="1026"/>
      <c r="N4" s="290" t="s">
        <v>158</v>
      </c>
    </row>
    <row r="5" spans="2:17" ht="30" customHeight="1" thickTop="1" thickBot="1" x14ac:dyDescent="0.3">
      <c r="B5" s="993"/>
      <c r="C5" s="1003" t="s">
        <v>31</v>
      </c>
      <c r="D5" s="1003"/>
      <c r="E5" s="1003" t="s">
        <v>32</v>
      </c>
      <c r="F5" s="1003"/>
      <c r="G5" s="1005" t="s">
        <v>33</v>
      </c>
      <c r="H5" s="1005"/>
      <c r="I5" s="1005" t="s">
        <v>34</v>
      </c>
      <c r="J5" s="1005"/>
      <c r="K5" s="1007" t="s">
        <v>132</v>
      </c>
      <c r="L5" s="1027"/>
      <c r="N5" s="291" t="s">
        <v>207</v>
      </c>
    </row>
    <row r="6" spans="2:17" ht="16.5" thickTop="1" thickBot="1" x14ac:dyDescent="0.3">
      <c r="B6" s="993"/>
      <c r="C6" s="1009">
        <f>Lawyer</f>
        <v>114.79721000000001</v>
      </c>
      <c r="D6" s="1009"/>
      <c r="E6" s="1011">
        <f>Manager</f>
        <v>91.328059999999994</v>
      </c>
      <c r="F6" s="1011"/>
      <c r="G6" s="1011">
        <f>Tech</f>
        <v>73.827010000000001</v>
      </c>
      <c r="H6" s="1011"/>
      <c r="I6" s="1011">
        <f>Admin</f>
        <v>34.089750000000002</v>
      </c>
      <c r="J6" s="1011"/>
      <c r="K6" s="1012"/>
      <c r="L6" s="1025"/>
      <c r="N6" s="275" t="s">
        <v>233</v>
      </c>
    </row>
    <row r="7" spans="2:17" ht="36.75" thickTop="1" x14ac:dyDescent="0.25">
      <c r="B7" s="993"/>
      <c r="C7" s="14" t="s">
        <v>35</v>
      </c>
      <c r="D7" s="14" t="s">
        <v>36</v>
      </c>
      <c r="E7" s="236" t="s">
        <v>35</v>
      </c>
      <c r="F7" s="14" t="s">
        <v>36</v>
      </c>
      <c r="G7" s="14" t="s">
        <v>35</v>
      </c>
      <c r="H7" s="14" t="s">
        <v>36</v>
      </c>
      <c r="I7" s="14" t="s">
        <v>35</v>
      </c>
      <c r="J7" s="14" t="s">
        <v>36</v>
      </c>
      <c r="K7" s="14" t="s">
        <v>3</v>
      </c>
      <c r="L7" s="15" t="s">
        <v>37</v>
      </c>
      <c r="N7" s="292"/>
    </row>
    <row r="8" spans="2:17" x14ac:dyDescent="0.25">
      <c r="B8" s="16" t="s">
        <v>38</v>
      </c>
      <c r="C8" s="196">
        <v>2</v>
      </c>
      <c r="D8" s="196">
        <v>2</v>
      </c>
      <c r="E8" s="196">
        <v>1</v>
      </c>
      <c r="F8" s="196">
        <v>1</v>
      </c>
      <c r="G8" s="38">
        <v>1</v>
      </c>
      <c r="H8" s="196">
        <v>1</v>
      </c>
      <c r="I8" s="38">
        <v>0</v>
      </c>
      <c r="J8" s="38">
        <v>0</v>
      </c>
      <c r="K8" s="52">
        <f>C8*$C$6+E8*$E$6+G8*$G$6+I8*$I$6</f>
        <v>394.74949000000004</v>
      </c>
      <c r="L8" s="50">
        <f>D8*$C$6+F8*$E$6+H8*$G$6+J8*$I$6</f>
        <v>394.74949000000004</v>
      </c>
      <c r="N8" s="269" t="s">
        <v>237</v>
      </c>
    </row>
    <row r="9" spans="2:17" x14ac:dyDescent="0.25">
      <c r="B9" s="19" t="s">
        <v>39</v>
      </c>
      <c r="C9" s="39">
        <v>0</v>
      </c>
      <c r="D9" s="39">
        <v>0</v>
      </c>
      <c r="E9" s="237">
        <v>5</v>
      </c>
      <c r="F9" s="196">
        <v>5</v>
      </c>
      <c r="G9" s="39">
        <v>0</v>
      </c>
      <c r="H9" s="197">
        <v>0</v>
      </c>
      <c r="I9" s="39">
        <v>0</v>
      </c>
      <c r="J9" s="39">
        <v>0</v>
      </c>
      <c r="K9" s="40">
        <f t="shared" ref="K9:L12" si="0">C9*$C$6+E9*$E$6+G9*$G$6+I9*$I$6</f>
        <v>456.64029999999997</v>
      </c>
      <c r="L9" s="41">
        <f t="shared" si="0"/>
        <v>456.64029999999997</v>
      </c>
      <c r="N9" s="269" t="s">
        <v>212</v>
      </c>
    </row>
    <row r="10" spans="2:17" x14ac:dyDescent="0.25">
      <c r="B10" s="16" t="s">
        <v>40</v>
      </c>
      <c r="C10" s="38">
        <v>0</v>
      </c>
      <c r="D10" s="38">
        <v>0</v>
      </c>
      <c r="E10" s="196">
        <v>1</v>
      </c>
      <c r="F10" s="196">
        <v>1</v>
      </c>
      <c r="G10" s="38">
        <v>13</v>
      </c>
      <c r="H10" s="196">
        <v>13</v>
      </c>
      <c r="I10" s="196">
        <v>1</v>
      </c>
      <c r="J10" s="196">
        <v>1</v>
      </c>
      <c r="K10" s="52">
        <f t="shared" si="0"/>
        <v>1085.16894</v>
      </c>
      <c r="L10" s="50">
        <f t="shared" si="0"/>
        <v>1085.16894</v>
      </c>
      <c r="N10" s="269" t="s">
        <v>204</v>
      </c>
    </row>
    <row r="11" spans="2:17" ht="36" x14ac:dyDescent="0.25">
      <c r="B11" s="19" t="s">
        <v>41</v>
      </c>
      <c r="C11" s="39">
        <v>0</v>
      </c>
      <c r="D11" s="39">
        <v>0</v>
      </c>
      <c r="E11" s="237">
        <v>0.9</v>
      </c>
      <c r="F11" s="196">
        <v>0.9</v>
      </c>
      <c r="G11" s="39">
        <v>18</v>
      </c>
      <c r="H11" s="196">
        <v>18</v>
      </c>
      <c r="I11" s="237">
        <v>1.8</v>
      </c>
      <c r="J11" s="196">
        <v>1.8</v>
      </c>
      <c r="K11" s="40">
        <f t="shared" si="0"/>
        <v>1472.442984</v>
      </c>
      <c r="L11" s="41">
        <f t="shared" si="0"/>
        <v>1472.442984</v>
      </c>
      <c r="N11" s="269" t="s">
        <v>229</v>
      </c>
    </row>
    <row r="12" spans="2:17" x14ac:dyDescent="0.25">
      <c r="B12" s="16" t="s">
        <v>42</v>
      </c>
      <c r="C12" s="38">
        <v>0</v>
      </c>
      <c r="D12" s="38">
        <v>0</v>
      </c>
      <c r="E12" s="196">
        <v>2</v>
      </c>
      <c r="F12" s="196">
        <v>2</v>
      </c>
      <c r="G12" s="38">
        <v>26</v>
      </c>
      <c r="H12" s="196">
        <v>26</v>
      </c>
      <c r="I12" s="196">
        <v>2</v>
      </c>
      <c r="J12" s="196">
        <v>2</v>
      </c>
      <c r="K12" s="52">
        <f t="shared" si="0"/>
        <v>2170.33788</v>
      </c>
      <c r="L12" s="50">
        <f t="shared" si="0"/>
        <v>2170.33788</v>
      </c>
      <c r="N12" s="269" t="s">
        <v>220</v>
      </c>
    </row>
    <row r="13" spans="2:17" ht="15.75" thickBot="1" x14ac:dyDescent="0.3">
      <c r="B13" s="44" t="s">
        <v>43</v>
      </c>
      <c r="C13" s="46">
        <f>SUM(C8:C12)</f>
        <v>2</v>
      </c>
      <c r="D13" s="198">
        <f t="shared" ref="D13:J13" si="1">SUM(D8:D12)</f>
        <v>2</v>
      </c>
      <c r="E13" s="46">
        <f t="shared" si="1"/>
        <v>9.9</v>
      </c>
      <c r="F13" s="46">
        <f t="shared" si="1"/>
        <v>9.9</v>
      </c>
      <c r="G13" s="46">
        <f t="shared" si="1"/>
        <v>58</v>
      </c>
      <c r="H13" s="46">
        <f>SUM(H8:H12)</f>
        <v>58</v>
      </c>
      <c r="I13" s="46">
        <f t="shared" si="1"/>
        <v>4.8</v>
      </c>
      <c r="J13" s="46">
        <f t="shared" si="1"/>
        <v>4.8</v>
      </c>
      <c r="K13" s="47">
        <f>SUM(K8:K12)</f>
        <v>5579.339594</v>
      </c>
      <c r="L13" s="48">
        <f>SUM(L8:L12)</f>
        <v>5579.339594</v>
      </c>
      <c r="M13" s="53"/>
    </row>
    <row r="14" spans="2:17" ht="16.5" thickTop="1" thickBot="1" x14ac:dyDescent="0.3">
      <c r="E14" s="128"/>
      <c r="F14" s="128"/>
      <c r="G14" s="128"/>
      <c r="H14" s="128"/>
      <c r="I14" s="128"/>
      <c r="J14" s="128"/>
      <c r="K14" s="128"/>
      <c r="L14" s="128"/>
    </row>
    <row r="15" spans="2:17" ht="25.5" thickTop="1" thickBot="1" x14ac:dyDescent="0.3">
      <c r="B15" s="159" t="s">
        <v>161</v>
      </c>
      <c r="C15" s="31">
        <f t="shared" ref="C15:L15" si="2">C13</f>
        <v>2</v>
      </c>
      <c r="D15" s="199">
        <f t="shared" si="2"/>
        <v>2</v>
      </c>
      <c r="E15" s="31">
        <f t="shared" si="2"/>
        <v>9.9</v>
      </c>
      <c r="F15" s="31">
        <f t="shared" si="2"/>
        <v>9.9</v>
      </c>
      <c r="G15" s="31">
        <f t="shared" si="2"/>
        <v>58</v>
      </c>
      <c r="H15" s="31">
        <f t="shared" si="2"/>
        <v>58</v>
      </c>
      <c r="I15" s="31">
        <f t="shared" si="2"/>
        <v>4.8</v>
      </c>
      <c r="J15" s="31">
        <f t="shared" si="2"/>
        <v>4.8</v>
      </c>
      <c r="K15" s="119">
        <f t="shared" si="2"/>
        <v>5579.339594</v>
      </c>
      <c r="L15" s="120">
        <f t="shared" si="2"/>
        <v>5579.339594</v>
      </c>
      <c r="M15" s="121"/>
    </row>
    <row r="16" spans="2:17" ht="15.75" thickTop="1" x14ac:dyDescent="0.25">
      <c r="P16" s="364" t="s">
        <v>353</v>
      </c>
      <c r="Q16" s="49">
        <f>0.15*G6+0.02*I6+0.01*E6</f>
        <v>12.669127099999999</v>
      </c>
    </row>
    <row r="17" spans="2:16" ht="15.75" thickBot="1" x14ac:dyDescent="0.3">
      <c r="B17" s="13" t="s">
        <v>232</v>
      </c>
    </row>
    <row r="18" spans="2:16" ht="45.75" customHeight="1" thickTop="1" x14ac:dyDescent="0.25">
      <c r="B18" s="993" t="s">
        <v>28</v>
      </c>
      <c r="C18" s="995" t="s">
        <v>45</v>
      </c>
      <c r="D18" s="996"/>
      <c r="E18" s="996"/>
      <c r="F18" s="997"/>
      <c r="G18" s="998" t="s">
        <v>133</v>
      </c>
      <c r="H18" s="999"/>
    </row>
    <row r="19" spans="2:16" ht="36" x14ac:dyDescent="0.25">
      <c r="B19" s="994"/>
      <c r="C19" s="14" t="s">
        <v>134</v>
      </c>
      <c r="D19" s="14" t="s">
        <v>46</v>
      </c>
      <c r="E19" s="14" t="s">
        <v>135</v>
      </c>
      <c r="F19" s="14" t="s">
        <v>136</v>
      </c>
      <c r="G19" s="14" t="s">
        <v>3</v>
      </c>
      <c r="H19" s="15" t="s">
        <v>47</v>
      </c>
      <c r="P19" s="49"/>
    </row>
    <row r="20" spans="2:16" ht="48" x14ac:dyDescent="0.25">
      <c r="B20" s="16" t="s">
        <v>48</v>
      </c>
      <c r="C20" s="17" t="s">
        <v>49</v>
      </c>
      <c r="D20" s="17"/>
      <c r="E20" s="17" t="s">
        <v>49</v>
      </c>
      <c r="F20" s="17" t="s">
        <v>49</v>
      </c>
      <c r="G20" s="17" t="s">
        <v>49</v>
      </c>
      <c r="H20" s="18" t="s">
        <v>49</v>
      </c>
    </row>
    <row r="21" spans="2:16" ht="24" x14ac:dyDescent="0.25">
      <c r="B21" s="19" t="s">
        <v>50</v>
      </c>
      <c r="C21" s="20" t="s">
        <v>49</v>
      </c>
      <c r="D21" s="21"/>
      <c r="E21" s="20" t="s">
        <v>49</v>
      </c>
      <c r="F21" s="20" t="s">
        <v>49</v>
      </c>
      <c r="G21" s="20" t="s">
        <v>49</v>
      </c>
      <c r="H21" s="22" t="s">
        <v>49</v>
      </c>
    </row>
    <row r="22" spans="2:16" x14ac:dyDescent="0.25">
      <c r="B22" s="16" t="s">
        <v>40</v>
      </c>
      <c r="C22" s="23">
        <v>0</v>
      </c>
      <c r="D22" s="17"/>
      <c r="E22" s="23">
        <v>0</v>
      </c>
      <c r="F22" s="23">
        <f>50*Inflation</f>
        <v>62.378854625550659</v>
      </c>
      <c r="G22" s="23">
        <f>50*Inflation</f>
        <v>62.378854625550659</v>
      </c>
      <c r="H22" s="195">
        <f>50*Inflation</f>
        <v>62.378854625550659</v>
      </c>
      <c r="I22" s="326" t="s">
        <v>216</v>
      </c>
    </row>
    <row r="23" spans="2:16" x14ac:dyDescent="0.25">
      <c r="B23" s="19" t="s">
        <v>51</v>
      </c>
      <c r="C23" s="20" t="s">
        <v>49</v>
      </c>
      <c r="D23" s="21"/>
      <c r="E23" s="20" t="s">
        <v>49</v>
      </c>
      <c r="F23" s="20" t="s">
        <v>49</v>
      </c>
      <c r="G23" s="20" t="s">
        <v>49</v>
      </c>
      <c r="H23" s="22" t="s">
        <v>49</v>
      </c>
    </row>
    <row r="24" spans="2:16" ht="24" x14ac:dyDescent="0.25">
      <c r="B24" s="16" t="s">
        <v>52</v>
      </c>
      <c r="C24" s="17" t="s">
        <v>49</v>
      </c>
      <c r="D24" s="17"/>
      <c r="E24" s="17" t="s">
        <v>49</v>
      </c>
      <c r="F24" s="17" t="s">
        <v>49</v>
      </c>
      <c r="G24" s="17" t="s">
        <v>49</v>
      </c>
      <c r="H24" s="18" t="s">
        <v>49</v>
      </c>
    </row>
    <row r="25" spans="2:16" ht="15.75" thickBot="1" x14ac:dyDescent="0.3">
      <c r="B25" s="25" t="s">
        <v>43</v>
      </c>
      <c r="C25" s="26">
        <v>0</v>
      </c>
      <c r="D25" s="27"/>
      <c r="E25" s="26">
        <v>0</v>
      </c>
      <c r="F25" s="26">
        <f>50*Inflation</f>
        <v>62.378854625550659</v>
      </c>
      <c r="G25" s="26">
        <f>50*Inflation</f>
        <v>62.378854625550659</v>
      </c>
      <c r="H25" s="28">
        <f>50*Inflation</f>
        <v>62.378854625550659</v>
      </c>
    </row>
    <row r="26" spans="2:16" ht="16.5" thickTop="1" thickBot="1" x14ac:dyDescent="0.3">
      <c r="B26" s="29"/>
    </row>
    <row r="27" spans="2:16" ht="16.5" thickTop="1" thickBot="1" x14ac:dyDescent="0.3">
      <c r="B27" s="30" t="s">
        <v>53</v>
      </c>
      <c r="C27" s="31"/>
      <c r="D27" s="31"/>
      <c r="E27" s="31"/>
      <c r="F27" s="31"/>
      <c r="G27" s="32">
        <f>G25</f>
        <v>62.378854625550659</v>
      </c>
      <c r="H27" s="33">
        <f>H25</f>
        <v>62.378854625550659</v>
      </c>
    </row>
    <row r="28" spans="2:16" ht="16.5" thickTop="1" thickBot="1" x14ac:dyDescent="0.3"/>
    <row r="29" spans="2:16" ht="48.75" thickTop="1" x14ac:dyDescent="0.25">
      <c r="B29" s="350" t="s">
        <v>54</v>
      </c>
      <c r="C29" s="361"/>
      <c r="D29" s="361"/>
      <c r="E29" s="361"/>
      <c r="F29" s="361"/>
      <c r="G29" s="348">
        <f>K15+G27</f>
        <v>5641.718448625551</v>
      </c>
      <c r="H29" s="349">
        <f>L15+H27</f>
        <v>5641.718448625551</v>
      </c>
      <c r="J29" s="122"/>
      <c r="L29" s="53"/>
    </row>
    <row r="30" spans="2:16" ht="60.75" thickBot="1" x14ac:dyDescent="0.3">
      <c r="B30" s="356" t="s">
        <v>356</v>
      </c>
      <c r="C30" s="357"/>
      <c r="D30" s="357"/>
      <c r="E30" s="357"/>
      <c r="F30" s="358"/>
      <c r="G30" s="362">
        <v>12.67</v>
      </c>
      <c r="H30" s="360">
        <v>12.67</v>
      </c>
      <c r="J30" s="122"/>
    </row>
    <row r="31" spans="2:16" ht="15.75" thickTop="1" x14ac:dyDescent="0.25">
      <c r="B31" s="35" t="s">
        <v>191</v>
      </c>
    </row>
    <row r="32" spans="2:16" ht="15.75" thickBot="1" x14ac:dyDescent="0.3"/>
    <row r="33" spans="2:9" ht="15.75" thickTop="1" x14ac:dyDescent="0.25">
      <c r="B33" s="989" t="s">
        <v>152</v>
      </c>
      <c r="C33" s="990"/>
      <c r="D33" s="991"/>
      <c r="E33" s="167"/>
      <c r="F33" s="989" t="s">
        <v>154</v>
      </c>
      <c r="G33" s="991"/>
    </row>
    <row r="34" spans="2:9" ht="24" x14ac:dyDescent="0.25">
      <c r="B34" s="164" t="s">
        <v>57</v>
      </c>
      <c r="C34" s="324" t="s">
        <v>3</v>
      </c>
      <c r="D34" s="169" t="s">
        <v>47</v>
      </c>
      <c r="F34" s="168" t="s">
        <v>3</v>
      </c>
      <c r="G34" s="169" t="s">
        <v>47</v>
      </c>
    </row>
    <row r="35" spans="2:9" ht="15.75" thickBot="1" x14ac:dyDescent="0.3">
      <c r="B35" s="979">
        <v>1</v>
      </c>
      <c r="C35" s="284">
        <f>K15*$B$35+$B35*G30</f>
        <v>5592.0095940000001</v>
      </c>
      <c r="D35" s="300">
        <f>L15*$B$35+$B35*G30</f>
        <v>5592.0095940000001</v>
      </c>
      <c r="F35" s="287">
        <f>B35*G27</f>
        <v>62.378854625550659</v>
      </c>
      <c r="G35" s="288">
        <f>B35*H27</f>
        <v>62.378854625550659</v>
      </c>
      <c r="I35" s="275"/>
    </row>
    <row r="36" spans="2:9" ht="15.75" thickTop="1" x14ac:dyDescent="0.25">
      <c r="B36" s="165" t="s">
        <v>58</v>
      </c>
      <c r="C36" s="166"/>
      <c r="D36" s="166"/>
      <c r="E36" s="166"/>
      <c r="I36" s="275" t="s">
        <v>168</v>
      </c>
    </row>
    <row r="37" spans="2:9" ht="39.75" customHeight="1" x14ac:dyDescent="0.25">
      <c r="B37" s="992" t="s">
        <v>355</v>
      </c>
      <c r="C37" s="992"/>
      <c r="D37" s="992"/>
      <c r="E37" s="992"/>
    </row>
    <row r="38" spans="2:9" ht="30" customHeight="1" x14ac:dyDescent="0.25"/>
    <row r="39" spans="2:9" ht="30" customHeight="1" x14ac:dyDescent="0.25">
      <c r="B39" s="346" t="s">
        <v>349</v>
      </c>
    </row>
  </sheetData>
  <mergeCells count="19">
    <mergeCell ref="K6:L6"/>
    <mergeCell ref="B4:B7"/>
    <mergeCell ref="C4:J4"/>
    <mergeCell ref="K4:L4"/>
    <mergeCell ref="C5:D5"/>
    <mergeCell ref="E5:F5"/>
    <mergeCell ref="G5:H5"/>
    <mergeCell ref="I5:J5"/>
    <mergeCell ref="K5:L5"/>
    <mergeCell ref="C6:D6"/>
    <mergeCell ref="E6:F6"/>
    <mergeCell ref="B33:D33"/>
    <mergeCell ref="B37:E37"/>
    <mergeCell ref="F33:G33"/>
    <mergeCell ref="G6:H6"/>
    <mergeCell ref="I6:J6"/>
    <mergeCell ref="G18:H18"/>
    <mergeCell ref="C18:F18"/>
    <mergeCell ref="B18:B19"/>
  </mergeCells>
  <hyperlinks>
    <hyperlink ref="B39" location="'Table of Contents'!A1" display="Table of Contents" xr:uid="{ADC02116-51C4-4000-AF07-33A325B2CA1B}"/>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2022-09-17T04:00:00+00:00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lcf76f155ced4ddcb4097134ff3c332f xmlns="087b91ec-619e-477b-bd8f-cfe4d0d60d9e">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F871530DDF837140B12EE7A89A24DB8D" ma:contentTypeVersion="14" ma:contentTypeDescription="Create a new document." ma:contentTypeScope="" ma:versionID="4bf13c443ee307049cf72b08c7a54a15">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87b91ec-619e-477b-bd8f-cfe4d0d60d9e" xmlns:ns6="7d8dd676-26ca-4e08-b90f-b4e0026a58ac" targetNamespace="http://schemas.microsoft.com/office/2006/metadata/properties" ma:root="true" ma:fieldsID="5dff502ba672cd3de37c1d5323613d7b" ns1:_="" ns2:_="" ns3:_="" ns4:_="" ns5:_="" ns6:_="">
    <xsd:import namespace="http://schemas.microsoft.com/sharepoint/v3"/>
    <xsd:import namespace="4ffa91fb-a0ff-4ac5-b2db-65c790d184a4"/>
    <xsd:import namespace="http://schemas.microsoft.com/sharepoint.v3"/>
    <xsd:import namespace="http://schemas.microsoft.com/sharepoint/v3/fields"/>
    <xsd:import namespace="087b91ec-619e-477b-bd8f-cfe4d0d60d9e"/>
    <xsd:import namespace="7d8dd676-26ca-4e08-b90f-b4e0026a58ac"/>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MediaServiceMetadata" minOccurs="0"/>
                <xsd:element ref="ns5:MediaServiceFastMetadata" minOccurs="0"/>
                <xsd:element ref="ns6:SharedWithUsers" minOccurs="0"/>
                <xsd:element ref="ns6:SharedWithDetails" minOccurs="0"/>
                <xsd:element ref="ns5:MediaServiceAutoKeyPoints" minOccurs="0"/>
                <xsd:element ref="ns5:MediaServiceKeyPoints" minOccurs="0"/>
                <xsd:element ref="ns5:lcf76f155ced4ddcb4097134ff3c332f" minOccurs="0"/>
                <xsd:element ref="ns5:MediaServiceGenerationTime" minOccurs="0"/>
                <xsd:element ref="ns5: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aec54597-794d-48fd-aaaa-4eaa50f4ff1d}" ma:internalName="TaxCatchAllLabel" ma:readOnly="true" ma:showField="CatchAllDataLabel"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aec54597-794d-48fd-aaaa-4eaa50f4ff1d}" ma:internalName="TaxCatchAll" ma:showField="CatchAllData"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87b91ec-619e-477b-bd8f-cfe4d0d60d9e" elementFormDefault="qualified">
    <xsd:import namespace="http://schemas.microsoft.com/office/2006/documentManagement/types"/>
    <xsd:import namespace="http://schemas.microsoft.com/office/infopath/2007/PartnerControls"/>
    <xsd:element name="MediaServiceMetadata" ma:index="29" nillable="true" ma:displayName="MediaServiceMetadata" ma:hidden="true" ma:internalName="MediaServiceMetadata" ma:readOnly="true">
      <xsd:simpleType>
        <xsd:restriction base="dms:Note"/>
      </xsd:simpleType>
    </xsd:element>
    <xsd:element name="MediaServiceFastMetadata" ma:index="30" nillable="true" ma:displayName="MediaServiceFastMetadata" ma:hidden="true" ma:internalName="MediaServiceFastMetadata" ma:readOnly="true">
      <xsd:simpleType>
        <xsd:restriction base="dms:Note"/>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8dd676-26ca-4e08-b90f-b4e0026a58ac"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504A33-C66C-41C5-8AFB-4622EFFCE0A8}">
  <ds:schemaRefs>
    <ds:schemaRef ds:uri="http://schemas.microsoft.com/sharepoint/v3/contenttype/forms"/>
  </ds:schemaRefs>
</ds:datastoreItem>
</file>

<file path=customXml/itemProps2.xml><?xml version="1.0" encoding="utf-8"?>
<ds:datastoreItem xmlns:ds="http://schemas.openxmlformats.org/officeDocument/2006/customXml" ds:itemID="{67881BB9-465F-4A4C-913A-1A842693D094}">
  <ds:schemaRefs>
    <ds:schemaRef ds:uri="Microsoft.SharePoint.Taxonomy.ContentTypeSync"/>
  </ds:schemaRefs>
</ds:datastoreItem>
</file>

<file path=customXml/itemProps3.xml><?xml version="1.0" encoding="utf-8"?>
<ds:datastoreItem xmlns:ds="http://schemas.openxmlformats.org/officeDocument/2006/customXml" ds:itemID="{A0F76540-8DAB-4042-A903-D91691090D2B}">
  <ds:schemaRefs>
    <ds:schemaRef ds:uri="http://schemas.microsoft.com/office/infopath/2007/PartnerControls"/>
    <ds:schemaRef ds:uri="http://www.w3.org/XML/1998/namespace"/>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4ffa91fb-a0ff-4ac5-b2db-65c790d184a4"/>
    <ds:schemaRef ds:uri="http://purl.org/dc/dcmitype/"/>
    <ds:schemaRef ds:uri="7d8dd676-26ca-4e08-b90f-b4e0026a58ac"/>
    <ds:schemaRef ds:uri="087b91ec-619e-477b-bd8f-cfe4d0d60d9e"/>
    <ds:schemaRef ds:uri="http://schemas.microsoft.com/sharepoint.v3"/>
    <ds:schemaRef ds:uri="http://schemas.microsoft.com/sharepoint/v3/fields"/>
    <ds:schemaRef ds:uri="http://schemas.microsoft.com/sharepoint/v3"/>
    <ds:schemaRef ds:uri="http://purl.org/dc/terms/"/>
  </ds:schemaRefs>
</ds:datastoreItem>
</file>

<file path=customXml/itemProps4.xml><?xml version="1.0" encoding="utf-8"?>
<ds:datastoreItem xmlns:ds="http://schemas.openxmlformats.org/officeDocument/2006/customXml" ds:itemID="{2956D03F-C25D-4108-9D36-AE97FC3B96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087b91ec-619e-477b-bd8f-cfe4d0d60d9e"/>
    <ds:schemaRef ds:uri="7d8dd676-26ca-4e08-b90f-b4e0026a58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54</vt:i4>
      </vt:variant>
      <vt:variant>
        <vt:lpstr>Named Ranges</vt:lpstr>
      </vt:variant>
      <vt:variant>
        <vt:i4>20</vt:i4>
      </vt:variant>
    </vt:vector>
  </HeadingPairs>
  <TitlesOfParts>
    <vt:vector size="74" baseType="lpstr">
      <vt:lpstr>Table of Contents</vt:lpstr>
      <vt:lpstr>Cost Summary</vt:lpstr>
      <vt:lpstr>2.1 Updates to GWPs </vt:lpstr>
      <vt:lpstr>Subpart V (Applicability)</vt:lpstr>
      <vt:lpstr>Subpart W (Applicability)</vt:lpstr>
      <vt:lpstr>Subpart DD (Applicability)</vt:lpstr>
      <vt:lpstr>Subpart HH (Applicability)</vt:lpstr>
      <vt:lpstr>Subpart II (Applicability)</vt:lpstr>
      <vt:lpstr>Subpart OO (Applicability)</vt:lpstr>
      <vt:lpstr>Subpart TT (Applicability)</vt:lpstr>
      <vt:lpstr>2.2 New Subparts</vt:lpstr>
      <vt:lpstr>B (New Subpart)</vt:lpstr>
      <vt:lpstr>WW (New subpart)</vt:lpstr>
      <vt:lpstr>XX (New subpart)</vt:lpstr>
      <vt:lpstr>YY (New subpart)</vt:lpstr>
      <vt:lpstr>ZZ (New Subpart)</vt:lpstr>
      <vt:lpstr>2.3 Other Applicability</vt:lpstr>
      <vt:lpstr>Subpart P (Applicability)</vt:lpstr>
      <vt:lpstr>Subpart Y (Applicability)</vt:lpstr>
      <vt:lpstr>2.4 Monitoring and Calculations</vt:lpstr>
      <vt:lpstr>Subpart AA (Calculations)</vt:lpstr>
      <vt:lpstr>Subpart HH (Calculations)</vt:lpstr>
      <vt:lpstr>2.5 Recordkeeping and Reporting</vt:lpstr>
      <vt:lpstr>Reporting Cost Summary</vt:lpstr>
      <vt:lpstr>A (Data Elements)</vt:lpstr>
      <vt:lpstr>C (Data Elements)</vt:lpstr>
      <vt:lpstr>F (Data Elements)</vt:lpstr>
      <vt:lpstr>G (Data Elements)</vt:lpstr>
      <vt:lpstr>N (Data Elements)</vt:lpstr>
      <vt:lpstr>P (Data Elements)</vt:lpstr>
      <vt:lpstr>Y (Data Elements)</vt:lpstr>
      <vt:lpstr>AA (Data Elements)</vt:lpstr>
      <vt:lpstr>HH (Data Elements)</vt:lpstr>
      <vt:lpstr>OO (Data Elements)</vt:lpstr>
      <vt:lpstr>PP (Data Elements)</vt:lpstr>
      <vt:lpstr>QQ (Data Elements)</vt:lpstr>
      <vt:lpstr>Supporting Statement Tables --&gt;</vt:lpstr>
      <vt:lpstr>Respondent Burden-All Yrs</vt:lpstr>
      <vt:lpstr>Respondent Burden Summary</vt:lpstr>
      <vt:lpstr>Average Burden by Subpart</vt:lpstr>
      <vt:lpstr>EPA-YR1</vt:lpstr>
      <vt:lpstr>EPA-YR2</vt:lpstr>
      <vt:lpstr>EPA-YR3</vt:lpstr>
      <vt:lpstr>EPA Burden Summary </vt:lpstr>
      <vt:lpstr>Bottom-Line Burden</vt:lpstr>
      <vt:lpstr>Input Sheets - HIDE THESE --&gt;</vt:lpstr>
      <vt:lpstr>Inputs</vt:lpstr>
      <vt:lpstr>UPDATE-Input-EPA Burden-Others</vt:lpstr>
      <vt:lpstr>W Burden Hours Baseline</vt:lpstr>
      <vt:lpstr>Sub W Baseline</vt:lpstr>
      <vt:lpstr>W_2019 ICR_revised rates</vt:lpstr>
      <vt:lpstr>W (Data Elements) - Pkg 1</vt:lpstr>
      <vt:lpstr>Subpart W Revised</vt:lpstr>
      <vt:lpstr>CEPCI</vt:lpstr>
      <vt:lpstr>Admin</vt:lpstr>
      <vt:lpstr>Eng</vt:lpstr>
      <vt:lpstr>EPA_Admin</vt:lpstr>
      <vt:lpstr>EPA_Mgr</vt:lpstr>
      <vt:lpstr>EPA_Tech</vt:lpstr>
      <vt:lpstr>Inflation</vt:lpstr>
      <vt:lpstr>Inflation2</vt:lpstr>
      <vt:lpstr>Lawyer</vt:lpstr>
      <vt:lpstr>Legal</vt:lpstr>
      <vt:lpstr>Manager</vt:lpstr>
      <vt:lpstr>MdManager</vt:lpstr>
      <vt:lpstr>'Average Burden by Subpart'!Print_Area</vt:lpstr>
      <vt:lpstr>'EPA Burden Summary '!Print_Area</vt:lpstr>
      <vt:lpstr>'EPA-YR1'!Print_Area</vt:lpstr>
      <vt:lpstr>'EPA-YR2'!Print_Area</vt:lpstr>
      <vt:lpstr>'EPA-YR3'!Print_Area</vt:lpstr>
      <vt:lpstr>'Respondent Burden-All Yrs'!Print_Area</vt:lpstr>
      <vt:lpstr>SrManager</vt:lpstr>
      <vt:lpstr>Tech</vt:lpstr>
      <vt:lpstr>Tech2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Brian Palmer</dc:creator>
  <cp:keywords/>
  <dc:description/>
  <cp:lastModifiedBy>Schultz, Eric</cp:lastModifiedBy>
  <cp:revision/>
  <dcterms:created xsi:type="dcterms:W3CDTF">2022-06-13T18:32:56Z</dcterms:created>
  <dcterms:modified xsi:type="dcterms:W3CDTF">2023-05-23T19:36:41Z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0x010100F871530DDF837140B12EE7A89A24DB8D</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MediaServiceImageTags">
    <vt:lpwstr/>
  </property>
</Properties>
</file>