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usepa-my.sharepoint.com/personal/schultz_eric_epa_gov/Documents/03 ICR materials/2696.01/"/>
    </mc:Choice>
  </mc:AlternateContent>
  <xr:revisionPtr revIDLastSave="0" documentId="8_{FA29B113-CB6C-4874-B6C8-63C83CFF9575}" xr6:coauthVersionLast="47" xr6:coauthVersionMax="47" xr10:uidLastSave="{00000000-0000-0000-0000-000000000000}"/>
  <workbookProtection workbookAlgorithmName="SHA-512" workbookHashValue="LFOX7rkAiW1+PFqUTL4Ad9TltgYxdu5lHLUMObUYbU/I9FIr8Fpe4Gx9Dpr5VUCfwvs2ran1oIZ7F2DOlGfRRQ==" workbookSaltValue="p8O13qxQrI0XiGZ30nASEw==" workbookSpinCount="100000" lockStructure="1"/>
  <bookViews>
    <workbookView xWindow="-28110" yWindow="2025" windowWidth="26850" windowHeight="13425" tabRatio="855" firstSheet="2" activeTab="9" xr2:uid="{8A0B29F6-6D0E-4664-BD98-45E66A3F80AC}"/>
  </bookViews>
  <sheets>
    <sheet name="UST Interviews Data" sheetId="1" state="hidden" r:id="rId1"/>
    <sheet name="Hourly Summary-from Interviews" sheetId="2" state="hidden" r:id="rId2"/>
    <sheet name="Respondent &amp; Agency Data" sheetId="5" r:id="rId3"/>
    <sheet name="Respondent Yr1" sheetId="3" r:id="rId4"/>
    <sheet name="Respondent Yr2" sheetId="6" r:id="rId5"/>
    <sheet name="Respondent Yr3" sheetId="8" r:id="rId6"/>
    <sheet name="Agency Yr1" sheetId="4" r:id="rId7"/>
    <sheet name="Agency Yr2" sheetId="9" r:id="rId8"/>
    <sheet name="Agency Yr3" sheetId="10" r:id="rId9"/>
    <sheet name="Summary" sheetId="11"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11" l="1"/>
  <c r="J7" i="5" l="1"/>
  <c r="K7" i="5"/>
  <c r="I7" i="5"/>
  <c r="J4" i="5"/>
  <c r="B20" i="4"/>
  <c r="B10" i="4"/>
  <c r="B11" i="3"/>
  <c r="E27" i="8"/>
  <c r="E18" i="8"/>
  <c r="E9" i="8"/>
  <c r="E27" i="6"/>
  <c r="E18" i="6"/>
  <c r="B8" i="4"/>
  <c r="G8" i="2"/>
  <c r="N11" i="11"/>
  <c r="E34" i="8"/>
  <c r="E34" i="6"/>
  <c r="B9" i="4" l="1"/>
  <c r="B34" i="6"/>
  <c r="D34" i="6" s="1"/>
  <c r="F34" i="6" s="1"/>
  <c r="B24" i="4"/>
  <c r="E38" i="8"/>
  <c r="E38" i="6"/>
  <c r="E37" i="3"/>
  <c r="F7" i="5"/>
  <c r="E7" i="5"/>
  <c r="B34" i="3" s="1"/>
  <c r="B34" i="8" s="1"/>
  <c r="G10" i="2"/>
  <c r="F10" i="2"/>
  <c r="F8" i="2"/>
  <c r="E26" i="10"/>
  <c r="E25" i="10"/>
  <c r="E26" i="9"/>
  <c r="E25" i="9"/>
  <c r="E24" i="4"/>
  <c r="E25" i="4"/>
  <c r="E26" i="4"/>
  <c r="D34" i="8"/>
  <c r="F34" i="8" s="1"/>
  <c r="E34" i="3"/>
  <c r="D34" i="3"/>
  <c r="C5" i="5"/>
  <c r="J5" i="5" s="1"/>
  <c r="J8" i="5" s="1"/>
  <c r="C6" i="5"/>
  <c r="J6" i="5" s="1"/>
  <c r="F9" i="2"/>
  <c r="D24" i="4" l="1"/>
  <c r="F24" i="4" s="1"/>
  <c r="H24" i="4" s="1"/>
  <c r="B24" i="10"/>
  <c r="D24" i="10" s="1"/>
  <c r="F24" i="10" s="1"/>
  <c r="H24" i="10" s="1"/>
  <c r="B24" i="9"/>
  <c r="D24" i="9" s="1"/>
  <c r="F24" i="9" s="1"/>
  <c r="H24" i="9" s="1"/>
  <c r="B25" i="4"/>
  <c r="B26" i="4"/>
  <c r="H34" i="8"/>
  <c r="J8" i="11" s="1"/>
  <c r="G34" i="8"/>
  <c r="H34" i="6"/>
  <c r="G34" i="6"/>
  <c r="F34" i="3"/>
  <c r="B9" i="9"/>
  <c r="D9" i="9" s="1"/>
  <c r="B15" i="4"/>
  <c r="B15" i="10" s="1"/>
  <c r="D15" i="10" s="1"/>
  <c r="B38" i="8"/>
  <c r="B37" i="8"/>
  <c r="B32" i="8"/>
  <c r="B31" i="8"/>
  <c r="B30" i="8"/>
  <c r="B25" i="8"/>
  <c r="B22" i="8"/>
  <c r="B21" i="8"/>
  <c r="B16" i="8"/>
  <c r="B13" i="8"/>
  <c r="B12" i="8"/>
  <c r="B12" i="6"/>
  <c r="B13" i="6"/>
  <c r="B16" i="6"/>
  <c r="B21" i="6"/>
  <c r="B22" i="6"/>
  <c r="B25" i="6"/>
  <c r="B30" i="6"/>
  <c r="B31" i="6"/>
  <c r="B32" i="6"/>
  <c r="B37" i="6"/>
  <c r="B38" i="6"/>
  <c r="H13" i="11"/>
  <c r="E14" i="11"/>
  <c r="B12" i="10"/>
  <c r="D12" i="10" s="1"/>
  <c r="F12" i="10" s="1"/>
  <c r="H12" i="10" s="1"/>
  <c r="B12" i="9"/>
  <c r="D12" i="9" s="1"/>
  <c r="F12" i="9" s="1"/>
  <c r="H12" i="9" s="1"/>
  <c r="D12" i="4"/>
  <c r="B19" i="10"/>
  <c r="D19" i="10" s="1"/>
  <c r="F19" i="10" s="1"/>
  <c r="B18" i="10"/>
  <c r="D18" i="10" s="1"/>
  <c r="F18" i="10" s="1"/>
  <c r="B7" i="10"/>
  <c r="D7" i="10" s="1"/>
  <c r="B19" i="9"/>
  <c r="D19" i="9" s="1"/>
  <c r="F19" i="9" s="1"/>
  <c r="B18" i="9"/>
  <c r="D18" i="9" s="1"/>
  <c r="F18" i="9" s="1"/>
  <c r="B7" i="9"/>
  <c r="D7" i="9" s="1"/>
  <c r="B22" i="4"/>
  <c r="B22" i="9" s="1"/>
  <c r="D22" i="9" s="1"/>
  <c r="B21" i="4"/>
  <c r="B21" i="9" s="1"/>
  <c r="D21" i="9" s="1"/>
  <c r="B10" i="9"/>
  <c r="D10" i="9" s="1"/>
  <c r="C12" i="5"/>
  <c r="E7" i="9" s="1"/>
  <c r="E8" i="9" s="1"/>
  <c r="G9" i="2"/>
  <c r="E7" i="6"/>
  <c r="C13" i="5"/>
  <c r="E15" i="9" s="1"/>
  <c r="C14" i="5"/>
  <c r="E21" i="9" s="1"/>
  <c r="D4" i="5"/>
  <c r="K4" i="5" s="1"/>
  <c r="I8" i="11" l="1"/>
  <c r="D26" i="4"/>
  <c r="F26" i="4" s="1"/>
  <c r="H26" i="4" s="1"/>
  <c r="B26" i="10"/>
  <c r="D26" i="10" s="1"/>
  <c r="F26" i="10" s="1"/>
  <c r="G26" i="10" s="1"/>
  <c r="B26" i="9"/>
  <c r="D26" i="9" s="1"/>
  <c r="F26" i="9" s="1"/>
  <c r="H26" i="9" s="1"/>
  <c r="D25" i="4"/>
  <c r="F25" i="4" s="1"/>
  <c r="H25" i="4" s="1"/>
  <c r="B25" i="10"/>
  <c r="D25" i="10" s="1"/>
  <c r="F25" i="10" s="1"/>
  <c r="G25" i="10" s="1"/>
  <c r="B25" i="9"/>
  <c r="D25" i="9" s="1"/>
  <c r="F25" i="9" s="1"/>
  <c r="H25" i="9" s="1"/>
  <c r="G34" i="3"/>
  <c r="G24" i="9"/>
  <c r="I24" i="9" s="1"/>
  <c r="G24" i="10"/>
  <c r="G24" i="4"/>
  <c r="I24" i="4" s="1"/>
  <c r="D6" i="5"/>
  <c r="D5" i="5"/>
  <c r="K5" i="5" s="1"/>
  <c r="H34" i="3"/>
  <c r="H8" i="11" s="1"/>
  <c r="B16" i="4"/>
  <c r="B16" i="10" s="1"/>
  <c r="D16" i="10" s="1"/>
  <c r="F21" i="9"/>
  <c r="G21" i="9" s="1"/>
  <c r="F7" i="9"/>
  <c r="G7" i="9" s="1"/>
  <c r="G12" i="10"/>
  <c r="I12" i="10" s="1"/>
  <c r="G12" i="9"/>
  <c r="I12" i="9" s="1"/>
  <c r="B21" i="10"/>
  <c r="D21" i="10" s="1"/>
  <c r="E29" i="6"/>
  <c r="D12" i="5"/>
  <c r="E20" i="6"/>
  <c r="E8" i="8"/>
  <c r="B15" i="9"/>
  <c r="D15" i="9" s="1"/>
  <c r="B9" i="10"/>
  <c r="D9" i="10" s="1"/>
  <c r="B10" i="10"/>
  <c r="D10" i="10" s="1"/>
  <c r="B22" i="10"/>
  <c r="D22" i="10" s="1"/>
  <c r="G19" i="10"/>
  <c r="E10" i="9"/>
  <c r="E9" i="9"/>
  <c r="F9" i="9" s="1"/>
  <c r="E16" i="9"/>
  <c r="E22" i="9"/>
  <c r="F22" i="9" s="1"/>
  <c r="D15" i="4"/>
  <c r="D22" i="4"/>
  <c r="D21" i="4"/>
  <c r="D19" i="4"/>
  <c r="D18" i="4"/>
  <c r="D9" i="4"/>
  <c r="D10" i="4"/>
  <c r="E38" i="3"/>
  <c r="D38" i="8"/>
  <c r="D37" i="8"/>
  <c r="F37" i="8" s="1"/>
  <c r="D32" i="8"/>
  <c r="D31" i="8"/>
  <c r="D30" i="8"/>
  <c r="D25" i="8"/>
  <c r="F25" i="8" s="1"/>
  <c r="D22" i="8"/>
  <c r="D21" i="8"/>
  <c r="D16" i="8"/>
  <c r="F16" i="8" s="1"/>
  <c r="D13" i="8"/>
  <c r="D12" i="8"/>
  <c r="M8" i="8"/>
  <c r="M7" i="8"/>
  <c r="M6" i="8"/>
  <c r="D38" i="6"/>
  <c r="D37" i="6"/>
  <c r="F37" i="6" s="1"/>
  <c r="D32" i="6"/>
  <c r="D31" i="6"/>
  <c r="D30" i="6"/>
  <c r="D25" i="6"/>
  <c r="F25" i="6" s="1"/>
  <c r="D22" i="6"/>
  <c r="D21" i="6"/>
  <c r="D16" i="6"/>
  <c r="F16" i="6" s="1"/>
  <c r="D13" i="6"/>
  <c r="D12" i="6"/>
  <c r="M8" i="6"/>
  <c r="M7" i="6"/>
  <c r="E8" i="6"/>
  <c r="E9" i="6" s="1"/>
  <c r="M6" i="6"/>
  <c r="F5" i="5"/>
  <c r="B20" i="3" s="1"/>
  <c r="F6" i="5"/>
  <c r="B29" i="3" s="1"/>
  <c r="D16" i="3"/>
  <c r="D25" i="3"/>
  <c r="D7" i="4"/>
  <c r="D38" i="3"/>
  <c r="D12" i="3"/>
  <c r="D13" i="3"/>
  <c r="D21" i="3"/>
  <c r="D22" i="3"/>
  <c r="D30" i="3"/>
  <c r="D31" i="3"/>
  <c r="D32" i="3"/>
  <c r="E5" i="5"/>
  <c r="E6" i="5"/>
  <c r="E4" i="5"/>
  <c r="B4" i="5"/>
  <c r="I4" i="5" s="1"/>
  <c r="M8" i="3"/>
  <c r="M7" i="3"/>
  <c r="M6" i="3"/>
  <c r="D37" i="3"/>
  <c r="L8" i="11" l="1"/>
  <c r="K8" i="5"/>
  <c r="E29" i="8"/>
  <c r="E30" i="8" s="1"/>
  <c r="F30" i="8" s="1"/>
  <c r="G30" i="8" s="1"/>
  <c r="K6" i="5"/>
  <c r="K8" i="11"/>
  <c r="H26" i="10"/>
  <c r="I26" i="10" s="1"/>
  <c r="G25" i="9"/>
  <c r="I25" i="9" s="1"/>
  <c r="G26" i="4"/>
  <c r="I26" i="4" s="1"/>
  <c r="G25" i="4"/>
  <c r="G26" i="9"/>
  <c r="I26" i="9" s="1"/>
  <c r="H25" i="10"/>
  <c r="I25" i="10" s="1"/>
  <c r="I24" i="10"/>
  <c r="B6" i="5"/>
  <c r="I6" i="5" s="1"/>
  <c r="B5" i="5"/>
  <c r="I5" i="5" s="1"/>
  <c r="I8" i="5" s="1"/>
  <c r="D14" i="5"/>
  <c r="E21" i="10" s="1"/>
  <c r="F21" i="10" s="1"/>
  <c r="J34" i="6"/>
  <c r="C8" i="11" s="1"/>
  <c r="J34" i="8"/>
  <c r="D8" i="11" s="1"/>
  <c r="J34" i="3"/>
  <c r="B8" i="11" s="1"/>
  <c r="D16" i="4"/>
  <c r="B16" i="9"/>
  <c r="D16" i="9" s="1"/>
  <c r="F16" i="9" s="1"/>
  <c r="H16" i="9" s="1"/>
  <c r="F38" i="6"/>
  <c r="G38" i="6" s="1"/>
  <c r="F15" i="9"/>
  <c r="G15" i="9" s="1"/>
  <c r="D11" i="3"/>
  <c r="B11" i="8"/>
  <c r="D11" i="8" s="1"/>
  <c r="B11" i="6"/>
  <c r="D11" i="6" s="1"/>
  <c r="F10" i="9"/>
  <c r="H10" i="9" s="1"/>
  <c r="D29" i="3"/>
  <c r="B29" i="8"/>
  <c r="D29" i="8" s="1"/>
  <c r="B29" i="6"/>
  <c r="D29" i="6" s="1"/>
  <c r="D20" i="3"/>
  <c r="B20" i="8"/>
  <c r="D20" i="8" s="1"/>
  <c r="B20" i="6"/>
  <c r="D20" i="6" s="1"/>
  <c r="F20" i="6" s="1"/>
  <c r="H20" i="6" s="1"/>
  <c r="H25" i="8"/>
  <c r="H16" i="8"/>
  <c r="E7" i="3"/>
  <c r="E12" i="3" s="1"/>
  <c r="F12" i="3" s="1"/>
  <c r="G12" i="3" s="1"/>
  <c r="B12" i="5"/>
  <c r="E7" i="4" s="1"/>
  <c r="F7" i="4" s="1"/>
  <c r="D13" i="5"/>
  <c r="E15" i="10" s="1"/>
  <c r="F15" i="10" s="1"/>
  <c r="E20" i="8"/>
  <c r="E22" i="8" s="1"/>
  <c r="F22" i="8" s="1"/>
  <c r="H22" i="8" s="1"/>
  <c r="E7" i="10"/>
  <c r="F7" i="10" s="1"/>
  <c r="E9" i="10"/>
  <c r="F9" i="10" s="1"/>
  <c r="F38" i="8"/>
  <c r="H18" i="10"/>
  <c r="H21" i="9"/>
  <c r="I21" i="9" s="1"/>
  <c r="H7" i="9"/>
  <c r="I7" i="9" s="1"/>
  <c r="H19" i="10"/>
  <c r="I19" i="10" s="1"/>
  <c r="H9" i="9"/>
  <c r="G9" i="9"/>
  <c r="H19" i="9"/>
  <c r="G19" i="9"/>
  <c r="H22" i="9"/>
  <c r="G22" i="9"/>
  <c r="H18" i="9"/>
  <c r="G18" i="9"/>
  <c r="E12" i="6"/>
  <c r="F12" i="6" s="1"/>
  <c r="E13" i="6"/>
  <c r="F13" i="6" s="1"/>
  <c r="H13" i="6" s="1"/>
  <c r="B7" i="3"/>
  <c r="B8" i="3" s="1"/>
  <c r="B26" i="3"/>
  <c r="B17" i="3"/>
  <c r="G37" i="8"/>
  <c r="H37" i="8"/>
  <c r="G16" i="8"/>
  <c r="G25" i="8"/>
  <c r="H25" i="6"/>
  <c r="G25" i="6"/>
  <c r="H37" i="6"/>
  <c r="G37" i="6"/>
  <c r="H16" i="6"/>
  <c r="G16" i="6"/>
  <c r="E11" i="6"/>
  <c r="E11" i="8" s="1"/>
  <c r="F38" i="3"/>
  <c r="F37" i="3"/>
  <c r="G37" i="3" s="1"/>
  <c r="F8" i="11" l="1"/>
  <c r="E32" i="8"/>
  <c r="F32" i="8" s="1"/>
  <c r="F29" i="8"/>
  <c r="H29" i="8" s="1"/>
  <c r="E31" i="8"/>
  <c r="F31" i="8" s="1"/>
  <c r="J18" i="11"/>
  <c r="C18" i="11"/>
  <c r="D18" i="11"/>
  <c r="I18" i="11"/>
  <c r="I25" i="4"/>
  <c r="B18" i="11" s="1"/>
  <c r="H18" i="11"/>
  <c r="E8" i="11"/>
  <c r="H38" i="6"/>
  <c r="J38" i="6" s="1"/>
  <c r="E22" i="10"/>
  <c r="F22" i="10" s="1"/>
  <c r="H22" i="10" s="1"/>
  <c r="H9" i="10"/>
  <c r="H30" i="8"/>
  <c r="J30" i="8" s="1"/>
  <c r="J37" i="8"/>
  <c r="B13" i="4"/>
  <c r="B14" i="4"/>
  <c r="B20" i="9"/>
  <c r="D20" i="9" s="1"/>
  <c r="F20" i="9" s="1"/>
  <c r="D20" i="4"/>
  <c r="B20" i="10"/>
  <c r="D20" i="10" s="1"/>
  <c r="F20" i="10" s="1"/>
  <c r="E8" i="3"/>
  <c r="E9" i="3" s="1"/>
  <c r="E12" i="8"/>
  <c r="F12" i="8" s="1"/>
  <c r="H12" i="8" s="1"/>
  <c r="E13" i="8"/>
  <c r="F13" i="8" s="1"/>
  <c r="H13" i="8" s="1"/>
  <c r="H15" i="9"/>
  <c r="I15" i="9" s="1"/>
  <c r="E13" i="3"/>
  <c r="F13" i="3" s="1"/>
  <c r="G13" i="3" s="1"/>
  <c r="E11" i="3"/>
  <c r="F11" i="3" s="1"/>
  <c r="G11" i="3" s="1"/>
  <c r="E21" i="8"/>
  <c r="F21" i="8" s="1"/>
  <c r="G21" i="8" s="1"/>
  <c r="G10" i="9"/>
  <c r="F11" i="8"/>
  <c r="B18" i="3"/>
  <c r="B17" i="6"/>
  <c r="D17" i="6" s="1"/>
  <c r="F17" i="6" s="1"/>
  <c r="B17" i="8"/>
  <c r="D17" i="8" s="1"/>
  <c r="F17" i="8" s="1"/>
  <c r="B26" i="8"/>
  <c r="D26" i="8" s="1"/>
  <c r="F26" i="8" s="1"/>
  <c r="B26" i="6"/>
  <c r="D26" i="6" s="1"/>
  <c r="F26" i="6" s="1"/>
  <c r="F20" i="8"/>
  <c r="G20" i="8" s="1"/>
  <c r="D7" i="3"/>
  <c r="F7" i="3" s="1"/>
  <c r="B7" i="6"/>
  <c r="D7" i="6" s="1"/>
  <c r="F7" i="6" s="1"/>
  <c r="B7" i="8"/>
  <c r="D7" i="8" s="1"/>
  <c r="F7" i="8" s="1"/>
  <c r="G7" i="8" s="1"/>
  <c r="G21" i="10"/>
  <c r="J25" i="8"/>
  <c r="J16" i="8"/>
  <c r="G38" i="8"/>
  <c r="H38" i="8"/>
  <c r="H38" i="3"/>
  <c r="H21" i="10"/>
  <c r="G9" i="10"/>
  <c r="E16" i="10"/>
  <c r="F16" i="10" s="1"/>
  <c r="E10" i="4"/>
  <c r="F10" i="4" s="1"/>
  <c r="E8" i="4"/>
  <c r="E9" i="4"/>
  <c r="F9" i="4" s="1"/>
  <c r="G18" i="10"/>
  <c r="I18" i="10" s="1"/>
  <c r="B13" i="5"/>
  <c r="E16" i="3"/>
  <c r="E18" i="3" s="1"/>
  <c r="G13" i="6"/>
  <c r="J13" i="6" s="1"/>
  <c r="E10" i="10"/>
  <c r="F10" i="10" s="1"/>
  <c r="E25" i="3"/>
  <c r="E27" i="3" s="1"/>
  <c r="B14" i="5"/>
  <c r="E18" i="4" s="1"/>
  <c r="F18" i="4" s="1"/>
  <c r="E8" i="10"/>
  <c r="G16" i="9"/>
  <c r="I22" i="9"/>
  <c r="I19" i="9"/>
  <c r="I18" i="9"/>
  <c r="I9" i="9"/>
  <c r="F11" i="6"/>
  <c r="G11" i="6" s="1"/>
  <c r="G29" i="8"/>
  <c r="J29" i="8" s="1"/>
  <c r="H12" i="6"/>
  <c r="G12" i="6"/>
  <c r="E30" i="6"/>
  <c r="F30" i="6" s="1"/>
  <c r="E32" i="6"/>
  <c r="F32" i="6" s="1"/>
  <c r="H32" i="6" s="1"/>
  <c r="E31" i="6"/>
  <c r="F31" i="6" s="1"/>
  <c r="G31" i="6" s="1"/>
  <c r="E21" i="6"/>
  <c r="F21" i="6" s="1"/>
  <c r="E22" i="6"/>
  <c r="F22" i="6" s="1"/>
  <c r="H22" i="6" s="1"/>
  <c r="F29" i="6"/>
  <c r="B27" i="3"/>
  <c r="D26" i="3"/>
  <c r="J25" i="6"/>
  <c r="G22" i="8"/>
  <c r="J22" i="8" s="1"/>
  <c r="H32" i="8"/>
  <c r="G32" i="8"/>
  <c r="H9" i="8"/>
  <c r="G9" i="8"/>
  <c r="H31" i="8"/>
  <c r="G31" i="8"/>
  <c r="J37" i="6"/>
  <c r="G20" i="6"/>
  <c r="J20" i="6" s="1"/>
  <c r="J16" i="6"/>
  <c r="H12" i="3"/>
  <c r="J12" i="3" s="1"/>
  <c r="G38" i="3"/>
  <c r="H37" i="3"/>
  <c r="J37" i="3" s="1"/>
  <c r="L18" i="11" l="1"/>
  <c r="F18" i="11"/>
  <c r="I10" i="11"/>
  <c r="F39" i="6"/>
  <c r="K18" i="11"/>
  <c r="E18" i="11"/>
  <c r="G22" i="10"/>
  <c r="I22" i="10" s="1"/>
  <c r="I9" i="10"/>
  <c r="G13" i="8"/>
  <c r="J13" i="8" s="1"/>
  <c r="H7" i="6"/>
  <c r="H11" i="8"/>
  <c r="G7" i="3"/>
  <c r="I18" i="3"/>
  <c r="H21" i="8"/>
  <c r="J21" i="8" s="1"/>
  <c r="G12" i="8"/>
  <c r="J12" i="8" s="1"/>
  <c r="H11" i="3"/>
  <c r="J11" i="3" s="1"/>
  <c r="G20" i="10"/>
  <c r="H20" i="10"/>
  <c r="B14" i="9"/>
  <c r="D14" i="9" s="1"/>
  <c r="F14" i="9" s="1"/>
  <c r="B14" i="10"/>
  <c r="D14" i="10" s="1"/>
  <c r="F14" i="10" s="1"/>
  <c r="D14" i="4"/>
  <c r="H20" i="9"/>
  <c r="G20" i="9"/>
  <c r="H20" i="8"/>
  <c r="J20" i="8" s="1"/>
  <c r="B8" i="9"/>
  <c r="D8" i="9" s="1"/>
  <c r="F8" i="9" s="1"/>
  <c r="D8" i="4"/>
  <c r="F8" i="4" s="1"/>
  <c r="H8" i="4" s="1"/>
  <c r="B8" i="10"/>
  <c r="D8" i="10" s="1"/>
  <c r="F8" i="10" s="1"/>
  <c r="B13" i="10"/>
  <c r="D13" i="10" s="1"/>
  <c r="F13" i="10" s="1"/>
  <c r="H13" i="10" s="1"/>
  <c r="D13" i="4"/>
  <c r="B13" i="9"/>
  <c r="D13" i="9" s="1"/>
  <c r="F13" i="9" s="1"/>
  <c r="G11" i="8"/>
  <c r="F25" i="3"/>
  <c r="E31" i="3"/>
  <c r="F31" i="3" s="1"/>
  <c r="H31" i="3" s="1"/>
  <c r="E26" i="3"/>
  <c r="F26" i="3" s="1"/>
  <c r="H26" i="3" s="1"/>
  <c r="E30" i="3"/>
  <c r="F30" i="3" s="1"/>
  <c r="H13" i="3"/>
  <c r="J13" i="3" s="1"/>
  <c r="H7" i="8"/>
  <c r="J7" i="8" s="1"/>
  <c r="I10" i="9"/>
  <c r="G7" i="6"/>
  <c r="E21" i="3"/>
  <c r="F21" i="3" s="1"/>
  <c r="G21" i="3" s="1"/>
  <c r="J38" i="8"/>
  <c r="J39" i="8" s="1"/>
  <c r="H7" i="3"/>
  <c r="B27" i="6"/>
  <c r="D27" i="6" s="1"/>
  <c r="I27" i="6" s="1"/>
  <c r="J27" i="6" s="1"/>
  <c r="B27" i="8"/>
  <c r="D27" i="8" s="1"/>
  <c r="F27" i="8" s="1"/>
  <c r="B18" i="8"/>
  <c r="I18" i="8" s="1"/>
  <c r="B18" i="6"/>
  <c r="D18" i="6" s="1"/>
  <c r="I18" i="6" s="1"/>
  <c r="I21" i="10"/>
  <c r="I16" i="9"/>
  <c r="E17" i="3"/>
  <c r="E13" i="4"/>
  <c r="E12" i="4"/>
  <c r="F12" i="4" s="1"/>
  <c r="E22" i="3"/>
  <c r="F22" i="3" s="1"/>
  <c r="G22" i="3" s="1"/>
  <c r="J10" i="11"/>
  <c r="F39" i="8"/>
  <c r="H26" i="6"/>
  <c r="G17" i="6"/>
  <c r="J38" i="3"/>
  <c r="B10" i="11" s="1"/>
  <c r="H10" i="11"/>
  <c r="L10" i="11" s="1"/>
  <c r="E22" i="4"/>
  <c r="F22" i="4" s="1"/>
  <c r="E21" i="4"/>
  <c r="F21" i="4" s="1"/>
  <c r="E19" i="4"/>
  <c r="F19" i="4" s="1"/>
  <c r="E20" i="4"/>
  <c r="F20" i="4" s="1"/>
  <c r="H15" i="10"/>
  <c r="G15" i="10"/>
  <c r="G9" i="4"/>
  <c r="H9" i="4"/>
  <c r="J12" i="6"/>
  <c r="G10" i="10"/>
  <c r="H10" i="10"/>
  <c r="H11" i="6"/>
  <c r="J11" i="6" s="1"/>
  <c r="E29" i="3"/>
  <c r="F29" i="3" s="1"/>
  <c r="H29" i="3" s="1"/>
  <c r="H10" i="4"/>
  <c r="G10" i="4"/>
  <c r="G7" i="4"/>
  <c r="H7" i="4"/>
  <c r="E32" i="3"/>
  <c r="F32" i="3" s="1"/>
  <c r="H32" i="3" s="1"/>
  <c r="G7" i="10"/>
  <c r="H7" i="10"/>
  <c r="F16" i="3"/>
  <c r="G16" i="3" s="1"/>
  <c r="E20" i="3"/>
  <c r="F20" i="3" s="1"/>
  <c r="H20" i="3" s="1"/>
  <c r="H16" i="10"/>
  <c r="G16" i="10"/>
  <c r="J39" i="6"/>
  <c r="C10" i="11"/>
  <c r="H17" i="6"/>
  <c r="G22" i="6"/>
  <c r="J22" i="6" s="1"/>
  <c r="H31" i="6"/>
  <c r="J31" i="6" s="1"/>
  <c r="G32" i="6"/>
  <c r="J32" i="6" s="1"/>
  <c r="G29" i="6"/>
  <c r="H29" i="6"/>
  <c r="I27" i="3"/>
  <c r="J27" i="3" s="1"/>
  <c r="D27" i="3"/>
  <c r="G21" i="6"/>
  <c r="H21" i="6"/>
  <c r="H17" i="8"/>
  <c r="G17" i="8"/>
  <c r="H26" i="8"/>
  <c r="G26" i="8"/>
  <c r="G26" i="6"/>
  <c r="H30" i="6"/>
  <c r="G30" i="6"/>
  <c r="J31" i="8"/>
  <c r="J32" i="8"/>
  <c r="F39" i="3"/>
  <c r="G25" i="3" l="1"/>
  <c r="I20" i="10"/>
  <c r="D17" i="11" s="1"/>
  <c r="J7" i="6"/>
  <c r="J11" i="8"/>
  <c r="H25" i="3"/>
  <c r="J7" i="3"/>
  <c r="G31" i="3"/>
  <c r="J31" i="3" s="1"/>
  <c r="H30" i="3"/>
  <c r="G30" i="3"/>
  <c r="I27" i="8"/>
  <c r="G13" i="10"/>
  <c r="I13" i="10" s="1"/>
  <c r="F13" i="4"/>
  <c r="G13" i="4" s="1"/>
  <c r="G8" i="10"/>
  <c r="H8" i="10"/>
  <c r="G14" i="9"/>
  <c r="H14" i="9"/>
  <c r="H8" i="9"/>
  <c r="G8" i="9"/>
  <c r="I17" i="11"/>
  <c r="I20" i="9"/>
  <c r="C17" i="11" s="1"/>
  <c r="G13" i="9"/>
  <c r="H13" i="9"/>
  <c r="J17" i="11"/>
  <c r="G14" i="10"/>
  <c r="H14" i="10"/>
  <c r="G8" i="4"/>
  <c r="I8" i="4" s="1"/>
  <c r="E14" i="4"/>
  <c r="F14" i="4" s="1"/>
  <c r="G14" i="4" s="1"/>
  <c r="E15" i="4"/>
  <c r="F15" i="4" s="1"/>
  <c r="G15" i="4" s="1"/>
  <c r="E16" i="4"/>
  <c r="F16" i="4" s="1"/>
  <c r="G16" i="4" s="1"/>
  <c r="J18" i="6"/>
  <c r="H21" i="3"/>
  <c r="J21" i="3" s="1"/>
  <c r="H22" i="3"/>
  <c r="J22" i="3" s="1"/>
  <c r="I7" i="11"/>
  <c r="G29" i="3"/>
  <c r="J29" i="3" s="1"/>
  <c r="D18" i="8"/>
  <c r="F18" i="8" s="1"/>
  <c r="H18" i="8" s="1"/>
  <c r="D10" i="11"/>
  <c r="E10" i="11" s="1"/>
  <c r="I6" i="11"/>
  <c r="G12" i="4"/>
  <c r="H12" i="4"/>
  <c r="H16" i="3"/>
  <c r="J16" i="3" s="1"/>
  <c r="J26" i="6"/>
  <c r="J17" i="6"/>
  <c r="K10" i="11"/>
  <c r="I15" i="10"/>
  <c r="I9" i="4"/>
  <c r="I10" i="4"/>
  <c r="G18" i="4"/>
  <c r="H18" i="4"/>
  <c r="J17" i="8"/>
  <c r="G20" i="3"/>
  <c r="J20" i="3" s="1"/>
  <c r="I16" i="10"/>
  <c r="I7" i="4"/>
  <c r="I10" i="10"/>
  <c r="G20" i="4"/>
  <c r="H20" i="4"/>
  <c r="J26" i="8"/>
  <c r="G26" i="3"/>
  <c r="J26" i="3" s="1"/>
  <c r="G21" i="4"/>
  <c r="H21" i="4"/>
  <c r="G19" i="4"/>
  <c r="H19" i="4"/>
  <c r="G32" i="3"/>
  <c r="J32" i="3" s="1"/>
  <c r="I7" i="10"/>
  <c r="H22" i="4"/>
  <c r="G22" i="4"/>
  <c r="J21" i="6"/>
  <c r="J29" i="6"/>
  <c r="J30" i="6"/>
  <c r="H27" i="8"/>
  <c r="G27" i="8"/>
  <c r="J39" i="3"/>
  <c r="D17" i="3"/>
  <c r="F17" i="3" s="1"/>
  <c r="D18" i="3"/>
  <c r="F10" i="11" l="1"/>
  <c r="J25" i="3"/>
  <c r="H7" i="11"/>
  <c r="L7" i="11" s="1"/>
  <c r="F27" i="9"/>
  <c r="F27" i="10"/>
  <c r="J30" i="3"/>
  <c r="B7" i="11" s="1"/>
  <c r="I8" i="10"/>
  <c r="I22" i="4"/>
  <c r="I16" i="11"/>
  <c r="I21" i="4"/>
  <c r="I14" i="10"/>
  <c r="D16" i="11" s="1"/>
  <c r="J15" i="11"/>
  <c r="J16" i="11"/>
  <c r="I14" i="9"/>
  <c r="H13" i="4"/>
  <c r="I13" i="4" s="1"/>
  <c r="I8" i="9"/>
  <c r="I13" i="9"/>
  <c r="I15" i="11"/>
  <c r="H15" i="4"/>
  <c r="I15" i="4" s="1"/>
  <c r="H15" i="11"/>
  <c r="L15" i="11" s="1"/>
  <c r="H14" i="4"/>
  <c r="I14" i="4" s="1"/>
  <c r="C6" i="11"/>
  <c r="H16" i="4"/>
  <c r="I16" i="4" s="1"/>
  <c r="I12" i="4"/>
  <c r="G18" i="8"/>
  <c r="J7" i="11"/>
  <c r="I18" i="4"/>
  <c r="H17" i="11"/>
  <c r="I20" i="4"/>
  <c r="I19" i="4"/>
  <c r="B15" i="11"/>
  <c r="C7" i="11"/>
  <c r="J27" i="8"/>
  <c r="H17" i="3"/>
  <c r="G17" i="3"/>
  <c r="K17" i="11" l="1"/>
  <c r="L17" i="11"/>
  <c r="I19" i="11"/>
  <c r="I27" i="10"/>
  <c r="J19" i="11"/>
  <c r="I27" i="4"/>
  <c r="F27" i="4"/>
  <c r="I27" i="9"/>
  <c r="J18" i="8"/>
  <c r="D6" i="11" s="1"/>
  <c r="D15" i="11"/>
  <c r="D19" i="11" s="1"/>
  <c r="K15" i="11"/>
  <c r="C16" i="11"/>
  <c r="C15" i="11"/>
  <c r="H16" i="11"/>
  <c r="K7" i="11"/>
  <c r="J6" i="11"/>
  <c r="H6" i="11"/>
  <c r="B16" i="11"/>
  <c r="F16" i="11" s="1"/>
  <c r="B17" i="11"/>
  <c r="D7" i="11"/>
  <c r="F7" i="11" s="1"/>
  <c r="J18" i="3"/>
  <c r="J17" i="3"/>
  <c r="F15" i="11" l="1"/>
  <c r="K16" i="11"/>
  <c r="L16" i="11"/>
  <c r="E17" i="11"/>
  <c r="F17" i="11"/>
  <c r="L6" i="11"/>
  <c r="C19" i="11"/>
  <c r="B19" i="11"/>
  <c r="H19" i="11"/>
  <c r="L19" i="11" s="1"/>
  <c r="K19" i="11"/>
  <c r="E15" i="11"/>
  <c r="E16" i="11"/>
  <c r="K6" i="11"/>
  <c r="B6" i="11"/>
  <c r="F6" i="11" s="1"/>
  <c r="E7" i="11"/>
  <c r="E6" i="11" l="1"/>
  <c r="D8" i="3"/>
  <c r="F8" i="3" s="1"/>
  <c r="B8" i="8"/>
  <c r="D8" i="8" s="1"/>
  <c r="F8" i="8" s="1"/>
  <c r="B8" i="6"/>
  <c r="D8" i="6" s="1"/>
  <c r="F8" i="6" s="1"/>
  <c r="B9" i="3"/>
  <c r="I9" i="3" s="1"/>
  <c r="B9" i="6" l="1"/>
  <c r="D9" i="6" s="1"/>
  <c r="I9" i="6" s="1"/>
  <c r="G8" i="6"/>
  <c r="I5" i="11" s="1"/>
  <c r="I9" i="11" s="1"/>
  <c r="I11" i="11" s="1"/>
  <c r="H8" i="6"/>
  <c r="J9" i="6"/>
  <c r="I35" i="6"/>
  <c r="J9" i="3"/>
  <c r="I35" i="3"/>
  <c r="H8" i="8"/>
  <c r="G8" i="3"/>
  <c r="J8" i="3" s="1"/>
  <c r="D9" i="3"/>
  <c r="H8" i="3"/>
  <c r="G8" i="8"/>
  <c r="B9" i="8"/>
  <c r="J8" i="6" l="1"/>
  <c r="F35" i="8"/>
  <c r="F40" i="8" s="1"/>
  <c r="C5" i="11"/>
  <c r="C9" i="11" s="1"/>
  <c r="C11" i="11" s="1"/>
  <c r="J35" i="6"/>
  <c r="J40" i="6" s="1"/>
  <c r="J42" i="6" s="1"/>
  <c r="H5" i="11"/>
  <c r="J35" i="3"/>
  <c r="J40" i="3" s="1"/>
  <c r="J42" i="3" s="1"/>
  <c r="B5" i="11"/>
  <c r="F35" i="3"/>
  <c r="F40" i="3" s="1"/>
  <c r="I9" i="8"/>
  <c r="D9" i="8"/>
  <c r="J8" i="8"/>
  <c r="F35" i="6"/>
  <c r="F40" i="6" s="1"/>
  <c r="B9" i="11" l="1"/>
  <c r="B11" i="11" s="1"/>
  <c r="H9" i="11"/>
  <c r="H11" i="11" s="1"/>
  <c r="I35" i="8"/>
  <c r="J9" i="8"/>
  <c r="D5" i="11" s="1"/>
  <c r="D9" i="11" s="1"/>
  <c r="D11" i="11" s="1"/>
  <c r="J5" i="11"/>
  <c r="J9" i="11" s="1"/>
  <c r="J11" i="11" s="1"/>
  <c r="L11" i="11" l="1"/>
  <c r="N13" i="11" s="1"/>
  <c r="L9" i="11"/>
  <c r="F11" i="11"/>
  <c r="N12" i="11" s="1"/>
  <c r="L5" i="11"/>
  <c r="F5" i="11"/>
  <c r="F9" i="11"/>
  <c r="K9" i="11"/>
  <c r="E9" i="11"/>
  <c r="E5" i="11"/>
  <c r="K11" i="11"/>
  <c r="J35" i="8"/>
  <c r="J40" i="8" s="1"/>
  <c r="J42" i="8" s="1"/>
  <c r="K5" i="11"/>
  <c r="O11" i="11" l="1"/>
</calcChain>
</file>

<file path=xl/sharedStrings.xml><?xml version="1.0" encoding="utf-8"?>
<sst xmlns="http://schemas.openxmlformats.org/spreadsheetml/2006/main" count="704" uniqueCount="353">
  <si>
    <t>UST Interviews</t>
  </si>
  <si>
    <t>Questions</t>
  </si>
  <si>
    <t>Tennessee</t>
  </si>
  <si>
    <t>South Dakota</t>
  </si>
  <si>
    <t>1.	Who manages your UST/LUST database system?    Private contractor, UST/LUST Department, Broader state agency/system (if so, the name of the agency), Other</t>
  </si>
  <si>
    <t xml:space="preserve">2.  How is the UST/LUST data currently collected and managed by the agency? 
</t>
  </si>
  <si>
    <t>What software platforms (e.g., Oracle, Access, Excel) is the state currently using for its UST/LUST database(s)?</t>
  </si>
  <si>
    <t>Do you have a data dictionary or maintain any other metadata (e.g., quality assurance activities or results) for files available?</t>
  </si>
  <si>
    <t>How often are the UST/LUST data updated? (e.g., annually, semiannually, as new data arrives)</t>
  </si>
  <si>
    <t>How do you manage data quality assurance?</t>
  </si>
  <si>
    <t xml:space="preserve">3.  To what extent is the UST/LUST data collected by your agency already public-facing:  </t>
  </si>
  <si>
    <t xml:space="preserve">Does the state or territory currently publish its UST/LUST data online? Is the complete database publicly accessible or only portions of the data?  </t>
  </si>
  <si>
    <t>Are there any plans to change the current database platform used to manage UST/LUST data?</t>
  </si>
  <si>
    <t>4. Has your managing IT department/third party contractor participated in a data exchange program with a federal agency?</t>
  </si>
  <si>
    <t>What was the effort and/or cost?</t>
  </si>
  <si>
    <t xml:space="preserve">What type of data? </t>
  </si>
  <si>
    <t xml:space="preserve">Which agency? </t>
  </si>
  <si>
    <t xml:space="preserve">5.  Can you speak to which of the three options outlined at the front of this document you would use? </t>
  </si>
  <si>
    <t>6.  Can you provide an estimate of the amount of time it would take to locate, verify, compile and save the data into one of the EPA preferred formats and provide EPA a link to the data, or submit any existing internal data (considering similar activities you may have conducted)?</t>
  </si>
  <si>
    <t>8. What is your willingness and/or ability to transfer data more than annually and would it change the cost/burden to do so?</t>
  </si>
  <si>
    <t>Oregon</t>
  </si>
  <si>
    <t>Contacts</t>
  </si>
  <si>
    <t>Provide the data to EPA through an EPA-maintained Virtual Exchange Service (VES).</t>
  </si>
  <si>
    <t>Share data with EPA by providing a hyperlink to the accessible website or web services.</t>
  </si>
  <si>
    <t xml:space="preserve">Send their internal UST/LUST databases (e.g., MS Excel/.CSV, Access Databases, Shapefile) to either an EPA-maintained email address or file-sharing site. </t>
  </si>
  <si>
    <t>Nebraska</t>
  </si>
  <si>
    <t>North Carolina</t>
  </si>
  <si>
    <t>South Carolina</t>
  </si>
  <si>
    <t>Virginia</t>
  </si>
  <si>
    <t xml:space="preserve">California </t>
  </si>
  <si>
    <t>Indiana</t>
  </si>
  <si>
    <t>Several Oracle databases interfaced through an online application, set to update through online account/ESRI</t>
  </si>
  <si>
    <t>Likely outdated. We have data dictionaries for Oracle, maybe not all of them.</t>
  </si>
  <si>
    <t xml:space="preserve"> Several different databases</t>
  </si>
  <si>
    <t>ESRI service is used to update the data on a nearly instant basis. Some are updated overnight. Notifications (basic tank info/facility info) comes in paper form to the Notifications staff and they enter it immediately. Inspectors enter their inspections/compliance data into our applications. Case managers enter when ever they get reports. Reports are submitted online. Once submitted, it is live or updated overnight.</t>
  </si>
  <si>
    <t>No QA. Managers do QA before submittal.</t>
  </si>
  <si>
    <t xml:space="preserve">We have no plans to change in the foreseeable future . </t>
  </si>
  <si>
    <t>Not that I am aware of.</t>
  </si>
  <si>
    <t>Annually. Once things are set up, the updates occur automatically.</t>
  </si>
  <si>
    <t xml:space="preserve">It would be a lot of time upfront. 80 solid hours upfront and then 10 hours annually after that. </t>
  </si>
  <si>
    <t>Possible to provide the data quarterly.</t>
  </si>
  <si>
    <t>NA</t>
  </si>
  <si>
    <t>Yes, the database is public-facing</t>
  </si>
  <si>
    <t>Michelle Pruett, Ricky Cathey</t>
  </si>
  <si>
    <t>Marshall Brown, Terry Florentz</t>
  </si>
  <si>
    <t>We will be sending the data to EPA via SQL, as an Access or Excel file. LUST information is more private, due to possible lawsuits, etc. Would provide a customized file of backend database.</t>
  </si>
  <si>
    <t>Created by a contractor, managed by the UST/LUST Department and agency.</t>
  </si>
  <si>
    <t>SQL, with an Access front end.</t>
  </si>
  <si>
    <t>Existing data was migrated over. New data is entered by UST inspectors. They enter data at the time of the report. We check to see they are entered correctly.</t>
  </si>
  <si>
    <t>No, nothing separate.</t>
  </si>
  <si>
    <t>Our database is updated near constantly.</t>
  </si>
  <si>
    <t>We all do QA on a constant basis. We ask questions and get it fixed.</t>
  </si>
  <si>
    <t>UST data is published as a PDF file and is available online.</t>
  </si>
  <si>
    <t>(no answer)</t>
  </si>
  <si>
    <t>We would do that ourselves.</t>
  </si>
  <si>
    <t xml:space="preserve">40 hours of our staff time and 40 hours of the IT staff time. [Total: 80 hours up front] Annual basis: 3-4 hours of our time annually for submitting/QAing the data and running query. </t>
  </si>
  <si>
    <t>Diana Foss</t>
  </si>
  <si>
    <t>All work is done in-house. UST/LUST Department</t>
  </si>
  <si>
    <t>No.</t>
  </si>
  <si>
    <t>We make the queries to the database. We would perform a query using SQL Management server, put the results on an FTP server.</t>
  </si>
  <si>
    <t>We add data as things come in.</t>
  </si>
  <si>
    <t>Data is entered as it comes in. We make queries to the database.</t>
  </si>
  <si>
    <t>(No answer)</t>
  </si>
  <si>
    <t>Are unclear on what it would take to set up/costs.</t>
  </si>
  <si>
    <t>We have an Exchange Server for hazardous waste.</t>
  </si>
  <si>
    <t>Drafting the query might take a week (40 hours), running the query would take an hour. Then, create a spreadsheet, and place it on an FTP server .</t>
  </si>
  <si>
    <t xml:space="preserve">We would do this in house, until Infotech option takes over, then contracted out. </t>
  </si>
  <si>
    <t xml:space="preserve">We could do this quarterly. It would take an hour. </t>
  </si>
  <si>
    <t>Nebraska State Fire Marshal’s Office</t>
  </si>
  <si>
    <t xml:space="preserve">Tammy Loga, Juli Jurgens, David Levering </t>
  </si>
  <si>
    <t xml:space="preserve">Maybe in the future, not at present. </t>
  </si>
  <si>
    <t xml:space="preserve">Our office manages an SQL database to store the UST data and we access that. LUST has their own database. UST and LUST do not talk to each other. </t>
  </si>
  <si>
    <t xml:space="preserve">New information is added as it comes in by me and by inspectors.  Data added weekly. </t>
  </si>
  <si>
    <t>When inspectors do an inspection, they double check to make sure the operator has entered the information correctly. Once every 1-3 years, we check to see it matches up.</t>
  </si>
  <si>
    <t xml:space="preserve">With EPA grant, we would want to upgrade the database. </t>
  </si>
  <si>
    <t>All of their information is available online in a accessible spreadsheet that is curated for the public. Only portions of the data are available.</t>
  </si>
  <si>
    <t>Not aware of any.</t>
  </si>
  <si>
    <t>Providing EPA a link to the publicly available data would take minimal time. EPA could then access the information and grab it at any time. (Less than 1 hr).</t>
  </si>
  <si>
    <t xml:space="preserve">We would do the work in-house. In the future, we would set it up so you can come and grab it. </t>
  </si>
  <si>
    <t xml:space="preserve">We would provide updated data on an quarterly basis at the least. EPA could grab it as often as we update it. </t>
  </si>
  <si>
    <t>Dave Tamey, Marc Stanard, Andria Archer</t>
  </si>
  <si>
    <t>All of the data is stored and processed by state employees.</t>
  </si>
  <si>
    <t xml:space="preserve">Split out into a series of ORACLE databases that we access through java front-end. Both UST and LUST (RAST (Regional Aboveground Storage Tnaks) and RUST (Regional Underground Storage Tanks)) - some of RUST is in Access. Enforcement is kept in a third database - split into Access and Oracle. </t>
  </si>
  <si>
    <t>The data dictionary is 90% completed.</t>
  </si>
  <si>
    <t>Updated daily.</t>
  </si>
  <si>
    <t>QA happens upon input, through use of business rules/data integrity checks. Sometimes we find archival data that needs correcting. Some processes have more QA/QC than others, it is an ongoing process.</t>
  </si>
  <si>
    <t>Partially public-facing</t>
  </si>
  <si>
    <t>Some of the data faces the public through an online map/GIS interface or is available as XMAPs. Some is published weekly.</t>
  </si>
  <si>
    <t xml:space="preserve">Existing exchange node used for haz waste (RCRA), would like to use for this. </t>
  </si>
  <si>
    <t>We do not have input on effort or costs for that original setup.</t>
  </si>
  <si>
    <t xml:space="preserve">[They would like to set up an exchange server, but do not have  clear idea of time or cost (contractor). </t>
  </si>
  <si>
    <t xml:space="preserve">We could do it quarterly if we did manual updates. It would take about an hour each time we do an update. </t>
  </si>
  <si>
    <t xml:space="preserve">We hope to put it on a scheduler and have it done every week automatically in the background. If done with manual updates, it would take about an hour each time we do an update. </t>
  </si>
  <si>
    <t>Corie White, Carolyn Keisler, Stephanie Briney</t>
  </si>
  <si>
    <t xml:space="preserve">Our UST division handles all the data, </t>
  </si>
  <si>
    <t xml:space="preserve">It is updated frequently as reports are submitted.  </t>
  </si>
  <si>
    <t>Not sure. I would need to ask our IT guy.</t>
  </si>
  <si>
    <t xml:space="preserve">We are in the midst of doing QA - updating GIS locations. Some sites are closed, we are going through to update those locations. Inspectors are updating the coordinates. </t>
  </si>
  <si>
    <t xml:space="preserve">Yes. The UST Locater. You need the address or permit # to make a search [https://apps.dhec.sc.gov/Environment/USTRegistry]. </t>
  </si>
  <si>
    <t>The Agency is developing an online database where owners can log in and create accounts. This will happen in the next three-five years.</t>
  </si>
  <si>
    <t>(Not clear)</t>
  </si>
  <si>
    <t>We would do the work in house. Our IT guys would set it up.</t>
  </si>
  <si>
    <t xml:space="preserve">Marilynn Alfaro, Bill Cannell, Alicia Meadows, </t>
  </si>
  <si>
    <t>All in-house. UST/LUST Department, Petroleum Source Tank program, Office of Information Services</t>
  </si>
  <si>
    <t>Each file does have a data dictionary that explains each of the fields in each file.</t>
  </si>
  <si>
    <t xml:space="preserve">GIS Layers are updated daily, text files are updated monthly. </t>
  </si>
  <si>
    <t xml:space="preserve">The active facility data is a lot better cause inspectors look at locations on a regular basis. Old locations are not as reliable. </t>
  </si>
  <si>
    <t>Yes</t>
  </si>
  <si>
    <t>All in house.</t>
  </si>
  <si>
    <t>Public-facing</t>
  </si>
  <si>
    <t>Not yet, but are open to the idea, and would like to implement it.</t>
  </si>
  <si>
    <t xml:space="preserve">Quarterly is possible, would work. </t>
  </si>
  <si>
    <t xml:space="preserve">Work done in-house.  I’d like it to be fully automated. It would be updated, be QA’d, and would be there and available to EPA. </t>
  </si>
  <si>
    <t>For scenario # 2: 0 hours. Our files are available today on a monthly basis. We would send EPA the link to access them. To add all the fields that EPA wants to the public facing option would take an additional 100 hours.</t>
  </si>
  <si>
    <t>We could send you the data like this.</t>
  </si>
  <si>
    <t>If easy, we will do it, if not, we will use option 2 or 3.</t>
  </si>
  <si>
    <t>Steven Mullery, Matthew Cohen</t>
  </si>
  <si>
    <t>California State Water Resources Board</t>
  </si>
  <si>
    <t>We have 2 databases, one is Geotracker (for LUST data), other is CERS (California Environmental Reporting System) where we store UST data.</t>
  </si>
  <si>
    <t xml:space="preserve">Geotracker is maintained by an outside contractor for the LUST database. Maintenance is flexible and we can make changes. CERS/UST data is maintained by CalEPA with internal resources; and outside contractor used for the big updates and the local agencies do not have ability to manipulate the data. </t>
  </si>
  <si>
    <t>I expect we will create a site you can go to and grab the data. With Geotracker, it is a flat database, we just write a query and get the data. On CERS side, it is not easily assessable. There is a dump of the CERS data, but it is hard to get data out of it. We will have the contractors create a data dump from CERS and provide you with that. We could do this quarterly or as often as we get it.</t>
  </si>
  <si>
    <t>There is a data dictionary for certain types of data, and these dictionaries may not be in a single place. We can provide definitions for most of the data we send you. A lot of things do not need explanation.</t>
  </si>
  <si>
    <t xml:space="preserve">The CERS database is updated monthly or quarterly. The Geotracker flat file is updated nightly. </t>
  </si>
  <si>
    <t>Public facing, but difficult to get data from it.</t>
  </si>
  <si>
    <t>The public facing data is difficult to get data from.</t>
  </si>
  <si>
    <t>Yes. We have been involved in the handoff between CERS and Geotracker for the Cal EPA Regulated Sites Portal. With Geotracker, we make sure it is available to the public.</t>
  </si>
  <si>
    <t xml:space="preserve">We spent about 2 hours here and there to develop the script. This summed to 8 hours total. </t>
  </si>
  <si>
    <t>(no information)</t>
  </si>
  <si>
    <t xml:space="preserve">For LUST, it would take 5 hours on our side to write out the instructions and 10 hours of programming time for the contractor, on the release side. For UST, it might take 15 hours on our side and 10 hours on the contractor programming side to get you that data. Maybe more cause we have to build a crosswalk. With the crosswalk, make it 25 hours on our side and 10 on the contractors side. There is a lot of information behind the scenes. We have to get permission on what we can send. </t>
  </si>
  <si>
    <t xml:space="preserve">We would send you a flat file of the CERS database that you could go grab at any point in time. We could automate and create scripts to push out. 0 hours for this. </t>
  </si>
  <si>
    <t>Jason Goulet, Greg Overtoom</t>
  </si>
  <si>
    <t>Oracle, Assess, Sharepoint, ARC-GIS, REST service for permits.</t>
  </si>
  <si>
    <t xml:space="preserve">We have an exchange node that we use now for RCRA, ICIS, and AIRS. We have in-house developers that we could use to set up a new node. We currently have ARC-GIS and non-GIS REST services (secured or public).  We have new UST and LUST services that we could look at.  The REST services are public-facing. We have a hybrid system: UST and LUST is in an Oracle database, also in supplemental Microsoft Access database, and in Sharepoint. </t>
  </si>
  <si>
    <t>Yes, we have a data dictionary for REST system.</t>
  </si>
  <si>
    <t>For REST services, it is a live update. Updates done overnight. Everything goes in immediately. For tabular data published, updated monthly.</t>
  </si>
  <si>
    <t>We do restrict user entry as to who can enter data. We do not go back and do QA on existing data. Some items are checked before we publish them (the tabular data that gets published online).</t>
  </si>
  <si>
    <t xml:space="preserve">Some is public facing. We publish what the public wants to know, but we do have more behind the scenes. </t>
  </si>
  <si>
    <t>We have a schema for the new system, but we have no idea when it will be ready.</t>
  </si>
  <si>
    <t xml:space="preserve">Yes, nodes for RCRA, ICIS, AIRS - estimates are based on our previous experiences with RCRA, other programs. </t>
  </si>
  <si>
    <t>Non-GIS we would like to be able to send on a monthly basis. Monthly is the goal, but quarterly is possible. One week timeframe to pull together an upload.</t>
  </si>
  <si>
    <t xml:space="preserve">A week or two to look at what we have to update the REST service (two people two weeks). </t>
  </si>
  <si>
    <r>
      <t>7. If you were asked to provide your UST/LUST database to EPA in the future—on an annual basis, would you do that on your own or through a 3</t>
    </r>
    <r>
      <rPr>
        <vertAlign val="superscript"/>
        <sz val="10"/>
        <color theme="1"/>
        <rFont val="Calibri"/>
        <family val="2"/>
        <scheme val="minor"/>
      </rPr>
      <t>rd</t>
    </r>
    <r>
      <rPr>
        <sz val="10"/>
        <color theme="1"/>
        <rFont val="Calibri"/>
        <family val="2"/>
        <scheme val="minor"/>
      </rPr>
      <t xml:space="preserve"> party? Please describe any activities and associated costs that you anticipate fulfilling this request.</t>
    </r>
  </si>
  <si>
    <t xml:space="preserve">Portions of the data are available online currently. </t>
  </si>
  <si>
    <t>This option. State will select items from their background databases, create an SQL query that is set up to gather data elements of interest, and provide a link to the ESRI feature service for EPA.</t>
  </si>
  <si>
    <r>
      <t xml:space="preserve">We could do it monthly. But it may be too often, as the data does not change much. </t>
    </r>
    <r>
      <rPr>
        <sz val="10"/>
        <color rgb="FFFF0000"/>
        <rFont val="Calibri"/>
        <family val="2"/>
        <scheme val="minor"/>
      </rPr>
      <t>[Assume quarterly]</t>
    </r>
  </si>
  <si>
    <t xml:space="preserve">UST/LUST Departments, Broader state agency. </t>
  </si>
  <si>
    <t>Current databases are on SQL servers. User interface is custom.</t>
  </si>
  <si>
    <t xml:space="preserve">We clean up data as we enter it. We do not do any other QA QC. Most issues are with old data. </t>
  </si>
  <si>
    <t>N/A</t>
  </si>
  <si>
    <t>For the future, INFOTEK is building a new agencywide system, to potentially include an exchange server. (Oracle database using SQL queries, pushed to a staging area).</t>
  </si>
  <si>
    <t>RCRA</t>
  </si>
  <si>
    <t>HW</t>
  </si>
  <si>
    <t>UST data is on an SQL database. It is unknown how the LUST database is set up.</t>
  </si>
  <si>
    <t xml:space="preserve">Nothing live. </t>
  </si>
  <si>
    <t xml:space="preserve">They have a public-facing webpage where they make the data available for download in Excel Format (includes most fields). They will make the web address available to EPA. See: https://sfm.nebraska.gov/fuels-safety/underground-storage-tanks </t>
  </si>
  <si>
    <t>Yes, but not immediately.  Moving from one SQL packet to another.</t>
  </si>
  <si>
    <t>Since the information requested taps into different storage points, it will take about eight weeks (1 FTE) for us to develop a set of data we can send to EPA. This is just to mine the data and get it into a format we can send to you (regardless of exchange vs. spreadsheet/csv format). Getting the data together will take a lot of effort. [One full time worker eight weeks]. ~$20,000.</t>
  </si>
  <si>
    <t>Will mine data from different storage points and provide to EPA.</t>
  </si>
  <si>
    <t xml:space="preserve">We enter the reports of inspections, reports submitted, etc. into an Oracle database </t>
  </si>
  <si>
    <t xml:space="preserve">We maintain everything in an ORACLE database. One of our IT guys works in  the ORACLE/internal GIS database to write the code and pull what we need. Most of these scripts have already been written. To create a new data pull process, we would start with the in house ORACLE technician. </t>
  </si>
  <si>
    <t xml:space="preserve">One of our IT guys works in  the ORACLE/internal GIS database. They would write the code and pull what we need . It would take effort to get the report set up, but once the script for the pull is set up, it should be able to run quickly, and then we would have to transfer to EPA. </t>
  </si>
  <si>
    <t xml:space="preserve">We should be able to do it semiannually. </t>
  </si>
  <si>
    <t xml:space="preserve">2 separate GIS sites (1 for UST/AST, 1 for controlled releases). Tank data is on ESRI services. There is text data, too (stored separately), that contains additional data. </t>
  </si>
  <si>
    <t>Going forward, we will move to more robust reporting that makes it more available to the public. But we do not know what this would look like. (Not developed yet). Likely implementating Tableau.</t>
  </si>
  <si>
    <t xml:space="preserve">Last time we did this, it took 200 – 240 hours of work, plus 100 hours for troubleshooting and connectivity testing. </t>
  </si>
  <si>
    <t>We would prefer #2. We would post links to the public services. Our files are available today on a monthly basis.</t>
  </si>
  <si>
    <t xml:space="preserve">~ 100 hours to pull additional data for EPA. </t>
  </si>
  <si>
    <t>We will likely not be able to do QA on the CERS data. The data is what it is. The local oversight agency should be QA-ing that data. It is then sent to CalEPA.</t>
  </si>
  <si>
    <t>ERG: You’ve given us a zero burden for the updates. CA: Once we set it up, it just goes. We don’t like manual processing around here. [Frequency = As often as EPA cares to go get it.] (Assume quarterly).</t>
  </si>
  <si>
    <t xml:space="preserve">All done in house by us and an IS team. </t>
  </si>
  <si>
    <t xml:space="preserve">Pulling data, two months for initial setup and two weeks for update of Non-GIS REST service; Exchange scenario two months to compile, two months for setup and two weeks for QA QC. </t>
  </si>
  <si>
    <t>Option 2: Link to public service.</t>
  </si>
  <si>
    <t>Option 3: Provide background database.</t>
  </si>
  <si>
    <t>Option 1: Exchange Server</t>
  </si>
  <si>
    <t>80 technical hrs upfront, 10 hours for quarterly update.</t>
  </si>
  <si>
    <t>80 technical hrs upfront, 4 hours for quarterly update.</t>
  </si>
  <si>
    <t>40 technical hrs upfront, 1 hour for quarterly update.</t>
  </si>
  <si>
    <t>Less than 1 hr for initial and quarterly updates</t>
  </si>
  <si>
    <t>8 weeks/1 FTE (320 hours) upfront, 1 hour for quarterly updates</t>
  </si>
  <si>
    <t>240 hrs upfront, 10 hrs for semiannual updates</t>
  </si>
  <si>
    <t>100 – 240 hours of work, plus 100 hours for troubleshooting and connectivity testing</t>
  </si>
  <si>
    <t>Preferred: 0 (no changes)-100 hrs to update existing service with data elements upfront (pulls from multiple databases)</t>
  </si>
  <si>
    <t>Initial: For LUST, 5 hours agency and 10 hours contractor. For UST,  25 hours agency and 10 hours contractor. Updates are less than 1 hr.</t>
  </si>
  <si>
    <t>Maybe in the future, if easy.</t>
  </si>
  <si>
    <t>Number of States with preference for Option 1:</t>
  </si>
  <si>
    <t>Number of States with preference for Option 2:</t>
  </si>
  <si>
    <t>Number of States with preference for Option 3:</t>
  </si>
  <si>
    <t xml:space="preserve">Hourly Ranges </t>
  </si>
  <si>
    <t>Option 1</t>
  </si>
  <si>
    <t>Option 2</t>
  </si>
  <si>
    <t>Option 3</t>
  </si>
  <si>
    <t>Initial</t>
  </si>
  <si>
    <t>1, 50, 80, 100</t>
  </si>
  <si>
    <t>1, 1, 1, 10</t>
  </si>
  <si>
    <t>A</t>
  </si>
  <si>
    <t>B</t>
  </si>
  <si>
    <t>C</t>
  </si>
  <si>
    <t>D</t>
  </si>
  <si>
    <t>E</t>
  </si>
  <si>
    <t>F</t>
  </si>
  <si>
    <t>G</t>
  </si>
  <si>
    <t>H</t>
  </si>
  <si>
    <t>Person-hours
per occurrence</t>
  </si>
  <si>
    <t>Annual occurrences
per respondent</t>
  </si>
  <si>
    <t>Person-hours
per respondent
per year (AxB)</t>
  </si>
  <si>
    <r>
      <t xml:space="preserve">Respondents
per year </t>
    </r>
    <r>
      <rPr>
        <b/>
        <vertAlign val="superscript"/>
        <sz val="10"/>
        <rFont val="Times New Roman"/>
        <family val="1"/>
      </rPr>
      <t>a</t>
    </r>
  </si>
  <si>
    <t>Technical hours per
year (CxD)</t>
  </si>
  <si>
    <t>Management hours per year (Ex0.05)</t>
  </si>
  <si>
    <t>Clerical hours
per year
(Ex0.10)</t>
  </si>
  <si>
    <r>
      <t xml:space="preserve">Annual cost
($) </t>
    </r>
    <r>
      <rPr>
        <b/>
        <vertAlign val="superscript"/>
        <sz val="10"/>
        <rFont val="Times New Roman"/>
        <family val="1"/>
      </rPr>
      <t>b</t>
    </r>
  </si>
  <si>
    <t>Reporting Subtotal</t>
  </si>
  <si>
    <t>a. Plan activities</t>
  </si>
  <si>
    <t>Recordkeeping Subtotal</t>
  </si>
  <si>
    <t>Assumptions:</t>
  </si>
  <si>
    <t>EPA
person-hours
per occurrence</t>
  </si>
  <si>
    <t>EPA
person-hours
per respondent
per year (AxB)</t>
  </si>
  <si>
    <t>Technical hours
per year
(CxD)</t>
  </si>
  <si>
    <t>Management
hours per year
(Ex0.05)</t>
  </si>
  <si>
    <r>
      <rPr>
        <vertAlign val="superscript"/>
        <sz val="10"/>
        <rFont val="Times New Roman"/>
        <family val="1"/>
      </rPr>
      <t>b</t>
    </r>
    <r>
      <rPr>
        <sz val="10"/>
        <rFont val="Times New Roman"/>
        <family val="1"/>
      </rPr>
      <t xml:space="preserve">  This cost is based on the following labor rates which incorporates a 1.6 benefits multiplication factor to account for government overhead expenses. This ICR uses a Managerial rate of $69.04 (GS-13, Step 5, $43.15 + 60%), Technical rate of $51.23 (GS-12, Step 1, $32.02 + 60%), and Clerical rate of $27.73 (GS-6, Step 3, $17.33 + 60%). These rates are from the Office of Personnel Management (OPM), 2021 General Schedule, which excludes locality rates of pay. </t>
    </r>
  </si>
  <si>
    <r>
      <rPr>
        <vertAlign val="superscript"/>
        <sz val="10"/>
        <rFont val="Times New Roman"/>
        <family val="1"/>
      </rPr>
      <t>c</t>
    </r>
    <r>
      <rPr>
        <sz val="10"/>
        <rFont val="Times New Roman"/>
        <family val="1"/>
      </rPr>
      <t xml:space="preserve">  This cost is based on the following labor rates which incorporates a 1.6 benefits multiplication factor to account for government overhead expenses. This ICR uses a Managerial rate of $69.04 (GS-13, Step 5, $43.15 + 60%), Technical rate of $51.23 (GS-12, Step 1, $32.02 + 60%), and Clerical rate of $27.73 (GS-6, Step 3, $17.33 + 60%). These rates are from the Office of Personnel Management (OPM), 2021 General Schedule, which excludes locality rates of pay. </t>
    </r>
  </si>
  <si>
    <t>Labor Rates - State Agency</t>
  </si>
  <si>
    <t>Management</t>
  </si>
  <si>
    <t>Technical</t>
  </si>
  <si>
    <t>Clerical</t>
  </si>
  <si>
    <t>Labor Rates</t>
  </si>
  <si>
    <t>I</t>
  </si>
  <si>
    <t>d. Notify EPA that data has been sent</t>
  </si>
  <si>
    <t>a. Set up Node Administration account.</t>
  </si>
  <si>
    <t>The 50 states, territories, and the District of Columbia.</t>
  </si>
  <si>
    <t>Description</t>
  </si>
  <si>
    <t>Number of Respondents and Burden</t>
  </si>
  <si>
    <t>Initial Average</t>
  </si>
  <si>
    <t>4, 1, 1, 10, 40</t>
  </si>
  <si>
    <t>Initial Hours</t>
  </si>
  <si>
    <t>Subcontractor Hours</t>
  </si>
  <si>
    <t>b. Establish connection to VES</t>
  </si>
  <si>
    <t xml:space="preserve">c. Import data exchange and map data </t>
  </si>
  <si>
    <t>b. Save database(s) in preferred file format on state agency website</t>
  </si>
  <si>
    <t>c. Notify EPA that data is available</t>
  </si>
  <si>
    <t>b. Save database(s) in preferred file format</t>
  </si>
  <si>
    <t>c. Send UST/LUST data to EPA</t>
  </si>
  <si>
    <r>
      <t xml:space="preserve">Annual cost
($) </t>
    </r>
    <r>
      <rPr>
        <b/>
        <vertAlign val="superscript"/>
        <sz val="10"/>
        <rFont val="Times New Roman"/>
        <family val="1"/>
      </rPr>
      <t>b, c</t>
    </r>
  </si>
  <si>
    <t>b. Record activities</t>
  </si>
  <si>
    <t xml:space="preserve">a. Verify, quality check, and gather state agency data </t>
  </si>
  <si>
    <t>b. Review data, develop data query to match EPA schema</t>
  </si>
  <si>
    <t>b. Review and compile minimum data elements from existing databases; verify and update data</t>
  </si>
  <si>
    <t>A. Option 1: Push UST/LUST data to EPA's Virtual Exchange Server</t>
  </si>
  <si>
    <t>B. Option 2: Share UST/LUST data with EPA via link to existing state agency website</t>
  </si>
  <si>
    <t>C. Option 3: Send UST/LUST data to EPA file sharing site</t>
  </si>
  <si>
    <t>Table 1: Annual Respondent Burden and Cost – Underground Storage Tank Finder Application</t>
  </si>
  <si>
    <r>
      <t xml:space="preserve">1. Initial program set-up </t>
    </r>
    <r>
      <rPr>
        <vertAlign val="superscript"/>
        <sz val="10"/>
        <rFont val="Times New Roman"/>
        <family val="1"/>
      </rPr>
      <t>d</t>
    </r>
  </si>
  <si>
    <t>Total # Respondents  Year 1</t>
  </si>
  <si>
    <t>Total # Respondents  Year 2</t>
  </si>
  <si>
    <t>Total # Respondents  Year 3</t>
  </si>
  <si>
    <t>Semiannual Hours</t>
  </si>
  <si>
    <r>
      <t xml:space="preserve">2. Sending data semiannually </t>
    </r>
    <r>
      <rPr>
        <vertAlign val="superscript"/>
        <sz val="10"/>
        <rFont val="Times New Roman"/>
        <family val="1"/>
      </rPr>
      <t>f</t>
    </r>
  </si>
  <si>
    <r>
      <rPr>
        <vertAlign val="superscript"/>
        <sz val="10"/>
        <rFont val="Times New Roman"/>
        <family val="1"/>
      </rPr>
      <t>f</t>
    </r>
    <r>
      <rPr>
        <sz val="10"/>
        <rFont val="Times New Roman"/>
        <family val="1"/>
      </rPr>
      <t xml:space="preserve">  Based on interview responses, EPA assumes that, on average, each respondent will share their UST/LUST data on a semiannual basis.</t>
    </r>
  </si>
  <si>
    <t>Year 1</t>
  </si>
  <si>
    <t>Table 2: Annual Respondent Burden and Cost – Underground Storage Tank Finder Application</t>
  </si>
  <si>
    <t>Year 2</t>
  </si>
  <si>
    <t>Table 3: Annual Respondent Burden and Cost – Underground Storage Tank Finder Application</t>
  </si>
  <si>
    <t>Year 3</t>
  </si>
  <si>
    <t>EPA Burden</t>
  </si>
  <si>
    <t>Table 4: Average Annual EPA Burden and Cost – Underground Storage Tank Finder Application</t>
  </si>
  <si>
    <t>Table 5: Average Annual EPA Burden and Cost – Underground Storage Tank Finder Application</t>
  </si>
  <si>
    <t>Table 6: Average Annual EPA Burden and Cost – Underground Storage Tank Finder Application</t>
  </si>
  <si>
    <t>Table 7: Summary of Annual Respondent and Agency Burden and Cost – Underground Storage Tank Finder Application</t>
  </si>
  <si>
    <t>Respondent Burden</t>
  </si>
  <si>
    <t>Agency Burden</t>
  </si>
  <si>
    <t>Total</t>
  </si>
  <si>
    <r>
      <t xml:space="preserve">1. Set up approved file sharing method with state agency </t>
    </r>
    <r>
      <rPr>
        <vertAlign val="superscript"/>
        <sz val="10"/>
        <rFont val="Times New Roman"/>
        <family val="1"/>
      </rPr>
      <t>d</t>
    </r>
  </si>
  <si>
    <r>
      <t xml:space="preserve">4. Perform geocoding of data that only includes textual address information and not latitude and longitude data </t>
    </r>
    <r>
      <rPr>
        <vertAlign val="superscript"/>
        <sz val="10"/>
        <rFont val="Times New Roman"/>
        <family val="1"/>
      </rPr>
      <t>e</t>
    </r>
  </si>
  <si>
    <r>
      <t xml:space="preserve">2. Develop an extraction script for downloading the data from state agency website </t>
    </r>
    <r>
      <rPr>
        <vertAlign val="superscript"/>
        <sz val="10"/>
        <rFont val="Times New Roman"/>
        <family val="1"/>
      </rPr>
      <t>f</t>
    </r>
  </si>
  <si>
    <r>
      <t xml:space="preserve">2. Provide support throughout the Virtual Exchange Server registration and set-up process </t>
    </r>
    <r>
      <rPr>
        <vertAlign val="superscript"/>
        <sz val="10"/>
        <rFont val="Times New Roman"/>
        <family val="1"/>
      </rPr>
      <t>d</t>
    </r>
  </si>
  <si>
    <r>
      <t xml:space="preserve">3. Review and perform quality control checks on submitted data </t>
    </r>
    <r>
      <rPr>
        <vertAlign val="superscript"/>
        <sz val="10"/>
        <rFont val="Times New Roman"/>
        <family val="1"/>
      </rPr>
      <t>e</t>
    </r>
  </si>
  <si>
    <r>
      <t xml:space="preserve">1. Participate in meetings with state agency </t>
    </r>
    <r>
      <rPr>
        <vertAlign val="superscript"/>
        <sz val="10"/>
        <rFont val="Times New Roman"/>
        <family val="1"/>
      </rPr>
      <t>d</t>
    </r>
  </si>
  <si>
    <r>
      <t xml:space="preserve">3. Develop a transform script that translates data to the required format </t>
    </r>
    <r>
      <rPr>
        <vertAlign val="superscript"/>
        <sz val="10"/>
        <rFont val="Times New Roman"/>
        <family val="1"/>
      </rPr>
      <t>g</t>
    </r>
  </si>
  <si>
    <r>
      <t xml:space="preserve">3. Develop a customized Extract, Transform, Load (ETL) script that translates data to the required format </t>
    </r>
    <r>
      <rPr>
        <vertAlign val="superscript"/>
        <sz val="10"/>
        <rFont val="Times New Roman"/>
        <family val="1"/>
      </rPr>
      <t>g</t>
    </r>
  </si>
  <si>
    <r>
      <t xml:space="preserve">4. Review and perform quality control checks on submitted data </t>
    </r>
    <r>
      <rPr>
        <vertAlign val="superscript"/>
        <sz val="10"/>
        <rFont val="Times New Roman"/>
        <family val="1"/>
      </rPr>
      <t>e</t>
    </r>
  </si>
  <si>
    <r>
      <t xml:space="preserve">5. Perform geocoding of data that only includes textual address information and not latitude and longitude data </t>
    </r>
    <r>
      <rPr>
        <vertAlign val="superscript"/>
        <sz val="10"/>
        <rFont val="Times New Roman"/>
        <family val="1"/>
      </rPr>
      <t>e</t>
    </r>
  </si>
  <si>
    <r>
      <t xml:space="preserve">1. Provide instructions for how to use approved data submission methods (e.g., e-mail, SharePoint, GoAnywhere) </t>
    </r>
    <r>
      <rPr>
        <vertAlign val="superscript"/>
        <sz val="10"/>
        <rFont val="Times New Roman"/>
        <family val="1"/>
      </rPr>
      <t>d</t>
    </r>
  </si>
  <si>
    <r>
      <t xml:space="preserve">2. Provide instructions for how to notify EPA when a data submission has been updated </t>
    </r>
    <r>
      <rPr>
        <vertAlign val="superscript"/>
        <sz val="10"/>
        <rFont val="Times New Roman"/>
        <family val="1"/>
      </rPr>
      <t>d</t>
    </r>
  </si>
  <si>
    <r>
      <t xml:space="preserve">4. Perform quality control checks on submitted data </t>
    </r>
    <r>
      <rPr>
        <vertAlign val="superscript"/>
        <sz val="10"/>
        <rFont val="Times New Roman"/>
        <family val="1"/>
      </rPr>
      <t>e</t>
    </r>
  </si>
  <si>
    <r>
      <t xml:space="preserve">TOTAL (rounded) </t>
    </r>
    <r>
      <rPr>
        <b/>
        <vertAlign val="superscript"/>
        <sz val="10"/>
        <rFont val="Times New Roman"/>
        <family val="1"/>
      </rPr>
      <t>h</t>
    </r>
  </si>
  <si>
    <t>COSTS</t>
  </si>
  <si>
    <t>$ Total</t>
  </si>
  <si>
    <t>HOURS</t>
  </si>
  <si>
    <t>responses</t>
  </si>
  <si>
    <r>
      <rPr>
        <vertAlign val="superscript"/>
        <sz val="10"/>
        <rFont val="Times New Roman"/>
        <family val="1"/>
      </rPr>
      <t>h</t>
    </r>
    <r>
      <rPr>
        <sz val="10"/>
        <rFont val="Times New Roman"/>
        <family val="1"/>
      </rPr>
      <t xml:space="preserve">  Totals have been rounded to 3 significant figures. Figures may not add exactly due to rounding. </t>
    </r>
  </si>
  <si>
    <r>
      <rPr>
        <vertAlign val="superscript"/>
        <sz val="10"/>
        <rFont val="Times New Roman"/>
        <family val="1"/>
      </rPr>
      <t>f</t>
    </r>
    <r>
      <rPr>
        <sz val="10"/>
        <rFont val="Times New Roman"/>
        <family val="1"/>
      </rPr>
      <t xml:space="preserve">  In the first year of the program, for states utilizing Option 2, EPA will develop an extraction script for downloading the data from the state agency website. </t>
    </r>
  </si>
  <si>
    <r>
      <rPr>
        <vertAlign val="superscript"/>
        <sz val="10"/>
        <rFont val="Times New Roman"/>
        <family val="1"/>
      </rPr>
      <t>d</t>
    </r>
    <r>
      <rPr>
        <sz val="10"/>
        <rFont val="Times New Roman"/>
        <family val="1"/>
      </rPr>
      <t xml:space="preserve">  In the first year of the program, EPA will assist each respondent in setting up their systems to accommodate the data exchange. This involves assessing which data is desired by EPA, agreeing on a schema and file format, obtaining the permissions required on both sides of the exchange, and other administrative burden. As states transition to using Option 1 in years 2 and 3, the Agency will incur burden for assisting states in implementing Option 1.</t>
    </r>
  </si>
  <si>
    <t>Per Send</t>
  </si>
  <si>
    <t>Per Submittal Average</t>
  </si>
  <si>
    <t>hrs/respondent</t>
  </si>
  <si>
    <t>$/respondent</t>
  </si>
  <si>
    <t>We estimate that it will take us 240 hrs the first 3 months to work with our IT and to gather the data for the UST Finder Project and once we figure out how to collect the data it should only take us about 10hrs or less to push out data to the UST finder.  We should be able to push data to UST finder semi-annually.  We do not have a data dictionary or meta data.</t>
  </si>
  <si>
    <t>a. Set up approved file sharing method with EPA</t>
  </si>
  <si>
    <t>Labor Rates - Subcontractor</t>
  </si>
  <si>
    <t>Subcontractor hours
per year</t>
  </si>
  <si>
    <r>
      <t xml:space="preserve">c. Subcontractor technical assistance </t>
    </r>
    <r>
      <rPr>
        <vertAlign val="superscript"/>
        <sz val="10"/>
        <rFont val="Times New Roman"/>
        <family val="1"/>
      </rPr>
      <t>e</t>
    </r>
  </si>
  <si>
    <t>b  This ICR uses the following labor rate for subcontractors: $122.66 per hour for Technical labor. This rate is from the United States Department of Labor, Bureau of Labor Statistics, September 2020, “Table 2. Civilian Workers, by occupational and industry group.” The rate is from column 1, “Total compensation.” The BLS rate has been increased by 110 percent to account for the benefit packages available to those employed by private industry.</t>
  </si>
  <si>
    <r>
      <rPr>
        <vertAlign val="superscript"/>
        <sz val="10"/>
        <rFont val="Times New Roman"/>
        <family val="1"/>
      </rPr>
      <t>d</t>
    </r>
    <r>
      <rPr>
        <sz val="10"/>
        <rFont val="Times New Roman"/>
        <family val="1"/>
      </rPr>
      <t xml:space="preserve">  EPA assumes that, in the first year of the program, each respondent will require time to set up their systems to accommodate the data exchange. This involves assessing which data is desired by EPA, re-writing database queries, verifying that queries are correct, and obtaining management permission to share data. As states transition to using Option 1, they will incur burden only once for the initial set-up to implement this Option.</t>
    </r>
  </si>
  <si>
    <t>Option 4</t>
  </si>
  <si>
    <t>Number of States with preference for Option 4:</t>
  </si>
  <si>
    <t>Assume 16 states and territories will choose this Option</t>
  </si>
  <si>
    <t>Semiannual Hours/ each state</t>
  </si>
  <si>
    <t>Initial Hours/each state</t>
  </si>
  <si>
    <t>D. Option 4: EPA pulls existing UST/LUST data from existing state agency website</t>
  </si>
  <si>
    <r>
      <rPr>
        <vertAlign val="superscript"/>
        <sz val="10"/>
        <color rgb="FFFF0000"/>
        <rFont val="Times New Roman"/>
        <family val="1"/>
      </rPr>
      <t>h</t>
    </r>
    <r>
      <rPr>
        <sz val="10"/>
        <rFont val="Times New Roman"/>
        <family val="1"/>
      </rPr>
      <t xml:space="preserve">  EPA assumes that respondents will keep records of all data made available to the Agency. Planning will occur in year 1 and recordkeeping will occur semiannually.</t>
    </r>
  </si>
  <si>
    <r>
      <rPr>
        <vertAlign val="superscript"/>
        <sz val="10"/>
        <color rgb="FFFF0000"/>
        <rFont val="Times New Roman"/>
        <family val="1"/>
      </rPr>
      <t>i</t>
    </r>
    <r>
      <rPr>
        <sz val="10"/>
        <rFont val="Times New Roman"/>
        <family val="1"/>
      </rPr>
      <t xml:space="preserve">  Totals have been rounded to 3 significant figures. Figures may not add exactly due to rounding. </t>
    </r>
  </si>
  <si>
    <t>240-340</t>
  </si>
  <si>
    <t>NE, NC, CA, (in future years)</t>
  </si>
  <si>
    <t>Preferred: Initial: 80 hours to compile from various data bases.  Updates: 1 week for QA/QC</t>
  </si>
  <si>
    <r>
      <rPr>
        <vertAlign val="superscript"/>
        <sz val="10"/>
        <rFont val="Times New Roman"/>
        <family val="1"/>
      </rPr>
      <t>c</t>
    </r>
    <r>
      <rPr>
        <sz val="10"/>
        <rFont val="Times New Roman"/>
        <family val="1"/>
      </rPr>
      <t xml:space="preserve">  In the first year of the program, EPA will review its own existing UST database, develop a schema for a revised version, and configure the central database. </t>
    </r>
  </si>
  <si>
    <r>
      <t xml:space="preserve">A. Option 1: Push UST/LUST data to EPA's Virtual Exchange Server </t>
    </r>
    <r>
      <rPr>
        <vertAlign val="superscript"/>
        <sz val="10"/>
        <rFont val="Times New Roman"/>
        <family val="1"/>
      </rPr>
      <t>c</t>
    </r>
  </si>
  <si>
    <r>
      <t xml:space="preserve">B. Option 2: Share UST/LUST data with EPA via link to existing state agency website </t>
    </r>
    <r>
      <rPr>
        <vertAlign val="superscript"/>
        <sz val="10"/>
        <rFont val="Times New Roman"/>
        <family val="1"/>
      </rPr>
      <t>c</t>
    </r>
  </si>
  <si>
    <r>
      <t xml:space="preserve">C. Option 3: Send UST/LUST data to EPA file sharing site </t>
    </r>
    <r>
      <rPr>
        <vertAlign val="superscript"/>
        <sz val="10"/>
        <rFont val="Times New Roman"/>
        <family val="1"/>
      </rPr>
      <t>c</t>
    </r>
  </si>
  <si>
    <r>
      <t xml:space="preserve">D. Option 4: EPA pulls existing UST/LUST data from existing state agency website </t>
    </r>
    <r>
      <rPr>
        <vertAlign val="superscript"/>
        <sz val="10"/>
        <rFont val="Times New Roman"/>
        <family val="1"/>
      </rPr>
      <t>c</t>
    </r>
  </si>
  <si>
    <r>
      <t xml:space="preserve">1. Extract data from agency website and transform data to the required format </t>
    </r>
    <r>
      <rPr>
        <vertAlign val="superscript"/>
        <sz val="10"/>
        <rFont val="Times New Roman"/>
        <family val="1"/>
      </rPr>
      <t>g</t>
    </r>
  </si>
  <si>
    <r>
      <t xml:space="preserve">2. Perform quality control checks on submitted data </t>
    </r>
    <r>
      <rPr>
        <vertAlign val="superscript"/>
        <sz val="10"/>
        <rFont val="Times New Roman"/>
        <family val="1"/>
      </rPr>
      <t>e</t>
    </r>
  </si>
  <si>
    <r>
      <t xml:space="preserve">3. Perform geocoding of data that only includes textual address information and not latitude and longitude data </t>
    </r>
    <r>
      <rPr>
        <vertAlign val="superscript"/>
        <sz val="10"/>
        <rFont val="Times New Roman"/>
        <family val="1"/>
      </rPr>
      <t>e</t>
    </r>
  </si>
  <si>
    <r>
      <rPr>
        <vertAlign val="superscript"/>
        <sz val="10"/>
        <rFont val="Times New Roman"/>
        <family val="1"/>
      </rPr>
      <t>g</t>
    </r>
    <r>
      <rPr>
        <sz val="10"/>
        <rFont val="Times New Roman"/>
        <family val="1"/>
      </rPr>
      <t xml:space="preserve">  In the first year of the program, for states utilizing Options 2, 3, and 4, EPA will develop a customized Extract, Transform, Load (ETL) script that translates data to the required format.</t>
    </r>
  </si>
  <si>
    <r>
      <rPr>
        <vertAlign val="superscript"/>
        <sz val="10"/>
        <rFont val="Times New Roman"/>
        <family val="1"/>
      </rPr>
      <t>e</t>
    </r>
    <r>
      <rPr>
        <sz val="10"/>
        <rFont val="Times New Roman"/>
        <family val="1"/>
      </rPr>
      <t xml:space="preserve"> EPA will gather the UST/LUST data from the states/territories on a semiannual basis. The Agency will review and perform quality control checks on submitted data, and provide geocoding for data submitted as addresses. EPA will communicate with states regarding problems and provide ongoing support as needed. </t>
    </r>
  </si>
  <si>
    <r>
      <t xml:space="preserve">E. Recordkeeping requirements </t>
    </r>
    <r>
      <rPr>
        <vertAlign val="superscript"/>
        <sz val="10"/>
        <rFont val="Times New Roman"/>
        <family val="1"/>
      </rPr>
      <t>h</t>
    </r>
  </si>
  <si>
    <r>
      <t xml:space="preserve">TOTAL LABOR BURDEN AND COSTS (rounded) </t>
    </r>
    <r>
      <rPr>
        <b/>
        <vertAlign val="superscript"/>
        <sz val="10"/>
        <rFont val="Times New Roman"/>
        <family val="1"/>
      </rPr>
      <t>i</t>
    </r>
  </si>
  <si>
    <r>
      <t xml:space="preserve">TOTAL CAPITAL AND O&amp;M COST (rounded) </t>
    </r>
    <r>
      <rPr>
        <b/>
        <vertAlign val="superscript"/>
        <sz val="10"/>
        <rFont val="Times New Roman"/>
        <family val="1"/>
      </rPr>
      <t>i</t>
    </r>
  </si>
  <si>
    <r>
      <t xml:space="preserve">GRAND TOTAL (rounded) </t>
    </r>
    <r>
      <rPr>
        <b/>
        <vertAlign val="superscript"/>
        <sz val="10"/>
        <rFont val="Times New Roman"/>
        <family val="1"/>
      </rPr>
      <t>i</t>
    </r>
  </si>
  <si>
    <r>
      <rPr>
        <vertAlign val="superscript"/>
        <sz val="10"/>
        <rFont val="Times New Roman"/>
        <family val="1"/>
      </rPr>
      <t>g</t>
    </r>
    <r>
      <rPr>
        <sz val="10"/>
        <rFont val="Times New Roman"/>
        <family val="1"/>
      </rPr>
      <t xml:space="preserve">  Respondents choosing Option 4 will have no initial burden in Year 1 or recurring burden in subsequent years. </t>
    </r>
  </si>
  <si>
    <t>40, 80, 240, 320, 80</t>
  </si>
  <si>
    <t>TN, VA, CA, NE</t>
  </si>
  <si>
    <t>SD, OR, SC, NC,  IN</t>
  </si>
  <si>
    <r>
      <t xml:space="preserve">[Seems like they would use this option. They would take what they already publish on their website, QA it, and send it.] </t>
    </r>
    <r>
      <rPr>
        <sz val="10"/>
        <color rgb="FFFF0000"/>
        <rFont val="Calibri"/>
        <family val="2"/>
        <scheme val="minor"/>
      </rPr>
      <t xml:space="preserve">1 week </t>
    </r>
    <r>
      <rPr>
        <sz val="10"/>
        <color theme="1"/>
        <rFont val="Calibri"/>
        <family val="2"/>
        <scheme val="minor"/>
      </rPr>
      <t xml:space="preserve">(2 FTE) to compile from various data bases. </t>
    </r>
  </si>
  <si>
    <t xml:space="preserve">In-house. If management knew we were feeding data out to the public, they would want some additional QA done before we send it out. Probably about a week of QA (1 FTE) before we could send data on a yearly basis. It would take about a week of work with review and other things that need to get done. </t>
  </si>
  <si>
    <t>Unclear on time frame needed for this option.</t>
  </si>
  <si>
    <r>
      <t xml:space="preserve">1. No respondent action required </t>
    </r>
    <r>
      <rPr>
        <vertAlign val="superscript"/>
        <sz val="10"/>
        <rFont val="Times New Roman"/>
        <family val="1"/>
      </rPr>
      <t>g</t>
    </r>
  </si>
  <si>
    <r>
      <rPr>
        <vertAlign val="superscript"/>
        <sz val="10"/>
        <rFont val="Times New Roman"/>
        <family val="1"/>
      </rPr>
      <t>a</t>
    </r>
    <r>
      <rPr>
        <sz val="10"/>
        <rFont val="Times New Roman"/>
        <family val="1"/>
      </rPr>
      <t xml:space="preserve">  EPA estimates an average of 40 states/territories will comply voluntarily with EPA's request for data in year 1 of the program, using Options 2 or 3. EPA estimates that, beginning in year 2, 6 states per year will transition to using Option 1. EPA assumes it will retrieve data for the remaining 16 states that do not submit data using Options 1 through 3.</t>
    </r>
  </si>
  <si>
    <r>
      <rPr>
        <vertAlign val="superscript"/>
        <sz val="10"/>
        <rFont val="Times New Roman"/>
        <family val="1"/>
      </rPr>
      <t>h</t>
    </r>
    <r>
      <rPr>
        <sz val="10"/>
        <rFont val="Times New Roman"/>
        <family val="1"/>
      </rPr>
      <t xml:space="preserve">  EPA assumes that respondents will keep records of all data made available to the Agency. Planning will occur in year 1 and recordkeeping will occur semiannually.</t>
    </r>
  </si>
  <si>
    <r>
      <rPr>
        <vertAlign val="superscript"/>
        <sz val="10"/>
        <rFont val="Times New Roman"/>
        <family val="1"/>
      </rPr>
      <t>e</t>
    </r>
    <r>
      <rPr>
        <sz val="10"/>
        <rFont val="Times New Roman"/>
        <family val="1"/>
      </rPr>
      <t xml:space="preserve">  Based on interview responses, EPA assumes that 5% of states will use outside contractors to initially set up their processes to accommodate the data exchange. This initial set-up will begin in year 1 for states choosing Options 2 and 3 and year 2 for states choosing Option 1. EPA also assumes that subcontractor labor for the initial set-up will be an additional 20% of state agency hours. </t>
    </r>
  </si>
  <si>
    <t>We assume the initial and semiannual hours for EPA to administer this program average to one third full time equivalent (52 weeks x 40 hr/week x 0.33 = 686 hours total) over the three-year period of this ICR.</t>
  </si>
  <si>
    <t>Responses Year 1</t>
  </si>
  <si>
    <t>Responses Year 2</t>
  </si>
  <si>
    <t>Responses Year 3</t>
  </si>
  <si>
    <t>Burden Item</t>
  </si>
  <si>
    <t xml:space="preserve">i  Total+A3:J53s have been rounded to 3 significant figures. Figures may not add exactly due to rounding. </t>
  </si>
  <si>
    <t>hr/response/yr</t>
  </si>
  <si>
    <t>Reporting Total</t>
  </si>
  <si>
    <t>Option 1 - Reporting</t>
  </si>
  <si>
    <t>Option 2 - Reporting</t>
  </si>
  <si>
    <t>Option 3 - Reporting</t>
  </si>
  <si>
    <t>Option 4 - Reporting</t>
  </si>
  <si>
    <t>Recordkeeping Total</t>
  </si>
  <si>
    <t>$ Average
(rounded)</t>
  </si>
  <si>
    <t>Average
(rounded)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</si>
</sst>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0.0"/>
    <numFmt numFmtId="166" formatCode="&quot;$&quot;#,##0"/>
    <numFmt numFmtId="167" formatCode="0.0"/>
  </numFmts>
  <fonts count="30" x14ac:knownFonts="1">
    <font>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vertAlign val="superscript"/>
      <sz val="10"/>
      <color theme="1"/>
      <name val="Calibri"/>
      <family val="2"/>
      <scheme val="minor"/>
    </font>
    <font>
      <b/>
      <sz val="12"/>
      <color theme="1"/>
      <name val="Calibri"/>
      <family val="2"/>
      <scheme val="minor"/>
    </font>
    <font>
      <sz val="11"/>
      <color theme="1"/>
      <name val="Calibri"/>
      <family val="2"/>
      <scheme val="minor"/>
    </font>
    <font>
      <sz val="10"/>
      <color rgb="FFFF0000"/>
      <name val="Calibri"/>
      <family val="2"/>
      <scheme val="minor"/>
    </font>
    <font>
      <sz val="11"/>
      <color rgb="FFFF0000"/>
      <name val="Calibri"/>
      <family val="2"/>
      <scheme val="minor"/>
    </font>
    <font>
      <b/>
      <sz val="12"/>
      <name val="Times New Roman"/>
      <family val="1"/>
    </font>
    <font>
      <sz val="10"/>
      <name val="Times New Roman"/>
      <family val="1"/>
    </font>
    <font>
      <sz val="10"/>
      <color rgb="FFFF0000"/>
      <name val="Times New Roman"/>
      <family val="1"/>
    </font>
    <font>
      <b/>
      <sz val="10"/>
      <name val="Times New Roman"/>
      <family val="1"/>
    </font>
    <font>
      <b/>
      <vertAlign val="superscript"/>
      <sz val="10"/>
      <name val="Times New Roman"/>
      <family val="1"/>
    </font>
    <font>
      <vertAlign val="superscript"/>
      <sz val="10"/>
      <name val="Times New Roman"/>
      <family val="1"/>
    </font>
    <font>
      <b/>
      <i/>
      <sz val="10"/>
      <color rgb="FF000000"/>
      <name val="Times New Roman"/>
      <family val="1"/>
    </font>
    <font>
      <b/>
      <i/>
      <sz val="10"/>
      <name val="Times New Roman"/>
      <family val="1"/>
    </font>
    <font>
      <sz val="10"/>
      <color rgb="FF000000"/>
      <name val="Times New Roman"/>
      <family val="1"/>
    </font>
    <font>
      <sz val="11"/>
      <name val="Times New Roman"/>
      <family val="1"/>
    </font>
    <font>
      <sz val="11"/>
      <color rgb="FF000000"/>
      <name val="Times New Roman"/>
      <family val="1"/>
    </font>
    <font>
      <b/>
      <sz val="11"/>
      <color theme="1"/>
      <name val="Calibri"/>
      <family val="2"/>
      <scheme val="minor"/>
    </font>
    <font>
      <sz val="11"/>
      <color rgb="FF7030A0"/>
      <name val="Calibri"/>
      <family val="2"/>
      <scheme val="minor"/>
    </font>
    <font>
      <sz val="10"/>
      <color rgb="FF7030A0"/>
      <name val="Calibri"/>
      <family val="2"/>
      <scheme val="minor"/>
    </font>
    <font>
      <sz val="10"/>
      <color rgb="FF7030A0"/>
      <name val="Times New Roman"/>
      <family val="1"/>
    </font>
    <font>
      <sz val="8"/>
      <name val="Calibri"/>
      <family val="2"/>
      <scheme val="minor"/>
    </font>
    <font>
      <b/>
      <sz val="10"/>
      <color theme="1"/>
      <name val="Times New Roman"/>
      <family val="1"/>
    </font>
    <font>
      <sz val="10"/>
      <color theme="1"/>
      <name val="Times New Roman"/>
      <family val="1"/>
    </font>
    <font>
      <sz val="11"/>
      <name val="Calibri"/>
      <family val="2"/>
      <scheme val="minor"/>
    </font>
    <font>
      <vertAlign val="superscript"/>
      <sz val="10"/>
      <color rgb="FFFF0000"/>
      <name val="Times New Roman"/>
      <family val="1"/>
    </font>
    <font>
      <i/>
      <sz val="10"/>
      <color theme="1"/>
      <name val="Times New Roman"/>
      <family val="1"/>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s>
  <cellStyleXfs count="3">
    <xf numFmtId="0" fontId="0" fillId="0" borderId="0"/>
    <xf numFmtId="9" fontId="6" fillId="0" borderId="0" applyFont="0" applyFill="0" applyBorder="0" applyAlignment="0" applyProtection="0"/>
    <xf numFmtId="44" fontId="6" fillId="0" borderId="0" applyFont="0" applyFill="0" applyBorder="0" applyAlignment="0" applyProtection="0"/>
  </cellStyleXfs>
  <cellXfs count="144">
    <xf numFmtId="0" fontId="0" fillId="0" borderId="0" xfId="0"/>
    <xf numFmtId="0" fontId="1" fillId="0" borderId="0" xfId="0" applyFont="1" applyAlignment="1">
      <alignment horizontal="left" vertical="top" wrapText="1"/>
    </xf>
    <xf numFmtId="0" fontId="2" fillId="0" borderId="0" xfId="0" applyFont="1" applyAlignment="1">
      <alignment horizontal="left" vertical="top" wrapText="1"/>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2"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5" fillId="0" borderId="0" xfId="0" applyFont="1" applyAlignment="1">
      <alignment horizontal="left" vertical="top" wrapText="1"/>
    </xf>
    <xf numFmtId="0" fontId="3" fillId="3" borderId="1" xfId="0" applyFont="1" applyFill="1" applyBorder="1" applyAlignment="1">
      <alignment horizontal="left" vertical="top" wrapText="1"/>
    </xf>
    <xf numFmtId="0" fontId="2" fillId="3" borderId="0" xfId="0" applyFont="1" applyFill="1" applyAlignment="1">
      <alignment horizontal="left" vertical="top" wrapText="1"/>
    </xf>
    <xf numFmtId="9" fontId="0" fillId="0" borderId="0" xfId="1" applyFont="1"/>
    <xf numFmtId="0" fontId="8" fillId="0" borderId="0" xfId="0" applyFont="1"/>
    <xf numFmtId="0" fontId="10" fillId="0" borderId="0" xfId="0" applyFont="1"/>
    <xf numFmtId="0" fontId="10" fillId="0" borderId="0" xfId="0" applyFont="1" applyAlignment="1">
      <alignment horizontal="right" vertical="top"/>
    </xf>
    <xf numFmtId="164" fontId="10" fillId="0" borderId="1" xfId="2" applyNumberFormat="1" applyFont="1" applyFill="1" applyBorder="1"/>
    <xf numFmtId="4" fontId="10" fillId="0" borderId="0" xfId="0" applyNumberFormat="1" applyFont="1"/>
    <xf numFmtId="0" fontId="11" fillId="0" borderId="0" xfId="0" applyFont="1"/>
    <xf numFmtId="0" fontId="12" fillId="0" borderId="1" xfId="0" applyFont="1" applyBorder="1" applyAlignment="1">
      <alignment horizontal="center"/>
    </xf>
    <xf numFmtId="4" fontId="12" fillId="0" borderId="1" xfId="0" applyNumberFormat="1" applyFont="1" applyBorder="1" applyAlignment="1">
      <alignment horizontal="center"/>
    </xf>
    <xf numFmtId="0" fontId="12" fillId="0" borderId="1" xfId="0" applyFont="1" applyBorder="1" applyAlignment="1">
      <alignment horizontal="center" vertical="center" wrapText="1"/>
    </xf>
    <xf numFmtId="4" fontId="12" fillId="0" borderId="1" xfId="0" applyNumberFormat="1" applyFont="1" applyBorder="1" applyAlignment="1">
      <alignment horizontal="center" vertical="center" wrapText="1"/>
    </xf>
    <xf numFmtId="0" fontId="10" fillId="0" borderId="0" xfId="0" applyFont="1" applyAlignment="1">
      <alignment wrapText="1"/>
    </xf>
    <xf numFmtId="0" fontId="10" fillId="0" borderId="1" xfId="0" applyFont="1" applyBorder="1" applyAlignment="1">
      <alignment vertical="top" wrapText="1"/>
    </xf>
    <xf numFmtId="1" fontId="10" fillId="0" borderId="1" xfId="0" applyNumberFormat="1" applyFont="1" applyBorder="1" applyAlignment="1">
      <alignment horizontal="center" vertical="top" wrapText="1"/>
    </xf>
    <xf numFmtId="3" fontId="10" fillId="0" borderId="1" xfId="0" applyNumberFormat="1" applyFont="1" applyBorder="1" applyAlignment="1">
      <alignment horizontal="center" vertical="top" wrapText="1"/>
    </xf>
    <xf numFmtId="165" fontId="10" fillId="0" borderId="1" xfId="0" applyNumberFormat="1" applyFont="1" applyBorder="1" applyAlignment="1">
      <alignment horizontal="center" vertical="top" wrapText="1"/>
    </xf>
    <xf numFmtId="166" fontId="10" fillId="0" borderId="1" xfId="2" applyNumberFormat="1" applyFont="1" applyFill="1" applyBorder="1" applyAlignment="1">
      <alignment horizontal="right" vertical="top" wrapText="1"/>
    </xf>
    <xf numFmtId="0" fontId="11" fillId="0" borderId="0" xfId="0" applyFont="1" applyAlignment="1">
      <alignment wrapText="1"/>
    </xf>
    <xf numFmtId="164" fontId="10" fillId="0" borderId="1" xfId="2" applyNumberFormat="1" applyFont="1" applyFill="1" applyBorder="1" applyAlignment="1">
      <alignment horizontal="right" vertical="top" wrapText="1"/>
    </xf>
    <xf numFmtId="0" fontId="10" fillId="0" borderId="1" xfId="0" applyFont="1" applyBorder="1" applyAlignment="1">
      <alignment horizontal="center" vertical="top" wrapText="1"/>
    </xf>
    <xf numFmtId="0" fontId="10" fillId="0" borderId="1" xfId="0" applyFont="1" applyBorder="1" applyAlignment="1">
      <alignment horizontal="left" vertical="top" wrapText="1" indent="1"/>
    </xf>
    <xf numFmtId="0" fontId="10" fillId="0" borderId="1" xfId="0" applyFont="1" applyBorder="1"/>
    <xf numFmtId="0" fontId="15" fillId="0" borderId="1" xfId="0" applyFont="1" applyBorder="1"/>
    <xf numFmtId="0" fontId="16" fillId="0" borderId="1" xfId="0" applyFont="1" applyBorder="1" applyAlignment="1">
      <alignment horizontal="center" vertical="top" wrapText="1"/>
    </xf>
    <xf numFmtId="3" fontId="16" fillId="0" borderId="1" xfId="0" applyNumberFormat="1" applyFont="1" applyBorder="1" applyAlignment="1">
      <alignment horizontal="center" vertical="top" wrapText="1"/>
    </xf>
    <xf numFmtId="166" fontId="16" fillId="0" borderId="1" xfId="2" applyNumberFormat="1" applyFont="1" applyFill="1" applyBorder="1" applyAlignment="1">
      <alignment horizontal="right" vertical="top" wrapText="1"/>
    </xf>
    <xf numFmtId="0" fontId="12" fillId="0" borderId="1" xfId="0" applyFont="1" applyBorder="1" applyAlignment="1">
      <alignment vertical="top" wrapText="1"/>
    </xf>
    <xf numFmtId="0" fontId="12" fillId="0" borderId="1" xfId="0" applyFont="1" applyBorder="1" applyAlignment="1">
      <alignment horizontal="center" vertical="top" wrapText="1"/>
    </xf>
    <xf numFmtId="166" fontId="12" fillId="0" borderId="1" xfId="2" applyNumberFormat="1" applyFont="1" applyFill="1" applyBorder="1" applyAlignment="1">
      <alignment horizontal="right" vertical="top" wrapText="1"/>
    </xf>
    <xf numFmtId="3" fontId="12" fillId="0" borderId="1" xfId="0" applyNumberFormat="1" applyFont="1" applyBorder="1" applyAlignment="1">
      <alignment horizontal="center" vertical="top" wrapText="1"/>
    </xf>
    <xf numFmtId="0" fontId="10" fillId="0" borderId="0" xfId="0" quotePrefix="1" applyFont="1"/>
    <xf numFmtId="0" fontId="10" fillId="0" borderId="0" xfId="0" applyFont="1" applyAlignment="1">
      <alignment horizontal="left" vertical="top" wrapText="1"/>
    </xf>
    <xf numFmtId="0" fontId="12" fillId="0" borderId="0" xfId="0" applyFont="1" applyAlignment="1">
      <alignment vertical="top" wrapText="1"/>
    </xf>
    <xf numFmtId="3" fontId="12" fillId="0" borderId="0" xfId="0" applyNumberFormat="1" applyFont="1" applyAlignment="1">
      <alignment horizontal="center" vertical="top" wrapText="1"/>
    </xf>
    <xf numFmtId="3" fontId="12" fillId="0" borderId="0" xfId="0" applyNumberFormat="1" applyFont="1" applyAlignment="1">
      <alignment horizontal="right" vertical="top" wrapText="1"/>
    </xf>
    <xf numFmtId="0" fontId="12" fillId="0" borderId="0" xfId="0" applyFont="1"/>
    <xf numFmtId="0" fontId="17" fillId="0" borderId="0" xfId="0" applyFont="1"/>
    <xf numFmtId="0" fontId="18" fillId="0" borderId="0" xfId="0" applyFont="1"/>
    <xf numFmtId="0" fontId="19" fillId="0" borderId="0" xfId="0" applyFont="1"/>
    <xf numFmtId="0" fontId="9" fillId="0" borderId="0" xfId="0" applyFont="1"/>
    <xf numFmtId="0" fontId="12" fillId="0" borderId="1" xfId="0" applyFont="1" applyBorder="1" applyAlignment="1">
      <alignment horizontal="center" vertical="center"/>
    </xf>
    <xf numFmtId="0" fontId="10" fillId="0" borderId="0" xfId="0" applyFont="1" applyAlignment="1">
      <alignment horizontal="center"/>
    </xf>
    <xf numFmtId="0" fontId="16" fillId="0" borderId="0" xfId="0" applyFont="1" applyAlignment="1">
      <alignment horizontal="left"/>
    </xf>
    <xf numFmtId="166" fontId="12" fillId="0" borderId="1" xfId="0" applyNumberFormat="1" applyFont="1" applyBorder="1" applyAlignment="1">
      <alignment horizontal="right" vertical="top" wrapText="1"/>
    </xf>
    <xf numFmtId="164" fontId="10" fillId="0" borderId="1" xfId="0" applyNumberFormat="1" applyFont="1" applyBorder="1" applyAlignment="1">
      <alignment wrapText="1"/>
    </xf>
    <xf numFmtId="3" fontId="16" fillId="0" borderId="4" xfId="0" applyNumberFormat="1" applyFont="1" applyBorder="1" applyAlignment="1">
      <alignment horizontal="center" vertical="top" wrapText="1"/>
    </xf>
    <xf numFmtId="0" fontId="20" fillId="0" borderId="0" xfId="0" applyFont="1"/>
    <xf numFmtId="0" fontId="20" fillId="0" borderId="1" xfId="0" applyFont="1" applyBorder="1"/>
    <xf numFmtId="0" fontId="0" fillId="0" borderId="1" xfId="0" applyBorder="1"/>
    <xf numFmtId="0" fontId="0" fillId="0" borderId="1" xfId="0" applyBorder="1" applyAlignment="1">
      <alignment horizontal="center"/>
    </xf>
    <xf numFmtId="0" fontId="2" fillId="0" borderId="1" xfId="0" quotePrefix="1" applyFont="1" applyBorder="1" applyAlignment="1">
      <alignment horizontal="left" vertical="top" wrapText="1"/>
    </xf>
    <xf numFmtId="0" fontId="2" fillId="0" borderId="1" xfId="0" applyFont="1" applyBorder="1" applyAlignment="1">
      <alignment horizontal="center" vertical="top" wrapText="1"/>
    </xf>
    <xf numFmtId="1" fontId="0" fillId="0" borderId="1" xfId="0" applyNumberFormat="1" applyBorder="1" applyAlignment="1">
      <alignment horizontal="center"/>
    </xf>
    <xf numFmtId="0" fontId="20" fillId="0" borderId="1" xfId="0" applyFont="1" applyBorder="1" applyAlignment="1">
      <alignment horizontal="center"/>
    </xf>
    <xf numFmtId="0" fontId="10" fillId="0" borderId="1" xfId="0" applyFont="1" applyBorder="1" applyAlignment="1">
      <alignment horizontal="left" vertical="top" wrapText="1" indent="2"/>
    </xf>
    <xf numFmtId="0" fontId="11" fillId="0" borderId="0" xfId="0" quotePrefix="1" applyFont="1"/>
    <xf numFmtId="9" fontId="21" fillId="0" borderId="0" xfId="1" applyFont="1"/>
    <xf numFmtId="0" fontId="23" fillId="0" borderId="0" xfId="0" applyFont="1"/>
    <xf numFmtId="164" fontId="10" fillId="0" borderId="0" xfId="2" applyNumberFormat="1" applyFont="1" applyFill="1" applyBorder="1"/>
    <xf numFmtId="164" fontId="10" fillId="0" borderId="1" xfId="2" applyNumberFormat="1" applyFont="1" applyFill="1" applyBorder="1" applyAlignment="1">
      <alignment horizontal="left" wrapText="1" indent="1"/>
    </xf>
    <xf numFmtId="0" fontId="10" fillId="0" borderId="1" xfId="0" applyFont="1" applyBorder="1" applyAlignment="1">
      <alignment horizontal="left" wrapText="1" indent="1"/>
    </xf>
    <xf numFmtId="0" fontId="12" fillId="0" borderId="1" xfId="0" applyFont="1" applyBorder="1" applyAlignment="1">
      <alignment vertical="center" wrapText="1"/>
    </xf>
    <xf numFmtId="0" fontId="20" fillId="0" borderId="1" xfId="0" applyFont="1" applyBorder="1" applyAlignment="1">
      <alignment wrapText="1"/>
    </xf>
    <xf numFmtId="0" fontId="20" fillId="0" borderId="1" xfId="0" applyFont="1" applyBorder="1" applyAlignment="1">
      <alignment horizontal="center" vertical="center" wrapText="1"/>
    </xf>
    <xf numFmtId="3" fontId="10" fillId="0" borderId="1" xfId="0" applyNumberFormat="1" applyFont="1" applyBorder="1" applyAlignment="1">
      <alignment horizontal="center" vertical="center" wrapText="1"/>
    </xf>
    <xf numFmtId="0" fontId="10" fillId="0" borderId="0" xfId="0" applyFont="1" applyAlignment="1">
      <alignment horizontal="center" vertical="center"/>
    </xf>
    <xf numFmtId="0" fontId="20" fillId="0" borderId="1" xfId="0" applyFont="1" applyBorder="1" applyAlignment="1">
      <alignment horizontal="center" wrapText="1"/>
    </xf>
    <xf numFmtId="0" fontId="10" fillId="0" borderId="0" xfId="0" applyFont="1" applyAlignment="1">
      <alignment vertical="center" wrapText="1"/>
    </xf>
    <xf numFmtId="1"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66" fontId="10" fillId="0" borderId="1" xfId="2" applyNumberFormat="1" applyFont="1" applyFill="1" applyBorder="1" applyAlignment="1">
      <alignment horizontal="right" vertical="center" wrapText="1"/>
    </xf>
    <xf numFmtId="0" fontId="25" fillId="0" borderId="0" xfId="0" applyFont="1"/>
    <xf numFmtId="0" fontId="26" fillId="0" borderId="0" xfId="0" applyFont="1"/>
    <xf numFmtId="0" fontId="26" fillId="0" borderId="1" xfId="0" applyFont="1" applyBorder="1"/>
    <xf numFmtId="166" fontId="26" fillId="0" borderId="1" xfId="0" applyNumberFormat="1" applyFont="1" applyBorder="1"/>
    <xf numFmtId="166" fontId="26" fillId="0" borderId="0" xfId="0" applyNumberFormat="1" applyFont="1"/>
    <xf numFmtId="0" fontId="22" fillId="0" borderId="7" xfId="0" applyFont="1" applyBorder="1" applyAlignment="1">
      <alignment horizontal="left" vertical="top" wrapText="1"/>
    </xf>
    <xf numFmtId="1" fontId="0" fillId="0" borderId="0" xfId="0" applyNumberFormat="1"/>
    <xf numFmtId="3" fontId="26" fillId="0" borderId="1" xfId="0" applyNumberFormat="1" applyFont="1" applyBorder="1"/>
    <xf numFmtId="167" fontId="26" fillId="0" borderId="0" xfId="0" applyNumberFormat="1" applyFont="1"/>
    <xf numFmtId="0" fontId="27" fillId="0" borderId="0" xfId="0" applyFont="1"/>
    <xf numFmtId="0" fontId="8" fillId="0" borderId="0" xfId="0" applyFont="1" applyAlignment="1">
      <alignment wrapText="1"/>
    </xf>
    <xf numFmtId="167" fontId="10"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3" fontId="16" fillId="0" borderId="1" xfId="0" applyNumberFormat="1" applyFont="1" applyBorder="1" applyAlignment="1">
      <alignment horizontal="center" vertical="center" wrapText="1"/>
    </xf>
    <xf numFmtId="3" fontId="16" fillId="0" borderId="4" xfId="0" applyNumberFormat="1" applyFont="1" applyBorder="1" applyAlignment="1">
      <alignment horizontal="center" vertical="center" wrapText="1"/>
    </xf>
    <xf numFmtId="0" fontId="10" fillId="0" borderId="4" xfId="0" applyFont="1" applyBorder="1" applyAlignment="1">
      <alignment horizontal="center" vertical="center" wrapText="1"/>
    </xf>
    <xf numFmtId="3" fontId="12" fillId="0" borderId="1" xfId="0" applyNumberFormat="1" applyFont="1" applyBorder="1" applyAlignment="1">
      <alignment horizontal="center" vertical="center" wrapText="1"/>
    </xf>
    <xf numFmtId="2" fontId="26" fillId="0" borderId="0" xfId="0" applyNumberFormat="1" applyFont="1"/>
    <xf numFmtId="1" fontId="26" fillId="0" borderId="0" xfId="0" applyNumberFormat="1" applyFont="1"/>
    <xf numFmtId="0" fontId="0" fillId="0" borderId="9" xfId="0" applyBorder="1"/>
    <xf numFmtId="3" fontId="10" fillId="0" borderId="0" xfId="0" applyNumberFormat="1" applyFont="1"/>
    <xf numFmtId="0" fontId="16" fillId="0" borderId="1" xfId="0" applyFont="1" applyBorder="1"/>
    <xf numFmtId="0" fontId="0" fillId="0" borderId="0" xfId="0" applyAlignment="1">
      <alignment wrapText="1"/>
    </xf>
    <xf numFmtId="0" fontId="27" fillId="0" borderId="1" xfId="0" applyFont="1" applyBorder="1" applyAlignment="1">
      <alignment horizontal="center"/>
    </xf>
    <xf numFmtId="1" fontId="27" fillId="0" borderId="1" xfId="0" applyNumberFormat="1" applyFont="1" applyBorder="1" applyAlignment="1">
      <alignment horizontal="center"/>
    </xf>
    <xf numFmtId="3" fontId="26" fillId="0" borderId="0" xfId="0" applyNumberFormat="1" applyFont="1"/>
    <xf numFmtId="0" fontId="7" fillId="0" borderId="1" xfId="0" applyFont="1" applyBorder="1" applyAlignment="1">
      <alignment horizontal="left" vertical="top" wrapText="1"/>
    </xf>
    <xf numFmtId="2" fontId="0" fillId="0" borderId="0" xfId="0" applyNumberFormat="1"/>
    <xf numFmtId="2" fontId="10"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27" fillId="0" borderId="1" xfId="0" applyFont="1" applyBorder="1" applyAlignment="1">
      <alignment horizontal="center" vertical="center" wrapText="1"/>
    </xf>
    <xf numFmtId="0" fontId="10" fillId="0" borderId="0" xfId="0" applyFont="1" applyAlignment="1">
      <alignment vertical="top" wrapText="1"/>
    </xf>
    <xf numFmtId="0" fontId="25" fillId="0" borderId="0" xfId="0" applyFont="1" applyAlignment="1">
      <alignment horizontal="center"/>
    </xf>
    <xf numFmtId="0" fontId="26" fillId="0" borderId="1" xfId="0" applyFont="1" applyBorder="1" applyAlignment="1">
      <alignment wrapText="1"/>
    </xf>
    <xf numFmtId="0" fontId="25" fillId="0" borderId="1" xfId="0" applyFont="1" applyBorder="1"/>
    <xf numFmtId="166" fontId="25" fillId="0" borderId="1" xfId="0" applyNumberFormat="1" applyFont="1" applyBorder="1"/>
    <xf numFmtId="3" fontId="25" fillId="0" borderId="1" xfId="0" applyNumberFormat="1" applyFont="1" applyBorder="1"/>
    <xf numFmtId="0" fontId="29" fillId="0" borderId="1" xfId="0" applyFont="1" applyBorder="1"/>
    <xf numFmtId="0" fontId="7" fillId="0" borderId="7" xfId="0" applyFont="1" applyBorder="1" applyAlignment="1">
      <alignment horizontal="left" vertical="top" wrapText="1"/>
    </xf>
    <xf numFmtId="0" fontId="7" fillId="0" borderId="0" xfId="0" applyFont="1" applyAlignment="1">
      <alignment horizontal="left" vertical="top" wrapText="1"/>
    </xf>
    <xf numFmtId="0" fontId="9" fillId="0" borderId="0" xfId="0" applyFont="1" applyAlignment="1">
      <alignment horizontal="left" vertical="top"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3" fontId="16" fillId="0" borderId="5" xfId="0" applyNumberFormat="1" applyFont="1" applyBorder="1" applyAlignment="1">
      <alignment horizontal="center" vertical="center" wrapText="1"/>
    </xf>
    <xf numFmtId="3" fontId="16" fillId="0" borderId="6" xfId="0" applyNumberFormat="1" applyFont="1" applyBorder="1" applyAlignment="1">
      <alignment horizontal="center" vertical="center" wrapText="1"/>
    </xf>
    <xf numFmtId="3" fontId="16" fillId="0" borderId="4" xfId="0" applyNumberFormat="1" applyFont="1" applyBorder="1" applyAlignment="1">
      <alignment horizontal="center" vertical="center" wrapText="1"/>
    </xf>
    <xf numFmtId="3" fontId="16" fillId="0" borderId="5" xfId="0" applyNumberFormat="1" applyFont="1" applyBorder="1" applyAlignment="1">
      <alignment horizontal="center" vertical="top" wrapText="1"/>
    </xf>
    <xf numFmtId="3" fontId="16" fillId="0" borderId="6" xfId="0" applyNumberFormat="1" applyFont="1" applyBorder="1" applyAlignment="1">
      <alignment horizontal="center" vertical="top" wrapText="1"/>
    </xf>
    <xf numFmtId="3" fontId="16" fillId="0" borderId="4" xfId="0" applyNumberFormat="1" applyFont="1" applyBorder="1" applyAlignment="1">
      <alignment horizontal="center" vertical="top" wrapText="1"/>
    </xf>
    <xf numFmtId="3" fontId="12" fillId="0" borderId="1" xfId="0" applyNumberFormat="1" applyFont="1" applyBorder="1" applyAlignment="1">
      <alignment horizontal="center" vertical="top" wrapText="1"/>
    </xf>
    <xf numFmtId="0" fontId="10" fillId="0" borderId="0" xfId="0" applyFont="1" applyAlignment="1">
      <alignment horizontal="left" vertical="top"/>
    </xf>
    <xf numFmtId="0" fontId="10" fillId="0" borderId="1" xfId="0" applyFont="1" applyBorder="1" applyAlignment="1">
      <alignment horizontal="center"/>
    </xf>
    <xf numFmtId="2" fontId="10" fillId="0" borderId="0" xfId="0" applyNumberFormat="1" applyFont="1" applyAlignment="1">
      <alignment horizontal="left" vertical="top" wrapText="1"/>
    </xf>
    <xf numFmtId="0" fontId="10" fillId="0" borderId="0" xfId="0" applyFont="1" applyAlignment="1">
      <alignment horizontal="left" vertical="center" wrapText="1"/>
    </xf>
    <xf numFmtId="0" fontId="10" fillId="0" borderId="0" xfId="0" applyFont="1" applyAlignment="1">
      <alignment horizontal="left" vertical="top" wrapText="1"/>
    </xf>
    <xf numFmtId="3"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25" fillId="0" borderId="8" xfId="0" applyFont="1" applyBorder="1" applyAlignment="1">
      <alignment horizontal="center"/>
    </xf>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BBB58-7328-4ADC-BCA4-E51578376CEC}">
  <dimension ref="A1:J24"/>
  <sheetViews>
    <sheetView topLeftCell="E1" zoomScale="115" zoomScaleNormal="115" workbookViewId="0">
      <pane ySplit="2" topLeftCell="A15" activePane="bottomLeft" state="frozen"/>
      <selection pane="bottomLeft" activeCell="J19" sqref="J19"/>
    </sheetView>
  </sheetViews>
  <sheetFormatPr defaultRowHeight="12.75" x14ac:dyDescent="0.25"/>
  <cols>
    <col min="1" max="1" width="39.7109375" style="2" customWidth="1"/>
    <col min="2" max="2" width="24.7109375" style="2" customWidth="1"/>
    <col min="3" max="7" width="25.28515625" style="2" customWidth="1"/>
    <col min="8" max="8" width="27.85546875" style="2" customWidth="1"/>
    <col min="9" max="9" width="27" style="2" customWidth="1"/>
    <col min="10" max="10" width="37.42578125" style="2" customWidth="1"/>
    <col min="11" max="16384" width="9.140625" style="2"/>
  </cols>
  <sheetData>
    <row r="1" spans="1:10" ht="15.75" x14ac:dyDescent="0.25">
      <c r="A1" s="8" t="s">
        <v>0</v>
      </c>
    </row>
    <row r="2" spans="1:10" x14ac:dyDescent="0.25">
      <c r="B2" s="1" t="s">
        <v>2</v>
      </c>
      <c r="C2" s="1" t="s">
        <v>3</v>
      </c>
      <c r="D2" s="1" t="s">
        <v>20</v>
      </c>
      <c r="E2" s="1" t="s">
        <v>25</v>
      </c>
      <c r="F2" s="1" t="s">
        <v>26</v>
      </c>
      <c r="G2" s="1" t="s">
        <v>27</v>
      </c>
      <c r="H2" s="1" t="s">
        <v>28</v>
      </c>
      <c r="I2" s="1" t="s">
        <v>29</v>
      </c>
      <c r="J2" s="1" t="s">
        <v>30</v>
      </c>
    </row>
    <row r="3" spans="1:10" x14ac:dyDescent="0.25">
      <c r="A3" s="3" t="s">
        <v>1</v>
      </c>
      <c r="B3" s="4"/>
      <c r="C3" s="4"/>
      <c r="D3" s="4"/>
      <c r="E3" s="4"/>
      <c r="F3" s="4"/>
      <c r="G3" s="4"/>
      <c r="H3" s="4"/>
      <c r="I3" s="4"/>
      <c r="J3" s="4"/>
    </row>
    <row r="4" spans="1:10" ht="51" x14ac:dyDescent="0.25">
      <c r="A4" s="4" t="s">
        <v>4</v>
      </c>
      <c r="B4" s="4" t="s">
        <v>145</v>
      </c>
      <c r="C4" s="4" t="s">
        <v>46</v>
      </c>
      <c r="D4" s="4" t="s">
        <v>57</v>
      </c>
      <c r="E4" s="4" t="s">
        <v>68</v>
      </c>
      <c r="F4" s="5" t="s">
        <v>81</v>
      </c>
      <c r="G4" s="4" t="s">
        <v>94</v>
      </c>
      <c r="H4" s="4" t="s">
        <v>103</v>
      </c>
      <c r="I4" s="4" t="s">
        <v>117</v>
      </c>
      <c r="J4" s="4" t="s">
        <v>169</v>
      </c>
    </row>
    <row r="5" spans="1:10" ht="69" customHeight="1" x14ac:dyDescent="0.25">
      <c r="A5" s="4" t="s">
        <v>5</v>
      </c>
      <c r="B5" s="4" t="s">
        <v>33</v>
      </c>
      <c r="C5" s="4" t="s">
        <v>48</v>
      </c>
      <c r="D5" s="4" t="s">
        <v>61</v>
      </c>
      <c r="E5" s="4" t="s">
        <v>71</v>
      </c>
      <c r="F5" s="4"/>
      <c r="G5" s="4" t="s">
        <v>158</v>
      </c>
      <c r="H5" s="4" t="s">
        <v>108</v>
      </c>
      <c r="I5" s="4" t="s">
        <v>119</v>
      </c>
      <c r="J5" s="4" t="s">
        <v>132</v>
      </c>
    </row>
    <row r="6" spans="1:10" ht="93.75" customHeight="1" x14ac:dyDescent="0.25">
      <c r="A6" s="4" t="s">
        <v>6</v>
      </c>
      <c r="B6" s="4" t="s">
        <v>31</v>
      </c>
      <c r="C6" s="5" t="s">
        <v>47</v>
      </c>
      <c r="D6" s="4" t="s">
        <v>146</v>
      </c>
      <c r="E6" s="4" t="s">
        <v>152</v>
      </c>
      <c r="F6" s="4" t="s">
        <v>82</v>
      </c>
      <c r="G6" s="5" t="s">
        <v>159</v>
      </c>
      <c r="H6" s="5" t="s">
        <v>162</v>
      </c>
      <c r="I6" s="4" t="s">
        <v>118</v>
      </c>
      <c r="J6" s="4" t="s">
        <v>131</v>
      </c>
    </row>
    <row r="7" spans="1:10" ht="78.75" customHeight="1" x14ac:dyDescent="0.25">
      <c r="A7" s="4" t="s">
        <v>7</v>
      </c>
      <c r="B7" s="5" t="s">
        <v>32</v>
      </c>
      <c r="C7" s="5" t="s">
        <v>49</v>
      </c>
      <c r="D7" s="4" t="s">
        <v>58</v>
      </c>
      <c r="E7" s="4" t="s">
        <v>58</v>
      </c>
      <c r="F7" s="4" t="s">
        <v>83</v>
      </c>
      <c r="G7" s="5" t="s">
        <v>96</v>
      </c>
      <c r="H7" s="4" t="s">
        <v>104</v>
      </c>
      <c r="I7" s="4" t="s">
        <v>121</v>
      </c>
      <c r="J7" s="4" t="s">
        <v>133</v>
      </c>
    </row>
    <row r="8" spans="1:10" ht="65.25" customHeight="1" x14ac:dyDescent="0.25">
      <c r="A8" s="4" t="s">
        <v>8</v>
      </c>
      <c r="B8" s="5" t="s">
        <v>34</v>
      </c>
      <c r="C8" s="5" t="s">
        <v>50</v>
      </c>
      <c r="D8" s="5" t="s">
        <v>60</v>
      </c>
      <c r="E8" s="4" t="s">
        <v>72</v>
      </c>
      <c r="F8" s="5" t="s">
        <v>84</v>
      </c>
      <c r="G8" s="5" t="s">
        <v>95</v>
      </c>
      <c r="H8" s="4" t="s">
        <v>105</v>
      </c>
      <c r="I8" s="4" t="s">
        <v>122</v>
      </c>
      <c r="J8" s="4" t="s">
        <v>134</v>
      </c>
    </row>
    <row r="9" spans="1:10" ht="69" customHeight="1" x14ac:dyDescent="0.25">
      <c r="A9" s="4" t="s">
        <v>9</v>
      </c>
      <c r="B9" s="4" t="s">
        <v>35</v>
      </c>
      <c r="C9" s="4" t="s">
        <v>51</v>
      </c>
      <c r="D9" s="4" t="s">
        <v>147</v>
      </c>
      <c r="E9" s="4" t="s">
        <v>73</v>
      </c>
      <c r="F9" s="4" t="s">
        <v>85</v>
      </c>
      <c r="G9" s="5" t="s">
        <v>97</v>
      </c>
      <c r="H9" s="4" t="s">
        <v>106</v>
      </c>
      <c r="I9" s="4" t="s">
        <v>167</v>
      </c>
      <c r="J9" s="4" t="s">
        <v>135</v>
      </c>
    </row>
    <row r="10" spans="1:10" ht="38.25" x14ac:dyDescent="0.25">
      <c r="A10" s="4" t="s">
        <v>10</v>
      </c>
      <c r="B10" s="4" t="s">
        <v>42</v>
      </c>
      <c r="C10" s="4" t="s">
        <v>52</v>
      </c>
      <c r="D10" s="4" t="s">
        <v>148</v>
      </c>
      <c r="E10" s="4" t="s">
        <v>153</v>
      </c>
      <c r="F10" s="4" t="s">
        <v>86</v>
      </c>
      <c r="G10" s="4"/>
      <c r="H10" s="4" t="s">
        <v>109</v>
      </c>
      <c r="I10" s="4" t="s">
        <v>123</v>
      </c>
      <c r="J10" s="4"/>
    </row>
    <row r="11" spans="1:10" ht="67.5" customHeight="1" x14ac:dyDescent="0.25">
      <c r="A11" s="4" t="s">
        <v>11</v>
      </c>
      <c r="B11" s="4" t="s">
        <v>142</v>
      </c>
      <c r="C11" s="4" t="s">
        <v>52</v>
      </c>
      <c r="D11" s="4" t="s">
        <v>148</v>
      </c>
      <c r="E11" s="4" t="s">
        <v>75</v>
      </c>
      <c r="F11" s="4" t="s">
        <v>87</v>
      </c>
      <c r="G11" s="4" t="s">
        <v>98</v>
      </c>
      <c r="H11" s="5" t="s">
        <v>107</v>
      </c>
      <c r="I11" s="5" t="s">
        <v>124</v>
      </c>
      <c r="J11" s="4" t="s">
        <v>136</v>
      </c>
    </row>
    <row r="12" spans="1:10" ht="63" customHeight="1" x14ac:dyDescent="0.25">
      <c r="A12" s="4" t="s">
        <v>12</v>
      </c>
      <c r="B12" s="4" t="s">
        <v>36</v>
      </c>
      <c r="C12" s="4" t="s">
        <v>53</v>
      </c>
      <c r="D12" s="4" t="s">
        <v>149</v>
      </c>
      <c r="E12" s="4" t="s">
        <v>74</v>
      </c>
      <c r="F12" s="5" t="s">
        <v>155</v>
      </c>
      <c r="G12" s="4" t="s">
        <v>99</v>
      </c>
      <c r="H12" s="5" t="s">
        <v>163</v>
      </c>
      <c r="I12" s="4" t="s">
        <v>62</v>
      </c>
      <c r="J12" s="4" t="s">
        <v>137</v>
      </c>
    </row>
    <row r="13" spans="1:10" ht="76.5" x14ac:dyDescent="0.25">
      <c r="A13" s="4" t="s">
        <v>13</v>
      </c>
      <c r="B13" s="4" t="s">
        <v>37</v>
      </c>
      <c r="C13" s="4" t="s">
        <v>53</v>
      </c>
      <c r="D13" s="4" t="s">
        <v>64</v>
      </c>
      <c r="E13" s="4" t="s">
        <v>76</v>
      </c>
      <c r="F13" s="4" t="s">
        <v>88</v>
      </c>
      <c r="G13" s="4" t="s">
        <v>100</v>
      </c>
      <c r="H13" s="4" t="s">
        <v>110</v>
      </c>
      <c r="I13" s="4" t="s">
        <v>125</v>
      </c>
      <c r="J13" s="5" t="s">
        <v>138</v>
      </c>
    </row>
    <row r="14" spans="1:10" x14ac:dyDescent="0.25">
      <c r="A14" s="4" t="s">
        <v>16</v>
      </c>
      <c r="B14" s="4" t="s">
        <v>41</v>
      </c>
      <c r="C14" s="4" t="s">
        <v>41</v>
      </c>
      <c r="D14" s="4" t="s">
        <v>150</v>
      </c>
      <c r="E14" s="4" t="s">
        <v>41</v>
      </c>
      <c r="F14" s="4" t="s">
        <v>150</v>
      </c>
      <c r="G14" s="4" t="s">
        <v>41</v>
      </c>
      <c r="H14" s="4" t="s">
        <v>41</v>
      </c>
      <c r="I14" s="4" t="s">
        <v>127</v>
      </c>
      <c r="J14" s="4"/>
    </row>
    <row r="15" spans="1:10" x14ac:dyDescent="0.25">
      <c r="A15" s="4" t="s">
        <v>15</v>
      </c>
      <c r="B15" s="4" t="s">
        <v>41</v>
      </c>
      <c r="C15" s="4" t="s">
        <v>41</v>
      </c>
      <c r="D15" s="4" t="s">
        <v>151</v>
      </c>
      <c r="E15" s="4" t="s">
        <v>41</v>
      </c>
      <c r="F15" s="4" t="s">
        <v>151</v>
      </c>
      <c r="G15" s="4" t="s">
        <v>41</v>
      </c>
      <c r="H15" s="4" t="s">
        <v>41</v>
      </c>
      <c r="I15" s="4" t="s">
        <v>127</v>
      </c>
      <c r="J15" s="4"/>
    </row>
    <row r="16" spans="1:10" ht="33.75" customHeight="1" x14ac:dyDescent="0.25">
      <c r="A16" s="4" t="s">
        <v>14</v>
      </c>
      <c r="B16" s="4" t="s">
        <v>41</v>
      </c>
      <c r="C16" s="4" t="s">
        <v>41</v>
      </c>
      <c r="D16" s="4" t="s">
        <v>63</v>
      </c>
      <c r="E16" s="4" t="s">
        <v>41</v>
      </c>
      <c r="F16" s="4" t="s">
        <v>89</v>
      </c>
      <c r="G16" s="4" t="s">
        <v>41</v>
      </c>
      <c r="H16" s="4" t="s">
        <v>41</v>
      </c>
      <c r="I16" s="4" t="s">
        <v>126</v>
      </c>
      <c r="J16" s="4"/>
    </row>
    <row r="17" spans="1:10" ht="38.25" x14ac:dyDescent="0.25">
      <c r="A17" s="6" t="s">
        <v>17</v>
      </c>
      <c r="B17" s="4"/>
      <c r="C17" s="4"/>
      <c r="D17" s="4"/>
      <c r="E17" s="4"/>
      <c r="F17" s="4"/>
      <c r="G17" s="4"/>
      <c r="H17" s="4"/>
      <c r="I17" s="4"/>
      <c r="J17" s="4"/>
    </row>
    <row r="18" spans="1:10" ht="51" x14ac:dyDescent="0.25">
      <c r="A18" s="6" t="s">
        <v>22</v>
      </c>
      <c r="B18" s="4" t="s">
        <v>41</v>
      </c>
      <c r="C18" s="4" t="s">
        <v>41</v>
      </c>
      <c r="D18" s="4"/>
      <c r="E18" s="4" t="s">
        <v>70</v>
      </c>
      <c r="F18" s="4" t="s">
        <v>90</v>
      </c>
      <c r="G18" s="4"/>
      <c r="H18" s="4" t="s">
        <v>164</v>
      </c>
      <c r="I18" s="4" t="s">
        <v>115</v>
      </c>
      <c r="J18" s="109" t="s">
        <v>333</v>
      </c>
    </row>
    <row r="19" spans="1:10" ht="66" customHeight="1" x14ac:dyDescent="0.25">
      <c r="A19" s="6" t="s">
        <v>23</v>
      </c>
      <c r="B19" s="7" t="s">
        <v>143</v>
      </c>
      <c r="C19" s="4" t="s">
        <v>41</v>
      </c>
      <c r="D19" s="4"/>
      <c r="E19" s="7" t="s">
        <v>154</v>
      </c>
      <c r="F19" s="4"/>
      <c r="G19" s="4"/>
      <c r="H19" s="7" t="s">
        <v>165</v>
      </c>
      <c r="I19" s="9" t="s">
        <v>120</v>
      </c>
      <c r="J19" s="4" t="s">
        <v>140</v>
      </c>
    </row>
    <row r="20" spans="1:10" ht="81" customHeight="1" x14ac:dyDescent="0.25">
      <c r="A20" s="6" t="s">
        <v>24</v>
      </c>
      <c r="B20" s="4" t="s">
        <v>41</v>
      </c>
      <c r="C20" s="7" t="s">
        <v>45</v>
      </c>
      <c r="D20" s="7" t="s">
        <v>59</v>
      </c>
      <c r="E20" s="4"/>
      <c r="F20" s="10" t="s">
        <v>157</v>
      </c>
      <c r="G20" s="7" t="s">
        <v>160</v>
      </c>
      <c r="H20" s="4" t="s">
        <v>166</v>
      </c>
      <c r="I20" s="4" t="s">
        <v>114</v>
      </c>
      <c r="J20" s="7" t="s">
        <v>331</v>
      </c>
    </row>
    <row r="21" spans="1:10" ht="78.75" customHeight="1" x14ac:dyDescent="0.25">
      <c r="A21" s="4" t="s">
        <v>18</v>
      </c>
      <c r="B21" s="4" t="s">
        <v>39</v>
      </c>
      <c r="C21" s="4" t="s">
        <v>55</v>
      </c>
      <c r="D21" s="4" t="s">
        <v>65</v>
      </c>
      <c r="E21" s="5" t="s">
        <v>77</v>
      </c>
      <c r="F21" s="4" t="s">
        <v>156</v>
      </c>
      <c r="G21" s="5" t="s">
        <v>295</v>
      </c>
      <c r="H21" s="4" t="s">
        <v>113</v>
      </c>
      <c r="I21" s="4" t="s">
        <v>128</v>
      </c>
      <c r="J21" s="5" t="s">
        <v>170</v>
      </c>
    </row>
    <row r="22" spans="1:10" ht="90" customHeight="1" x14ac:dyDescent="0.25">
      <c r="A22" s="4" t="s">
        <v>141</v>
      </c>
      <c r="B22" s="4" t="s">
        <v>38</v>
      </c>
      <c r="C22" s="4" t="s">
        <v>54</v>
      </c>
      <c r="D22" s="5" t="s">
        <v>66</v>
      </c>
      <c r="E22" s="4" t="s">
        <v>78</v>
      </c>
      <c r="F22" s="4" t="s">
        <v>92</v>
      </c>
      <c r="G22" s="5" t="s">
        <v>101</v>
      </c>
      <c r="H22" s="4" t="s">
        <v>112</v>
      </c>
      <c r="I22" s="4" t="s">
        <v>129</v>
      </c>
      <c r="J22" s="5" t="s">
        <v>332</v>
      </c>
    </row>
    <row r="23" spans="1:10" ht="89.25" x14ac:dyDescent="0.25">
      <c r="A23" s="4" t="s">
        <v>19</v>
      </c>
      <c r="B23" s="4" t="s">
        <v>40</v>
      </c>
      <c r="C23" s="4" t="s">
        <v>144</v>
      </c>
      <c r="D23" s="4" t="s">
        <v>67</v>
      </c>
      <c r="E23" s="5" t="s">
        <v>79</v>
      </c>
      <c r="F23" s="5" t="s">
        <v>91</v>
      </c>
      <c r="G23" s="5" t="s">
        <v>161</v>
      </c>
      <c r="H23" s="5" t="s">
        <v>111</v>
      </c>
      <c r="I23" s="4" t="s">
        <v>168</v>
      </c>
      <c r="J23" s="4" t="s">
        <v>139</v>
      </c>
    </row>
    <row r="24" spans="1:10" ht="25.5" x14ac:dyDescent="0.25">
      <c r="A24" s="3" t="s">
        <v>21</v>
      </c>
      <c r="B24" s="4" t="s">
        <v>43</v>
      </c>
      <c r="C24" s="5" t="s">
        <v>44</v>
      </c>
      <c r="D24" s="4" t="s">
        <v>56</v>
      </c>
      <c r="E24" s="4" t="s">
        <v>69</v>
      </c>
      <c r="F24" s="4" t="s">
        <v>80</v>
      </c>
      <c r="G24" s="4" t="s">
        <v>93</v>
      </c>
      <c r="H24" s="4" t="s">
        <v>102</v>
      </c>
      <c r="I24" s="4" t="s">
        <v>116</v>
      </c>
      <c r="J24" s="4" t="s">
        <v>130</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B7DE2-374A-4FEF-A065-04DC17E85F64}">
  <dimension ref="A1:P21"/>
  <sheetViews>
    <sheetView tabSelected="1" zoomScale="140" zoomScaleNormal="140" workbookViewId="0">
      <selection activeCell="F11" sqref="F11:F12"/>
    </sheetView>
  </sheetViews>
  <sheetFormatPr defaultRowHeight="12.75" x14ac:dyDescent="0.2"/>
  <cols>
    <col min="1" max="1" width="20.28515625" style="83" customWidth="1"/>
    <col min="2" max="6" width="9.140625" style="83" customWidth="1"/>
    <col min="7" max="7" width="2.28515625" style="83" customWidth="1"/>
    <col min="8" max="12" width="9.140625" style="83" customWidth="1"/>
    <col min="13" max="13" width="9.140625" style="83"/>
    <col min="14" max="14" width="10.140625" style="83" customWidth="1"/>
    <col min="15" max="16384" width="9.140625" style="83"/>
  </cols>
  <sheetData>
    <row r="1" spans="1:16" x14ac:dyDescent="0.2">
      <c r="A1" s="82" t="s">
        <v>266</v>
      </c>
    </row>
    <row r="3" spans="1:16" x14ac:dyDescent="0.2">
      <c r="A3" s="82" t="s">
        <v>267</v>
      </c>
      <c r="B3" s="143" t="s">
        <v>284</v>
      </c>
      <c r="C3" s="143"/>
      <c r="D3" s="143"/>
      <c r="E3" s="143"/>
      <c r="F3" s="116"/>
      <c r="H3" s="143" t="s">
        <v>286</v>
      </c>
      <c r="I3" s="143"/>
      <c r="J3" s="143"/>
      <c r="K3" s="143"/>
      <c r="L3" s="116"/>
    </row>
    <row r="4" spans="1:16" ht="25.5" x14ac:dyDescent="0.2">
      <c r="A4" s="84"/>
      <c r="B4" s="84" t="s">
        <v>257</v>
      </c>
      <c r="C4" s="84" t="s">
        <v>259</v>
      </c>
      <c r="D4" s="84" t="s">
        <v>261</v>
      </c>
      <c r="E4" s="84" t="s">
        <v>285</v>
      </c>
      <c r="F4" s="117" t="s">
        <v>351</v>
      </c>
      <c r="H4" s="84" t="s">
        <v>257</v>
      </c>
      <c r="I4" s="84" t="s">
        <v>259</v>
      </c>
      <c r="J4" s="84" t="s">
        <v>261</v>
      </c>
      <c r="K4" s="84" t="s">
        <v>269</v>
      </c>
      <c r="L4" s="117" t="s">
        <v>352</v>
      </c>
    </row>
    <row r="5" spans="1:16" x14ac:dyDescent="0.2">
      <c r="A5" s="84" t="s">
        <v>346</v>
      </c>
      <c r="B5" s="85">
        <f>SUM('Respondent Yr1'!$J7:$J13)</f>
        <v>0</v>
      </c>
      <c r="C5" s="85">
        <f>SUM('Respondent Yr2'!J7:J13)</f>
        <v>84837.703200000018</v>
      </c>
      <c r="D5" s="85">
        <f>SUM('Respondent Yr3'!J7:J13)</f>
        <v>85527.16320000001</v>
      </c>
      <c r="E5" s="85">
        <f t="shared" ref="E5:E10" si="0">SUM(B5:D5)</f>
        <v>170364.86640000003</v>
      </c>
      <c r="F5" s="85">
        <f>ROUND(AVERAGE(B5:D5),-3)</f>
        <v>57000</v>
      </c>
      <c r="H5" s="89">
        <f>SUM('Respondent Yr1'!$F7:$I13)</f>
        <v>0</v>
      </c>
      <c r="I5" s="89">
        <f>SUM('Respondent Yr2'!$F7:$I13)</f>
        <v>1681.32</v>
      </c>
      <c r="J5" s="89">
        <f>SUM('Respondent Yr3'!$F7:$I13)</f>
        <v>1695.1199999999997</v>
      </c>
      <c r="K5" s="89">
        <f>SUM(H5:J5)</f>
        <v>3376.4399999999996</v>
      </c>
      <c r="L5" s="89">
        <f>ROUND(AVERAGE(H5:J5),-1)</f>
        <v>1130</v>
      </c>
      <c r="N5" s="100"/>
      <c r="P5" s="100"/>
    </row>
    <row r="6" spans="1:16" x14ac:dyDescent="0.2">
      <c r="A6" s="84" t="s">
        <v>347</v>
      </c>
      <c r="B6" s="85">
        <f>SUM('Respondent Yr1'!$J16:$J22)</f>
        <v>67292.100000000006</v>
      </c>
      <c r="C6" s="85">
        <f>SUM('Respondent Yr2'!J16:J22)</f>
        <v>5170.95</v>
      </c>
      <c r="D6" s="85">
        <f>SUM('Respondent Yr3'!J16:J22)</f>
        <v>4136.76</v>
      </c>
      <c r="E6" s="85">
        <f t="shared" si="0"/>
        <v>76599.81</v>
      </c>
      <c r="F6" s="85">
        <f t="shared" ref="F6:F11" si="1">ROUND(AVERAGE(B6:D6),-3)</f>
        <v>26000</v>
      </c>
      <c r="H6" s="89">
        <f>SUM('Respondent Yr1'!$F16:$I22)</f>
        <v>1333.8</v>
      </c>
      <c r="I6" s="89">
        <f>SUM('Respondent Yr2'!$F16:$I22)</f>
        <v>103.5</v>
      </c>
      <c r="J6" s="89">
        <f>SUM('Respondent Yr3'!$F16:$I22)</f>
        <v>82.800000000000011</v>
      </c>
      <c r="K6" s="89">
        <f t="shared" ref="K6:K10" si="2">SUM(H6:J6)</f>
        <v>1520.1</v>
      </c>
      <c r="L6" s="89">
        <f t="shared" ref="L6:L11" si="3">ROUND(AVERAGE(H6:J6),-1)</f>
        <v>510</v>
      </c>
      <c r="N6" s="100"/>
    </row>
    <row r="7" spans="1:16" x14ac:dyDescent="0.2">
      <c r="A7" s="84" t="s">
        <v>348</v>
      </c>
      <c r="B7" s="85">
        <f>SUM('Respondent Yr1'!$J25:$J32)</f>
        <v>223823.60880000002</v>
      </c>
      <c r="C7" s="85">
        <f>SUM('Respondent Yr2'!J25:J33)</f>
        <v>24016.19</v>
      </c>
      <c r="D7" s="85">
        <f>SUM('Respondent Yr3'!J25:J33)</f>
        <v>20224.159999999993</v>
      </c>
      <c r="E7" s="85">
        <f t="shared" si="0"/>
        <v>268063.95880000002</v>
      </c>
      <c r="F7" s="85">
        <f t="shared" si="1"/>
        <v>89000</v>
      </c>
      <c r="H7" s="89">
        <f>SUM('Respondent Yr1'!$F25:$I32)</f>
        <v>4433.880000000001</v>
      </c>
      <c r="I7" s="89">
        <f>SUM('Respondent Yr2'!$F25:$I33)</f>
        <v>480.69999999999993</v>
      </c>
      <c r="J7" s="89">
        <f>SUM('Respondent Yr3'!$F25:$I33)</f>
        <v>404.80000000000007</v>
      </c>
      <c r="K7" s="89">
        <f t="shared" si="2"/>
        <v>5319.380000000001</v>
      </c>
      <c r="L7" s="89">
        <f t="shared" si="3"/>
        <v>1770</v>
      </c>
      <c r="N7" s="100"/>
    </row>
    <row r="8" spans="1:16" x14ac:dyDescent="0.2">
      <c r="A8" s="84" t="s">
        <v>349</v>
      </c>
      <c r="B8" s="85">
        <f>SUM('Respondent Yr1'!$J34)</f>
        <v>0</v>
      </c>
      <c r="C8" s="85">
        <f>SUM('Respondent Yr2'!J34)</f>
        <v>0</v>
      </c>
      <c r="D8" s="85">
        <f>SUM('Respondent Yr3'!J34)</f>
        <v>0</v>
      </c>
      <c r="E8" s="85">
        <f t="shared" si="0"/>
        <v>0</v>
      </c>
      <c r="F8" s="85">
        <f t="shared" si="1"/>
        <v>0</v>
      </c>
      <c r="H8" s="89">
        <f>SUM('Respondent Yr1'!$F34:$I34)</f>
        <v>0</v>
      </c>
      <c r="I8" s="89">
        <f>SUM('Respondent Yr2'!$F34:$I34)</f>
        <v>0</v>
      </c>
      <c r="J8" s="89">
        <f>SUM('Respondent Yr3'!$F34:$I34)</f>
        <v>0</v>
      </c>
      <c r="K8" s="89">
        <f t="shared" ref="K8" si="4">SUM(H8:J8)</f>
        <v>0</v>
      </c>
      <c r="L8" s="89">
        <f t="shared" si="3"/>
        <v>0</v>
      </c>
      <c r="N8" s="100"/>
    </row>
    <row r="9" spans="1:16" x14ac:dyDescent="0.2">
      <c r="A9" s="121" t="s">
        <v>345</v>
      </c>
      <c r="B9" s="85">
        <f>SUM(B5:B8)</f>
        <v>291115.70880000002</v>
      </c>
      <c r="C9" s="85">
        <f t="shared" ref="C9:D9" si="5">SUM(C5:C8)</f>
        <v>114024.84320000002</v>
      </c>
      <c r="D9" s="85">
        <f t="shared" si="5"/>
        <v>109888.08319999999</v>
      </c>
      <c r="E9" s="85">
        <f t="shared" si="0"/>
        <v>515028.63520000002</v>
      </c>
      <c r="F9" s="85">
        <f t="shared" si="1"/>
        <v>172000</v>
      </c>
      <c r="H9" s="89">
        <f>SUM(H5:H8)</f>
        <v>5767.6800000000012</v>
      </c>
      <c r="I9" s="89">
        <f t="shared" ref="I9:J9" si="6">SUM(I5:I8)</f>
        <v>2265.52</v>
      </c>
      <c r="J9" s="89">
        <f t="shared" si="6"/>
        <v>2182.7199999999998</v>
      </c>
      <c r="K9" s="89">
        <f t="shared" si="2"/>
        <v>10215.92</v>
      </c>
      <c r="L9" s="89">
        <f t="shared" si="3"/>
        <v>3410</v>
      </c>
      <c r="N9" s="100"/>
    </row>
    <row r="10" spans="1:16" x14ac:dyDescent="0.2">
      <c r="A10" s="121" t="s">
        <v>350</v>
      </c>
      <c r="B10" s="85">
        <f>SUM('Respondent Yr1'!$J37:$J38)</f>
        <v>4596.3999999999996</v>
      </c>
      <c r="C10" s="85">
        <f>SUM('Respondent Yr2'!J37:J38)</f>
        <v>2298.1999999999998</v>
      </c>
      <c r="D10" s="85">
        <f>SUM('Respondent Yr3'!J37:J38)</f>
        <v>2298.1999999999998</v>
      </c>
      <c r="E10" s="85">
        <f t="shared" si="0"/>
        <v>9192.7999999999993</v>
      </c>
      <c r="F10" s="85">
        <f t="shared" si="1"/>
        <v>3000</v>
      </c>
      <c r="H10" s="89">
        <f>SUM('Respondent Yr1'!$F37:$I38)</f>
        <v>92</v>
      </c>
      <c r="I10" s="89">
        <f>SUM('Respondent Yr2'!$F37:$I38)</f>
        <v>46</v>
      </c>
      <c r="J10" s="89">
        <f>SUM('Respondent Yr3'!$F37:$I38)</f>
        <v>46</v>
      </c>
      <c r="K10" s="89">
        <f t="shared" si="2"/>
        <v>184</v>
      </c>
      <c r="L10" s="89">
        <f t="shared" si="3"/>
        <v>60</v>
      </c>
      <c r="N10" s="83" t="s">
        <v>287</v>
      </c>
      <c r="O10" s="83" t="s">
        <v>344</v>
      </c>
    </row>
    <row r="11" spans="1:16" x14ac:dyDescent="0.2">
      <c r="A11" s="118" t="s">
        <v>269</v>
      </c>
      <c r="B11" s="119">
        <f>SUM(B9:B10)</f>
        <v>295712.10880000005</v>
      </c>
      <c r="C11" s="119">
        <f t="shared" ref="C11:D11" si="7">SUM(C9:C10)</f>
        <v>116323.04320000001</v>
      </c>
      <c r="D11" s="119">
        <f t="shared" si="7"/>
        <v>112186.28319999999</v>
      </c>
      <c r="E11" s="119"/>
      <c r="F11" s="119">
        <f t="shared" si="1"/>
        <v>175000</v>
      </c>
      <c r="H11" s="120">
        <f>SUM(H9:H10)</f>
        <v>5859.6800000000012</v>
      </c>
      <c r="I11" s="120">
        <f t="shared" ref="I11:J11" si="8">SUM(I9:I10)</f>
        <v>2311.52</v>
      </c>
      <c r="J11" s="120">
        <f t="shared" si="8"/>
        <v>2228.7199999999998</v>
      </c>
      <c r="K11" s="120">
        <f>SUM(H11:J11)</f>
        <v>10399.92</v>
      </c>
      <c r="L11" s="120">
        <f t="shared" si="3"/>
        <v>3470</v>
      </c>
      <c r="N11" s="83">
        <f>('Respondent &amp; Agency Data'!B3-'Respondent &amp; Agency Data'!B7)*2</f>
        <v>80</v>
      </c>
      <c r="O11" s="90">
        <f>L11/N11</f>
        <v>43.375</v>
      </c>
    </row>
    <row r="12" spans="1:16" x14ac:dyDescent="0.2">
      <c r="N12" s="86">
        <f>F11/56</f>
        <v>3125</v>
      </c>
      <c r="O12" s="83" t="s">
        <v>294</v>
      </c>
    </row>
    <row r="13" spans="1:16" x14ac:dyDescent="0.2">
      <c r="A13" s="82" t="s">
        <v>268</v>
      </c>
      <c r="B13" s="143" t="s">
        <v>284</v>
      </c>
      <c r="C13" s="143"/>
      <c r="D13" s="143"/>
      <c r="E13" s="143"/>
      <c r="F13" s="116"/>
      <c r="H13" s="143" t="str">
        <f>H3</f>
        <v>HOURS</v>
      </c>
      <c r="I13" s="143"/>
      <c r="J13" s="143"/>
      <c r="K13" s="143"/>
      <c r="L13" s="116"/>
      <c r="N13" s="101">
        <f>L11/56</f>
        <v>61.964285714285715</v>
      </c>
      <c r="O13" s="83" t="s">
        <v>293</v>
      </c>
    </row>
    <row r="14" spans="1:16" ht="25.5" x14ac:dyDescent="0.2">
      <c r="A14" s="84"/>
      <c r="B14" s="84" t="s">
        <v>257</v>
      </c>
      <c r="C14" s="84" t="s">
        <v>259</v>
      </c>
      <c r="D14" s="84" t="s">
        <v>261</v>
      </c>
      <c r="E14" s="84" t="str">
        <f>E4</f>
        <v>$ Total</v>
      </c>
      <c r="F14" s="117" t="s">
        <v>351</v>
      </c>
      <c r="H14" s="84" t="s">
        <v>257</v>
      </c>
      <c r="I14" s="84" t="s">
        <v>259</v>
      </c>
      <c r="J14" s="84" t="s">
        <v>261</v>
      </c>
      <c r="K14" s="84" t="s">
        <v>269</v>
      </c>
      <c r="L14" s="117" t="s">
        <v>352</v>
      </c>
    </row>
    <row r="15" spans="1:16" x14ac:dyDescent="0.2">
      <c r="A15" s="84" t="s">
        <v>188</v>
      </c>
      <c r="B15" s="85">
        <f>SUM('Agency Yr1'!$I7:$I10)</f>
        <v>0</v>
      </c>
      <c r="C15" s="85">
        <f>SUM('Agency Yr2'!$I7:$I10)</f>
        <v>4688.3200000000006</v>
      </c>
      <c r="D15" s="85">
        <f>SUM('Agency Yr3'!$I7:$I10)</f>
        <v>7308.28</v>
      </c>
      <c r="E15" s="85">
        <f>SUM(B15:D15)</f>
        <v>11996.6</v>
      </c>
      <c r="F15" s="85">
        <f>ROUND(AVERAGE(B15:D15),-2)</f>
        <v>4000</v>
      </c>
      <c r="H15" s="89">
        <f>SUM('Agency Yr1'!$F7:$H10)</f>
        <v>0</v>
      </c>
      <c r="I15" s="89">
        <f>SUM('Agency Yr2'!$F7:$H10)</f>
        <v>93.84</v>
      </c>
      <c r="J15" s="89">
        <f>SUM('Agency Yr3'!$F7:$H10)</f>
        <v>146.28</v>
      </c>
      <c r="K15" s="89">
        <f t="shared" ref="K15:K18" si="9">SUM(H15:J15)</f>
        <v>240.12</v>
      </c>
      <c r="L15" s="89">
        <f>ROUND(AVERAGE(H15:J15),0)</f>
        <v>80</v>
      </c>
    </row>
    <row r="16" spans="1:16" x14ac:dyDescent="0.2">
      <c r="A16" s="84" t="s">
        <v>189</v>
      </c>
      <c r="B16" s="85">
        <f>SUM('Agency Yr1'!$I13:$I16)</f>
        <v>15099.18</v>
      </c>
      <c r="C16" s="85">
        <f>SUM('Agency Yr2'!$I13:$I16)</f>
        <v>6549.88</v>
      </c>
      <c r="D16" s="85">
        <f>SUM('Agency Yr3'!$I13:$I16)</f>
        <v>5239.8999999999996</v>
      </c>
      <c r="E16" s="85">
        <f>SUM(B16:D16)</f>
        <v>26888.959999999999</v>
      </c>
      <c r="F16" s="85">
        <f t="shared" ref="F16:F18" si="10">ROUND(AVERAGE(B16:D16),-2)</f>
        <v>9000</v>
      </c>
      <c r="H16" s="89">
        <f>SUM('Agency Yr1'!$F12:$H16)</f>
        <v>322.92</v>
      </c>
      <c r="I16" s="89">
        <f>SUM('Agency Yr2'!$F12:$H16)</f>
        <v>131.1</v>
      </c>
      <c r="J16" s="89">
        <f>SUM('Agency Yr3'!$F12:$H16)</f>
        <v>104.88000000000001</v>
      </c>
      <c r="K16" s="89">
        <f t="shared" si="9"/>
        <v>558.9</v>
      </c>
      <c r="L16" s="89">
        <f t="shared" ref="L16:L19" si="11">ROUND(AVERAGE(H16:J16),0)</f>
        <v>186</v>
      </c>
    </row>
    <row r="17" spans="1:12" x14ac:dyDescent="0.2">
      <c r="A17" s="84" t="s">
        <v>190</v>
      </c>
      <c r="B17" s="85">
        <f>SUM('Agency Yr1'!$I18:$I22)</f>
        <v>18454.559999999998</v>
      </c>
      <c r="C17" s="85">
        <f>SUM('Agency Yr2'!$I18:$I22)</f>
        <v>8296.5</v>
      </c>
      <c r="D17" s="85">
        <f>SUM('Agency Yr3'!$I18:$I22)</f>
        <v>6986.52</v>
      </c>
      <c r="E17" s="85">
        <f>SUM(B17:D17)</f>
        <v>33737.58</v>
      </c>
      <c r="F17" s="85">
        <f t="shared" si="10"/>
        <v>11200</v>
      </c>
      <c r="H17" s="89">
        <f>SUM('Agency Yr1'!$F18:$H22)</f>
        <v>369.38000000000005</v>
      </c>
      <c r="I17" s="89">
        <f>SUM('Agency Yr2'!$F18:$H22)</f>
        <v>166.06000000000003</v>
      </c>
      <c r="J17" s="89">
        <f>SUM('Agency Yr3'!$F18:$H22)</f>
        <v>139.84</v>
      </c>
      <c r="K17" s="89">
        <f t="shared" si="9"/>
        <v>675.28000000000009</v>
      </c>
      <c r="L17" s="89">
        <f t="shared" si="11"/>
        <v>225</v>
      </c>
    </row>
    <row r="18" spans="1:12" x14ac:dyDescent="0.2">
      <c r="A18" s="84" t="s">
        <v>302</v>
      </c>
      <c r="B18" s="85">
        <f>SUM('Agency Yr1'!$I24:$I26)</f>
        <v>14340.76</v>
      </c>
      <c r="C18" s="85">
        <f>SUM('Agency Yr2'!$I24:$I26)</f>
        <v>6986.52</v>
      </c>
      <c r="D18" s="85">
        <f>SUM('Agency Yr3'!$I24:$I26)</f>
        <v>6986.52</v>
      </c>
      <c r="E18" s="85">
        <f>SUM(B18:D18)</f>
        <v>28313.8</v>
      </c>
      <c r="F18" s="85">
        <f t="shared" si="10"/>
        <v>9400</v>
      </c>
      <c r="H18" s="89">
        <f>SUM('Agency Yr1'!$F24:$H26)</f>
        <v>287.04000000000002</v>
      </c>
      <c r="I18" s="89">
        <f>SUM('Agency Yr2'!$F24:$H26)</f>
        <v>139.84</v>
      </c>
      <c r="J18" s="89">
        <f>SUM('Agency Yr3'!$F24:$H26)</f>
        <v>139.84</v>
      </c>
      <c r="K18" s="89">
        <f t="shared" si="9"/>
        <v>566.72</v>
      </c>
      <c r="L18" s="89">
        <f t="shared" si="11"/>
        <v>189</v>
      </c>
    </row>
    <row r="19" spans="1:12" x14ac:dyDescent="0.2">
      <c r="A19" s="84" t="s">
        <v>269</v>
      </c>
      <c r="B19" s="85">
        <f>SUM(B15:B18)</f>
        <v>47894.5</v>
      </c>
      <c r="C19" s="85">
        <f>SUM(C15:C18)</f>
        <v>26521.22</v>
      </c>
      <c r="D19" s="85">
        <f>SUM(D15:D18)</f>
        <v>26521.22</v>
      </c>
      <c r="E19" s="85"/>
      <c r="F19" s="85">
        <f>ROUND(AVERAGE(B19:D19),-2)</f>
        <v>33600</v>
      </c>
      <c r="H19" s="89">
        <f>SUM(H15:H18)</f>
        <v>979.34000000000015</v>
      </c>
      <c r="I19" s="89">
        <f>SUM(I15:I18)</f>
        <v>530.84</v>
      </c>
      <c r="J19" s="89">
        <f>SUM(J15:J18)</f>
        <v>530.84</v>
      </c>
      <c r="K19" s="89">
        <f>SUM(K15:K18)</f>
        <v>2041.0200000000002</v>
      </c>
      <c r="L19" s="89">
        <f t="shared" si="11"/>
        <v>680</v>
      </c>
    </row>
    <row r="21" spans="1:12" x14ac:dyDescent="0.2">
      <c r="J21" s="108"/>
    </row>
  </sheetData>
  <mergeCells count="4">
    <mergeCell ref="B3:E3"/>
    <mergeCell ref="B13:E13"/>
    <mergeCell ref="H3:K3"/>
    <mergeCell ref="H13:K13"/>
  </mergeCells>
  <phoneticPr fontId="2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A61D6-9DAA-4D9E-9EDE-6979E9B966AB}">
  <dimension ref="A2:J16"/>
  <sheetViews>
    <sheetView workbookViewId="0">
      <selection activeCell="J5" sqref="J5"/>
    </sheetView>
  </sheetViews>
  <sheetFormatPr defaultRowHeight="15" x14ac:dyDescent="0.25"/>
  <cols>
    <col min="1" max="1" width="21" customWidth="1"/>
    <col min="2" max="2" width="16" customWidth="1"/>
    <col min="3" max="3" width="19.7109375" customWidth="1"/>
    <col min="4" max="4" width="20" customWidth="1"/>
    <col min="5" max="5" width="20.28515625" customWidth="1"/>
    <col min="6" max="6" width="19.7109375" customWidth="1"/>
    <col min="7" max="7" width="19.140625" customWidth="1"/>
    <col min="8" max="8" width="21.140625" customWidth="1"/>
    <col min="9" max="9" width="24.5703125" customWidth="1"/>
    <col min="10" max="10" width="25.140625" customWidth="1"/>
  </cols>
  <sheetData>
    <row r="2" spans="1:10" ht="25.5" x14ac:dyDescent="0.25">
      <c r="B2" s="1" t="s">
        <v>2</v>
      </c>
      <c r="C2" s="1" t="s">
        <v>3</v>
      </c>
      <c r="D2" s="1" t="s">
        <v>20</v>
      </c>
      <c r="E2" s="1" t="s">
        <v>25</v>
      </c>
      <c r="F2" s="1" t="s">
        <v>26</v>
      </c>
      <c r="G2" s="1" t="s">
        <v>27</v>
      </c>
      <c r="H2" s="1" t="s">
        <v>28</v>
      </c>
      <c r="I2" s="1" t="s">
        <v>29</v>
      </c>
      <c r="J2" s="1" t="s">
        <v>30</v>
      </c>
    </row>
    <row r="3" spans="1:10" ht="85.5" customHeight="1" x14ac:dyDescent="0.25">
      <c r="A3" s="1" t="s">
        <v>173</v>
      </c>
      <c r="E3" s="2" t="s">
        <v>70</v>
      </c>
      <c r="F3" s="2" t="s">
        <v>70</v>
      </c>
      <c r="H3" s="2" t="s">
        <v>180</v>
      </c>
      <c r="I3" s="2" t="s">
        <v>183</v>
      </c>
      <c r="J3" s="2"/>
    </row>
    <row r="4" spans="1:10" ht="85.5" customHeight="1" x14ac:dyDescent="0.25">
      <c r="A4" s="1" t="s">
        <v>171</v>
      </c>
      <c r="B4" s="2" t="s">
        <v>174</v>
      </c>
      <c r="E4" s="2" t="s">
        <v>177</v>
      </c>
      <c r="H4" s="2" t="s">
        <v>181</v>
      </c>
      <c r="I4" s="2" t="s">
        <v>182</v>
      </c>
    </row>
    <row r="5" spans="1:10" ht="85.5" customHeight="1" x14ac:dyDescent="0.25">
      <c r="A5" s="1" t="s">
        <v>172</v>
      </c>
      <c r="C5" s="2" t="s">
        <v>175</v>
      </c>
      <c r="D5" s="2" t="s">
        <v>176</v>
      </c>
      <c r="F5" s="2" t="s">
        <v>178</v>
      </c>
      <c r="G5" s="2" t="s">
        <v>179</v>
      </c>
      <c r="J5" s="2" t="s">
        <v>312</v>
      </c>
    </row>
    <row r="7" spans="1:10" x14ac:dyDescent="0.25">
      <c r="C7" s="4" t="s">
        <v>187</v>
      </c>
      <c r="D7" s="4" t="s">
        <v>191</v>
      </c>
      <c r="E7" s="4" t="s">
        <v>291</v>
      </c>
      <c r="F7" s="62" t="s">
        <v>231</v>
      </c>
      <c r="G7" s="62" t="s">
        <v>292</v>
      </c>
      <c r="H7" s="87"/>
    </row>
    <row r="8" spans="1:10" ht="69.75" customHeight="1" x14ac:dyDescent="0.25">
      <c r="C8" s="4" t="s">
        <v>188</v>
      </c>
      <c r="D8" s="4" t="s">
        <v>310</v>
      </c>
      <c r="E8" s="4">
        <v>0</v>
      </c>
      <c r="F8" s="60">
        <f>(240)</f>
        <v>240</v>
      </c>
      <c r="G8" s="60">
        <f>(0)</f>
        <v>0</v>
      </c>
      <c r="H8" s="122"/>
      <c r="I8" s="123"/>
    </row>
    <row r="9" spans="1:10" ht="69.75" customHeight="1" x14ac:dyDescent="0.25">
      <c r="C9" s="4" t="s">
        <v>189</v>
      </c>
      <c r="D9" s="4" t="s">
        <v>192</v>
      </c>
      <c r="E9" s="61" t="s">
        <v>193</v>
      </c>
      <c r="F9" s="60">
        <f>ROUND((1+50+80+100)/4,0)</f>
        <v>58</v>
      </c>
      <c r="G9" s="60">
        <f>ROUND((1+1+1+10)/4,0)</f>
        <v>3</v>
      </c>
    </row>
    <row r="10" spans="1:10" x14ac:dyDescent="0.25">
      <c r="C10" s="4" t="s">
        <v>190</v>
      </c>
      <c r="D10" s="5" t="s">
        <v>328</v>
      </c>
      <c r="E10" s="61" t="s">
        <v>232</v>
      </c>
      <c r="F10" s="63">
        <f>(40+80+240+320+80)/5</f>
        <v>152</v>
      </c>
      <c r="G10" s="60">
        <f>ROUND((4+1+1+10+40)/5,0)</f>
        <v>11</v>
      </c>
    </row>
    <row r="11" spans="1:10" x14ac:dyDescent="0.25">
      <c r="C11" s="4" t="s">
        <v>302</v>
      </c>
      <c r="D11" s="59">
        <v>0</v>
      </c>
      <c r="E11" s="59"/>
      <c r="F11" s="60">
        <v>0</v>
      </c>
      <c r="G11" s="60">
        <v>0</v>
      </c>
    </row>
    <row r="13" spans="1:10" ht="38.25" x14ac:dyDescent="0.25">
      <c r="C13" s="2" t="s">
        <v>184</v>
      </c>
      <c r="D13" s="91">
        <v>0</v>
      </c>
      <c r="E13" s="91" t="s">
        <v>311</v>
      </c>
      <c r="F13" s="67"/>
    </row>
    <row r="14" spans="1:10" ht="38.25" x14ac:dyDescent="0.25">
      <c r="C14" s="2" t="s">
        <v>185</v>
      </c>
      <c r="D14" s="91">
        <v>4</v>
      </c>
      <c r="E14" s="91" t="s">
        <v>329</v>
      </c>
      <c r="F14" s="67"/>
    </row>
    <row r="15" spans="1:10" ht="38.25" x14ac:dyDescent="0.25">
      <c r="C15" s="2" t="s">
        <v>186</v>
      </c>
      <c r="D15" s="91">
        <v>5</v>
      </c>
      <c r="E15" s="91" t="s">
        <v>330</v>
      </c>
      <c r="F15" s="11"/>
    </row>
    <row r="16" spans="1:10" ht="45" x14ac:dyDescent="0.25">
      <c r="C16" s="2" t="s">
        <v>303</v>
      </c>
      <c r="D16" s="105" t="s">
        <v>304</v>
      </c>
    </row>
  </sheetData>
  <mergeCells count="1">
    <mergeCell ref="H8:I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4C39C-868B-4094-A68C-E2CF72F07186}">
  <dimension ref="A1:L26"/>
  <sheetViews>
    <sheetView zoomScale="130" zoomScaleNormal="130" workbookViewId="0">
      <selection activeCell="K8" sqref="K8"/>
    </sheetView>
  </sheetViews>
  <sheetFormatPr defaultRowHeight="15" x14ac:dyDescent="0.25"/>
  <cols>
    <col min="1" max="1" width="50.7109375" customWidth="1"/>
    <col min="2" max="4" width="19.7109375" customWidth="1"/>
    <col min="5" max="6" width="17.7109375" customWidth="1"/>
    <col min="7" max="7" width="19.5703125" customWidth="1"/>
    <col min="9" max="11" width="12" customWidth="1"/>
  </cols>
  <sheetData>
    <row r="1" spans="1:12" x14ac:dyDescent="0.25">
      <c r="A1" s="57" t="s">
        <v>230</v>
      </c>
    </row>
    <row r="2" spans="1:12" ht="30" x14ac:dyDescent="0.25">
      <c r="A2" s="58" t="s">
        <v>229</v>
      </c>
      <c r="B2" s="74" t="s">
        <v>251</v>
      </c>
      <c r="C2" s="74" t="s">
        <v>252</v>
      </c>
      <c r="D2" s="74" t="s">
        <v>253</v>
      </c>
      <c r="E2" s="64" t="s">
        <v>233</v>
      </c>
      <c r="F2" s="64" t="s">
        <v>254</v>
      </c>
      <c r="G2" s="58" t="s">
        <v>234</v>
      </c>
      <c r="I2" s="112" t="s">
        <v>339</v>
      </c>
      <c r="J2" s="112" t="s">
        <v>340</v>
      </c>
      <c r="K2" s="112" t="s">
        <v>341</v>
      </c>
    </row>
    <row r="3" spans="1:12" x14ac:dyDescent="0.25">
      <c r="A3" s="59" t="s">
        <v>228</v>
      </c>
      <c r="B3" s="60">
        <v>56</v>
      </c>
      <c r="C3" s="60">
        <v>56</v>
      </c>
      <c r="D3" s="60">
        <v>56</v>
      </c>
      <c r="E3" s="59"/>
      <c r="F3" s="59"/>
      <c r="G3" s="59"/>
      <c r="I3" s="113"/>
      <c r="J3" s="113"/>
      <c r="K3" s="113"/>
    </row>
    <row r="4" spans="1:12" ht="15" customHeight="1" x14ac:dyDescent="0.25">
      <c r="A4" s="59" t="s">
        <v>188</v>
      </c>
      <c r="B4" s="60">
        <f>'Hourly Summary-from Interviews'!D13</f>
        <v>0</v>
      </c>
      <c r="C4" s="60">
        <v>6</v>
      </c>
      <c r="D4" s="60">
        <f>C4+6</f>
        <v>12</v>
      </c>
      <c r="E4" s="106">
        <f>'Hourly Summary-from Interviews'!F8</f>
        <v>240</v>
      </c>
      <c r="F4" s="63">
        <v>1</v>
      </c>
      <c r="G4" s="59"/>
      <c r="H4" s="12"/>
      <c r="I4" s="114">
        <f>B4*2</f>
        <v>0</v>
      </c>
      <c r="J4" s="114">
        <f t="shared" ref="J4:K4" si="0">C4*2</f>
        <v>12</v>
      </c>
      <c r="K4" s="114">
        <f t="shared" si="0"/>
        <v>24</v>
      </c>
      <c r="L4" s="92"/>
    </row>
    <row r="5" spans="1:12" x14ac:dyDescent="0.25">
      <c r="A5" s="59" t="s">
        <v>189</v>
      </c>
      <c r="B5" s="63">
        <f>ROUND((B3-B4-B7)*'Hourly Summary-from Interviews'!$D14/SUM('Hourly Summary-from Interviews'!$D14:$D15),0)</f>
        <v>18</v>
      </c>
      <c r="C5" s="63">
        <f>ROUND((C3-C4-C7)*'Hourly Summary-from Interviews'!$D14/SUM('Hourly Summary-from Interviews'!$D14:$D15),0)</f>
        <v>15</v>
      </c>
      <c r="D5" s="63">
        <f>ROUND((D3-D4-D7)*'Hourly Summary-from Interviews'!$D14/SUM('Hourly Summary-from Interviews'!$D14:$D15),0)</f>
        <v>12</v>
      </c>
      <c r="E5" s="107">
        <f>'Hourly Summary-from Interviews'!F9</f>
        <v>58</v>
      </c>
      <c r="F5" s="60">
        <f>ROUND('Hourly Summary-from Interviews'!G9,0)</f>
        <v>3</v>
      </c>
      <c r="G5" s="59"/>
      <c r="H5" s="92"/>
      <c r="I5" s="114">
        <f t="shared" ref="I5:I6" si="1">B5*2</f>
        <v>36</v>
      </c>
      <c r="J5" s="114">
        <f t="shared" ref="J5:J6" si="2">C5*2</f>
        <v>30</v>
      </c>
      <c r="K5" s="114">
        <f t="shared" ref="K5:K6" si="3">D5*2</f>
        <v>24</v>
      </c>
      <c r="L5" s="92"/>
    </row>
    <row r="6" spans="1:12" x14ac:dyDescent="0.25">
      <c r="A6" s="59" t="s">
        <v>190</v>
      </c>
      <c r="B6" s="63">
        <f>ROUND((B3-B4-B7)*'Hourly Summary-from Interviews'!$D15/SUM('Hourly Summary-from Interviews'!$D14:$D15),0)</f>
        <v>22</v>
      </c>
      <c r="C6" s="63">
        <f>ROUND((C3-C4-C7)*'Hourly Summary-from Interviews'!$D15/SUM('Hourly Summary-from Interviews'!$D14:$D15),0)</f>
        <v>19</v>
      </c>
      <c r="D6" s="63">
        <f>ROUND((D3-D4-D7)*'Hourly Summary-from Interviews'!$D15/SUM('Hourly Summary-from Interviews'!$D14:$D15),0)</f>
        <v>16</v>
      </c>
      <c r="E6" s="106">
        <f>'Hourly Summary-from Interviews'!F10</f>
        <v>152</v>
      </c>
      <c r="F6" s="60">
        <f>ROUND('Hourly Summary-from Interviews'!G10,0)</f>
        <v>11</v>
      </c>
      <c r="G6" s="59"/>
      <c r="H6" s="12"/>
      <c r="I6" s="114">
        <f t="shared" si="1"/>
        <v>44</v>
      </c>
      <c r="J6" s="114">
        <f t="shared" si="2"/>
        <v>38</v>
      </c>
      <c r="K6" s="114">
        <f t="shared" si="3"/>
        <v>32</v>
      </c>
      <c r="L6" s="92"/>
    </row>
    <row r="7" spans="1:12" x14ac:dyDescent="0.25">
      <c r="A7" s="59" t="s">
        <v>302</v>
      </c>
      <c r="B7" s="60">
        <v>16</v>
      </c>
      <c r="C7" s="60">
        <v>16</v>
      </c>
      <c r="D7" s="60">
        <v>16</v>
      </c>
      <c r="E7" s="63">
        <f>'Hourly Summary-from Interviews'!F11</f>
        <v>0</v>
      </c>
      <c r="F7" s="63">
        <f>'Hourly Summary-from Interviews'!G11</f>
        <v>0</v>
      </c>
      <c r="G7" s="59"/>
      <c r="H7" s="92"/>
      <c r="I7" s="114">
        <f>B7*0</f>
        <v>0</v>
      </c>
      <c r="J7" s="114">
        <f t="shared" ref="J7:K7" si="4">C7*0</f>
        <v>0</v>
      </c>
      <c r="K7" s="114">
        <f t="shared" si="4"/>
        <v>0</v>
      </c>
      <c r="L7" s="92"/>
    </row>
    <row r="8" spans="1:12" x14ac:dyDescent="0.25">
      <c r="H8" s="92"/>
      <c r="I8" s="114">
        <f>SUM(I4:I7)</f>
        <v>80</v>
      </c>
      <c r="J8" s="114">
        <f t="shared" ref="J8:K8" si="5">SUM(J4:J7)</f>
        <v>80</v>
      </c>
      <c r="K8" s="114">
        <f t="shared" si="5"/>
        <v>80</v>
      </c>
      <c r="L8" s="92"/>
    </row>
    <row r="9" spans="1:12" x14ac:dyDescent="0.25">
      <c r="A9" s="57" t="s">
        <v>262</v>
      </c>
      <c r="H9" s="92"/>
      <c r="I9" s="92"/>
      <c r="J9" s="92"/>
      <c r="K9" s="92"/>
      <c r="L9" s="92"/>
    </row>
    <row r="10" spans="1:12" ht="30" x14ac:dyDescent="0.25">
      <c r="A10" s="73" t="s">
        <v>229</v>
      </c>
      <c r="B10" s="77" t="s">
        <v>251</v>
      </c>
      <c r="C10" s="77" t="s">
        <v>252</v>
      </c>
      <c r="D10" s="77" t="s">
        <v>253</v>
      </c>
      <c r="E10" s="77" t="s">
        <v>306</v>
      </c>
      <c r="F10" s="77" t="s">
        <v>305</v>
      </c>
      <c r="G10" s="77"/>
      <c r="H10" s="92"/>
      <c r="I10" s="92"/>
      <c r="J10" s="92"/>
      <c r="K10" s="92"/>
    </row>
    <row r="11" spans="1:12" x14ac:dyDescent="0.25">
      <c r="A11" s="59" t="s">
        <v>228</v>
      </c>
      <c r="B11" s="60">
        <v>56</v>
      </c>
      <c r="C11" s="60">
        <v>56</v>
      </c>
      <c r="D11" s="60">
        <v>56</v>
      </c>
      <c r="E11" s="59"/>
      <c r="F11" s="59"/>
      <c r="G11" s="59"/>
    </row>
    <row r="12" spans="1:12" x14ac:dyDescent="0.25">
      <c r="A12" s="59" t="s">
        <v>188</v>
      </c>
      <c r="B12" s="60">
        <f>B4</f>
        <v>0</v>
      </c>
      <c r="C12" s="60">
        <f t="shared" ref="C12:D12" si="6">C4</f>
        <v>6</v>
      </c>
      <c r="D12" s="60">
        <f t="shared" si="6"/>
        <v>12</v>
      </c>
      <c r="E12" s="63">
        <v>6</v>
      </c>
      <c r="F12" s="63">
        <v>3.8</v>
      </c>
      <c r="G12" s="59"/>
      <c r="H12" s="12"/>
      <c r="I12" s="88"/>
    </row>
    <row r="13" spans="1:12" x14ac:dyDescent="0.25">
      <c r="A13" s="59" t="s">
        <v>189</v>
      </c>
      <c r="B13" s="60">
        <f t="shared" ref="B13:D14" si="7">B5</f>
        <v>18</v>
      </c>
      <c r="C13" s="60">
        <f t="shared" si="7"/>
        <v>15</v>
      </c>
      <c r="D13" s="60">
        <f t="shared" si="7"/>
        <v>12</v>
      </c>
      <c r="E13" s="63">
        <v>8</v>
      </c>
      <c r="F13" s="63">
        <v>3.8</v>
      </c>
      <c r="G13" s="59"/>
      <c r="H13" s="12"/>
      <c r="I13" s="88"/>
    </row>
    <row r="14" spans="1:12" x14ac:dyDescent="0.25">
      <c r="A14" s="59" t="s">
        <v>190</v>
      </c>
      <c r="B14" s="60">
        <f t="shared" si="7"/>
        <v>22</v>
      </c>
      <c r="C14" s="60">
        <f t="shared" si="7"/>
        <v>19</v>
      </c>
      <c r="D14" s="60">
        <f t="shared" si="7"/>
        <v>16</v>
      </c>
      <c r="E14" s="63">
        <v>7</v>
      </c>
      <c r="F14" s="63">
        <v>3.8</v>
      </c>
      <c r="G14" s="59"/>
      <c r="H14" s="12"/>
      <c r="I14" s="88"/>
    </row>
    <row r="15" spans="1:12" x14ac:dyDescent="0.25">
      <c r="A15" s="59" t="s">
        <v>302</v>
      </c>
      <c r="B15" s="60">
        <v>16</v>
      </c>
      <c r="C15" s="60">
        <v>16</v>
      </c>
      <c r="D15" s="60">
        <v>16</v>
      </c>
      <c r="E15" s="63">
        <v>8</v>
      </c>
      <c r="F15" s="63">
        <v>3.8</v>
      </c>
      <c r="G15" s="59"/>
      <c r="H15" s="92"/>
      <c r="I15" s="88"/>
    </row>
    <row r="16" spans="1:12" ht="15.75" customHeight="1" x14ac:dyDescent="0.25">
      <c r="A16" s="102" t="s">
        <v>338</v>
      </c>
      <c r="G16" s="12"/>
      <c r="I16" s="88"/>
    </row>
    <row r="17" spans="5:5" x14ac:dyDescent="0.25">
      <c r="E17" s="110"/>
    </row>
    <row r="18" spans="5:5" x14ac:dyDescent="0.25">
      <c r="E18" s="110"/>
    </row>
    <row r="19" spans="5:5" x14ac:dyDescent="0.25">
      <c r="E19" s="110"/>
    </row>
    <row r="20" spans="5:5" x14ac:dyDescent="0.25">
      <c r="E20" s="110"/>
    </row>
    <row r="26" spans="5:5" x14ac:dyDescent="0.25">
      <c r="E26" s="88"/>
    </row>
  </sheetData>
  <phoneticPr fontId="24"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781B5-971D-4CBD-AD6D-FE72AC89F943}">
  <dimension ref="A1:R59"/>
  <sheetViews>
    <sheetView topLeftCell="A33" zoomScale="95" zoomScaleNormal="95" workbookViewId="0">
      <selection activeCell="A39" sqref="A39"/>
    </sheetView>
  </sheetViews>
  <sheetFormatPr defaultColWidth="9.140625" defaultRowHeight="12.75" x14ac:dyDescent="0.2"/>
  <cols>
    <col min="1" max="1" width="44.42578125" style="47" customWidth="1"/>
    <col min="2" max="2" width="12.7109375" style="47" customWidth="1"/>
    <col min="3" max="3" width="12.5703125" style="47" customWidth="1"/>
    <col min="4" max="4" width="13.42578125" style="47" customWidth="1"/>
    <col min="5" max="5" width="11.140625" style="47" customWidth="1"/>
    <col min="6" max="6" width="10.28515625" style="47" customWidth="1"/>
    <col min="7" max="7" width="11.85546875" style="47" customWidth="1"/>
    <col min="8" max="9" width="12.140625" style="47" customWidth="1"/>
    <col min="10" max="10" width="13.85546875" style="47" bestFit="1" customWidth="1"/>
    <col min="11" max="11" width="6.85546875" style="13" customWidth="1"/>
    <col min="12" max="12" width="13" style="13" customWidth="1"/>
    <col min="13" max="13" width="15" style="13" customWidth="1"/>
    <col min="14" max="16384" width="9.140625" style="47"/>
  </cols>
  <sheetData>
    <row r="1" spans="1:18" s="13" customFormat="1" ht="19.5" customHeight="1" x14ac:dyDescent="0.2">
      <c r="A1" s="124" t="s">
        <v>249</v>
      </c>
      <c r="B1" s="124"/>
      <c r="C1" s="124"/>
      <c r="D1" s="124"/>
      <c r="E1" s="124"/>
      <c r="F1" s="124"/>
      <c r="G1" s="124"/>
      <c r="H1" s="124"/>
      <c r="I1" s="124"/>
      <c r="J1" s="124"/>
    </row>
    <row r="2" spans="1:18" s="13" customFormat="1" x14ac:dyDescent="0.2">
      <c r="A2" s="46" t="s">
        <v>257</v>
      </c>
      <c r="E2" s="14"/>
      <c r="J2" s="16"/>
      <c r="L2" s="17"/>
    </row>
    <row r="3" spans="1:18" s="13" customFormat="1" ht="12.75" customHeight="1" x14ac:dyDescent="0.2">
      <c r="A3" s="125" t="s">
        <v>342</v>
      </c>
      <c r="B3" s="18" t="s">
        <v>194</v>
      </c>
      <c r="C3" s="18" t="s">
        <v>195</v>
      </c>
      <c r="D3" s="18" t="s">
        <v>196</v>
      </c>
      <c r="E3" s="18" t="s">
        <v>197</v>
      </c>
      <c r="F3" s="18" t="s">
        <v>198</v>
      </c>
      <c r="G3" s="18" t="s">
        <v>199</v>
      </c>
      <c r="H3" s="18" t="s">
        <v>200</v>
      </c>
      <c r="I3" s="19" t="s">
        <v>201</v>
      </c>
      <c r="J3" s="19" t="s">
        <v>225</v>
      </c>
    </row>
    <row r="4" spans="1:18" s="22" customFormat="1" ht="51" x14ac:dyDescent="0.2">
      <c r="A4" s="126"/>
      <c r="B4" s="20" t="s">
        <v>202</v>
      </c>
      <c r="C4" s="20" t="s">
        <v>203</v>
      </c>
      <c r="D4" s="20" t="s">
        <v>204</v>
      </c>
      <c r="E4" s="20" t="s">
        <v>205</v>
      </c>
      <c r="F4" s="20" t="s">
        <v>206</v>
      </c>
      <c r="G4" s="20" t="s">
        <v>207</v>
      </c>
      <c r="H4" s="20" t="s">
        <v>208</v>
      </c>
      <c r="I4" s="20" t="s">
        <v>298</v>
      </c>
      <c r="J4" s="21" t="s">
        <v>241</v>
      </c>
    </row>
    <row r="5" spans="1:18" s="13" customFormat="1" ht="25.5" x14ac:dyDescent="0.2">
      <c r="A5" s="23" t="s">
        <v>246</v>
      </c>
      <c r="B5" s="24"/>
      <c r="C5" s="24"/>
      <c r="D5" s="25"/>
      <c r="E5" s="24"/>
      <c r="F5" s="25"/>
      <c r="G5" s="26"/>
      <c r="H5" s="26"/>
      <c r="I5" s="26"/>
      <c r="J5" s="27"/>
      <c r="L5" s="135" t="s">
        <v>220</v>
      </c>
      <c r="M5" s="135"/>
    </row>
    <row r="6" spans="1:18" s="13" customFormat="1" ht="16.5" customHeight="1" x14ac:dyDescent="0.2">
      <c r="A6" s="31" t="s">
        <v>250</v>
      </c>
      <c r="B6" s="24"/>
      <c r="C6" s="24"/>
      <c r="D6" s="25"/>
      <c r="E6" s="24"/>
      <c r="F6" s="25"/>
      <c r="G6" s="26"/>
      <c r="H6" s="26"/>
      <c r="I6" s="26"/>
      <c r="J6" s="27"/>
      <c r="L6" s="32" t="s">
        <v>221</v>
      </c>
      <c r="M6" s="55">
        <f>'Agency Yr1'!L7</f>
        <v>69.040000000000006</v>
      </c>
      <c r="N6" s="28"/>
      <c r="O6" s="28"/>
      <c r="P6" s="28"/>
      <c r="Q6" s="28"/>
      <c r="R6" s="28"/>
    </row>
    <row r="7" spans="1:18" s="13" customFormat="1" x14ac:dyDescent="0.2">
      <c r="A7" s="65" t="s">
        <v>227</v>
      </c>
      <c r="B7" s="79">
        <f>0.2*'Respondent &amp; Agency Data'!E4</f>
        <v>48</v>
      </c>
      <c r="C7" s="79">
        <v>1</v>
      </c>
      <c r="D7" s="75">
        <f>B7*C7</f>
        <v>48</v>
      </c>
      <c r="E7" s="75">
        <f>'Respondent &amp; Agency Data'!B4</f>
        <v>0</v>
      </c>
      <c r="F7" s="75">
        <f>ROUND(D7*E7,2)</f>
        <v>0</v>
      </c>
      <c r="G7" s="75">
        <f>ROUND(F7*0.05,2)</f>
        <v>0</v>
      </c>
      <c r="H7" s="75">
        <f>ROUND(F7*0.1, 2)</f>
        <v>0</v>
      </c>
      <c r="I7" s="75"/>
      <c r="J7" s="27">
        <f t="shared" ref="J7" si="0">F7*$M$7+G7*$M$6+H7*$M$8+I7*$M$11</f>
        <v>0</v>
      </c>
      <c r="L7" s="32" t="s">
        <v>222</v>
      </c>
      <c r="M7" s="55">
        <f>'Agency Yr1'!L8</f>
        <v>51.23</v>
      </c>
      <c r="N7" s="28"/>
      <c r="O7" s="28"/>
      <c r="P7" s="28"/>
      <c r="Q7" s="28"/>
      <c r="R7" s="28"/>
    </row>
    <row r="8" spans="1:18" s="13" customFormat="1" ht="25.5" x14ac:dyDescent="0.2">
      <c r="A8" s="65" t="s">
        <v>244</v>
      </c>
      <c r="B8" s="79">
        <f>'Respondent &amp; Agency Data'!E4-B7</f>
        <v>192</v>
      </c>
      <c r="C8" s="79">
        <v>1</v>
      </c>
      <c r="D8" s="75">
        <f>B8*C8</f>
        <v>192</v>
      </c>
      <c r="E8" s="75">
        <f>E$7</f>
        <v>0</v>
      </c>
      <c r="F8" s="75">
        <f>ROUND(D8*E8,2)</f>
        <v>0</v>
      </c>
      <c r="G8" s="75">
        <f>ROUND(F8*0.05,2)</f>
        <v>0</v>
      </c>
      <c r="H8" s="75">
        <f>ROUND(F8*0.1, 2)</f>
        <v>0</v>
      </c>
      <c r="I8" s="75"/>
      <c r="J8" s="27">
        <f t="shared" ref="J8" si="1">F8*$M$7+G8*$M$6+H8*$M$8+I8*$M$11</f>
        <v>0</v>
      </c>
      <c r="L8" s="32" t="s">
        <v>223</v>
      </c>
      <c r="M8" s="55">
        <f>'Agency Yr1'!L9</f>
        <v>27.73</v>
      </c>
      <c r="N8" s="28"/>
      <c r="O8" s="28"/>
      <c r="P8" s="28"/>
      <c r="Q8" s="28"/>
      <c r="R8" s="28"/>
    </row>
    <row r="9" spans="1:18" s="13" customFormat="1" ht="15.75" x14ac:dyDescent="0.2">
      <c r="A9" s="65" t="s">
        <v>299</v>
      </c>
      <c r="B9" s="79">
        <f>0.2*B8</f>
        <v>38.400000000000006</v>
      </c>
      <c r="C9" s="79">
        <v>1</v>
      </c>
      <c r="D9" s="75">
        <f>B9*C9</f>
        <v>38.400000000000006</v>
      </c>
      <c r="E9" s="75">
        <f>E8*0.05</f>
        <v>0</v>
      </c>
      <c r="F9" s="75">
        <v>0</v>
      </c>
      <c r="G9" s="75">
        <v>0</v>
      </c>
      <c r="H9" s="75">
        <v>0</v>
      </c>
      <c r="I9" s="75">
        <f>B9*E9</f>
        <v>0</v>
      </c>
      <c r="J9" s="27">
        <f>F9*$M$7+G9*$M$6+H9*$M$8+I9*$M$11</f>
        <v>0</v>
      </c>
    </row>
    <row r="10" spans="1:18" s="13" customFormat="1" ht="15.75" x14ac:dyDescent="0.2">
      <c r="A10" s="31" t="s">
        <v>255</v>
      </c>
      <c r="B10" s="79"/>
      <c r="C10" s="79"/>
      <c r="D10" s="75"/>
      <c r="E10" s="75"/>
      <c r="F10" s="75"/>
      <c r="G10" s="75"/>
      <c r="H10" s="75"/>
      <c r="I10" s="75"/>
      <c r="J10" s="27"/>
      <c r="L10" s="135" t="s">
        <v>297</v>
      </c>
      <c r="M10" s="135"/>
    </row>
    <row r="11" spans="1:18" s="13" customFormat="1" ht="18" customHeight="1" x14ac:dyDescent="0.2">
      <c r="A11" s="65" t="s">
        <v>243</v>
      </c>
      <c r="B11" s="79">
        <f>'Respondent &amp; Agency Data'!F4-B12-B13</f>
        <v>0.5</v>
      </c>
      <c r="C11" s="79">
        <v>2</v>
      </c>
      <c r="D11" s="75">
        <f t="shared" ref="D11:D32" si="2">B11*C11</f>
        <v>1</v>
      </c>
      <c r="E11" s="75">
        <f>E$7</f>
        <v>0</v>
      </c>
      <c r="F11" s="75">
        <f t="shared" ref="F11:F32" si="3">ROUND(D11*E11,2)</f>
        <v>0</v>
      </c>
      <c r="G11" s="75">
        <f t="shared" ref="G11:G32" si="4">ROUND(F11*0.05,2)</f>
        <v>0</v>
      </c>
      <c r="H11" s="75">
        <f t="shared" ref="H11:H32" si="5">ROUND(F11*0.1, 2)</f>
        <v>0</v>
      </c>
      <c r="I11" s="75"/>
      <c r="J11" s="27">
        <f t="shared" ref="J11:J32" si="6">F11*$M$7+G11*$M$6+H11*$M$8+I11*$M$11</f>
        <v>0</v>
      </c>
      <c r="L11" s="32" t="s">
        <v>222</v>
      </c>
      <c r="M11" s="15">
        <v>122.66</v>
      </c>
    </row>
    <row r="12" spans="1:18" s="13" customFormat="1" ht="15.75" customHeight="1" x14ac:dyDescent="0.2">
      <c r="A12" s="65" t="s">
        <v>235</v>
      </c>
      <c r="B12" s="111">
        <v>0.25</v>
      </c>
      <c r="C12" s="79">
        <v>2</v>
      </c>
      <c r="D12" s="75">
        <f t="shared" si="2"/>
        <v>0.5</v>
      </c>
      <c r="E12" s="75">
        <f>E$7</f>
        <v>0</v>
      </c>
      <c r="F12" s="75">
        <f t="shared" si="3"/>
        <v>0</v>
      </c>
      <c r="G12" s="75">
        <f t="shared" si="4"/>
        <v>0</v>
      </c>
      <c r="H12" s="75">
        <f t="shared" si="5"/>
        <v>0</v>
      </c>
      <c r="I12" s="75"/>
      <c r="J12" s="27">
        <f t="shared" si="6"/>
        <v>0</v>
      </c>
    </row>
    <row r="13" spans="1:18" s="13" customFormat="1" x14ac:dyDescent="0.2">
      <c r="A13" s="65" t="s">
        <v>236</v>
      </c>
      <c r="B13" s="111">
        <v>0.25</v>
      </c>
      <c r="C13" s="79">
        <v>2</v>
      </c>
      <c r="D13" s="75">
        <f t="shared" si="2"/>
        <v>0.5</v>
      </c>
      <c r="E13" s="75">
        <f>E$7</f>
        <v>0</v>
      </c>
      <c r="F13" s="75">
        <f t="shared" si="3"/>
        <v>0</v>
      </c>
      <c r="G13" s="75">
        <f t="shared" si="4"/>
        <v>0</v>
      </c>
      <c r="H13" s="75">
        <f t="shared" si="5"/>
        <v>0</v>
      </c>
      <c r="I13" s="75"/>
      <c r="J13" s="27">
        <f t="shared" si="6"/>
        <v>0</v>
      </c>
    </row>
    <row r="14" spans="1:18" s="13" customFormat="1" ht="25.5" x14ac:dyDescent="0.2">
      <c r="A14" s="23" t="s">
        <v>247</v>
      </c>
      <c r="B14" s="79"/>
      <c r="C14" s="79"/>
      <c r="D14" s="75"/>
      <c r="E14" s="75"/>
      <c r="F14" s="75"/>
      <c r="G14" s="75"/>
      <c r="H14" s="75"/>
      <c r="I14" s="75"/>
      <c r="J14" s="27"/>
    </row>
    <row r="15" spans="1:18" s="13" customFormat="1" ht="15.75" x14ac:dyDescent="0.2">
      <c r="A15" s="31" t="s">
        <v>250</v>
      </c>
      <c r="B15" s="79"/>
      <c r="C15" s="79"/>
      <c r="D15" s="75"/>
      <c r="E15" s="75"/>
      <c r="F15" s="75"/>
      <c r="G15" s="75"/>
      <c r="H15" s="75"/>
      <c r="I15" s="75"/>
      <c r="J15" s="27"/>
    </row>
    <row r="16" spans="1:18" s="13" customFormat="1" x14ac:dyDescent="0.2">
      <c r="A16" s="65" t="s">
        <v>296</v>
      </c>
      <c r="B16" s="79">
        <v>8</v>
      </c>
      <c r="C16" s="79">
        <v>1</v>
      </c>
      <c r="D16" s="75">
        <f t="shared" si="2"/>
        <v>8</v>
      </c>
      <c r="E16" s="75">
        <f>'Respondent &amp; Agency Data'!B5</f>
        <v>18</v>
      </c>
      <c r="F16" s="75">
        <f t="shared" si="3"/>
        <v>144</v>
      </c>
      <c r="G16" s="75">
        <f t="shared" si="4"/>
        <v>7.2</v>
      </c>
      <c r="H16" s="75">
        <f t="shared" si="5"/>
        <v>14.4</v>
      </c>
      <c r="I16" s="75"/>
      <c r="J16" s="27">
        <f t="shared" si="6"/>
        <v>8273.52</v>
      </c>
    </row>
    <row r="17" spans="1:12" s="13" customFormat="1" ht="25.5" x14ac:dyDescent="0.2">
      <c r="A17" s="65" t="s">
        <v>245</v>
      </c>
      <c r="B17" s="79">
        <f>'Respondent &amp; Agency Data'!E5-B16</f>
        <v>50</v>
      </c>
      <c r="C17" s="79">
        <v>1</v>
      </c>
      <c r="D17" s="75">
        <f>B17*C17</f>
        <v>50</v>
      </c>
      <c r="E17" s="75">
        <f>E$16</f>
        <v>18</v>
      </c>
      <c r="F17" s="75">
        <f>ROUND(D17*E17,2)</f>
        <v>900</v>
      </c>
      <c r="G17" s="75">
        <f>ROUND(F17*0.05,2)</f>
        <v>45</v>
      </c>
      <c r="H17" s="75">
        <f>ROUND(F17*0.1, 2)</f>
        <v>90</v>
      </c>
      <c r="I17" s="75"/>
      <c r="J17" s="27">
        <f>F17*$M$7+G17*$M$6+H17*$M$8+I17*$M$11</f>
        <v>51709.5</v>
      </c>
    </row>
    <row r="18" spans="1:12" s="13" customFormat="1" ht="15.75" x14ac:dyDescent="0.2">
      <c r="A18" s="65" t="s">
        <v>299</v>
      </c>
      <c r="B18" s="79">
        <f>0.2*B17</f>
        <v>10</v>
      </c>
      <c r="C18" s="79">
        <v>1</v>
      </c>
      <c r="D18" s="75">
        <f t="shared" ref="D18" si="7">B18*C18</f>
        <v>10</v>
      </c>
      <c r="E18" s="94">
        <f>E$16*0.05</f>
        <v>0.9</v>
      </c>
      <c r="F18" s="75">
        <v>0</v>
      </c>
      <c r="G18" s="75">
        <v>0</v>
      </c>
      <c r="H18" s="75">
        <v>0</v>
      </c>
      <c r="I18" s="75">
        <f>B18*E18</f>
        <v>9</v>
      </c>
      <c r="J18" s="27">
        <f t="shared" ref="J18" si="8">F18*$M$7+G18*$M$6+H18*$M$8+I18*$M$11</f>
        <v>1103.94</v>
      </c>
    </row>
    <row r="19" spans="1:12" s="13" customFormat="1" ht="15.75" x14ac:dyDescent="0.2">
      <c r="A19" s="31" t="s">
        <v>255</v>
      </c>
      <c r="B19" s="79"/>
      <c r="C19" s="79"/>
      <c r="D19" s="75"/>
      <c r="E19" s="75"/>
      <c r="F19" s="75"/>
      <c r="G19" s="75"/>
      <c r="H19" s="75"/>
      <c r="I19" s="75"/>
      <c r="J19" s="27"/>
      <c r="K19" s="68"/>
    </row>
    <row r="20" spans="1:12" s="13" customFormat="1" ht="25.5" x14ac:dyDescent="0.2">
      <c r="A20" s="65" t="s">
        <v>243</v>
      </c>
      <c r="B20" s="93">
        <f>'Respondent &amp; Agency Data'!F5-B21-B22</f>
        <v>1.5</v>
      </c>
      <c r="C20" s="79">
        <v>2</v>
      </c>
      <c r="D20" s="75">
        <f t="shared" si="2"/>
        <v>3</v>
      </c>
      <c r="E20" s="75">
        <f>E$16</f>
        <v>18</v>
      </c>
      <c r="F20" s="75">
        <f t="shared" si="3"/>
        <v>54</v>
      </c>
      <c r="G20" s="75">
        <f t="shared" si="4"/>
        <v>2.7</v>
      </c>
      <c r="H20" s="75">
        <f t="shared" si="5"/>
        <v>5.4</v>
      </c>
      <c r="I20" s="75"/>
      <c r="J20" s="27">
        <f t="shared" si="6"/>
        <v>3102.5699999999997</v>
      </c>
    </row>
    <row r="21" spans="1:12" s="13" customFormat="1" ht="15.75" customHeight="1" x14ac:dyDescent="0.2">
      <c r="A21" s="65" t="s">
        <v>237</v>
      </c>
      <c r="B21" s="79">
        <v>1</v>
      </c>
      <c r="C21" s="79">
        <v>2</v>
      </c>
      <c r="D21" s="75">
        <f t="shared" si="2"/>
        <v>2</v>
      </c>
      <c r="E21" s="75">
        <f>E$16</f>
        <v>18</v>
      </c>
      <c r="F21" s="75">
        <f t="shared" si="3"/>
        <v>36</v>
      </c>
      <c r="G21" s="75">
        <f t="shared" si="4"/>
        <v>1.8</v>
      </c>
      <c r="H21" s="75">
        <f t="shared" si="5"/>
        <v>3.6</v>
      </c>
      <c r="I21" s="75"/>
      <c r="J21" s="27">
        <f t="shared" si="6"/>
        <v>2068.38</v>
      </c>
    </row>
    <row r="22" spans="1:12" s="13" customFormat="1" x14ac:dyDescent="0.2">
      <c r="A22" s="65" t="s">
        <v>238</v>
      </c>
      <c r="B22" s="93">
        <v>0.5</v>
      </c>
      <c r="C22" s="79">
        <v>2</v>
      </c>
      <c r="D22" s="75">
        <f t="shared" si="2"/>
        <v>1</v>
      </c>
      <c r="E22" s="75">
        <f>E$16</f>
        <v>18</v>
      </c>
      <c r="F22" s="75">
        <f t="shared" si="3"/>
        <v>18</v>
      </c>
      <c r="G22" s="75">
        <f t="shared" si="4"/>
        <v>0.9</v>
      </c>
      <c r="H22" s="75">
        <f t="shared" si="5"/>
        <v>1.8</v>
      </c>
      <c r="I22" s="75"/>
      <c r="J22" s="27">
        <f t="shared" si="6"/>
        <v>1034.19</v>
      </c>
    </row>
    <row r="23" spans="1:12" s="13" customFormat="1" ht="18.75" customHeight="1" x14ac:dyDescent="0.2">
      <c r="A23" s="23" t="s">
        <v>248</v>
      </c>
      <c r="B23" s="79"/>
      <c r="C23" s="79"/>
      <c r="D23" s="75"/>
      <c r="E23" s="75"/>
      <c r="F23" s="75"/>
      <c r="G23" s="75"/>
      <c r="H23" s="75"/>
      <c r="I23" s="75"/>
      <c r="J23" s="27"/>
    </row>
    <row r="24" spans="1:12" s="13" customFormat="1" ht="15.75" x14ac:dyDescent="0.2">
      <c r="A24" s="31" t="s">
        <v>250</v>
      </c>
      <c r="B24" s="79"/>
      <c r="C24" s="79"/>
      <c r="D24" s="75"/>
      <c r="E24" s="75"/>
      <c r="F24" s="75"/>
      <c r="G24" s="75"/>
      <c r="H24" s="75"/>
      <c r="I24" s="75"/>
      <c r="J24" s="27"/>
    </row>
    <row r="25" spans="1:12" s="13" customFormat="1" x14ac:dyDescent="0.2">
      <c r="A25" s="65" t="s">
        <v>296</v>
      </c>
      <c r="B25" s="79">
        <v>8</v>
      </c>
      <c r="C25" s="79">
        <v>1</v>
      </c>
      <c r="D25" s="75">
        <f t="shared" si="2"/>
        <v>8</v>
      </c>
      <c r="E25" s="75">
        <f>'Respondent &amp; Agency Data'!B6</f>
        <v>22</v>
      </c>
      <c r="F25" s="75">
        <f t="shared" si="3"/>
        <v>176</v>
      </c>
      <c r="G25" s="75">
        <f t="shared" si="4"/>
        <v>8.8000000000000007</v>
      </c>
      <c r="H25" s="75">
        <f t="shared" si="5"/>
        <v>17.600000000000001</v>
      </c>
      <c r="I25" s="75"/>
      <c r="J25" s="27">
        <f t="shared" si="6"/>
        <v>10112.08</v>
      </c>
    </row>
    <row r="26" spans="1:12" s="13" customFormat="1" ht="25.5" x14ac:dyDescent="0.2">
      <c r="A26" s="65" t="s">
        <v>245</v>
      </c>
      <c r="B26" s="79">
        <f>'Respondent &amp; Agency Data'!E6-B25</f>
        <v>144</v>
      </c>
      <c r="C26" s="79">
        <v>1</v>
      </c>
      <c r="D26" s="75">
        <f t="shared" ref="D26:D27" si="9">B26*C26</f>
        <v>144</v>
      </c>
      <c r="E26" s="75">
        <f>E$25</f>
        <v>22</v>
      </c>
      <c r="F26" s="75">
        <f t="shared" ref="F26" si="10">ROUND(D26*E26,2)</f>
        <v>3168</v>
      </c>
      <c r="G26" s="75">
        <f t="shared" si="4"/>
        <v>158.4</v>
      </c>
      <c r="H26" s="75">
        <f t="shared" ref="H26" si="11">ROUND(F26*0.1, 2)</f>
        <v>316.8</v>
      </c>
      <c r="I26" s="75"/>
      <c r="J26" s="27">
        <f t="shared" ref="J26:J27" si="12">F26*$M$7+G26*$M$6+H26*$M$8+I26*$M$11</f>
        <v>182017.44</v>
      </c>
    </row>
    <row r="27" spans="1:12" s="13" customFormat="1" ht="15.75" x14ac:dyDescent="0.2">
      <c r="A27" s="65" t="s">
        <v>299</v>
      </c>
      <c r="B27" s="79">
        <f>0.2*B26</f>
        <v>28.8</v>
      </c>
      <c r="C27" s="79">
        <v>1</v>
      </c>
      <c r="D27" s="75">
        <f t="shared" si="9"/>
        <v>28.8</v>
      </c>
      <c r="E27" s="94">
        <f>E$25*0.05</f>
        <v>1.1000000000000001</v>
      </c>
      <c r="F27" s="75">
        <v>0</v>
      </c>
      <c r="G27" s="75">
        <v>0</v>
      </c>
      <c r="H27" s="75">
        <v>0</v>
      </c>
      <c r="I27" s="75">
        <f>B27*E27</f>
        <v>31.680000000000003</v>
      </c>
      <c r="J27" s="27">
        <f t="shared" si="12"/>
        <v>3885.8688000000002</v>
      </c>
    </row>
    <row r="28" spans="1:12" s="13" customFormat="1" ht="15.75" x14ac:dyDescent="0.2">
      <c r="A28" s="31" t="s">
        <v>255</v>
      </c>
      <c r="B28" s="79"/>
      <c r="C28" s="79"/>
      <c r="D28" s="75"/>
      <c r="E28" s="75"/>
      <c r="F28" s="75"/>
      <c r="G28" s="75"/>
      <c r="H28" s="75"/>
      <c r="I28" s="75"/>
      <c r="J28" s="27"/>
    </row>
    <row r="29" spans="1:12" s="13" customFormat="1" ht="25.5" x14ac:dyDescent="0.2">
      <c r="A29" s="65" t="s">
        <v>243</v>
      </c>
      <c r="B29" s="93">
        <f>'Respondent &amp; Agency Data'!F6-B30-B31-B32</f>
        <v>9.5</v>
      </c>
      <c r="C29" s="79">
        <v>2</v>
      </c>
      <c r="D29" s="75">
        <f t="shared" si="2"/>
        <v>19</v>
      </c>
      <c r="E29" s="75">
        <f>E$25</f>
        <v>22</v>
      </c>
      <c r="F29" s="75">
        <f t="shared" si="3"/>
        <v>418</v>
      </c>
      <c r="G29" s="75">
        <f t="shared" si="4"/>
        <v>20.9</v>
      </c>
      <c r="H29" s="75">
        <f t="shared" si="5"/>
        <v>41.8</v>
      </c>
      <c r="I29" s="75"/>
      <c r="J29" s="27">
        <f t="shared" si="6"/>
        <v>24016.190000000002</v>
      </c>
    </row>
    <row r="30" spans="1:12" s="13" customFormat="1" ht="15" customHeight="1" x14ac:dyDescent="0.2">
      <c r="A30" s="65" t="s">
        <v>239</v>
      </c>
      <c r="B30" s="93">
        <v>0.5</v>
      </c>
      <c r="C30" s="79">
        <v>2</v>
      </c>
      <c r="D30" s="75">
        <f t="shared" si="2"/>
        <v>1</v>
      </c>
      <c r="E30" s="75">
        <f>E$25</f>
        <v>22</v>
      </c>
      <c r="F30" s="75">
        <f t="shared" si="3"/>
        <v>22</v>
      </c>
      <c r="G30" s="75">
        <f>ROUND(F30*0.05,2)</f>
        <v>1.1000000000000001</v>
      </c>
      <c r="H30" s="75">
        <f t="shared" si="5"/>
        <v>2.2000000000000002</v>
      </c>
      <c r="I30" s="75"/>
      <c r="J30" s="27">
        <f t="shared" si="6"/>
        <v>1264.01</v>
      </c>
    </row>
    <row r="31" spans="1:12" s="13" customFormat="1" x14ac:dyDescent="0.2">
      <c r="A31" s="65" t="s">
        <v>240</v>
      </c>
      <c r="B31" s="93">
        <v>0.5</v>
      </c>
      <c r="C31" s="79">
        <v>2</v>
      </c>
      <c r="D31" s="75">
        <f t="shared" si="2"/>
        <v>1</v>
      </c>
      <c r="E31" s="75">
        <f>E$25</f>
        <v>22</v>
      </c>
      <c r="F31" s="75">
        <f t="shared" si="3"/>
        <v>22</v>
      </c>
      <c r="G31" s="75">
        <f t="shared" si="4"/>
        <v>1.1000000000000001</v>
      </c>
      <c r="H31" s="75">
        <f t="shared" si="5"/>
        <v>2.2000000000000002</v>
      </c>
      <c r="I31" s="75"/>
      <c r="J31" s="27">
        <f t="shared" si="6"/>
        <v>1264.01</v>
      </c>
    </row>
    <row r="32" spans="1:12" s="13" customFormat="1" x14ac:dyDescent="0.2">
      <c r="A32" s="65" t="s">
        <v>226</v>
      </c>
      <c r="B32" s="93">
        <v>0.5</v>
      </c>
      <c r="C32" s="79">
        <v>2</v>
      </c>
      <c r="D32" s="75">
        <f t="shared" si="2"/>
        <v>1</v>
      </c>
      <c r="E32" s="75">
        <f>E$25</f>
        <v>22</v>
      </c>
      <c r="F32" s="75">
        <f t="shared" si="3"/>
        <v>22</v>
      </c>
      <c r="G32" s="75">
        <f t="shared" si="4"/>
        <v>1.1000000000000001</v>
      </c>
      <c r="H32" s="75">
        <f t="shared" si="5"/>
        <v>2.2000000000000002</v>
      </c>
      <c r="I32" s="75"/>
      <c r="J32" s="27">
        <f t="shared" si="6"/>
        <v>1264.01</v>
      </c>
      <c r="L32" s="17"/>
    </row>
    <row r="33" spans="1:12" s="13" customFormat="1" ht="25.5" x14ac:dyDescent="0.2">
      <c r="A33" s="23" t="s">
        <v>307</v>
      </c>
      <c r="B33" s="79"/>
      <c r="C33" s="79"/>
      <c r="D33" s="75"/>
      <c r="E33" s="75"/>
      <c r="F33" s="75"/>
      <c r="G33" s="75"/>
      <c r="H33" s="75"/>
      <c r="I33" s="75"/>
      <c r="J33" s="27"/>
      <c r="L33" s="17"/>
    </row>
    <row r="34" spans="1:12" s="13" customFormat="1" ht="15.75" x14ac:dyDescent="0.2">
      <c r="A34" s="31" t="s">
        <v>334</v>
      </c>
      <c r="B34" s="79">
        <f>'Respondent &amp; Agency Data'!E7</f>
        <v>0</v>
      </c>
      <c r="C34" s="79">
        <v>0</v>
      </c>
      <c r="D34" s="75">
        <f t="shared" ref="D34" si="13">B34*C34</f>
        <v>0</v>
      </c>
      <c r="E34" s="75">
        <f>'Respondent &amp; Agency Data'!B15</f>
        <v>16</v>
      </c>
      <c r="F34" s="75">
        <f t="shared" ref="F34" si="14">ROUND(D34*E34,2)</f>
        <v>0</v>
      </c>
      <c r="G34" s="75">
        <f t="shared" ref="G34" si="15">ROUND(F34*0.05,2)</f>
        <v>0</v>
      </c>
      <c r="H34" s="75">
        <f t="shared" ref="H34" si="16">ROUND(F34*0.1, 2)</f>
        <v>0</v>
      </c>
      <c r="I34" s="75"/>
      <c r="J34" s="27">
        <f t="shared" ref="J34" si="17">F34*$M$7+G34*$M$6+H34*$M$8+I34*$M$11</f>
        <v>0</v>
      </c>
      <c r="L34" s="17"/>
    </row>
    <row r="35" spans="1:12" s="13" customFormat="1" ht="13.5" x14ac:dyDescent="0.25">
      <c r="A35" s="104" t="s">
        <v>210</v>
      </c>
      <c r="B35" s="95"/>
      <c r="C35" s="95"/>
      <c r="D35" s="96"/>
      <c r="E35" s="96"/>
      <c r="F35" s="127">
        <f>ROUNDDOWN(SUM(F5:H34), 0)</f>
        <v>5727</v>
      </c>
      <c r="G35" s="128"/>
      <c r="H35" s="129"/>
      <c r="I35" s="97">
        <f>SUM(I5:I34)</f>
        <v>40.680000000000007</v>
      </c>
      <c r="J35" s="36">
        <f>SUM(J5:J34)</f>
        <v>291115.70880000002</v>
      </c>
    </row>
    <row r="36" spans="1:12" s="13" customFormat="1" ht="15.75" x14ac:dyDescent="0.2">
      <c r="A36" s="23" t="s">
        <v>323</v>
      </c>
      <c r="B36" s="80"/>
      <c r="C36" s="80"/>
      <c r="D36" s="75"/>
      <c r="E36" s="75"/>
      <c r="F36" s="75"/>
      <c r="G36" s="75"/>
      <c r="H36" s="75"/>
      <c r="I36" s="75"/>
      <c r="J36" s="29"/>
    </row>
    <row r="37" spans="1:12" s="13" customFormat="1" x14ac:dyDescent="0.2">
      <c r="A37" s="31" t="s">
        <v>211</v>
      </c>
      <c r="B37" s="80">
        <v>1</v>
      </c>
      <c r="C37" s="80">
        <v>1</v>
      </c>
      <c r="D37" s="79">
        <f t="shared" ref="D37" si="18">B37*C37</f>
        <v>1</v>
      </c>
      <c r="E37" s="75">
        <f>'Respondent &amp; Agency Data'!B3-'Respondent &amp; Agency Data'!B7</f>
        <v>40</v>
      </c>
      <c r="F37" s="75">
        <f>ROUND(D37*E37,2)</f>
        <v>40</v>
      </c>
      <c r="G37" s="75">
        <f>ROUND(F37*0.05,2)</f>
        <v>2</v>
      </c>
      <c r="H37" s="75">
        <f>ROUND(F37*0.1, 2)</f>
        <v>4</v>
      </c>
      <c r="I37" s="75">
        <v>0</v>
      </c>
      <c r="J37" s="27">
        <f t="shared" ref="J37" si="19">F37*$M$7+G37*$M$6+H37*$M$8+I37*$M$11</f>
        <v>2298.1999999999998</v>
      </c>
    </row>
    <row r="38" spans="1:12" s="13" customFormat="1" x14ac:dyDescent="0.2">
      <c r="A38" s="31" t="s">
        <v>242</v>
      </c>
      <c r="B38" s="80">
        <v>0.5</v>
      </c>
      <c r="C38" s="98">
        <v>2</v>
      </c>
      <c r="D38" s="79">
        <f t="shared" ref="D38" si="20">B38*C38</f>
        <v>1</v>
      </c>
      <c r="E38" s="75">
        <f>E37</f>
        <v>40</v>
      </c>
      <c r="F38" s="75">
        <f t="shared" ref="F38" si="21">ROUND(D38*E38,2)</f>
        <v>40</v>
      </c>
      <c r="G38" s="75">
        <f t="shared" ref="G38" si="22">ROUND(F38*0.05,2)</f>
        <v>2</v>
      </c>
      <c r="H38" s="75">
        <f t="shared" ref="H38" si="23">ROUND(F38*0.1, 2)</f>
        <v>4</v>
      </c>
      <c r="I38" s="75">
        <v>0</v>
      </c>
      <c r="J38" s="27">
        <f t="shared" ref="J38" si="24">F38*$M$7+G38*$M$6+H38*$M$8+I38*$M$11</f>
        <v>2298.1999999999998</v>
      </c>
    </row>
    <row r="39" spans="1:12" s="13" customFormat="1" ht="13.5" x14ac:dyDescent="0.25">
      <c r="A39" s="104" t="s">
        <v>212</v>
      </c>
      <c r="B39" s="34"/>
      <c r="C39" s="34"/>
      <c r="D39" s="35"/>
      <c r="E39" s="35"/>
      <c r="F39" s="130">
        <f>ROUNDDOWN(SUM(F37:H38), 0)</f>
        <v>92</v>
      </c>
      <c r="G39" s="131"/>
      <c r="H39" s="132"/>
      <c r="I39" s="56"/>
      <c r="J39" s="36">
        <f>SUM(J37:J38)</f>
        <v>4596.3999999999996</v>
      </c>
    </row>
    <row r="40" spans="1:12" s="13" customFormat="1" ht="15.75" x14ac:dyDescent="0.2">
      <c r="A40" s="37" t="s">
        <v>324</v>
      </c>
      <c r="B40" s="34"/>
      <c r="C40" s="38"/>
      <c r="D40" s="37"/>
      <c r="E40" s="38"/>
      <c r="F40" s="133">
        <f>(F35+F39)</f>
        <v>5819</v>
      </c>
      <c r="G40" s="133"/>
      <c r="H40" s="133"/>
      <c r="I40" s="40"/>
      <c r="J40" s="39">
        <f>ROUND(J35+J39, -2)</f>
        <v>295700</v>
      </c>
    </row>
    <row r="41" spans="1:12" s="13" customFormat="1" ht="15.75" x14ac:dyDescent="0.2">
      <c r="A41" s="37" t="s">
        <v>325</v>
      </c>
      <c r="B41" s="34"/>
      <c r="C41" s="38"/>
      <c r="D41" s="37"/>
      <c r="E41" s="38"/>
      <c r="F41" s="40"/>
      <c r="G41" s="40"/>
      <c r="H41" s="40"/>
      <c r="I41" s="40"/>
      <c r="J41" s="39">
        <v>0</v>
      </c>
    </row>
    <row r="42" spans="1:12" s="13" customFormat="1" ht="15.75" x14ac:dyDescent="0.2">
      <c r="A42" s="37" t="s">
        <v>326</v>
      </c>
      <c r="B42" s="34"/>
      <c r="C42" s="38"/>
      <c r="D42" s="37"/>
      <c r="E42" s="38"/>
      <c r="F42" s="40"/>
      <c r="G42" s="40"/>
      <c r="H42" s="40"/>
      <c r="I42" s="40"/>
      <c r="J42" s="39">
        <f>ROUND(J40+J41, -2)</f>
        <v>295700</v>
      </c>
    </row>
    <row r="43" spans="1:12" s="13" customFormat="1" x14ac:dyDescent="0.2">
      <c r="A43" s="42"/>
      <c r="B43" s="43"/>
      <c r="C43" s="44"/>
      <c r="D43" s="44"/>
      <c r="E43" s="45"/>
      <c r="F43" s="41"/>
    </row>
    <row r="44" spans="1:12" s="13" customFormat="1" x14ac:dyDescent="0.2">
      <c r="A44" s="46" t="s">
        <v>213</v>
      </c>
    </row>
    <row r="45" spans="1:12" s="13" customFormat="1" ht="30" customHeight="1" x14ac:dyDescent="0.2">
      <c r="A45" s="138" t="s">
        <v>335</v>
      </c>
      <c r="B45" s="138"/>
      <c r="C45" s="138"/>
      <c r="D45" s="138"/>
      <c r="E45" s="138"/>
      <c r="F45" s="138"/>
      <c r="G45" s="138"/>
      <c r="H45" s="138"/>
      <c r="I45" s="138"/>
      <c r="J45" s="138"/>
    </row>
    <row r="46" spans="1:12" s="13" customFormat="1" ht="43.5" customHeight="1" x14ac:dyDescent="0.2">
      <c r="A46" s="136" t="s">
        <v>300</v>
      </c>
      <c r="B46" s="136"/>
      <c r="C46" s="136"/>
      <c r="D46" s="136"/>
      <c r="E46" s="136"/>
      <c r="F46" s="136"/>
      <c r="G46" s="136"/>
      <c r="H46" s="136"/>
      <c r="I46" s="136"/>
      <c r="J46" s="136"/>
      <c r="K46" s="17"/>
    </row>
    <row r="47" spans="1:12" s="13" customFormat="1" ht="45" customHeight="1" x14ac:dyDescent="0.2">
      <c r="A47" s="137" t="s">
        <v>219</v>
      </c>
      <c r="B47" s="137"/>
      <c r="C47" s="137"/>
      <c r="D47" s="137"/>
      <c r="E47" s="137"/>
      <c r="F47" s="137"/>
      <c r="G47" s="137"/>
      <c r="H47" s="137"/>
      <c r="I47" s="137"/>
      <c r="J47" s="137"/>
      <c r="K47" s="66"/>
    </row>
    <row r="48" spans="1:12" s="13" customFormat="1" ht="44.25" customHeight="1" x14ac:dyDescent="0.2">
      <c r="A48" s="137" t="s">
        <v>301</v>
      </c>
      <c r="B48" s="137"/>
      <c r="C48" s="137"/>
      <c r="D48" s="137"/>
      <c r="E48" s="137"/>
      <c r="F48" s="137"/>
      <c r="G48" s="137"/>
      <c r="H48" s="137"/>
      <c r="I48" s="137"/>
      <c r="J48" s="137"/>
      <c r="K48" s="66"/>
    </row>
    <row r="49" spans="1:11" s="13" customFormat="1" ht="35.25" customHeight="1" x14ac:dyDescent="0.2">
      <c r="A49" s="137" t="s">
        <v>337</v>
      </c>
      <c r="B49" s="137"/>
      <c r="C49" s="137"/>
      <c r="D49" s="137"/>
      <c r="E49" s="137"/>
      <c r="F49" s="137"/>
      <c r="G49" s="137"/>
      <c r="H49" s="137"/>
      <c r="I49" s="137"/>
      <c r="J49" s="137"/>
      <c r="K49" s="66"/>
    </row>
    <row r="50" spans="1:11" s="13" customFormat="1" ht="18.75" customHeight="1" x14ac:dyDescent="0.2">
      <c r="A50" s="137" t="s">
        <v>256</v>
      </c>
      <c r="B50" s="137"/>
      <c r="C50" s="137"/>
      <c r="D50" s="137"/>
      <c r="E50" s="137"/>
      <c r="F50" s="137"/>
      <c r="G50" s="137"/>
      <c r="H50" s="137"/>
      <c r="I50" s="137"/>
      <c r="J50" s="137"/>
    </row>
    <row r="51" spans="1:11" s="13" customFormat="1" ht="19.5" customHeight="1" x14ac:dyDescent="0.2">
      <c r="A51" s="137" t="s">
        <v>327</v>
      </c>
      <c r="B51" s="137"/>
      <c r="C51" s="137"/>
      <c r="D51" s="137"/>
      <c r="E51" s="137"/>
      <c r="F51" s="137"/>
      <c r="G51" s="137"/>
      <c r="H51" s="137"/>
      <c r="I51" s="137"/>
      <c r="J51" s="137"/>
    </row>
    <row r="52" spans="1:11" s="13" customFormat="1" ht="17.25" customHeight="1" x14ac:dyDescent="0.2">
      <c r="A52" s="137" t="s">
        <v>336</v>
      </c>
      <c r="B52" s="137"/>
      <c r="C52" s="137"/>
      <c r="D52" s="137"/>
      <c r="E52" s="137"/>
      <c r="F52" s="137"/>
      <c r="G52" s="137"/>
      <c r="H52" s="137"/>
      <c r="I52" s="137"/>
      <c r="J52" s="137"/>
      <c r="K52" s="17"/>
    </row>
    <row r="53" spans="1:11" s="13" customFormat="1" ht="15" customHeight="1" x14ac:dyDescent="0.2">
      <c r="A53" s="134" t="s">
        <v>343</v>
      </c>
      <c r="B53" s="134"/>
      <c r="C53" s="134"/>
      <c r="D53" s="134"/>
      <c r="E53" s="134"/>
      <c r="F53" s="134"/>
      <c r="G53" s="134"/>
      <c r="H53" s="134"/>
      <c r="I53" s="134"/>
      <c r="J53" s="134"/>
    </row>
    <row r="54" spans="1:11" s="13" customFormat="1" ht="18" customHeight="1" x14ac:dyDescent="0.2">
      <c r="A54" s="47"/>
      <c r="B54" s="47"/>
      <c r="C54" s="47"/>
      <c r="D54" s="47"/>
      <c r="E54" s="47"/>
      <c r="F54" s="47"/>
      <c r="G54" s="47"/>
      <c r="H54" s="47"/>
      <c r="I54" s="47"/>
      <c r="J54" s="47"/>
    </row>
    <row r="55" spans="1:11" ht="18" customHeight="1" x14ac:dyDescent="0.2"/>
    <row r="56" spans="1:11" ht="18" customHeight="1" x14ac:dyDescent="0.2"/>
    <row r="57" spans="1:11" ht="18" customHeight="1" x14ac:dyDescent="0.2"/>
    <row r="58" spans="1:11" ht="18" customHeight="1" x14ac:dyDescent="0.2"/>
    <row r="59" spans="1:11" ht="18" customHeight="1" x14ac:dyDescent="0.2"/>
  </sheetData>
  <mergeCells count="16">
    <mergeCell ref="A53:J53"/>
    <mergeCell ref="L5:M5"/>
    <mergeCell ref="L10:M10"/>
    <mergeCell ref="A46:J46"/>
    <mergeCell ref="A47:J47"/>
    <mergeCell ref="A48:J48"/>
    <mergeCell ref="A50:J50"/>
    <mergeCell ref="A52:J52"/>
    <mergeCell ref="A45:J45"/>
    <mergeCell ref="A49:J49"/>
    <mergeCell ref="A51:J51"/>
    <mergeCell ref="A1:J1"/>
    <mergeCell ref="A3:A4"/>
    <mergeCell ref="F35:H35"/>
    <mergeCell ref="F39:H39"/>
    <mergeCell ref="F40:H4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D27FE-BD36-4F83-8378-5775D528B422}">
  <dimension ref="A1:R57"/>
  <sheetViews>
    <sheetView topLeftCell="A31" workbookViewId="0">
      <selection activeCell="M40" sqref="M40"/>
    </sheetView>
  </sheetViews>
  <sheetFormatPr defaultColWidth="9.140625" defaultRowHeight="12.75" x14ac:dyDescent="0.2"/>
  <cols>
    <col min="1" max="1" width="44.42578125" style="47" customWidth="1"/>
    <col min="2" max="2" width="12.7109375" style="47" customWidth="1"/>
    <col min="3" max="3" width="12.5703125" style="47" customWidth="1"/>
    <col min="4" max="4" width="13.42578125" style="47" customWidth="1"/>
    <col min="5" max="5" width="11.140625" style="47" customWidth="1"/>
    <col min="6" max="6" width="10.28515625" style="47" customWidth="1"/>
    <col min="7" max="7" width="11.85546875" style="47" customWidth="1"/>
    <col min="8" max="9" width="12.140625" style="47" customWidth="1"/>
    <col min="10" max="10" width="13.85546875" style="47" bestFit="1" customWidth="1"/>
    <col min="11" max="11" width="6.85546875" style="13" customWidth="1"/>
    <col min="12" max="12" width="13" style="13" customWidth="1"/>
    <col min="13" max="13" width="15" style="13" customWidth="1"/>
    <col min="14" max="16384" width="9.140625" style="47"/>
  </cols>
  <sheetData>
    <row r="1" spans="1:18" s="13" customFormat="1" ht="19.5" customHeight="1" x14ac:dyDescent="0.2">
      <c r="A1" s="124" t="s">
        <v>258</v>
      </c>
      <c r="B1" s="124"/>
      <c r="C1" s="124"/>
      <c r="D1" s="124"/>
      <c r="E1" s="124"/>
      <c r="F1" s="124"/>
      <c r="G1" s="124"/>
      <c r="H1" s="124"/>
      <c r="I1" s="124"/>
      <c r="J1" s="124"/>
    </row>
    <row r="2" spans="1:18" s="13" customFormat="1" x14ac:dyDescent="0.2">
      <c r="A2" s="46" t="s">
        <v>259</v>
      </c>
      <c r="E2" s="14"/>
      <c r="J2" s="16"/>
      <c r="L2" s="17"/>
    </row>
    <row r="3" spans="1:18" s="13" customFormat="1" ht="12.75" customHeight="1" x14ac:dyDescent="0.2">
      <c r="A3" s="125" t="s">
        <v>342</v>
      </c>
      <c r="B3" s="18" t="s">
        <v>194</v>
      </c>
      <c r="C3" s="18" t="s">
        <v>195</v>
      </c>
      <c r="D3" s="18" t="s">
        <v>196</v>
      </c>
      <c r="E3" s="18" t="s">
        <v>197</v>
      </c>
      <c r="F3" s="18" t="s">
        <v>198</v>
      </c>
      <c r="G3" s="18" t="s">
        <v>199</v>
      </c>
      <c r="H3" s="18" t="s">
        <v>200</v>
      </c>
      <c r="I3" s="19" t="s">
        <v>201</v>
      </c>
      <c r="J3" s="19" t="s">
        <v>225</v>
      </c>
    </row>
    <row r="4" spans="1:18" s="22" customFormat="1" ht="51" x14ac:dyDescent="0.2">
      <c r="A4" s="126"/>
      <c r="B4" s="20" t="s">
        <v>202</v>
      </c>
      <c r="C4" s="20" t="s">
        <v>203</v>
      </c>
      <c r="D4" s="20" t="s">
        <v>204</v>
      </c>
      <c r="E4" s="20" t="s">
        <v>205</v>
      </c>
      <c r="F4" s="20" t="s">
        <v>206</v>
      </c>
      <c r="G4" s="20" t="s">
        <v>207</v>
      </c>
      <c r="H4" s="20" t="s">
        <v>208</v>
      </c>
      <c r="I4" s="20" t="s">
        <v>298</v>
      </c>
      <c r="J4" s="21" t="s">
        <v>241</v>
      </c>
    </row>
    <row r="5" spans="1:18" s="13" customFormat="1" ht="25.5" x14ac:dyDescent="0.2">
      <c r="A5" s="23" t="s">
        <v>246</v>
      </c>
      <c r="B5" s="24"/>
      <c r="C5" s="24"/>
      <c r="D5" s="25"/>
      <c r="E5" s="24"/>
      <c r="F5" s="25"/>
      <c r="G5" s="26"/>
      <c r="H5" s="26"/>
      <c r="I5" s="26"/>
      <c r="J5" s="27"/>
      <c r="L5" s="135" t="s">
        <v>220</v>
      </c>
      <c r="M5" s="135"/>
    </row>
    <row r="6" spans="1:18" s="13" customFormat="1" ht="16.5" customHeight="1" x14ac:dyDescent="0.2">
      <c r="A6" s="31" t="s">
        <v>250</v>
      </c>
      <c r="B6" s="24"/>
      <c r="C6" s="24"/>
      <c r="D6" s="25"/>
      <c r="E6" s="24"/>
      <c r="F6" s="25"/>
      <c r="G6" s="26"/>
      <c r="H6" s="26"/>
      <c r="I6" s="26"/>
      <c r="J6" s="27"/>
      <c r="L6" s="32" t="s">
        <v>221</v>
      </c>
      <c r="M6" s="55">
        <f>'Agency Yr1'!L7</f>
        <v>69.040000000000006</v>
      </c>
      <c r="N6" s="28"/>
      <c r="O6" s="28"/>
      <c r="P6" s="28"/>
      <c r="Q6" s="28"/>
      <c r="R6" s="28"/>
    </row>
    <row r="7" spans="1:18" s="13" customFormat="1" x14ac:dyDescent="0.2">
      <c r="A7" s="65" t="s">
        <v>227</v>
      </c>
      <c r="B7" s="79">
        <f>'Respondent Yr1'!B7</f>
        <v>48</v>
      </c>
      <c r="C7" s="79">
        <v>1</v>
      </c>
      <c r="D7" s="75">
        <f>B7*C7</f>
        <v>48</v>
      </c>
      <c r="E7" s="75">
        <f>'Respondent &amp; Agency Data'!C4</f>
        <v>6</v>
      </c>
      <c r="F7" s="75">
        <f>ROUND(D7*E7,2)</f>
        <v>288</v>
      </c>
      <c r="G7" s="75">
        <f>ROUND(F7*0.05,2)</f>
        <v>14.4</v>
      </c>
      <c r="H7" s="75">
        <f>ROUND(F7*0.1, 2)</f>
        <v>28.8</v>
      </c>
      <c r="I7" s="75"/>
      <c r="J7" s="27">
        <f t="shared" ref="J7:J9" si="0">F7*$M$7+G7*$M$6+H7*$M$8+I7*$M$11</f>
        <v>16547.04</v>
      </c>
      <c r="L7" s="32" t="s">
        <v>222</v>
      </c>
      <c r="M7" s="55">
        <f>'Agency Yr1'!L8</f>
        <v>51.23</v>
      </c>
      <c r="N7" s="28"/>
      <c r="O7" s="28"/>
      <c r="P7" s="28"/>
      <c r="Q7" s="28"/>
      <c r="R7" s="28"/>
    </row>
    <row r="8" spans="1:18" s="13" customFormat="1" ht="25.5" x14ac:dyDescent="0.2">
      <c r="A8" s="65" t="s">
        <v>244</v>
      </c>
      <c r="B8" s="79">
        <f>'Respondent Yr1'!B8</f>
        <v>192</v>
      </c>
      <c r="C8" s="79">
        <v>1</v>
      </c>
      <c r="D8" s="75">
        <f>B8*C8</f>
        <v>192</v>
      </c>
      <c r="E8" s="75">
        <f>E$7</f>
        <v>6</v>
      </c>
      <c r="F8" s="75">
        <f>ROUND(D8*E8,2)</f>
        <v>1152</v>
      </c>
      <c r="G8" s="75">
        <f>ROUND(F8*0.05,2)</f>
        <v>57.6</v>
      </c>
      <c r="H8" s="75">
        <f>ROUND(F8*0.1, 2)</f>
        <v>115.2</v>
      </c>
      <c r="I8" s="75"/>
      <c r="J8" s="27">
        <f t="shared" si="0"/>
        <v>66188.160000000003</v>
      </c>
      <c r="L8" s="32" t="s">
        <v>223</v>
      </c>
      <c r="M8" s="55">
        <f>'Agency Yr1'!L9</f>
        <v>27.73</v>
      </c>
      <c r="N8" s="28"/>
      <c r="O8" s="28"/>
      <c r="P8" s="28"/>
      <c r="Q8" s="28"/>
      <c r="R8" s="28"/>
    </row>
    <row r="9" spans="1:18" s="13" customFormat="1" ht="15.75" x14ac:dyDescent="0.2">
      <c r="A9" s="65" t="s">
        <v>299</v>
      </c>
      <c r="B9" s="79">
        <f>'Respondent Yr1'!B9</f>
        <v>38.400000000000006</v>
      </c>
      <c r="C9" s="79">
        <v>1</v>
      </c>
      <c r="D9" s="75">
        <f>B9*C9</f>
        <v>38.400000000000006</v>
      </c>
      <c r="E9" s="94">
        <f>0.05*E8</f>
        <v>0.30000000000000004</v>
      </c>
      <c r="F9" s="75">
        <v>0</v>
      </c>
      <c r="G9" s="75">
        <v>0</v>
      </c>
      <c r="H9" s="75">
        <v>0</v>
      </c>
      <c r="I9" s="75">
        <f>E9*D9</f>
        <v>11.520000000000003</v>
      </c>
      <c r="J9" s="27">
        <f t="shared" si="0"/>
        <v>1413.0432000000003</v>
      </c>
    </row>
    <row r="10" spans="1:18" s="13" customFormat="1" ht="15.75" x14ac:dyDescent="0.2">
      <c r="A10" s="31" t="s">
        <v>255</v>
      </c>
      <c r="B10" s="79"/>
      <c r="C10" s="79"/>
      <c r="D10" s="75"/>
      <c r="E10" s="75"/>
      <c r="F10" s="75"/>
      <c r="G10" s="75"/>
      <c r="H10" s="75"/>
      <c r="I10" s="75"/>
      <c r="J10" s="27"/>
      <c r="L10" s="135" t="s">
        <v>297</v>
      </c>
      <c r="M10" s="135"/>
    </row>
    <row r="11" spans="1:18" s="13" customFormat="1" ht="18" customHeight="1" x14ac:dyDescent="0.2">
      <c r="A11" s="65" t="s">
        <v>243</v>
      </c>
      <c r="B11" s="79">
        <f>'Respondent Yr1'!B11</f>
        <v>0.5</v>
      </c>
      <c r="C11" s="79">
        <v>2</v>
      </c>
      <c r="D11" s="75">
        <f t="shared" ref="D11:D31" si="1">B11*C11</f>
        <v>1</v>
      </c>
      <c r="E11" s="75">
        <f>E$7</f>
        <v>6</v>
      </c>
      <c r="F11" s="75">
        <f t="shared" ref="F11:F31" si="2">ROUND(D11*E11,2)</f>
        <v>6</v>
      </c>
      <c r="G11" s="75">
        <f t="shared" ref="G11:G31" si="3">ROUND(F11*0.05,2)</f>
        <v>0.3</v>
      </c>
      <c r="H11" s="75">
        <f t="shared" ref="H11:H31" si="4">ROUND(F11*0.1, 2)</f>
        <v>0.6</v>
      </c>
      <c r="I11" s="75"/>
      <c r="J11" s="27">
        <f t="shared" ref="J11:J31" si="5">F11*$M$7+G11*$M$6+H11*$M$8+I11*$M$11</f>
        <v>344.72999999999996</v>
      </c>
      <c r="L11" s="32" t="s">
        <v>222</v>
      </c>
      <c r="M11" s="15">
        <v>122.66</v>
      </c>
    </row>
    <row r="12" spans="1:18" s="13" customFormat="1" ht="15.75" customHeight="1" x14ac:dyDescent="0.2">
      <c r="A12" s="65" t="s">
        <v>235</v>
      </c>
      <c r="B12" s="111">
        <f>'Respondent Yr1'!B12</f>
        <v>0.25</v>
      </c>
      <c r="C12" s="79">
        <v>2</v>
      </c>
      <c r="D12" s="75">
        <f t="shared" si="1"/>
        <v>0.5</v>
      </c>
      <c r="E12" s="75">
        <f>E$7</f>
        <v>6</v>
      </c>
      <c r="F12" s="75">
        <f t="shared" si="2"/>
        <v>3</v>
      </c>
      <c r="G12" s="75">
        <f t="shared" si="3"/>
        <v>0.15</v>
      </c>
      <c r="H12" s="75">
        <f t="shared" si="4"/>
        <v>0.3</v>
      </c>
      <c r="I12" s="75"/>
      <c r="J12" s="27">
        <f t="shared" si="5"/>
        <v>172.36499999999998</v>
      </c>
    </row>
    <row r="13" spans="1:18" s="13" customFormat="1" x14ac:dyDescent="0.2">
      <c r="A13" s="65" t="s">
        <v>236</v>
      </c>
      <c r="B13" s="111">
        <f>'Respondent Yr1'!B13</f>
        <v>0.25</v>
      </c>
      <c r="C13" s="79">
        <v>2</v>
      </c>
      <c r="D13" s="75">
        <f t="shared" si="1"/>
        <v>0.5</v>
      </c>
      <c r="E13" s="75">
        <f>E$7</f>
        <v>6</v>
      </c>
      <c r="F13" s="75">
        <f t="shared" si="2"/>
        <v>3</v>
      </c>
      <c r="G13" s="75">
        <f t="shared" si="3"/>
        <v>0.15</v>
      </c>
      <c r="H13" s="75">
        <f t="shared" si="4"/>
        <v>0.3</v>
      </c>
      <c r="I13" s="75"/>
      <c r="J13" s="27">
        <f t="shared" si="5"/>
        <v>172.36499999999998</v>
      </c>
    </row>
    <row r="14" spans="1:18" s="13" customFormat="1" ht="25.5" x14ac:dyDescent="0.2">
      <c r="A14" s="23" t="s">
        <v>247</v>
      </c>
      <c r="B14" s="79"/>
      <c r="C14" s="79"/>
      <c r="D14" s="75"/>
      <c r="E14" s="75"/>
      <c r="F14" s="75"/>
      <c r="G14" s="75"/>
      <c r="H14" s="75"/>
      <c r="I14" s="75"/>
      <c r="J14" s="27"/>
    </row>
    <row r="15" spans="1:18" s="13" customFormat="1" ht="15.75" x14ac:dyDescent="0.2">
      <c r="A15" s="31" t="s">
        <v>250</v>
      </c>
      <c r="B15" s="79"/>
      <c r="C15" s="79"/>
      <c r="D15" s="75"/>
      <c r="E15" s="75"/>
      <c r="F15" s="75"/>
      <c r="G15" s="75"/>
      <c r="H15" s="75"/>
      <c r="I15" s="75"/>
      <c r="J15" s="27"/>
    </row>
    <row r="16" spans="1:18" s="13" customFormat="1" x14ac:dyDescent="0.2">
      <c r="A16" s="65" t="s">
        <v>296</v>
      </c>
      <c r="B16" s="79">
        <f>'Respondent Yr1'!B16</f>
        <v>8</v>
      </c>
      <c r="C16" s="79">
        <v>1</v>
      </c>
      <c r="D16" s="75">
        <f t="shared" si="1"/>
        <v>8</v>
      </c>
      <c r="E16" s="75">
        <v>0</v>
      </c>
      <c r="F16" s="75">
        <f t="shared" si="2"/>
        <v>0</v>
      </c>
      <c r="G16" s="75">
        <f t="shared" si="3"/>
        <v>0</v>
      </c>
      <c r="H16" s="75">
        <f t="shared" si="4"/>
        <v>0</v>
      </c>
      <c r="I16" s="75"/>
      <c r="J16" s="27">
        <f t="shared" si="5"/>
        <v>0</v>
      </c>
    </row>
    <row r="17" spans="1:11" s="13" customFormat="1" ht="25.5" x14ac:dyDescent="0.2">
      <c r="A17" s="65" t="s">
        <v>245</v>
      </c>
      <c r="B17" s="79">
        <f>'Respondent Yr1'!B17</f>
        <v>50</v>
      </c>
      <c r="C17" s="79">
        <v>1</v>
      </c>
      <c r="D17" s="75">
        <f>B17*C17</f>
        <v>50</v>
      </c>
      <c r="E17" s="75">
        <v>0</v>
      </c>
      <c r="F17" s="75">
        <f>ROUND(D17*E17,2)</f>
        <v>0</v>
      </c>
      <c r="G17" s="75">
        <f>ROUND(F17*0.05,2)</f>
        <v>0</v>
      </c>
      <c r="H17" s="75">
        <f>ROUND(F17*0.1, 2)</f>
        <v>0</v>
      </c>
      <c r="I17" s="75"/>
      <c r="J17" s="27">
        <f>F17*$M$7+G17*$M$6+H17*$M$8+I17*$M$11</f>
        <v>0</v>
      </c>
    </row>
    <row r="18" spans="1:11" s="13" customFormat="1" ht="15.75" x14ac:dyDescent="0.2">
      <c r="A18" s="65" t="s">
        <v>299</v>
      </c>
      <c r="B18" s="79">
        <f>'Respondent Yr1'!B18</f>
        <v>10</v>
      </c>
      <c r="C18" s="79">
        <v>1</v>
      </c>
      <c r="D18" s="75">
        <f t="shared" ref="D18" si="6">B18*C18</f>
        <v>10</v>
      </c>
      <c r="E18" s="75">
        <f>0.05*E17</f>
        <v>0</v>
      </c>
      <c r="F18" s="75">
        <v>0</v>
      </c>
      <c r="G18" s="75">
        <v>0</v>
      </c>
      <c r="H18" s="75">
        <v>0</v>
      </c>
      <c r="I18" s="75">
        <f>E18*D18</f>
        <v>0</v>
      </c>
      <c r="J18" s="27">
        <f t="shared" ref="J18" si="7">F18*$M$7+G18*$M$6+H18*$M$8+I18*$M$11</f>
        <v>0</v>
      </c>
    </row>
    <row r="19" spans="1:11" s="13" customFormat="1" ht="15.75" x14ac:dyDescent="0.2">
      <c r="A19" s="31" t="s">
        <v>255</v>
      </c>
      <c r="B19" s="79"/>
      <c r="C19" s="79"/>
      <c r="D19" s="75"/>
      <c r="E19" s="75"/>
      <c r="F19" s="75"/>
      <c r="G19" s="75"/>
      <c r="H19" s="75"/>
      <c r="I19" s="75"/>
      <c r="J19" s="27"/>
      <c r="K19" s="68"/>
    </row>
    <row r="20" spans="1:11" s="13" customFormat="1" ht="25.5" x14ac:dyDescent="0.2">
      <c r="A20" s="65" t="s">
        <v>243</v>
      </c>
      <c r="B20" s="79">
        <f>'Respondent Yr1'!B20</f>
        <v>1.5</v>
      </c>
      <c r="C20" s="79">
        <v>2</v>
      </c>
      <c r="D20" s="75">
        <f t="shared" si="1"/>
        <v>3</v>
      </c>
      <c r="E20" s="75">
        <f>'Respondent &amp; Agency Data'!C5</f>
        <v>15</v>
      </c>
      <c r="F20" s="75">
        <f t="shared" si="2"/>
        <v>45</v>
      </c>
      <c r="G20" s="75">
        <f t="shared" si="3"/>
        <v>2.25</v>
      </c>
      <c r="H20" s="75">
        <f t="shared" si="4"/>
        <v>4.5</v>
      </c>
      <c r="I20" s="75"/>
      <c r="J20" s="27">
        <f t="shared" si="5"/>
        <v>2585.4749999999999</v>
      </c>
    </row>
    <row r="21" spans="1:11" s="13" customFormat="1" ht="15.75" customHeight="1" x14ac:dyDescent="0.2">
      <c r="A21" s="65" t="s">
        <v>237</v>
      </c>
      <c r="B21" s="79">
        <f>'Respondent Yr1'!B21</f>
        <v>1</v>
      </c>
      <c r="C21" s="79">
        <v>2</v>
      </c>
      <c r="D21" s="75">
        <f t="shared" si="1"/>
        <v>2</v>
      </c>
      <c r="E21" s="75">
        <f>E20</f>
        <v>15</v>
      </c>
      <c r="F21" s="75">
        <f t="shared" si="2"/>
        <v>30</v>
      </c>
      <c r="G21" s="75">
        <f t="shared" si="3"/>
        <v>1.5</v>
      </c>
      <c r="H21" s="75">
        <f t="shared" si="4"/>
        <v>3</v>
      </c>
      <c r="I21" s="75"/>
      <c r="J21" s="27">
        <f t="shared" si="5"/>
        <v>1723.6499999999999</v>
      </c>
    </row>
    <row r="22" spans="1:11" s="13" customFormat="1" x14ac:dyDescent="0.2">
      <c r="A22" s="65" t="s">
        <v>238</v>
      </c>
      <c r="B22" s="93">
        <f>'Respondent Yr1'!B22</f>
        <v>0.5</v>
      </c>
      <c r="C22" s="79">
        <v>2</v>
      </c>
      <c r="D22" s="75">
        <f t="shared" si="1"/>
        <v>1</v>
      </c>
      <c r="E22" s="75">
        <f>E20</f>
        <v>15</v>
      </c>
      <c r="F22" s="75">
        <f t="shared" si="2"/>
        <v>15</v>
      </c>
      <c r="G22" s="75">
        <f t="shared" si="3"/>
        <v>0.75</v>
      </c>
      <c r="H22" s="75">
        <f t="shared" si="4"/>
        <v>1.5</v>
      </c>
      <c r="I22" s="75"/>
      <c r="J22" s="27">
        <f t="shared" si="5"/>
        <v>861.82499999999993</v>
      </c>
    </row>
    <row r="23" spans="1:11" s="13" customFormat="1" ht="25.5" x14ac:dyDescent="0.2">
      <c r="A23" s="23" t="s">
        <v>248</v>
      </c>
      <c r="B23" s="79"/>
      <c r="C23" s="79"/>
      <c r="D23" s="75"/>
      <c r="E23" s="75"/>
      <c r="F23" s="75"/>
      <c r="G23" s="75"/>
      <c r="H23" s="75"/>
      <c r="I23" s="75"/>
      <c r="J23" s="27"/>
    </row>
    <row r="24" spans="1:11" s="13" customFormat="1" ht="15.75" x14ac:dyDescent="0.2">
      <c r="A24" s="31" t="s">
        <v>250</v>
      </c>
      <c r="B24" s="79"/>
      <c r="C24" s="79"/>
      <c r="D24" s="75"/>
      <c r="E24" s="75"/>
      <c r="F24" s="75"/>
      <c r="G24" s="75"/>
      <c r="H24" s="75"/>
      <c r="I24" s="75"/>
      <c r="J24" s="27"/>
    </row>
    <row r="25" spans="1:11" s="13" customFormat="1" x14ac:dyDescent="0.2">
      <c r="A25" s="65" t="s">
        <v>296</v>
      </c>
      <c r="B25" s="79">
        <f>'Respondent Yr1'!B25</f>
        <v>8</v>
      </c>
      <c r="C25" s="79">
        <v>1</v>
      </c>
      <c r="D25" s="75">
        <f t="shared" si="1"/>
        <v>8</v>
      </c>
      <c r="E25" s="76">
        <v>0</v>
      </c>
      <c r="F25" s="75">
        <f>ROUND(D25*E25,2)</f>
        <v>0</v>
      </c>
      <c r="G25" s="75">
        <f t="shared" si="3"/>
        <v>0</v>
      </c>
      <c r="H25" s="75">
        <f t="shared" si="4"/>
        <v>0</v>
      </c>
      <c r="I25" s="75"/>
      <c r="J25" s="27">
        <f t="shared" si="5"/>
        <v>0</v>
      </c>
    </row>
    <row r="26" spans="1:11" s="13" customFormat="1" ht="25.5" x14ac:dyDescent="0.2">
      <c r="A26" s="65" t="s">
        <v>245</v>
      </c>
      <c r="B26" s="79">
        <f>'Respondent Yr1'!B26</f>
        <v>144</v>
      </c>
      <c r="C26" s="79">
        <v>1</v>
      </c>
      <c r="D26" s="75">
        <f t="shared" si="1"/>
        <v>144</v>
      </c>
      <c r="E26" s="75">
        <v>0</v>
      </c>
      <c r="F26" s="75">
        <f t="shared" si="2"/>
        <v>0</v>
      </c>
      <c r="G26" s="75">
        <f t="shared" si="3"/>
        <v>0</v>
      </c>
      <c r="H26" s="75">
        <f t="shared" si="4"/>
        <v>0</v>
      </c>
      <c r="I26" s="75"/>
      <c r="J26" s="27">
        <f t="shared" si="5"/>
        <v>0</v>
      </c>
    </row>
    <row r="27" spans="1:11" s="13" customFormat="1" ht="15.75" x14ac:dyDescent="0.2">
      <c r="A27" s="65" t="s">
        <v>299</v>
      </c>
      <c r="B27" s="79">
        <f>'Respondent Yr1'!B27</f>
        <v>28.8</v>
      </c>
      <c r="C27" s="79">
        <v>1</v>
      </c>
      <c r="D27" s="75">
        <f t="shared" si="1"/>
        <v>28.8</v>
      </c>
      <c r="E27" s="75">
        <f>0.05*E26</f>
        <v>0</v>
      </c>
      <c r="F27" s="75">
        <v>0</v>
      </c>
      <c r="G27" s="75">
        <v>0</v>
      </c>
      <c r="H27" s="75">
        <v>0</v>
      </c>
      <c r="I27" s="75">
        <f>E27*D27</f>
        <v>0</v>
      </c>
      <c r="J27" s="27">
        <f t="shared" si="5"/>
        <v>0</v>
      </c>
    </row>
    <row r="28" spans="1:11" s="13" customFormat="1" ht="15.75" x14ac:dyDescent="0.2">
      <c r="A28" s="31" t="s">
        <v>255</v>
      </c>
      <c r="B28" s="79"/>
      <c r="C28" s="79"/>
      <c r="D28" s="75"/>
      <c r="E28" s="75"/>
      <c r="F28" s="75"/>
      <c r="G28" s="75"/>
      <c r="H28" s="75"/>
      <c r="I28" s="75"/>
      <c r="J28" s="27"/>
    </row>
    <row r="29" spans="1:11" s="13" customFormat="1" ht="25.5" x14ac:dyDescent="0.2">
      <c r="A29" s="65" t="s">
        <v>243</v>
      </c>
      <c r="B29" s="93">
        <f>'Respondent Yr1'!B29</f>
        <v>9.5</v>
      </c>
      <c r="C29" s="79">
        <v>2</v>
      </c>
      <c r="D29" s="75">
        <f t="shared" si="1"/>
        <v>19</v>
      </c>
      <c r="E29" s="75">
        <f>'Respondent &amp; Agency Data'!C6</f>
        <v>19</v>
      </c>
      <c r="F29" s="75">
        <f>ROUND(D29*E29,2)</f>
        <v>361</v>
      </c>
      <c r="G29" s="75">
        <f t="shared" si="3"/>
        <v>18.05</v>
      </c>
      <c r="H29" s="75">
        <f t="shared" si="4"/>
        <v>36.1</v>
      </c>
      <c r="I29" s="75"/>
      <c r="J29" s="27">
        <f t="shared" si="5"/>
        <v>20741.254999999997</v>
      </c>
    </row>
    <row r="30" spans="1:11" s="13" customFormat="1" ht="15" customHeight="1" x14ac:dyDescent="0.2">
      <c r="A30" s="65" t="s">
        <v>239</v>
      </c>
      <c r="B30" s="93">
        <f>'Respondent Yr1'!B30</f>
        <v>0.5</v>
      </c>
      <c r="C30" s="79">
        <v>2</v>
      </c>
      <c r="D30" s="75">
        <f t="shared" si="1"/>
        <v>1</v>
      </c>
      <c r="E30" s="75">
        <f>E$29</f>
        <v>19</v>
      </c>
      <c r="F30" s="75">
        <f t="shared" si="2"/>
        <v>19</v>
      </c>
      <c r="G30" s="75">
        <f t="shared" si="3"/>
        <v>0.95</v>
      </c>
      <c r="H30" s="75">
        <f t="shared" si="4"/>
        <v>1.9</v>
      </c>
      <c r="I30" s="75"/>
      <c r="J30" s="27">
        <f t="shared" si="5"/>
        <v>1091.6449999999998</v>
      </c>
    </row>
    <row r="31" spans="1:11" s="13" customFormat="1" x14ac:dyDescent="0.2">
      <c r="A31" s="65" t="s">
        <v>240</v>
      </c>
      <c r="B31" s="93">
        <f>'Respondent Yr1'!B31</f>
        <v>0.5</v>
      </c>
      <c r="C31" s="79">
        <v>2</v>
      </c>
      <c r="D31" s="75">
        <f t="shared" si="1"/>
        <v>1</v>
      </c>
      <c r="E31" s="75">
        <f>E$29</f>
        <v>19</v>
      </c>
      <c r="F31" s="75">
        <f t="shared" si="2"/>
        <v>19</v>
      </c>
      <c r="G31" s="75">
        <f t="shared" si="3"/>
        <v>0.95</v>
      </c>
      <c r="H31" s="75">
        <f t="shared" si="4"/>
        <v>1.9</v>
      </c>
      <c r="I31" s="75"/>
      <c r="J31" s="27">
        <f t="shared" si="5"/>
        <v>1091.6449999999998</v>
      </c>
    </row>
    <row r="32" spans="1:11" s="13" customFormat="1" x14ac:dyDescent="0.2">
      <c r="A32" s="65" t="s">
        <v>226</v>
      </c>
      <c r="B32" s="93">
        <f>'Respondent Yr1'!B32</f>
        <v>0.5</v>
      </c>
      <c r="C32" s="79">
        <v>2</v>
      </c>
      <c r="D32" s="75">
        <f>B32*C32</f>
        <v>1</v>
      </c>
      <c r="E32" s="75">
        <f>E$29</f>
        <v>19</v>
      </c>
      <c r="F32" s="75">
        <f>ROUND(D32*E32,2)</f>
        <v>19</v>
      </c>
      <c r="G32" s="75">
        <f>ROUND(F32*0.05,2)</f>
        <v>0.95</v>
      </c>
      <c r="H32" s="75">
        <f>ROUND(F32*0.1, 2)</f>
        <v>1.9</v>
      </c>
      <c r="I32" s="75"/>
      <c r="J32" s="27">
        <f>F32*$M$7+G32*$M$6+H32*$M$8+I32*$M$11</f>
        <v>1091.6449999999998</v>
      </c>
    </row>
    <row r="33" spans="1:12" s="13" customFormat="1" ht="25.5" x14ac:dyDescent="0.2">
      <c r="A33" s="23" t="s">
        <v>307</v>
      </c>
      <c r="B33" s="93"/>
      <c r="C33" s="79"/>
      <c r="D33" s="75"/>
      <c r="E33" s="75"/>
      <c r="F33" s="75"/>
      <c r="G33" s="75"/>
      <c r="H33" s="75"/>
      <c r="I33" s="75"/>
      <c r="J33" s="27"/>
    </row>
    <row r="34" spans="1:12" s="13" customFormat="1" ht="15.75" x14ac:dyDescent="0.2">
      <c r="A34" s="31" t="s">
        <v>334</v>
      </c>
      <c r="B34" s="79">
        <f>'Respondent Yr1'!B34</f>
        <v>0</v>
      </c>
      <c r="C34" s="79">
        <v>0</v>
      </c>
      <c r="D34" s="75">
        <f t="shared" ref="D34" si="8">B34*C34</f>
        <v>0</v>
      </c>
      <c r="E34" s="75">
        <f>'Respondent &amp; Agency Data'!C7</f>
        <v>16</v>
      </c>
      <c r="F34" s="75">
        <f t="shared" ref="F34" si="9">ROUND(D34*E34,2)</f>
        <v>0</v>
      </c>
      <c r="G34" s="75">
        <f t="shared" ref="G34" si="10">ROUND(F34*0.05,2)</f>
        <v>0</v>
      </c>
      <c r="H34" s="75">
        <f t="shared" ref="H34" si="11">ROUND(F34*0.1, 2)</f>
        <v>0</v>
      </c>
      <c r="I34" s="75"/>
      <c r="J34" s="27">
        <f t="shared" ref="J34" si="12">F34*$M$7+G34*$M$6+H34*$M$8+I34*$M$11</f>
        <v>0</v>
      </c>
      <c r="L34" s="17"/>
    </row>
    <row r="35" spans="1:12" s="13" customFormat="1" ht="13.5" x14ac:dyDescent="0.25">
      <c r="A35" s="33" t="s">
        <v>210</v>
      </c>
      <c r="B35" s="79"/>
      <c r="C35" s="95"/>
      <c r="D35" s="96"/>
      <c r="E35" s="96"/>
      <c r="F35" s="127">
        <f>ROUNDDOWN(SUM(F5:H34), 0)</f>
        <v>2254</v>
      </c>
      <c r="G35" s="128"/>
      <c r="H35" s="129"/>
      <c r="I35" s="97">
        <f>SUM(I5:I34)</f>
        <v>11.520000000000003</v>
      </c>
      <c r="J35" s="36">
        <f>SUM(J5:J34)</f>
        <v>114024.84320000002</v>
      </c>
    </row>
    <row r="36" spans="1:12" s="13" customFormat="1" ht="15.75" x14ac:dyDescent="0.2">
      <c r="A36" s="23" t="s">
        <v>323</v>
      </c>
      <c r="B36" s="79"/>
      <c r="C36" s="80"/>
      <c r="D36" s="75"/>
      <c r="E36" s="75"/>
      <c r="F36" s="75"/>
      <c r="G36" s="75"/>
      <c r="H36" s="75"/>
      <c r="I36" s="75"/>
      <c r="J36" s="29"/>
    </row>
    <row r="37" spans="1:12" s="13" customFormat="1" x14ac:dyDescent="0.2">
      <c r="A37" s="31" t="s">
        <v>211</v>
      </c>
      <c r="B37" s="79">
        <f>'Respondent Yr1'!B37</f>
        <v>1</v>
      </c>
      <c r="C37" s="80">
        <v>1</v>
      </c>
      <c r="D37" s="79">
        <f t="shared" ref="D37:D38" si="13">B37*C37</f>
        <v>1</v>
      </c>
      <c r="E37" s="75">
        <v>0</v>
      </c>
      <c r="F37" s="75">
        <f>ROUND(D37*E37,2)</f>
        <v>0</v>
      </c>
      <c r="G37" s="75">
        <f>ROUND(F37*0.05,2)</f>
        <v>0</v>
      </c>
      <c r="H37" s="75">
        <f>ROUND(F37*0.1, 2)</f>
        <v>0</v>
      </c>
      <c r="I37" s="75">
        <v>0</v>
      </c>
      <c r="J37" s="27">
        <f t="shared" ref="J37:J38" si="14">F37*$M$7+G37*$M$6+H37*$M$8+I37*$M$11</f>
        <v>0</v>
      </c>
    </row>
    <row r="38" spans="1:12" s="13" customFormat="1" x14ac:dyDescent="0.2">
      <c r="A38" s="31" t="s">
        <v>242</v>
      </c>
      <c r="B38" s="93">
        <f>'Respondent Yr1'!B38</f>
        <v>0.5</v>
      </c>
      <c r="C38" s="98">
        <v>2</v>
      </c>
      <c r="D38" s="79">
        <f t="shared" si="13"/>
        <v>1</v>
      </c>
      <c r="E38" s="75">
        <f>'Respondent &amp; Agency Data'!C3-'Respondent &amp; Agency Data'!C7</f>
        <v>40</v>
      </c>
      <c r="F38" s="75">
        <f t="shared" ref="F38" si="15">ROUND(D38*E38,2)</f>
        <v>40</v>
      </c>
      <c r="G38" s="75">
        <f t="shared" ref="G38" si="16">ROUND(F38*0.05,2)</f>
        <v>2</v>
      </c>
      <c r="H38" s="75">
        <f t="shared" ref="H38" si="17">ROUND(F38*0.1, 2)</f>
        <v>4</v>
      </c>
      <c r="I38" s="75">
        <v>0</v>
      </c>
      <c r="J38" s="27">
        <f t="shared" si="14"/>
        <v>2298.1999999999998</v>
      </c>
    </row>
    <row r="39" spans="1:12" s="13" customFormat="1" ht="13.5" x14ac:dyDescent="0.25">
      <c r="A39" s="104" t="s">
        <v>212</v>
      </c>
      <c r="B39" s="95"/>
      <c r="C39" s="95"/>
      <c r="D39" s="96"/>
      <c r="E39" s="96"/>
      <c r="F39" s="127">
        <f>ROUNDDOWN(SUM(F37:H38), 0)</f>
        <v>46</v>
      </c>
      <c r="G39" s="128"/>
      <c r="H39" s="129"/>
      <c r="I39" s="97"/>
      <c r="J39" s="36">
        <f>SUM(J37:J38)</f>
        <v>2298.1999999999998</v>
      </c>
    </row>
    <row r="40" spans="1:12" s="13" customFormat="1" ht="15.75" x14ac:dyDescent="0.2">
      <c r="A40" s="37" t="s">
        <v>324</v>
      </c>
      <c r="B40" s="95"/>
      <c r="C40" s="20"/>
      <c r="D40" s="72"/>
      <c r="E40" s="20"/>
      <c r="F40" s="139">
        <f>(F35+F39)</f>
        <v>2300</v>
      </c>
      <c r="G40" s="139"/>
      <c r="H40" s="139"/>
      <c r="I40" s="99"/>
      <c r="J40" s="39">
        <f>ROUND(J35+J39, -2)</f>
        <v>116300</v>
      </c>
    </row>
    <row r="41" spans="1:12" s="13" customFormat="1" ht="15.75" x14ac:dyDescent="0.2">
      <c r="A41" s="37" t="s">
        <v>325</v>
      </c>
      <c r="B41" s="34"/>
      <c r="C41" s="38"/>
      <c r="D41" s="37"/>
      <c r="E41" s="38"/>
      <c r="F41" s="40"/>
      <c r="G41" s="40"/>
      <c r="H41" s="40"/>
      <c r="I41" s="40"/>
      <c r="J41" s="39">
        <v>0</v>
      </c>
    </row>
    <row r="42" spans="1:12" s="13" customFormat="1" ht="15.75" x14ac:dyDescent="0.2">
      <c r="A42" s="37" t="s">
        <v>326</v>
      </c>
      <c r="B42" s="34"/>
      <c r="C42" s="38"/>
      <c r="D42" s="37"/>
      <c r="E42" s="38"/>
      <c r="F42" s="40"/>
      <c r="G42" s="40"/>
      <c r="H42" s="40"/>
      <c r="I42" s="40"/>
      <c r="J42" s="39">
        <f>ROUND(J40+J41, -2)</f>
        <v>116300</v>
      </c>
    </row>
    <row r="43" spans="1:12" s="13" customFormat="1" x14ac:dyDescent="0.2">
      <c r="A43" s="42"/>
      <c r="B43" s="43"/>
      <c r="C43" s="44"/>
      <c r="D43" s="44"/>
      <c r="E43" s="45"/>
      <c r="F43" s="41"/>
    </row>
    <row r="44" spans="1:12" s="13" customFormat="1" x14ac:dyDescent="0.2">
      <c r="A44" s="46" t="s">
        <v>213</v>
      </c>
    </row>
    <row r="45" spans="1:12" s="13" customFormat="1" ht="30" customHeight="1" x14ac:dyDescent="0.2">
      <c r="A45" s="138" t="s">
        <v>335</v>
      </c>
      <c r="B45" s="138"/>
      <c r="C45" s="138"/>
      <c r="D45" s="138"/>
      <c r="E45" s="138"/>
      <c r="F45" s="138"/>
      <c r="G45" s="138"/>
      <c r="H45" s="138"/>
      <c r="I45" s="138"/>
      <c r="J45" s="138"/>
    </row>
    <row r="46" spans="1:12" s="13" customFormat="1" ht="48.75" customHeight="1" x14ac:dyDescent="0.2">
      <c r="A46" s="136" t="s">
        <v>300</v>
      </c>
      <c r="B46" s="136"/>
      <c r="C46" s="136"/>
      <c r="D46" s="136"/>
      <c r="E46" s="136"/>
      <c r="F46" s="136"/>
      <c r="G46" s="136"/>
      <c r="H46" s="136"/>
      <c r="I46" s="136"/>
      <c r="J46" s="136"/>
      <c r="K46" s="17"/>
    </row>
    <row r="47" spans="1:12" s="13" customFormat="1" ht="45" customHeight="1" x14ac:dyDescent="0.2">
      <c r="A47" s="137" t="s">
        <v>219</v>
      </c>
      <c r="B47" s="137"/>
      <c r="C47" s="137"/>
      <c r="D47" s="137"/>
      <c r="E47" s="137"/>
      <c r="F47" s="137"/>
      <c r="G47" s="137"/>
      <c r="H47" s="137"/>
      <c r="I47" s="137"/>
      <c r="J47" s="137"/>
      <c r="K47" s="66"/>
    </row>
    <row r="48" spans="1:12" s="13" customFormat="1" ht="47.25" customHeight="1" x14ac:dyDescent="0.2">
      <c r="A48" s="137" t="s">
        <v>301</v>
      </c>
      <c r="B48" s="137"/>
      <c r="C48" s="137"/>
      <c r="D48" s="137"/>
      <c r="E48" s="137"/>
      <c r="F48" s="137"/>
      <c r="G48" s="137"/>
      <c r="H48" s="137"/>
      <c r="I48" s="137"/>
      <c r="J48" s="137"/>
      <c r="K48" s="66"/>
    </row>
    <row r="49" spans="1:11" s="13" customFormat="1" ht="38.25" customHeight="1" x14ac:dyDescent="0.2">
      <c r="A49" s="137" t="s">
        <v>337</v>
      </c>
      <c r="B49" s="137"/>
      <c r="C49" s="137"/>
      <c r="D49" s="137"/>
      <c r="E49" s="137"/>
      <c r="F49" s="137"/>
      <c r="G49" s="137"/>
      <c r="H49" s="137"/>
      <c r="I49" s="137"/>
      <c r="J49" s="137"/>
    </row>
    <row r="50" spans="1:11" s="13" customFormat="1" ht="17.25" customHeight="1" x14ac:dyDescent="0.2">
      <c r="A50" s="137" t="s">
        <v>256</v>
      </c>
      <c r="B50" s="137"/>
      <c r="C50" s="137"/>
      <c r="D50" s="137"/>
      <c r="E50" s="137"/>
      <c r="F50" s="137"/>
      <c r="G50" s="137"/>
      <c r="H50" s="137"/>
      <c r="I50" s="137"/>
      <c r="J50" s="137"/>
      <c r="K50" s="17"/>
    </row>
    <row r="51" spans="1:11" s="13" customFormat="1" ht="33" customHeight="1" x14ac:dyDescent="0.2">
      <c r="A51" s="137" t="s">
        <v>327</v>
      </c>
      <c r="B51" s="137"/>
      <c r="C51" s="137"/>
      <c r="D51" s="137"/>
      <c r="E51" s="137"/>
      <c r="F51" s="137"/>
      <c r="G51" s="137"/>
      <c r="H51" s="137"/>
      <c r="I51" s="137"/>
      <c r="J51" s="137"/>
    </row>
    <row r="52" spans="1:11" s="13" customFormat="1" ht="18" customHeight="1" x14ac:dyDescent="0.2">
      <c r="A52" s="137" t="s">
        <v>308</v>
      </c>
      <c r="B52" s="137"/>
      <c r="C52" s="137"/>
      <c r="D52" s="137"/>
      <c r="E52" s="137"/>
      <c r="F52" s="137"/>
      <c r="G52" s="137"/>
      <c r="H52" s="137"/>
      <c r="I52" s="137"/>
      <c r="J52" s="137"/>
    </row>
    <row r="53" spans="1:11" ht="18" customHeight="1" x14ac:dyDescent="0.2">
      <c r="A53" s="134" t="s">
        <v>309</v>
      </c>
      <c r="B53" s="134"/>
      <c r="C53" s="134"/>
      <c r="D53" s="134"/>
      <c r="E53" s="134"/>
      <c r="F53" s="134"/>
      <c r="G53" s="134"/>
      <c r="H53" s="134"/>
      <c r="I53" s="134"/>
      <c r="J53" s="134"/>
    </row>
    <row r="54" spans="1:11" ht="18" customHeight="1" x14ac:dyDescent="0.2"/>
    <row r="55" spans="1:11" ht="18" customHeight="1" x14ac:dyDescent="0.2"/>
    <row r="56" spans="1:11" ht="18" customHeight="1" x14ac:dyDescent="0.2"/>
    <row r="57" spans="1:11" ht="18" customHeight="1" x14ac:dyDescent="0.2"/>
  </sheetData>
  <mergeCells count="16">
    <mergeCell ref="A53:J53"/>
    <mergeCell ref="F39:H39"/>
    <mergeCell ref="A1:J1"/>
    <mergeCell ref="A3:A4"/>
    <mergeCell ref="L5:M5"/>
    <mergeCell ref="L10:M10"/>
    <mergeCell ref="F35:H35"/>
    <mergeCell ref="A52:J52"/>
    <mergeCell ref="A50:J50"/>
    <mergeCell ref="A51:J51"/>
    <mergeCell ref="F40:H40"/>
    <mergeCell ref="A45:J45"/>
    <mergeCell ref="A46:J46"/>
    <mergeCell ref="A47:J47"/>
    <mergeCell ref="A48:J48"/>
    <mergeCell ref="A49:J4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64AF2-7EE0-4373-908D-DDB2DE635ADC}">
  <dimension ref="A1:R57"/>
  <sheetViews>
    <sheetView topLeftCell="A16" workbookViewId="0">
      <selection activeCell="A3" sqref="A3:A4"/>
    </sheetView>
  </sheetViews>
  <sheetFormatPr defaultColWidth="9.140625" defaultRowHeight="12.75" x14ac:dyDescent="0.2"/>
  <cols>
    <col min="1" max="1" width="44.42578125" style="47" customWidth="1"/>
    <col min="2" max="2" width="12.7109375" style="47" customWidth="1"/>
    <col min="3" max="3" width="12.5703125" style="47" customWidth="1"/>
    <col min="4" max="4" width="13.42578125" style="47" customWidth="1"/>
    <col min="5" max="5" width="11.140625" style="47" customWidth="1"/>
    <col min="6" max="6" width="10.28515625" style="47" customWidth="1"/>
    <col min="7" max="7" width="11.85546875" style="47" customWidth="1"/>
    <col min="8" max="9" width="12.140625" style="47" customWidth="1"/>
    <col min="10" max="10" width="13.85546875" style="47" bestFit="1" customWidth="1"/>
    <col min="11" max="11" width="6.85546875" style="13" customWidth="1"/>
    <col min="12" max="12" width="13" style="13" customWidth="1"/>
    <col min="13" max="13" width="15" style="13" customWidth="1"/>
    <col min="14" max="16384" width="9.140625" style="47"/>
  </cols>
  <sheetData>
    <row r="1" spans="1:18" s="13" customFormat="1" ht="19.5" customHeight="1" x14ac:dyDescent="0.2">
      <c r="A1" s="124" t="s">
        <v>260</v>
      </c>
      <c r="B1" s="124"/>
      <c r="C1" s="124"/>
      <c r="D1" s="124"/>
      <c r="E1" s="124"/>
      <c r="F1" s="124"/>
      <c r="G1" s="124"/>
      <c r="H1" s="124"/>
      <c r="I1" s="124"/>
      <c r="J1" s="124"/>
    </row>
    <row r="2" spans="1:18" s="13" customFormat="1" x14ac:dyDescent="0.2">
      <c r="A2" s="46" t="s">
        <v>261</v>
      </c>
      <c r="E2" s="14"/>
      <c r="J2" s="16"/>
      <c r="L2" s="17"/>
    </row>
    <row r="3" spans="1:18" s="13" customFormat="1" ht="12.75" customHeight="1" x14ac:dyDescent="0.2">
      <c r="A3" s="125" t="s">
        <v>342</v>
      </c>
      <c r="B3" s="18" t="s">
        <v>194</v>
      </c>
      <c r="C3" s="18" t="s">
        <v>195</v>
      </c>
      <c r="D3" s="18" t="s">
        <v>196</v>
      </c>
      <c r="E3" s="18" t="s">
        <v>197</v>
      </c>
      <c r="F3" s="18" t="s">
        <v>198</v>
      </c>
      <c r="G3" s="18" t="s">
        <v>199</v>
      </c>
      <c r="H3" s="18" t="s">
        <v>200</v>
      </c>
      <c r="I3" s="19" t="s">
        <v>201</v>
      </c>
      <c r="J3" s="19" t="s">
        <v>225</v>
      </c>
    </row>
    <row r="4" spans="1:18" s="22" customFormat="1" ht="51" x14ac:dyDescent="0.2">
      <c r="A4" s="126"/>
      <c r="B4" s="20" t="s">
        <v>202</v>
      </c>
      <c r="C4" s="20" t="s">
        <v>203</v>
      </c>
      <c r="D4" s="20" t="s">
        <v>204</v>
      </c>
      <c r="E4" s="20" t="s">
        <v>205</v>
      </c>
      <c r="F4" s="20" t="s">
        <v>206</v>
      </c>
      <c r="G4" s="20" t="s">
        <v>207</v>
      </c>
      <c r="H4" s="20" t="s">
        <v>208</v>
      </c>
      <c r="I4" s="20" t="s">
        <v>298</v>
      </c>
      <c r="J4" s="21" t="s">
        <v>241</v>
      </c>
    </row>
    <row r="5" spans="1:18" s="13" customFormat="1" ht="25.5" x14ac:dyDescent="0.2">
      <c r="A5" s="23" t="s">
        <v>246</v>
      </c>
      <c r="B5" s="24"/>
      <c r="C5" s="24"/>
      <c r="D5" s="25"/>
      <c r="E5" s="24"/>
      <c r="F5" s="25"/>
      <c r="G5" s="26"/>
      <c r="H5" s="26"/>
      <c r="I5" s="26"/>
      <c r="J5" s="27"/>
      <c r="L5" s="135" t="s">
        <v>220</v>
      </c>
      <c r="M5" s="135"/>
    </row>
    <row r="6" spans="1:18" s="13" customFormat="1" ht="16.5" customHeight="1" x14ac:dyDescent="0.2">
      <c r="A6" s="31" t="s">
        <v>250</v>
      </c>
      <c r="B6" s="24"/>
      <c r="C6" s="24"/>
      <c r="D6" s="25"/>
      <c r="E6" s="24"/>
      <c r="F6" s="25"/>
      <c r="G6" s="26"/>
      <c r="H6" s="26"/>
      <c r="I6" s="26"/>
      <c r="J6" s="27"/>
      <c r="L6" s="32" t="s">
        <v>221</v>
      </c>
      <c r="M6" s="55">
        <f>'Agency Yr1'!L7</f>
        <v>69.040000000000006</v>
      </c>
      <c r="N6" s="28"/>
      <c r="O6" s="28"/>
      <c r="P6" s="28"/>
      <c r="Q6" s="28"/>
      <c r="R6" s="28"/>
    </row>
    <row r="7" spans="1:18" s="13" customFormat="1" x14ac:dyDescent="0.2">
      <c r="A7" s="65" t="s">
        <v>227</v>
      </c>
      <c r="B7" s="79">
        <f>'Respondent Yr1'!B7</f>
        <v>48</v>
      </c>
      <c r="C7" s="79">
        <v>1</v>
      </c>
      <c r="D7" s="75">
        <f>B7*C7</f>
        <v>48</v>
      </c>
      <c r="E7" s="75">
        <v>6</v>
      </c>
      <c r="F7" s="75">
        <f>ROUND(D7*E7,2)</f>
        <v>288</v>
      </c>
      <c r="G7" s="75">
        <f>ROUND(F7*0.05,2)</f>
        <v>14.4</v>
      </c>
      <c r="H7" s="75">
        <f>ROUND(F7*0.1, 2)</f>
        <v>28.8</v>
      </c>
      <c r="I7" s="75"/>
      <c r="J7" s="27">
        <f t="shared" ref="J7:J9" si="0">F7*$M$7+G7*$M$6+H7*$M$8+I7*$M$11</f>
        <v>16547.04</v>
      </c>
      <c r="L7" s="32" t="s">
        <v>222</v>
      </c>
      <c r="M7" s="55">
        <f>'Agency Yr1'!L8</f>
        <v>51.23</v>
      </c>
      <c r="N7" s="28"/>
      <c r="O7" s="28"/>
      <c r="P7" s="28"/>
      <c r="Q7" s="28"/>
      <c r="R7" s="28"/>
    </row>
    <row r="8" spans="1:18" s="13" customFormat="1" ht="25.5" x14ac:dyDescent="0.2">
      <c r="A8" s="65" t="s">
        <v>244</v>
      </c>
      <c r="B8" s="79">
        <f>'Respondent Yr1'!B8</f>
        <v>192</v>
      </c>
      <c r="C8" s="79">
        <v>1</v>
      </c>
      <c r="D8" s="75">
        <f>B8*C8</f>
        <v>192</v>
      </c>
      <c r="E8" s="75">
        <f>E$7</f>
        <v>6</v>
      </c>
      <c r="F8" s="75">
        <f>ROUND(D8*E8,2)</f>
        <v>1152</v>
      </c>
      <c r="G8" s="75">
        <f>ROUND(F8*0.05,2)</f>
        <v>57.6</v>
      </c>
      <c r="H8" s="75">
        <f>ROUND(F8*0.1, 2)</f>
        <v>115.2</v>
      </c>
      <c r="I8" s="75"/>
      <c r="J8" s="27">
        <f t="shared" si="0"/>
        <v>66188.160000000003</v>
      </c>
      <c r="L8" s="32" t="s">
        <v>223</v>
      </c>
      <c r="M8" s="55">
        <f>'Agency Yr1'!L9</f>
        <v>27.73</v>
      </c>
      <c r="N8" s="28"/>
      <c r="O8" s="28"/>
      <c r="P8" s="28"/>
      <c r="Q8" s="28"/>
      <c r="R8" s="28"/>
    </row>
    <row r="9" spans="1:18" s="13" customFormat="1" ht="15.75" x14ac:dyDescent="0.2">
      <c r="A9" s="65" t="s">
        <v>299</v>
      </c>
      <c r="B9" s="79">
        <f>'Respondent Yr1'!B9</f>
        <v>38.400000000000006</v>
      </c>
      <c r="C9" s="79">
        <v>1</v>
      </c>
      <c r="D9" s="75">
        <f>B9*C9</f>
        <v>38.400000000000006</v>
      </c>
      <c r="E9" s="94">
        <f>E$7*0.05</f>
        <v>0.30000000000000004</v>
      </c>
      <c r="F9" s="75">
        <v>0</v>
      </c>
      <c r="G9" s="75">
        <f>ROUND(F9*0.05,2)</f>
        <v>0</v>
      </c>
      <c r="H9" s="75">
        <f>ROUND(F9*0.1, 2)</f>
        <v>0</v>
      </c>
      <c r="I9" s="75">
        <f>B9*E9</f>
        <v>11.520000000000003</v>
      </c>
      <c r="J9" s="27">
        <f t="shared" si="0"/>
        <v>1413.0432000000003</v>
      </c>
    </row>
    <row r="10" spans="1:18" s="13" customFormat="1" ht="15.75" x14ac:dyDescent="0.2">
      <c r="A10" s="31" t="s">
        <v>255</v>
      </c>
      <c r="B10" s="79"/>
      <c r="C10" s="79"/>
      <c r="D10" s="75"/>
      <c r="E10" s="75"/>
      <c r="F10" s="75"/>
      <c r="G10" s="75"/>
      <c r="H10" s="75"/>
      <c r="I10" s="75"/>
      <c r="J10" s="27"/>
      <c r="L10" s="135" t="s">
        <v>297</v>
      </c>
      <c r="M10" s="135"/>
    </row>
    <row r="11" spans="1:18" s="13" customFormat="1" ht="18" customHeight="1" x14ac:dyDescent="0.2">
      <c r="A11" s="65" t="s">
        <v>243</v>
      </c>
      <c r="B11" s="79">
        <f>'Respondent Yr1'!B11</f>
        <v>0.5</v>
      </c>
      <c r="C11" s="79">
        <v>2</v>
      </c>
      <c r="D11" s="75">
        <f t="shared" ref="D11:D31" si="1">B11*C11</f>
        <v>1</v>
      </c>
      <c r="E11" s="75">
        <f>E7+'Respondent Yr2'!E11</f>
        <v>12</v>
      </c>
      <c r="F11" s="75">
        <f t="shared" ref="F11:F31" si="2">ROUND(D11*E11,2)</f>
        <v>12</v>
      </c>
      <c r="G11" s="75">
        <f t="shared" ref="G11:G31" si="3">ROUND(F11*0.05,2)</f>
        <v>0.6</v>
      </c>
      <c r="H11" s="75">
        <f t="shared" ref="H11:H31" si="4">ROUND(F11*0.1, 2)</f>
        <v>1.2</v>
      </c>
      <c r="I11" s="75"/>
      <c r="J11" s="27">
        <f t="shared" ref="J11:J31" si="5">F11*$M$7+G11*$M$6+H11*$M$8+I11*$M$11</f>
        <v>689.45999999999992</v>
      </c>
      <c r="L11" s="32" t="s">
        <v>222</v>
      </c>
      <c r="M11" s="15">
        <v>122.66</v>
      </c>
    </row>
    <row r="12" spans="1:18" s="13" customFormat="1" ht="15.75" customHeight="1" x14ac:dyDescent="0.2">
      <c r="A12" s="65" t="s">
        <v>235</v>
      </c>
      <c r="B12" s="111">
        <f>'Respondent Yr1'!B12</f>
        <v>0.25</v>
      </c>
      <c r="C12" s="79">
        <v>2</v>
      </c>
      <c r="D12" s="75">
        <f t="shared" si="1"/>
        <v>0.5</v>
      </c>
      <c r="E12" s="75">
        <f>E11</f>
        <v>12</v>
      </c>
      <c r="F12" s="75">
        <f t="shared" si="2"/>
        <v>6</v>
      </c>
      <c r="G12" s="75">
        <f t="shared" si="3"/>
        <v>0.3</v>
      </c>
      <c r="H12" s="75">
        <f t="shared" si="4"/>
        <v>0.6</v>
      </c>
      <c r="I12" s="75"/>
      <c r="J12" s="27">
        <f t="shared" si="5"/>
        <v>344.72999999999996</v>
      </c>
    </row>
    <row r="13" spans="1:18" s="13" customFormat="1" x14ac:dyDescent="0.2">
      <c r="A13" s="65" t="s">
        <v>236</v>
      </c>
      <c r="B13" s="111">
        <f>'Respondent Yr1'!B13</f>
        <v>0.25</v>
      </c>
      <c r="C13" s="79">
        <v>2</v>
      </c>
      <c r="D13" s="75">
        <f t="shared" si="1"/>
        <v>0.5</v>
      </c>
      <c r="E13" s="75">
        <f>E11</f>
        <v>12</v>
      </c>
      <c r="F13" s="75">
        <f t="shared" si="2"/>
        <v>6</v>
      </c>
      <c r="G13" s="75">
        <f t="shared" si="3"/>
        <v>0.3</v>
      </c>
      <c r="H13" s="75">
        <f t="shared" si="4"/>
        <v>0.6</v>
      </c>
      <c r="I13" s="75"/>
      <c r="J13" s="27">
        <f t="shared" si="5"/>
        <v>344.72999999999996</v>
      </c>
    </row>
    <row r="14" spans="1:18" s="13" customFormat="1" ht="25.5" x14ac:dyDescent="0.2">
      <c r="A14" s="23" t="s">
        <v>247</v>
      </c>
      <c r="B14" s="79"/>
      <c r="C14" s="79"/>
      <c r="D14" s="75"/>
      <c r="E14" s="75"/>
      <c r="F14" s="75"/>
      <c r="G14" s="75"/>
      <c r="H14" s="75"/>
      <c r="I14" s="75"/>
      <c r="J14" s="27"/>
    </row>
    <row r="15" spans="1:18" s="13" customFormat="1" ht="15.75" x14ac:dyDescent="0.2">
      <c r="A15" s="31" t="s">
        <v>250</v>
      </c>
      <c r="B15" s="79"/>
      <c r="C15" s="79"/>
      <c r="D15" s="75"/>
      <c r="E15" s="75"/>
      <c r="F15" s="75"/>
      <c r="G15" s="75"/>
      <c r="H15" s="75"/>
      <c r="I15" s="75"/>
      <c r="J15" s="27"/>
    </row>
    <row r="16" spans="1:18" s="13" customFormat="1" x14ac:dyDescent="0.2">
      <c r="A16" s="65" t="s">
        <v>296</v>
      </c>
      <c r="B16" s="79">
        <f>'Respondent Yr1'!B16</f>
        <v>8</v>
      </c>
      <c r="C16" s="79">
        <v>1</v>
      </c>
      <c r="D16" s="75">
        <f t="shared" si="1"/>
        <v>8</v>
      </c>
      <c r="E16" s="75">
        <v>0</v>
      </c>
      <c r="F16" s="75">
        <f t="shared" si="2"/>
        <v>0</v>
      </c>
      <c r="G16" s="75">
        <f t="shared" si="3"/>
        <v>0</v>
      </c>
      <c r="H16" s="75">
        <f t="shared" si="4"/>
        <v>0</v>
      </c>
      <c r="I16" s="75"/>
      <c r="J16" s="27">
        <f t="shared" si="5"/>
        <v>0</v>
      </c>
    </row>
    <row r="17" spans="1:11" s="13" customFormat="1" ht="25.5" x14ac:dyDescent="0.2">
      <c r="A17" s="65" t="s">
        <v>245</v>
      </c>
      <c r="B17" s="79">
        <f>'Respondent Yr1'!B17</f>
        <v>50</v>
      </c>
      <c r="C17" s="79">
        <v>1</v>
      </c>
      <c r="D17" s="75">
        <f>B17*C17</f>
        <v>50</v>
      </c>
      <c r="E17" s="75">
        <v>0</v>
      </c>
      <c r="F17" s="75">
        <f>ROUND(D17*E17,2)</f>
        <v>0</v>
      </c>
      <c r="G17" s="75">
        <f>ROUND(F17*0.05,2)</f>
        <v>0</v>
      </c>
      <c r="H17" s="75">
        <f>ROUND(F17*0.1, 2)</f>
        <v>0</v>
      </c>
      <c r="I17" s="75"/>
      <c r="J17" s="27">
        <f>F17*$M$7+G17*$M$6+H17*$M$8+I17*$M$11</f>
        <v>0</v>
      </c>
    </row>
    <row r="18" spans="1:11" s="13" customFormat="1" ht="15.75" x14ac:dyDescent="0.2">
      <c r="A18" s="65" t="s">
        <v>299</v>
      </c>
      <c r="B18" s="79">
        <f>'Respondent Yr1'!B18</f>
        <v>10</v>
      </c>
      <c r="C18" s="79">
        <v>1</v>
      </c>
      <c r="D18" s="75">
        <f t="shared" ref="D18" si="6">B18*C18</f>
        <v>10</v>
      </c>
      <c r="E18" s="75">
        <f>0.05*E17</f>
        <v>0</v>
      </c>
      <c r="F18" s="75">
        <f t="shared" ref="F18" si="7">ROUND(D18*E18,2)</f>
        <v>0</v>
      </c>
      <c r="G18" s="75">
        <f t="shared" si="3"/>
        <v>0</v>
      </c>
      <c r="H18" s="75">
        <f t="shared" ref="H18" si="8">ROUND(F18*0.1, 2)</f>
        <v>0</v>
      </c>
      <c r="I18" s="75">
        <f>B18*E18</f>
        <v>0</v>
      </c>
      <c r="J18" s="27">
        <f t="shared" ref="J18" si="9">F18*$M$7+G18*$M$6+H18*$M$8+I18*$M$11</f>
        <v>0</v>
      </c>
    </row>
    <row r="19" spans="1:11" s="13" customFormat="1" ht="15.75" x14ac:dyDescent="0.2">
      <c r="A19" s="31" t="s">
        <v>255</v>
      </c>
      <c r="B19" s="79"/>
      <c r="C19" s="79"/>
      <c r="D19" s="75"/>
      <c r="E19" s="75"/>
      <c r="F19" s="75"/>
      <c r="G19" s="75"/>
      <c r="H19" s="75"/>
      <c r="I19" s="75"/>
      <c r="J19" s="27"/>
      <c r="K19" s="68"/>
    </row>
    <row r="20" spans="1:11" s="13" customFormat="1" ht="15" customHeight="1" x14ac:dyDescent="0.2">
      <c r="A20" s="65" t="s">
        <v>243</v>
      </c>
      <c r="B20" s="79">
        <f>'Respondent Yr1'!B20</f>
        <v>1.5</v>
      </c>
      <c r="C20" s="79">
        <v>2</v>
      </c>
      <c r="D20" s="75">
        <f t="shared" si="1"/>
        <v>3</v>
      </c>
      <c r="E20" s="75">
        <f>'Respondent &amp; Agency Data'!D5</f>
        <v>12</v>
      </c>
      <c r="F20" s="75">
        <f t="shared" si="2"/>
        <v>36</v>
      </c>
      <c r="G20" s="75">
        <f t="shared" si="3"/>
        <v>1.8</v>
      </c>
      <c r="H20" s="75">
        <f t="shared" si="4"/>
        <v>3.6</v>
      </c>
      <c r="I20" s="75"/>
      <c r="J20" s="27">
        <f t="shared" si="5"/>
        <v>2068.38</v>
      </c>
    </row>
    <row r="21" spans="1:11" s="13" customFormat="1" ht="15.75" customHeight="1" x14ac:dyDescent="0.2">
      <c r="A21" s="65" t="s">
        <v>237</v>
      </c>
      <c r="B21" s="79">
        <f>'Respondent Yr1'!B21</f>
        <v>1</v>
      </c>
      <c r="C21" s="79">
        <v>2</v>
      </c>
      <c r="D21" s="75">
        <f t="shared" si="1"/>
        <v>2</v>
      </c>
      <c r="E21" s="75">
        <f>E20</f>
        <v>12</v>
      </c>
      <c r="F21" s="75">
        <f t="shared" si="2"/>
        <v>24</v>
      </c>
      <c r="G21" s="75">
        <f t="shared" si="3"/>
        <v>1.2</v>
      </c>
      <c r="H21" s="75">
        <f t="shared" si="4"/>
        <v>2.4</v>
      </c>
      <c r="I21" s="75"/>
      <c r="J21" s="27">
        <f t="shared" si="5"/>
        <v>1378.9199999999998</v>
      </c>
    </row>
    <row r="22" spans="1:11" s="13" customFormat="1" x14ac:dyDescent="0.2">
      <c r="A22" s="65" t="s">
        <v>238</v>
      </c>
      <c r="B22" s="93">
        <f>'Respondent Yr1'!B22</f>
        <v>0.5</v>
      </c>
      <c r="C22" s="79">
        <v>2</v>
      </c>
      <c r="D22" s="75">
        <f t="shared" si="1"/>
        <v>1</v>
      </c>
      <c r="E22" s="75">
        <f>E20</f>
        <v>12</v>
      </c>
      <c r="F22" s="75">
        <f t="shared" si="2"/>
        <v>12</v>
      </c>
      <c r="G22" s="75">
        <f t="shared" si="3"/>
        <v>0.6</v>
      </c>
      <c r="H22" s="75">
        <f t="shared" si="4"/>
        <v>1.2</v>
      </c>
      <c r="I22" s="75"/>
      <c r="J22" s="27">
        <f t="shared" si="5"/>
        <v>689.45999999999992</v>
      </c>
    </row>
    <row r="23" spans="1:11" s="13" customFormat="1" ht="17.25" customHeight="1" x14ac:dyDescent="0.2">
      <c r="A23" s="23" t="s">
        <v>248</v>
      </c>
      <c r="B23" s="79"/>
      <c r="C23" s="79"/>
      <c r="D23" s="75"/>
      <c r="E23" s="75"/>
      <c r="F23" s="75"/>
      <c r="G23" s="75"/>
      <c r="H23" s="75"/>
      <c r="I23" s="75"/>
      <c r="J23" s="27"/>
    </row>
    <row r="24" spans="1:11" s="13" customFormat="1" ht="15.75" x14ac:dyDescent="0.2">
      <c r="A24" s="31" t="s">
        <v>250</v>
      </c>
      <c r="B24" s="79"/>
      <c r="C24" s="79"/>
      <c r="D24" s="75"/>
      <c r="E24" s="75"/>
      <c r="F24" s="75"/>
      <c r="G24" s="75"/>
      <c r="H24" s="75"/>
      <c r="I24" s="75"/>
      <c r="J24" s="27"/>
    </row>
    <row r="25" spans="1:11" s="13" customFormat="1" x14ac:dyDescent="0.2">
      <c r="A25" s="65" t="s">
        <v>296</v>
      </c>
      <c r="B25" s="79">
        <f>'Respondent Yr1'!B25</f>
        <v>8</v>
      </c>
      <c r="C25" s="79">
        <v>1</v>
      </c>
      <c r="D25" s="75">
        <f t="shared" si="1"/>
        <v>8</v>
      </c>
      <c r="E25" s="76">
        <v>0</v>
      </c>
      <c r="F25" s="75">
        <f>ROUND(D25*E25,2)</f>
        <v>0</v>
      </c>
      <c r="G25" s="75">
        <f t="shared" si="3"/>
        <v>0</v>
      </c>
      <c r="H25" s="75">
        <f t="shared" si="4"/>
        <v>0</v>
      </c>
      <c r="I25" s="75"/>
      <c r="J25" s="27">
        <f t="shared" si="5"/>
        <v>0</v>
      </c>
    </row>
    <row r="26" spans="1:11" s="13" customFormat="1" ht="25.5" x14ac:dyDescent="0.2">
      <c r="A26" s="65" t="s">
        <v>245</v>
      </c>
      <c r="B26" s="79">
        <f>'Respondent Yr1'!B26</f>
        <v>144</v>
      </c>
      <c r="C26" s="79">
        <v>1</v>
      </c>
      <c r="D26" s="75">
        <f t="shared" si="1"/>
        <v>144</v>
      </c>
      <c r="E26" s="75">
        <v>0</v>
      </c>
      <c r="F26" s="75">
        <f t="shared" si="2"/>
        <v>0</v>
      </c>
      <c r="G26" s="75">
        <f t="shared" si="3"/>
        <v>0</v>
      </c>
      <c r="H26" s="75">
        <f t="shared" si="4"/>
        <v>0</v>
      </c>
      <c r="I26" s="75"/>
      <c r="J26" s="27">
        <f t="shared" si="5"/>
        <v>0</v>
      </c>
    </row>
    <row r="27" spans="1:11" s="13" customFormat="1" ht="15.75" x14ac:dyDescent="0.2">
      <c r="A27" s="65" t="s">
        <v>299</v>
      </c>
      <c r="B27" s="79">
        <f>'Respondent Yr1'!B27</f>
        <v>28.8</v>
      </c>
      <c r="C27" s="79">
        <v>1</v>
      </c>
      <c r="D27" s="75">
        <f t="shared" si="1"/>
        <v>28.8</v>
      </c>
      <c r="E27" s="75">
        <f>0.05*E26</f>
        <v>0</v>
      </c>
      <c r="F27" s="75">
        <f t="shared" si="2"/>
        <v>0</v>
      </c>
      <c r="G27" s="75">
        <f t="shared" si="3"/>
        <v>0</v>
      </c>
      <c r="H27" s="75">
        <f t="shared" si="4"/>
        <v>0</v>
      </c>
      <c r="I27" s="75">
        <f>B27*E27</f>
        <v>0</v>
      </c>
      <c r="J27" s="27">
        <f t="shared" si="5"/>
        <v>0</v>
      </c>
    </row>
    <row r="28" spans="1:11" s="13" customFormat="1" ht="15.75" x14ac:dyDescent="0.2">
      <c r="A28" s="31" t="s">
        <v>255</v>
      </c>
      <c r="B28" s="79"/>
      <c r="C28" s="79"/>
      <c r="D28" s="75"/>
      <c r="E28" s="75"/>
      <c r="F28" s="75"/>
      <c r="G28" s="75"/>
      <c r="H28" s="75"/>
      <c r="I28" s="75"/>
      <c r="J28" s="27"/>
    </row>
    <row r="29" spans="1:11" s="13" customFormat="1" ht="14.25" customHeight="1" x14ac:dyDescent="0.2">
      <c r="A29" s="65" t="s">
        <v>243</v>
      </c>
      <c r="B29" s="93">
        <f>'Respondent Yr1'!B29</f>
        <v>9.5</v>
      </c>
      <c r="C29" s="79">
        <v>2</v>
      </c>
      <c r="D29" s="75">
        <f t="shared" si="1"/>
        <v>19</v>
      </c>
      <c r="E29" s="75">
        <f>'Respondent &amp; Agency Data'!D6</f>
        <v>16</v>
      </c>
      <c r="F29" s="75">
        <f>ROUND(D29*E29,2)</f>
        <v>304</v>
      </c>
      <c r="G29" s="75">
        <f t="shared" si="3"/>
        <v>15.2</v>
      </c>
      <c r="H29" s="75">
        <f t="shared" si="4"/>
        <v>30.4</v>
      </c>
      <c r="I29" s="75"/>
      <c r="J29" s="27">
        <f t="shared" si="5"/>
        <v>17466.319999999996</v>
      </c>
    </row>
    <row r="30" spans="1:11" s="13" customFormat="1" ht="15" customHeight="1" x14ac:dyDescent="0.2">
      <c r="A30" s="65" t="s">
        <v>239</v>
      </c>
      <c r="B30" s="93">
        <f>'Respondent Yr1'!B30</f>
        <v>0.5</v>
      </c>
      <c r="C30" s="79">
        <v>2</v>
      </c>
      <c r="D30" s="75">
        <f t="shared" si="1"/>
        <v>1</v>
      </c>
      <c r="E30" s="75">
        <f>E$29</f>
        <v>16</v>
      </c>
      <c r="F30" s="75">
        <f t="shared" si="2"/>
        <v>16</v>
      </c>
      <c r="G30" s="75">
        <f t="shared" si="3"/>
        <v>0.8</v>
      </c>
      <c r="H30" s="75">
        <f t="shared" si="4"/>
        <v>1.6</v>
      </c>
      <c r="I30" s="75"/>
      <c r="J30" s="27">
        <f t="shared" si="5"/>
        <v>919.28</v>
      </c>
    </row>
    <row r="31" spans="1:11" s="13" customFormat="1" x14ac:dyDescent="0.2">
      <c r="A31" s="65" t="s">
        <v>240</v>
      </c>
      <c r="B31" s="93">
        <f>'Respondent Yr1'!B31</f>
        <v>0.5</v>
      </c>
      <c r="C31" s="79">
        <v>2</v>
      </c>
      <c r="D31" s="75">
        <f t="shared" si="1"/>
        <v>1</v>
      </c>
      <c r="E31" s="75">
        <f>E$29</f>
        <v>16</v>
      </c>
      <c r="F31" s="75">
        <f t="shared" si="2"/>
        <v>16</v>
      </c>
      <c r="G31" s="75">
        <f t="shared" si="3"/>
        <v>0.8</v>
      </c>
      <c r="H31" s="75">
        <f t="shared" si="4"/>
        <v>1.6</v>
      </c>
      <c r="I31" s="75"/>
      <c r="J31" s="27">
        <f t="shared" si="5"/>
        <v>919.28</v>
      </c>
    </row>
    <row r="32" spans="1:11" s="13" customFormat="1" x14ac:dyDescent="0.2">
      <c r="A32" s="65" t="s">
        <v>226</v>
      </c>
      <c r="B32" s="93">
        <f>'Respondent Yr1'!B32</f>
        <v>0.5</v>
      </c>
      <c r="C32" s="79">
        <v>2</v>
      </c>
      <c r="D32" s="75">
        <f>B32*C32</f>
        <v>1</v>
      </c>
      <c r="E32" s="75">
        <f>E$29</f>
        <v>16</v>
      </c>
      <c r="F32" s="75">
        <f>ROUND(D32*E32,2)</f>
        <v>16</v>
      </c>
      <c r="G32" s="75">
        <f>ROUND(F32*0.05,2)</f>
        <v>0.8</v>
      </c>
      <c r="H32" s="75">
        <f>ROUND(F32*0.1, 2)</f>
        <v>1.6</v>
      </c>
      <c r="I32" s="75"/>
      <c r="J32" s="27">
        <f>F32*$M$7+G32*$M$6+H32*$M$8+I32*$M$11</f>
        <v>919.28</v>
      </c>
    </row>
    <row r="33" spans="1:12" s="13" customFormat="1" ht="25.5" x14ac:dyDescent="0.2">
      <c r="A33" s="23" t="s">
        <v>307</v>
      </c>
      <c r="B33" s="79"/>
      <c r="C33" s="79"/>
      <c r="D33" s="75"/>
      <c r="E33" s="75"/>
      <c r="F33" s="75"/>
      <c r="G33" s="75"/>
      <c r="H33" s="75"/>
      <c r="I33" s="75"/>
      <c r="J33" s="27"/>
    </row>
    <row r="34" spans="1:12" s="13" customFormat="1" ht="15.75" x14ac:dyDescent="0.2">
      <c r="A34" s="31" t="s">
        <v>334</v>
      </c>
      <c r="B34" s="79">
        <f>'Respondent Yr1'!B34</f>
        <v>0</v>
      </c>
      <c r="C34" s="79">
        <v>0</v>
      </c>
      <c r="D34" s="75">
        <f t="shared" ref="D34" si="10">B34*C34</f>
        <v>0</v>
      </c>
      <c r="E34" s="75">
        <f>'Respondent &amp; Agency Data'!D7</f>
        <v>16</v>
      </c>
      <c r="F34" s="75">
        <f t="shared" ref="F34" si="11">ROUND(D34*E34,2)</f>
        <v>0</v>
      </c>
      <c r="G34" s="75">
        <f t="shared" ref="G34" si="12">ROUND(F34*0.05,2)</f>
        <v>0</v>
      </c>
      <c r="H34" s="75">
        <f t="shared" ref="H34" si="13">ROUND(F34*0.1, 2)</f>
        <v>0</v>
      </c>
      <c r="I34" s="75"/>
      <c r="J34" s="27">
        <f t="shared" ref="J34" si="14">F34*$M$7+G34*$M$6+H34*$M$8+I34*$M$11</f>
        <v>0</v>
      </c>
      <c r="L34" s="17"/>
    </row>
    <row r="35" spans="1:12" s="13" customFormat="1" ht="13.5" x14ac:dyDescent="0.25">
      <c r="A35" s="33" t="s">
        <v>210</v>
      </c>
      <c r="B35" s="79"/>
      <c r="C35" s="95"/>
      <c r="D35" s="96"/>
      <c r="E35" s="96"/>
      <c r="F35" s="127">
        <f>ROUNDDOWN(SUM(F5:H34), 0)</f>
        <v>2171</v>
      </c>
      <c r="G35" s="128"/>
      <c r="H35" s="129"/>
      <c r="I35" s="97">
        <f>SUM(I5:I34)</f>
        <v>11.520000000000003</v>
      </c>
      <c r="J35" s="36">
        <f>SUM(J5:J34)</f>
        <v>109888.08320000001</v>
      </c>
    </row>
    <row r="36" spans="1:12" s="13" customFormat="1" ht="15.75" x14ac:dyDescent="0.2">
      <c r="A36" s="23" t="s">
        <v>323</v>
      </c>
      <c r="B36" s="79"/>
      <c r="C36" s="80"/>
      <c r="D36" s="75"/>
      <c r="E36" s="75"/>
      <c r="F36" s="75"/>
      <c r="G36" s="75"/>
      <c r="H36" s="75"/>
      <c r="I36" s="75"/>
      <c r="J36" s="29"/>
    </row>
    <row r="37" spans="1:12" s="13" customFormat="1" x14ac:dyDescent="0.2">
      <c r="A37" s="31" t="s">
        <v>211</v>
      </c>
      <c r="B37" s="79">
        <f>'Respondent Yr1'!B37</f>
        <v>1</v>
      </c>
      <c r="C37" s="80">
        <v>1</v>
      </c>
      <c r="D37" s="79">
        <f t="shared" ref="D37:D38" si="15">B37*C37</f>
        <v>1</v>
      </c>
      <c r="E37" s="75">
        <v>0</v>
      </c>
      <c r="F37" s="75">
        <f>ROUND(D37*E37,2)</f>
        <v>0</v>
      </c>
      <c r="G37" s="75">
        <f>ROUND(F37*0.05,2)</f>
        <v>0</v>
      </c>
      <c r="H37" s="75">
        <f>ROUND(F37*0.1, 2)</f>
        <v>0</v>
      </c>
      <c r="I37" s="75">
        <v>0</v>
      </c>
      <c r="J37" s="27">
        <f t="shared" ref="J37:J38" si="16">F37*$M$7+G37*$M$6+H37*$M$8+I37*$M$11</f>
        <v>0</v>
      </c>
    </row>
    <row r="38" spans="1:12" s="13" customFormat="1" x14ac:dyDescent="0.2">
      <c r="A38" s="31" t="s">
        <v>242</v>
      </c>
      <c r="B38" s="93">
        <f>'Respondent Yr1'!B38</f>
        <v>0.5</v>
      </c>
      <c r="C38" s="98">
        <v>2</v>
      </c>
      <c r="D38" s="79">
        <f t="shared" si="15"/>
        <v>1</v>
      </c>
      <c r="E38" s="75">
        <f>'Respondent &amp; Agency Data'!D3-'Respondent &amp; Agency Data'!D7</f>
        <v>40</v>
      </c>
      <c r="F38" s="75">
        <f t="shared" ref="F38" si="17">ROUND(D38*E38,2)</f>
        <v>40</v>
      </c>
      <c r="G38" s="75">
        <f t="shared" ref="G38" si="18">ROUND(F38*0.05,2)</f>
        <v>2</v>
      </c>
      <c r="H38" s="75">
        <f t="shared" ref="H38" si="19">ROUND(F38*0.1, 2)</f>
        <v>4</v>
      </c>
      <c r="I38" s="75">
        <v>0</v>
      </c>
      <c r="J38" s="27">
        <f t="shared" si="16"/>
        <v>2298.1999999999998</v>
      </c>
    </row>
    <row r="39" spans="1:12" s="13" customFormat="1" ht="13.5" x14ac:dyDescent="0.25">
      <c r="A39" s="104" t="s">
        <v>212</v>
      </c>
      <c r="B39" s="95"/>
      <c r="C39" s="95"/>
      <c r="D39" s="96"/>
      <c r="E39" s="96"/>
      <c r="F39" s="127">
        <f>ROUNDDOWN(SUM(F37:H38), 0)</f>
        <v>46</v>
      </c>
      <c r="G39" s="128"/>
      <c r="H39" s="129"/>
      <c r="I39" s="97"/>
      <c r="J39" s="36">
        <f>SUM(J37:J38)</f>
        <v>2298.1999999999998</v>
      </c>
    </row>
    <row r="40" spans="1:12" s="13" customFormat="1" ht="15.75" x14ac:dyDescent="0.2">
      <c r="A40" s="37" t="s">
        <v>324</v>
      </c>
      <c r="B40" s="95"/>
      <c r="C40" s="20"/>
      <c r="D40" s="72"/>
      <c r="E40" s="20"/>
      <c r="F40" s="139">
        <f>(F35+F39)</f>
        <v>2217</v>
      </c>
      <c r="G40" s="139"/>
      <c r="H40" s="139"/>
      <c r="I40" s="99"/>
      <c r="J40" s="39">
        <f>ROUND(J35+J39, -2)</f>
        <v>112200</v>
      </c>
    </row>
    <row r="41" spans="1:12" s="13" customFormat="1" ht="15.75" x14ac:dyDescent="0.2">
      <c r="A41" s="37" t="s">
        <v>325</v>
      </c>
      <c r="B41" s="34"/>
      <c r="C41" s="38"/>
      <c r="D41" s="37"/>
      <c r="E41" s="38"/>
      <c r="F41" s="40"/>
      <c r="G41" s="40"/>
      <c r="H41" s="40"/>
      <c r="I41" s="40"/>
      <c r="J41" s="39">
        <v>0</v>
      </c>
    </row>
    <row r="42" spans="1:12" s="13" customFormat="1" ht="15.75" x14ac:dyDescent="0.2">
      <c r="A42" s="37" t="s">
        <v>326</v>
      </c>
      <c r="B42" s="34"/>
      <c r="C42" s="38"/>
      <c r="D42" s="37"/>
      <c r="E42" s="38"/>
      <c r="F42" s="40"/>
      <c r="G42" s="40"/>
      <c r="H42" s="40"/>
      <c r="I42" s="40"/>
      <c r="J42" s="39">
        <f>ROUND(J40+J41, -2)</f>
        <v>112200</v>
      </c>
    </row>
    <row r="43" spans="1:12" s="13" customFormat="1" x14ac:dyDescent="0.2">
      <c r="A43" s="42"/>
      <c r="B43" s="43"/>
      <c r="C43" s="44"/>
      <c r="D43" s="44"/>
      <c r="E43" s="45"/>
      <c r="F43" s="41"/>
    </row>
    <row r="44" spans="1:12" s="13" customFormat="1" x14ac:dyDescent="0.2">
      <c r="A44" s="46" t="s">
        <v>213</v>
      </c>
    </row>
    <row r="45" spans="1:12" s="13" customFormat="1" ht="30" customHeight="1" x14ac:dyDescent="0.2">
      <c r="A45" s="138" t="s">
        <v>335</v>
      </c>
      <c r="B45" s="138"/>
      <c r="C45" s="138"/>
      <c r="D45" s="138"/>
      <c r="E45" s="138"/>
      <c r="F45" s="138"/>
      <c r="G45" s="138"/>
      <c r="H45" s="138"/>
      <c r="I45" s="138"/>
      <c r="J45" s="138"/>
    </row>
    <row r="46" spans="1:12" s="13" customFormat="1" ht="47.25" customHeight="1" x14ac:dyDescent="0.2">
      <c r="A46" s="136" t="s">
        <v>300</v>
      </c>
      <c r="B46" s="136"/>
      <c r="C46" s="136"/>
      <c r="D46" s="136"/>
      <c r="E46" s="136"/>
      <c r="F46" s="136"/>
      <c r="G46" s="136"/>
      <c r="H46" s="136"/>
      <c r="I46" s="136"/>
      <c r="J46" s="136"/>
      <c r="K46" s="17"/>
    </row>
    <row r="47" spans="1:12" s="13" customFormat="1" ht="45" customHeight="1" x14ac:dyDescent="0.2">
      <c r="A47" s="137" t="s">
        <v>219</v>
      </c>
      <c r="B47" s="137"/>
      <c r="C47" s="137"/>
      <c r="D47" s="137"/>
      <c r="E47" s="137"/>
      <c r="F47" s="137"/>
      <c r="G47" s="137"/>
      <c r="H47" s="137"/>
      <c r="I47" s="137"/>
      <c r="J47" s="137"/>
      <c r="K47" s="66"/>
    </row>
    <row r="48" spans="1:12" s="13" customFormat="1" ht="45.75" customHeight="1" x14ac:dyDescent="0.2">
      <c r="A48" s="137" t="s">
        <v>301</v>
      </c>
      <c r="B48" s="137"/>
      <c r="C48" s="137"/>
      <c r="D48" s="137"/>
      <c r="E48" s="137"/>
      <c r="F48" s="137"/>
      <c r="G48" s="137"/>
      <c r="H48" s="137"/>
      <c r="I48" s="137"/>
      <c r="J48" s="137"/>
      <c r="K48" s="66"/>
    </row>
    <row r="49" spans="1:11" s="13" customFormat="1" ht="30.75" customHeight="1" x14ac:dyDescent="0.2">
      <c r="A49" s="137" t="s">
        <v>337</v>
      </c>
      <c r="B49" s="137"/>
      <c r="C49" s="137"/>
      <c r="D49" s="137"/>
      <c r="E49" s="137"/>
      <c r="F49" s="137"/>
      <c r="G49" s="137"/>
      <c r="H49" s="137"/>
      <c r="I49" s="137"/>
      <c r="J49" s="137"/>
    </row>
    <row r="50" spans="1:11" s="13" customFormat="1" ht="17.25" customHeight="1" x14ac:dyDescent="0.2">
      <c r="A50" s="137" t="s">
        <v>256</v>
      </c>
      <c r="B50" s="137"/>
      <c r="C50" s="137"/>
      <c r="D50" s="137"/>
      <c r="E50" s="137"/>
      <c r="F50" s="137"/>
      <c r="G50" s="137"/>
      <c r="H50" s="137"/>
      <c r="I50" s="137"/>
      <c r="J50" s="137"/>
      <c r="K50" s="17"/>
    </row>
    <row r="51" spans="1:11" s="13" customFormat="1" ht="33" customHeight="1" x14ac:dyDescent="0.2">
      <c r="A51" s="137" t="s">
        <v>327</v>
      </c>
      <c r="B51" s="137"/>
      <c r="C51" s="137"/>
      <c r="D51" s="137"/>
      <c r="E51" s="137"/>
      <c r="F51" s="137"/>
      <c r="G51" s="137"/>
      <c r="H51" s="137"/>
      <c r="I51" s="137"/>
      <c r="J51" s="137"/>
    </row>
    <row r="52" spans="1:11" s="13" customFormat="1" ht="18" customHeight="1" x14ac:dyDescent="0.2">
      <c r="A52" s="137" t="s">
        <v>308</v>
      </c>
      <c r="B52" s="137"/>
      <c r="C52" s="137"/>
      <c r="D52" s="137"/>
      <c r="E52" s="137"/>
      <c r="F52" s="137"/>
      <c r="G52" s="137"/>
      <c r="H52" s="137"/>
      <c r="I52" s="137"/>
      <c r="J52" s="137"/>
    </row>
    <row r="53" spans="1:11" ht="18" customHeight="1" x14ac:dyDescent="0.2">
      <c r="A53" s="134" t="s">
        <v>309</v>
      </c>
      <c r="B53" s="134"/>
      <c r="C53" s="134"/>
      <c r="D53" s="134"/>
      <c r="E53" s="134"/>
      <c r="F53" s="134"/>
      <c r="G53" s="134"/>
      <c r="H53" s="134"/>
      <c r="I53" s="134"/>
      <c r="J53" s="134"/>
    </row>
    <row r="54" spans="1:11" ht="18" customHeight="1" x14ac:dyDescent="0.2"/>
    <row r="55" spans="1:11" ht="18" customHeight="1" x14ac:dyDescent="0.2"/>
    <row r="56" spans="1:11" ht="18" customHeight="1" x14ac:dyDescent="0.2"/>
    <row r="57" spans="1:11" ht="18" customHeight="1" x14ac:dyDescent="0.2"/>
  </sheetData>
  <mergeCells count="16">
    <mergeCell ref="A53:J53"/>
    <mergeCell ref="F39:H39"/>
    <mergeCell ref="A1:J1"/>
    <mergeCell ref="A3:A4"/>
    <mergeCell ref="L5:M5"/>
    <mergeCell ref="L10:M10"/>
    <mergeCell ref="F35:H35"/>
    <mergeCell ref="A52:J52"/>
    <mergeCell ref="A50:J50"/>
    <mergeCell ref="A51:J51"/>
    <mergeCell ref="F40:H40"/>
    <mergeCell ref="A45:J45"/>
    <mergeCell ref="A46:J46"/>
    <mergeCell ref="A47:J47"/>
    <mergeCell ref="A48:J48"/>
    <mergeCell ref="A49:J4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FB11C-A6BE-4120-B37C-CE7661D6A301}">
  <dimension ref="A1:M37"/>
  <sheetViews>
    <sheetView workbookViewId="0">
      <selection activeCell="A4" sqref="A4:A5"/>
    </sheetView>
  </sheetViews>
  <sheetFormatPr defaultColWidth="9.140625" defaultRowHeight="15" x14ac:dyDescent="0.25"/>
  <cols>
    <col min="1" max="1" width="47.7109375" style="49" customWidth="1"/>
    <col min="2" max="2" width="12.85546875" style="49" bestFit="1" customWidth="1"/>
    <col min="3" max="4" width="12.5703125" style="49" bestFit="1" customWidth="1"/>
    <col min="5" max="5" width="11.7109375" style="49" customWidth="1"/>
    <col min="6" max="6" width="13.85546875" style="49" bestFit="1" customWidth="1"/>
    <col min="7" max="8" width="12.42578125" style="49" bestFit="1" customWidth="1"/>
    <col min="9" max="9" width="11.7109375" style="49" bestFit="1" customWidth="1"/>
    <col min="10" max="10" width="2" style="48" customWidth="1"/>
    <col min="11" max="11" width="14.5703125" style="48" customWidth="1"/>
    <col min="12" max="16384" width="9.140625" style="49"/>
  </cols>
  <sheetData>
    <row r="1" spans="1:13" ht="15.75" x14ac:dyDescent="0.25">
      <c r="A1" s="124" t="s">
        <v>263</v>
      </c>
      <c r="B1" s="124"/>
      <c r="C1" s="124"/>
      <c r="D1" s="124"/>
      <c r="E1" s="124"/>
      <c r="F1" s="124"/>
      <c r="G1" s="124"/>
      <c r="H1" s="124"/>
      <c r="I1" s="124"/>
    </row>
    <row r="2" spans="1:13" ht="15.75" x14ac:dyDescent="0.25">
      <c r="A2" s="50" t="s">
        <v>257</v>
      </c>
    </row>
    <row r="3" spans="1:13" s="47" customFormat="1" ht="12.75" x14ac:dyDescent="0.2">
      <c r="E3" s="14"/>
      <c r="J3" s="13"/>
      <c r="K3" s="17"/>
    </row>
    <row r="4" spans="1:13" s="13" customFormat="1" ht="12.75" x14ac:dyDescent="0.2">
      <c r="A4" s="140" t="s">
        <v>342</v>
      </c>
      <c r="B4" s="51" t="s">
        <v>194</v>
      </c>
      <c r="C4" s="51" t="s">
        <v>195</v>
      </c>
      <c r="D4" s="51" t="s">
        <v>196</v>
      </c>
      <c r="E4" s="51" t="s">
        <v>197</v>
      </c>
      <c r="F4" s="51" t="s">
        <v>198</v>
      </c>
      <c r="G4" s="51" t="s">
        <v>199</v>
      </c>
      <c r="H4" s="51" t="s">
        <v>200</v>
      </c>
      <c r="I4" s="51" t="s">
        <v>201</v>
      </c>
      <c r="J4" s="52"/>
    </row>
    <row r="5" spans="1:13" s="22" customFormat="1" ht="51" x14ac:dyDescent="0.25">
      <c r="A5" s="140"/>
      <c r="B5" s="20" t="s">
        <v>214</v>
      </c>
      <c r="C5" s="20" t="s">
        <v>203</v>
      </c>
      <c r="D5" s="20" t="s">
        <v>215</v>
      </c>
      <c r="E5" s="20" t="s">
        <v>205</v>
      </c>
      <c r="F5" s="20" t="s">
        <v>216</v>
      </c>
      <c r="G5" s="20" t="s">
        <v>217</v>
      </c>
      <c r="H5" s="20" t="s">
        <v>208</v>
      </c>
      <c r="I5" s="20" t="s">
        <v>209</v>
      </c>
      <c r="J5" s="13"/>
      <c r="K5" s="53"/>
    </row>
    <row r="6" spans="1:13" s="13" customFormat="1" ht="28.5" x14ac:dyDescent="0.2">
      <c r="A6" s="23" t="s">
        <v>314</v>
      </c>
      <c r="B6" s="80"/>
      <c r="C6" s="79"/>
      <c r="D6" s="79"/>
      <c r="E6" s="75"/>
      <c r="F6" s="75"/>
      <c r="G6" s="75"/>
      <c r="H6" s="75"/>
      <c r="I6" s="81"/>
      <c r="K6" s="135" t="s">
        <v>224</v>
      </c>
      <c r="L6" s="135"/>
    </row>
    <row r="7" spans="1:13" s="13" customFormat="1" ht="18" customHeight="1" x14ac:dyDescent="0.2">
      <c r="A7" s="70" t="s">
        <v>275</v>
      </c>
      <c r="B7" s="79">
        <v>2</v>
      </c>
      <c r="C7" s="79">
        <v>1</v>
      </c>
      <c r="D7" s="79">
        <f t="shared" ref="D7:D8" si="0">B7*C7</f>
        <v>2</v>
      </c>
      <c r="E7" s="75">
        <f>'Respondent &amp; Agency Data'!B12</f>
        <v>0</v>
      </c>
      <c r="F7" s="75">
        <f>ROUND(D7*E7, 2)</f>
        <v>0</v>
      </c>
      <c r="G7" s="75">
        <f t="shared" ref="G7:G8" si="1">ROUND(F7*0.05, 2)</f>
        <v>0</v>
      </c>
      <c r="H7" s="75">
        <f t="shared" ref="H7:H8" si="2">ROUND(F7*0.1, 2)</f>
        <v>0</v>
      </c>
      <c r="I7" s="81">
        <f t="shared" ref="I7:I8" si="3">ROUND(F7*$L$8+G7*$L$7+H7*$L$9, 2)</f>
        <v>0</v>
      </c>
      <c r="K7" s="32" t="s">
        <v>221</v>
      </c>
      <c r="L7" s="15">
        <v>69.040000000000006</v>
      </c>
      <c r="M7" s="17"/>
    </row>
    <row r="8" spans="1:13" s="13" customFormat="1" ht="32.25" customHeight="1" x14ac:dyDescent="0.2">
      <c r="A8" s="70" t="s">
        <v>273</v>
      </c>
      <c r="B8" s="79">
        <f>'Respondent &amp; Agency Data'!E12-B7</f>
        <v>4</v>
      </c>
      <c r="C8" s="79">
        <v>1</v>
      </c>
      <c r="D8" s="79">
        <f t="shared" si="0"/>
        <v>4</v>
      </c>
      <c r="E8" s="79">
        <f>E$7</f>
        <v>0</v>
      </c>
      <c r="F8" s="75">
        <f>ROUND(D8*E8, 2)</f>
        <v>0</v>
      </c>
      <c r="G8" s="75">
        <f t="shared" si="1"/>
        <v>0</v>
      </c>
      <c r="H8" s="75">
        <f t="shared" si="2"/>
        <v>0</v>
      </c>
      <c r="I8" s="81">
        <f t="shared" si="3"/>
        <v>0</v>
      </c>
      <c r="K8" s="32" t="s">
        <v>222</v>
      </c>
      <c r="L8" s="15">
        <v>51.23</v>
      </c>
    </row>
    <row r="9" spans="1:13" s="13" customFormat="1" ht="31.5" customHeight="1" x14ac:dyDescent="0.2">
      <c r="A9" s="70" t="s">
        <v>274</v>
      </c>
      <c r="B9" s="93">
        <f>'Respondent &amp; Agency Data'!F$12*0.5</f>
        <v>1.9</v>
      </c>
      <c r="C9" s="79">
        <v>2</v>
      </c>
      <c r="D9" s="93">
        <f t="shared" ref="D9:D16" si="4">B9*C9</f>
        <v>3.8</v>
      </c>
      <c r="E9" s="79">
        <f t="shared" ref="E9:E10" si="5">E$7</f>
        <v>0</v>
      </c>
      <c r="F9" s="75">
        <f>ROUND(D9*E9, 2)</f>
        <v>0</v>
      </c>
      <c r="G9" s="75">
        <f t="shared" ref="G9:G16" si="6">ROUND(F9*0.05, 2)</f>
        <v>0</v>
      </c>
      <c r="H9" s="75">
        <f t="shared" ref="H9:H16" si="7">ROUND(F9*0.1, 2)</f>
        <v>0</v>
      </c>
      <c r="I9" s="81">
        <f t="shared" ref="I9:I16" si="8">ROUND(F9*$L$8+G9*$L$7+H9*$L$9, 2)</f>
        <v>0</v>
      </c>
      <c r="K9" s="32" t="s">
        <v>223</v>
      </c>
      <c r="L9" s="15">
        <v>27.73</v>
      </c>
    </row>
    <row r="10" spans="1:13" s="13" customFormat="1" ht="32.25" customHeight="1" x14ac:dyDescent="0.2">
      <c r="A10" s="70" t="s">
        <v>271</v>
      </c>
      <c r="B10" s="93">
        <f>'Respondent &amp; Agency Data'!F$12*0.5</f>
        <v>1.9</v>
      </c>
      <c r="C10" s="79">
        <v>2</v>
      </c>
      <c r="D10" s="93">
        <f t="shared" si="4"/>
        <v>3.8</v>
      </c>
      <c r="E10" s="79">
        <f t="shared" si="5"/>
        <v>0</v>
      </c>
      <c r="F10" s="75">
        <f>ROUND(D10*E10, 2)</f>
        <v>0</v>
      </c>
      <c r="G10" s="75">
        <f t="shared" si="6"/>
        <v>0</v>
      </c>
      <c r="H10" s="75">
        <f t="shared" si="7"/>
        <v>0</v>
      </c>
      <c r="I10" s="81">
        <f t="shared" si="8"/>
        <v>0</v>
      </c>
      <c r="K10" s="17"/>
      <c r="L10" s="69"/>
    </row>
    <row r="11" spans="1:13" s="13" customFormat="1" ht="30" customHeight="1" x14ac:dyDescent="0.2">
      <c r="A11" s="23" t="s">
        <v>315</v>
      </c>
      <c r="B11" s="79"/>
      <c r="C11" s="79"/>
      <c r="D11" s="79"/>
      <c r="E11" s="79"/>
      <c r="F11" s="75"/>
      <c r="G11" s="75"/>
      <c r="H11" s="75"/>
      <c r="I11" s="81"/>
      <c r="L11" s="69"/>
    </row>
    <row r="12" spans="1:13" s="13" customFormat="1" ht="15.75" customHeight="1" x14ac:dyDescent="0.2">
      <c r="A12" s="70" t="s">
        <v>270</v>
      </c>
      <c r="B12" s="79">
        <v>1</v>
      </c>
      <c r="C12" s="79">
        <v>1</v>
      </c>
      <c r="D12" s="79">
        <f t="shared" ref="D12" si="9">B12*C12</f>
        <v>1</v>
      </c>
      <c r="E12" s="79">
        <f>'Respondent &amp; Agency Data'!B13</f>
        <v>18</v>
      </c>
      <c r="F12" s="75">
        <f>ROUND(D12*E12, 2)</f>
        <v>18</v>
      </c>
      <c r="G12" s="75">
        <f t="shared" ref="G12" si="10">ROUND(F12*0.05, 2)</f>
        <v>0.9</v>
      </c>
      <c r="H12" s="75">
        <f t="shared" ref="H12" si="11">ROUND(F12*0.1, 2)</f>
        <v>1.8</v>
      </c>
      <c r="I12" s="81">
        <f>ROUND(F12*$L$8+G12*$L$7+H12*$L$9, 2)</f>
        <v>1034.19</v>
      </c>
      <c r="L12" s="69"/>
    </row>
    <row r="13" spans="1:13" s="13" customFormat="1" ht="28.5" x14ac:dyDescent="0.2">
      <c r="A13" s="70" t="s">
        <v>272</v>
      </c>
      <c r="B13" s="93">
        <f>('Respondent &amp; Agency Data'!E$13-B$12)/2</f>
        <v>3.5</v>
      </c>
      <c r="C13" s="79">
        <v>1</v>
      </c>
      <c r="D13" s="93">
        <f t="shared" si="4"/>
        <v>3.5</v>
      </c>
      <c r="E13" s="79">
        <f>'Respondent &amp; Agency Data'!B13</f>
        <v>18</v>
      </c>
      <c r="F13" s="75">
        <f>ROUND(D13*E13, 2)</f>
        <v>63</v>
      </c>
      <c r="G13" s="75">
        <f t="shared" si="6"/>
        <v>3.15</v>
      </c>
      <c r="H13" s="75">
        <f t="shared" si="7"/>
        <v>6.3</v>
      </c>
      <c r="I13" s="81">
        <f>ROUND(F13*$L$8+G13*$L$7+H13*$L$9, 2)</f>
        <v>3619.67</v>
      </c>
      <c r="L13" s="69"/>
    </row>
    <row r="14" spans="1:13" s="13" customFormat="1" ht="28.5" x14ac:dyDescent="0.2">
      <c r="A14" s="70" t="s">
        <v>276</v>
      </c>
      <c r="B14" s="93">
        <f>('Respondent &amp; Agency Data'!E$13-B$12)/2</f>
        <v>3.5</v>
      </c>
      <c r="C14" s="79">
        <v>1</v>
      </c>
      <c r="D14" s="93">
        <f t="shared" si="4"/>
        <v>3.5</v>
      </c>
      <c r="E14" s="79">
        <f>E$13</f>
        <v>18</v>
      </c>
      <c r="F14" s="75">
        <f>ROUND(D14*E14, 2)</f>
        <v>63</v>
      </c>
      <c r="G14" s="75">
        <f t="shared" si="6"/>
        <v>3.15</v>
      </c>
      <c r="H14" s="75">
        <f t="shared" si="7"/>
        <v>6.3</v>
      </c>
      <c r="I14" s="81">
        <f t="shared" si="8"/>
        <v>3619.67</v>
      </c>
      <c r="L14" s="69"/>
    </row>
    <row r="15" spans="1:13" s="13" customFormat="1" ht="28.5" x14ac:dyDescent="0.2">
      <c r="A15" s="70" t="s">
        <v>278</v>
      </c>
      <c r="B15" s="93">
        <f>'Respondent &amp; Agency Data'!F13*0.5</f>
        <v>1.9</v>
      </c>
      <c r="C15" s="79">
        <v>2</v>
      </c>
      <c r="D15" s="93">
        <f t="shared" si="4"/>
        <v>3.8</v>
      </c>
      <c r="E15" s="79">
        <f t="shared" ref="E15:E16" si="12">E$13</f>
        <v>18</v>
      </c>
      <c r="F15" s="75">
        <f>ROUND(D15*E15, 2)</f>
        <v>68.400000000000006</v>
      </c>
      <c r="G15" s="75">
        <f t="shared" si="6"/>
        <v>3.42</v>
      </c>
      <c r="H15" s="75">
        <f t="shared" si="7"/>
        <v>6.84</v>
      </c>
      <c r="I15" s="81">
        <f t="shared" si="8"/>
        <v>3929.92</v>
      </c>
      <c r="L15" s="69"/>
    </row>
    <row r="16" spans="1:13" s="13" customFormat="1" ht="31.5" customHeight="1" x14ac:dyDescent="0.2">
      <c r="A16" s="70" t="s">
        <v>279</v>
      </c>
      <c r="B16" s="93">
        <f>'Respondent &amp; Agency Data'!F13*0.5</f>
        <v>1.9</v>
      </c>
      <c r="C16" s="79">
        <v>2</v>
      </c>
      <c r="D16" s="93">
        <f t="shared" si="4"/>
        <v>3.8</v>
      </c>
      <c r="E16" s="79">
        <f t="shared" si="12"/>
        <v>18</v>
      </c>
      <c r="F16" s="75">
        <f>ROUND(D16*E16, 2)</f>
        <v>68.400000000000006</v>
      </c>
      <c r="G16" s="75">
        <f t="shared" si="6"/>
        <v>3.42</v>
      </c>
      <c r="H16" s="75">
        <f t="shared" si="7"/>
        <v>6.84</v>
      </c>
      <c r="I16" s="81">
        <f t="shared" si="8"/>
        <v>3929.92</v>
      </c>
      <c r="L16" s="69"/>
    </row>
    <row r="17" spans="1:12" s="13" customFormat="1" ht="18" customHeight="1" x14ac:dyDescent="0.2">
      <c r="A17" s="23" t="s">
        <v>316</v>
      </c>
      <c r="B17" s="80"/>
      <c r="C17" s="80"/>
      <c r="D17" s="79"/>
      <c r="E17" s="75"/>
      <c r="F17" s="75"/>
      <c r="G17" s="75"/>
      <c r="H17" s="75"/>
      <c r="I17" s="81"/>
      <c r="L17" s="69"/>
    </row>
    <row r="18" spans="1:12" s="13" customFormat="1" ht="41.25" x14ac:dyDescent="0.2">
      <c r="A18" s="71" t="s">
        <v>280</v>
      </c>
      <c r="B18" s="80">
        <v>1</v>
      </c>
      <c r="C18" s="80">
        <v>1</v>
      </c>
      <c r="D18" s="79">
        <f t="shared" ref="D18:D26" si="13">B18*C18</f>
        <v>1</v>
      </c>
      <c r="E18" s="75">
        <f>'Respondent &amp; Agency Data'!B14</f>
        <v>22</v>
      </c>
      <c r="F18" s="75">
        <f>ROUND(D18*E18, 2)</f>
        <v>22</v>
      </c>
      <c r="G18" s="75">
        <f t="shared" ref="G18:G22" si="14">ROUND(F18*0.05, 2)</f>
        <v>1.1000000000000001</v>
      </c>
      <c r="H18" s="75">
        <f t="shared" ref="H18:H22" si="15">ROUND(F18*0.1, 2)</f>
        <v>2.2000000000000002</v>
      </c>
      <c r="I18" s="81">
        <f t="shared" ref="I18:I22" si="16">ROUND(F18*$L$8+G18*$L$7+H18*$L$9, 2)</f>
        <v>1264.01</v>
      </c>
      <c r="L18" s="69"/>
    </row>
    <row r="19" spans="1:12" s="13" customFormat="1" ht="31.5" customHeight="1" x14ac:dyDescent="0.2">
      <c r="A19" s="71" t="s">
        <v>281</v>
      </c>
      <c r="B19" s="80">
        <v>0.5</v>
      </c>
      <c r="C19" s="80">
        <v>1</v>
      </c>
      <c r="D19" s="93">
        <f t="shared" si="13"/>
        <v>0.5</v>
      </c>
      <c r="E19" s="75">
        <f>E$18</f>
        <v>22</v>
      </c>
      <c r="F19" s="75">
        <f>ROUND(D19*E19, 2)</f>
        <v>11</v>
      </c>
      <c r="G19" s="75">
        <f t="shared" si="14"/>
        <v>0.55000000000000004</v>
      </c>
      <c r="H19" s="75">
        <f t="shared" si="15"/>
        <v>1.1000000000000001</v>
      </c>
      <c r="I19" s="81">
        <f t="shared" si="16"/>
        <v>632.01</v>
      </c>
      <c r="L19" s="69"/>
    </row>
    <row r="20" spans="1:12" s="13" customFormat="1" ht="31.5" customHeight="1" x14ac:dyDescent="0.2">
      <c r="A20" s="71" t="s">
        <v>277</v>
      </c>
      <c r="B20" s="93">
        <f>'Respondent &amp; Agency Data'!E14-B18-B19</f>
        <v>5.5</v>
      </c>
      <c r="C20" s="80">
        <v>1</v>
      </c>
      <c r="D20" s="93">
        <f t="shared" si="13"/>
        <v>5.5</v>
      </c>
      <c r="E20" s="75">
        <f t="shared" ref="E20:E22" si="17">E$18</f>
        <v>22</v>
      </c>
      <c r="F20" s="75">
        <f>ROUND(D20*E20, 2)</f>
        <v>121</v>
      </c>
      <c r="G20" s="75">
        <f t="shared" si="14"/>
        <v>6.05</v>
      </c>
      <c r="H20" s="75">
        <f t="shared" si="15"/>
        <v>12.1</v>
      </c>
      <c r="I20" s="81">
        <f t="shared" si="16"/>
        <v>6952.06</v>
      </c>
    </row>
    <row r="21" spans="1:12" s="13" customFormat="1" ht="18.75" customHeight="1" x14ac:dyDescent="0.2">
      <c r="A21" s="71" t="s">
        <v>282</v>
      </c>
      <c r="B21" s="80">
        <f>'Respondent &amp; Agency Data'!F14*0.5</f>
        <v>1.9</v>
      </c>
      <c r="C21" s="80">
        <v>2</v>
      </c>
      <c r="D21" s="93">
        <f t="shared" si="13"/>
        <v>3.8</v>
      </c>
      <c r="E21" s="75">
        <f t="shared" si="17"/>
        <v>22</v>
      </c>
      <c r="F21" s="75">
        <f>ROUND(D21*E21, 2)</f>
        <v>83.6</v>
      </c>
      <c r="G21" s="75">
        <f t="shared" si="14"/>
        <v>4.18</v>
      </c>
      <c r="H21" s="75">
        <f t="shared" si="15"/>
        <v>8.36</v>
      </c>
      <c r="I21" s="81">
        <f t="shared" si="16"/>
        <v>4803.24</v>
      </c>
    </row>
    <row r="22" spans="1:12" s="13" customFormat="1" ht="33" customHeight="1" x14ac:dyDescent="0.2">
      <c r="A22" s="71" t="s">
        <v>279</v>
      </c>
      <c r="B22" s="80">
        <f>'Respondent &amp; Agency Data'!F14*0.5</f>
        <v>1.9</v>
      </c>
      <c r="C22" s="80">
        <v>2</v>
      </c>
      <c r="D22" s="93">
        <f t="shared" si="13"/>
        <v>3.8</v>
      </c>
      <c r="E22" s="75">
        <f t="shared" si="17"/>
        <v>22</v>
      </c>
      <c r="F22" s="75">
        <f>ROUND(D22*E22, 2)</f>
        <v>83.6</v>
      </c>
      <c r="G22" s="75">
        <f t="shared" si="14"/>
        <v>4.18</v>
      </c>
      <c r="H22" s="75">
        <f t="shared" si="15"/>
        <v>8.36</v>
      </c>
      <c r="I22" s="81">
        <f t="shared" si="16"/>
        <v>4803.24</v>
      </c>
    </row>
    <row r="23" spans="1:12" s="13" customFormat="1" ht="33" customHeight="1" x14ac:dyDescent="0.2">
      <c r="A23" s="23" t="s">
        <v>317</v>
      </c>
      <c r="B23" s="80"/>
      <c r="C23" s="80"/>
      <c r="D23" s="79"/>
      <c r="E23" s="75"/>
      <c r="F23" s="75"/>
      <c r="G23" s="75"/>
      <c r="H23" s="75"/>
      <c r="I23" s="81"/>
    </row>
    <row r="24" spans="1:12" s="13" customFormat="1" ht="33" customHeight="1" x14ac:dyDescent="0.2">
      <c r="A24" s="71" t="s">
        <v>318</v>
      </c>
      <c r="B24" s="79">
        <f>'Respondent &amp; Agency Data'!E15</f>
        <v>8</v>
      </c>
      <c r="C24" s="80">
        <v>1</v>
      </c>
      <c r="D24" s="79">
        <f t="shared" si="13"/>
        <v>8</v>
      </c>
      <c r="E24" s="75">
        <f>'Respondent &amp; Agency Data'!B$15</f>
        <v>16</v>
      </c>
      <c r="F24" s="75">
        <f t="shared" ref="F24:F26" si="18">ROUND(D24*E24, 2)</f>
        <v>128</v>
      </c>
      <c r="G24" s="75">
        <f t="shared" ref="G24:G26" si="19">ROUND(F24*0.05, 2)</f>
        <v>6.4</v>
      </c>
      <c r="H24" s="75">
        <f t="shared" ref="H24:H26" si="20">ROUND(F24*0.1, 2)</f>
        <v>12.8</v>
      </c>
      <c r="I24" s="81">
        <f t="shared" ref="I24:I26" si="21">ROUND(F24*$L$8+G24*$L$7+H24*$L$9, 2)</f>
        <v>7354.24</v>
      </c>
    </row>
    <row r="25" spans="1:12" s="13" customFormat="1" ht="17.25" customHeight="1" x14ac:dyDescent="0.2">
      <c r="A25" s="71" t="s">
        <v>319</v>
      </c>
      <c r="B25" s="80">
        <f>'Respondent &amp; Agency Data'!F$15*0.5</f>
        <v>1.9</v>
      </c>
      <c r="C25" s="80">
        <v>2</v>
      </c>
      <c r="D25" s="93">
        <f t="shared" si="13"/>
        <v>3.8</v>
      </c>
      <c r="E25" s="75">
        <f>'Respondent &amp; Agency Data'!B$15</f>
        <v>16</v>
      </c>
      <c r="F25" s="75">
        <f t="shared" si="18"/>
        <v>60.8</v>
      </c>
      <c r="G25" s="75">
        <f t="shared" si="19"/>
        <v>3.04</v>
      </c>
      <c r="H25" s="75">
        <f t="shared" si="20"/>
        <v>6.08</v>
      </c>
      <c r="I25" s="81">
        <f t="shared" si="21"/>
        <v>3493.26</v>
      </c>
    </row>
    <row r="26" spans="1:12" s="13" customFormat="1" ht="33" customHeight="1" x14ac:dyDescent="0.2">
      <c r="A26" s="71" t="s">
        <v>320</v>
      </c>
      <c r="B26" s="80">
        <f>'Respondent &amp; Agency Data'!F$15*0.5</f>
        <v>1.9</v>
      </c>
      <c r="C26" s="80">
        <v>2</v>
      </c>
      <c r="D26" s="93">
        <f t="shared" si="13"/>
        <v>3.8</v>
      </c>
      <c r="E26" s="75">
        <f>'Respondent &amp; Agency Data'!B$15</f>
        <v>16</v>
      </c>
      <c r="F26" s="75">
        <f t="shared" si="18"/>
        <v>60.8</v>
      </c>
      <c r="G26" s="75">
        <f t="shared" si="19"/>
        <v>3.04</v>
      </c>
      <c r="H26" s="75">
        <f t="shared" si="20"/>
        <v>6.08</v>
      </c>
      <c r="I26" s="81">
        <f t="shared" si="21"/>
        <v>3493.26</v>
      </c>
    </row>
    <row r="27" spans="1:12" s="13" customFormat="1" ht="15.75" x14ac:dyDescent="0.2">
      <c r="A27" s="72" t="s">
        <v>283</v>
      </c>
      <c r="B27" s="141"/>
      <c r="C27" s="141"/>
      <c r="D27" s="141"/>
      <c r="E27" s="142"/>
      <c r="F27" s="133">
        <f>SUM(F6:H26)</f>
        <v>979.33999999999992</v>
      </c>
      <c r="G27" s="133"/>
      <c r="H27" s="133"/>
      <c r="I27" s="54">
        <f>ROUND(SUM(I6:I26),-2)</f>
        <v>48900</v>
      </c>
    </row>
    <row r="28" spans="1:12" s="13" customFormat="1" ht="12.75" x14ac:dyDescent="0.2">
      <c r="A28" s="47"/>
      <c r="B28" s="47"/>
      <c r="C28" s="47"/>
      <c r="D28" s="47"/>
      <c r="E28" s="47"/>
      <c r="F28" s="47"/>
      <c r="G28" s="47"/>
      <c r="H28" s="47"/>
      <c r="I28" s="47"/>
    </row>
    <row r="29" spans="1:12" s="13" customFormat="1" ht="13.5" customHeight="1" x14ac:dyDescent="0.2">
      <c r="A29" s="46" t="s">
        <v>213</v>
      </c>
    </row>
    <row r="30" spans="1:12" s="13" customFormat="1" ht="28.5" customHeight="1" x14ac:dyDescent="0.2">
      <c r="A30" s="138" t="s">
        <v>335</v>
      </c>
      <c r="B30" s="138"/>
      <c r="C30" s="138"/>
      <c r="D30" s="138"/>
      <c r="E30" s="138"/>
      <c r="F30" s="138"/>
      <c r="G30" s="138"/>
      <c r="H30" s="138"/>
      <c r="I30" s="138"/>
      <c r="J30" s="115"/>
    </row>
    <row r="31" spans="1:12" s="47" customFormat="1" ht="42" customHeight="1" x14ac:dyDescent="0.2">
      <c r="A31" s="136" t="s">
        <v>218</v>
      </c>
      <c r="B31" s="136"/>
      <c r="C31" s="136"/>
      <c r="D31" s="136"/>
      <c r="E31" s="136"/>
      <c r="F31" s="136"/>
      <c r="G31" s="136"/>
      <c r="H31" s="136"/>
      <c r="I31" s="136"/>
      <c r="J31" s="13"/>
      <c r="K31" s="13"/>
    </row>
    <row r="32" spans="1:12" s="13" customFormat="1" ht="21.75" customHeight="1" x14ac:dyDescent="0.2">
      <c r="A32" s="138" t="s">
        <v>313</v>
      </c>
      <c r="B32" s="138"/>
      <c r="C32" s="138"/>
      <c r="D32" s="138"/>
      <c r="E32" s="138"/>
      <c r="F32" s="138"/>
      <c r="G32" s="138"/>
      <c r="H32" s="138"/>
      <c r="I32" s="138"/>
      <c r="J32" s="78"/>
    </row>
    <row r="33" spans="1:11" s="13" customFormat="1" ht="54" customHeight="1" x14ac:dyDescent="0.2">
      <c r="A33" s="138" t="s">
        <v>290</v>
      </c>
      <c r="B33" s="138"/>
      <c r="C33" s="138"/>
      <c r="D33" s="138"/>
      <c r="E33" s="138"/>
      <c r="F33" s="138"/>
      <c r="G33" s="138"/>
      <c r="H33" s="138"/>
      <c r="I33" s="138"/>
      <c r="J33" s="78"/>
    </row>
    <row r="34" spans="1:11" s="47" customFormat="1" ht="36.75" customHeight="1" x14ac:dyDescent="0.2">
      <c r="A34" s="138" t="s">
        <v>322</v>
      </c>
      <c r="B34" s="138"/>
      <c r="C34" s="138"/>
      <c r="D34" s="138"/>
      <c r="E34" s="138"/>
      <c r="F34" s="138"/>
      <c r="G34" s="138"/>
      <c r="H34" s="138"/>
      <c r="I34" s="138"/>
      <c r="J34" s="13"/>
      <c r="K34" s="13"/>
    </row>
    <row r="35" spans="1:11" s="47" customFormat="1" ht="21.75" customHeight="1" x14ac:dyDescent="0.2">
      <c r="A35" s="138" t="s">
        <v>289</v>
      </c>
      <c r="B35" s="138"/>
      <c r="C35" s="138"/>
      <c r="D35" s="138"/>
      <c r="E35" s="138"/>
      <c r="F35" s="138"/>
      <c r="G35" s="138"/>
      <c r="H35" s="138"/>
      <c r="I35" s="138"/>
      <c r="J35" s="13"/>
      <c r="K35" s="13"/>
    </row>
    <row r="36" spans="1:11" ht="21.75" customHeight="1" x14ac:dyDescent="0.25">
      <c r="A36" s="138" t="s">
        <v>321</v>
      </c>
      <c r="B36" s="138"/>
      <c r="C36" s="138"/>
      <c r="D36" s="138"/>
      <c r="E36" s="138"/>
      <c r="F36" s="138"/>
      <c r="G36" s="138"/>
      <c r="H36" s="138"/>
      <c r="I36" s="138"/>
    </row>
    <row r="37" spans="1:11" ht="15.75" x14ac:dyDescent="0.25">
      <c r="A37" s="134" t="s">
        <v>288</v>
      </c>
      <c r="B37" s="134"/>
      <c r="C37" s="134"/>
      <c r="D37" s="134"/>
      <c r="E37" s="134"/>
      <c r="F37" s="134"/>
      <c r="G37" s="134"/>
      <c r="H37" s="134"/>
      <c r="I37" s="134"/>
    </row>
  </sheetData>
  <mergeCells count="13">
    <mergeCell ref="K6:L6"/>
    <mergeCell ref="A1:I1"/>
    <mergeCell ref="A4:A5"/>
    <mergeCell ref="F27:H27"/>
    <mergeCell ref="A31:I31"/>
    <mergeCell ref="B27:E27"/>
    <mergeCell ref="A30:I30"/>
    <mergeCell ref="A36:I36"/>
    <mergeCell ref="A37:I37"/>
    <mergeCell ref="A34:I34"/>
    <mergeCell ref="A35:I35"/>
    <mergeCell ref="A32:I32"/>
    <mergeCell ref="A33:I3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48D2B-50FD-485A-AFAE-7FFECD82CEFF}">
  <dimension ref="A1:M37"/>
  <sheetViews>
    <sheetView topLeftCell="A18" workbookViewId="0">
      <selection activeCell="A6" sqref="A6"/>
    </sheetView>
  </sheetViews>
  <sheetFormatPr defaultColWidth="9.140625" defaultRowHeight="15" x14ac:dyDescent="0.25"/>
  <cols>
    <col min="1" max="1" width="45.42578125" style="49" customWidth="1"/>
    <col min="2" max="2" width="12.85546875" style="49" bestFit="1" customWidth="1"/>
    <col min="3" max="4" width="12.5703125" style="49" bestFit="1" customWidth="1"/>
    <col min="5" max="5" width="11.7109375" style="49" customWidth="1"/>
    <col min="6" max="6" width="13.85546875" style="49" bestFit="1" customWidth="1"/>
    <col min="7" max="8" width="12.42578125" style="49" bestFit="1" customWidth="1"/>
    <col min="9" max="9" width="11.7109375" style="49" bestFit="1" customWidth="1"/>
    <col min="10" max="10" width="2" style="48" customWidth="1"/>
    <col min="11" max="11" width="14.5703125" style="48" customWidth="1"/>
    <col min="12" max="16384" width="9.140625" style="49"/>
  </cols>
  <sheetData>
    <row r="1" spans="1:13" ht="15.75" x14ac:dyDescent="0.25">
      <c r="A1" s="124" t="s">
        <v>264</v>
      </c>
      <c r="B1" s="124"/>
      <c r="C1" s="124"/>
      <c r="D1" s="124"/>
      <c r="E1" s="124"/>
      <c r="F1" s="124"/>
      <c r="G1" s="124"/>
      <c r="H1" s="124"/>
      <c r="I1" s="124"/>
    </row>
    <row r="2" spans="1:13" ht="15.75" x14ac:dyDescent="0.25">
      <c r="A2" s="50" t="s">
        <v>259</v>
      </c>
    </row>
    <row r="3" spans="1:13" s="47" customFormat="1" ht="12.75" x14ac:dyDescent="0.2">
      <c r="E3" s="14"/>
      <c r="J3" s="13"/>
      <c r="K3" s="17"/>
    </row>
    <row r="4" spans="1:13" s="13" customFormat="1" ht="12.75" x14ac:dyDescent="0.2">
      <c r="A4" s="140" t="s">
        <v>342</v>
      </c>
      <c r="B4" s="51" t="s">
        <v>194</v>
      </c>
      <c r="C4" s="51" t="s">
        <v>195</v>
      </c>
      <c r="D4" s="51" t="s">
        <v>196</v>
      </c>
      <c r="E4" s="51" t="s">
        <v>197</v>
      </c>
      <c r="F4" s="51" t="s">
        <v>198</v>
      </c>
      <c r="G4" s="51" t="s">
        <v>199</v>
      </c>
      <c r="H4" s="51" t="s">
        <v>200</v>
      </c>
      <c r="I4" s="51" t="s">
        <v>201</v>
      </c>
      <c r="J4" s="52"/>
    </row>
    <row r="5" spans="1:13" s="22" customFormat="1" ht="51" x14ac:dyDescent="0.25">
      <c r="A5" s="140"/>
      <c r="B5" s="20" t="s">
        <v>214</v>
      </c>
      <c r="C5" s="20" t="s">
        <v>203</v>
      </c>
      <c r="D5" s="20" t="s">
        <v>215</v>
      </c>
      <c r="E5" s="20" t="s">
        <v>205</v>
      </c>
      <c r="F5" s="20" t="s">
        <v>216</v>
      </c>
      <c r="G5" s="20" t="s">
        <v>217</v>
      </c>
      <c r="H5" s="20" t="s">
        <v>208</v>
      </c>
      <c r="I5" s="20" t="s">
        <v>209</v>
      </c>
      <c r="J5" s="13"/>
      <c r="K5" s="53"/>
    </row>
    <row r="6" spans="1:13" s="13" customFormat="1" ht="28.5" x14ac:dyDescent="0.2">
      <c r="A6" s="23" t="s">
        <v>314</v>
      </c>
      <c r="B6" s="79"/>
      <c r="C6" s="79"/>
      <c r="D6" s="79"/>
      <c r="E6" s="75"/>
      <c r="F6" s="75"/>
      <c r="G6" s="75"/>
      <c r="H6" s="75"/>
      <c r="I6" s="81"/>
      <c r="K6" s="135" t="s">
        <v>224</v>
      </c>
      <c r="L6" s="135"/>
    </row>
    <row r="7" spans="1:13" s="13" customFormat="1" ht="18" customHeight="1" x14ac:dyDescent="0.2">
      <c r="A7" s="70" t="s">
        <v>275</v>
      </c>
      <c r="B7" s="79">
        <f>'Agency Yr1'!B7</f>
        <v>2</v>
      </c>
      <c r="C7" s="79">
        <v>1</v>
      </c>
      <c r="D7" s="79">
        <f t="shared" ref="D7:D16" si="0">B7*C7</f>
        <v>2</v>
      </c>
      <c r="E7" s="75">
        <f>'Respondent &amp; Agency Data'!C12</f>
        <v>6</v>
      </c>
      <c r="F7" s="75">
        <f>ROUND(D7*E7, 2)</f>
        <v>12</v>
      </c>
      <c r="G7" s="75">
        <f t="shared" ref="G7:G16" si="1">ROUND(F7*0.05, 2)</f>
        <v>0.6</v>
      </c>
      <c r="H7" s="75">
        <f t="shared" ref="H7:H16" si="2">ROUND(F7*0.1, 2)</f>
        <v>1.2</v>
      </c>
      <c r="I7" s="81">
        <f t="shared" ref="I7:I16" si="3">ROUND(F7*$L$8+G7*$L$7+H7*$L$9, 2)</f>
        <v>689.46</v>
      </c>
      <c r="K7" s="32" t="s">
        <v>221</v>
      </c>
      <c r="L7" s="15">
        <v>69.040000000000006</v>
      </c>
      <c r="M7" s="17"/>
    </row>
    <row r="8" spans="1:13" s="13" customFormat="1" ht="32.25" customHeight="1" x14ac:dyDescent="0.2">
      <c r="A8" s="70" t="s">
        <v>273</v>
      </c>
      <c r="B8" s="79">
        <f>'Agency Yr1'!B8</f>
        <v>4</v>
      </c>
      <c r="C8" s="79">
        <v>1</v>
      </c>
      <c r="D8" s="79">
        <f t="shared" si="0"/>
        <v>4</v>
      </c>
      <c r="E8" s="79">
        <f>E$7</f>
        <v>6</v>
      </c>
      <c r="F8" s="75">
        <f>ROUND(D8*E8, 2)</f>
        <v>24</v>
      </c>
      <c r="G8" s="75">
        <f t="shared" si="1"/>
        <v>1.2</v>
      </c>
      <c r="H8" s="75">
        <f t="shared" si="2"/>
        <v>2.4</v>
      </c>
      <c r="I8" s="81">
        <f t="shared" si="3"/>
        <v>1378.92</v>
      </c>
      <c r="K8" s="32" t="s">
        <v>222</v>
      </c>
      <c r="L8" s="15">
        <v>51.23</v>
      </c>
    </row>
    <row r="9" spans="1:13" s="13" customFormat="1" ht="31.5" customHeight="1" x14ac:dyDescent="0.2">
      <c r="A9" s="70" t="s">
        <v>274</v>
      </c>
      <c r="B9" s="93">
        <f>'Agency Yr1'!B9</f>
        <v>1.9</v>
      </c>
      <c r="C9" s="79">
        <v>2</v>
      </c>
      <c r="D9" s="93">
        <f t="shared" si="0"/>
        <v>3.8</v>
      </c>
      <c r="E9" s="79">
        <f t="shared" ref="E9:E10" si="4">E$7</f>
        <v>6</v>
      </c>
      <c r="F9" s="75">
        <f>ROUND(D9*E9, 2)</f>
        <v>22.8</v>
      </c>
      <c r="G9" s="75">
        <f t="shared" si="1"/>
        <v>1.1399999999999999</v>
      </c>
      <c r="H9" s="75">
        <f t="shared" si="2"/>
        <v>2.2799999999999998</v>
      </c>
      <c r="I9" s="81">
        <f t="shared" si="3"/>
        <v>1309.97</v>
      </c>
      <c r="K9" s="32" t="s">
        <v>223</v>
      </c>
      <c r="L9" s="15">
        <v>27.73</v>
      </c>
    </row>
    <row r="10" spans="1:13" s="13" customFormat="1" ht="32.25" customHeight="1" x14ac:dyDescent="0.2">
      <c r="A10" s="70" t="s">
        <v>271</v>
      </c>
      <c r="B10" s="93">
        <f>'Agency Yr1'!B10</f>
        <v>1.9</v>
      </c>
      <c r="C10" s="79">
        <v>2</v>
      </c>
      <c r="D10" s="93">
        <f t="shared" si="0"/>
        <v>3.8</v>
      </c>
      <c r="E10" s="79">
        <f t="shared" si="4"/>
        <v>6</v>
      </c>
      <c r="F10" s="75">
        <f>ROUND(D10*E10, 2)</f>
        <v>22.8</v>
      </c>
      <c r="G10" s="75">
        <f t="shared" si="1"/>
        <v>1.1399999999999999</v>
      </c>
      <c r="H10" s="75">
        <f t="shared" si="2"/>
        <v>2.2799999999999998</v>
      </c>
      <c r="I10" s="81">
        <f t="shared" si="3"/>
        <v>1309.97</v>
      </c>
      <c r="K10" s="17"/>
      <c r="L10" s="69"/>
    </row>
    <row r="11" spans="1:13" s="13" customFormat="1" ht="30" customHeight="1" x14ac:dyDescent="0.2">
      <c r="A11" s="23" t="s">
        <v>315</v>
      </c>
      <c r="B11" s="79"/>
      <c r="C11" s="79"/>
      <c r="D11" s="79"/>
      <c r="E11" s="79"/>
      <c r="F11" s="75"/>
      <c r="G11" s="75"/>
      <c r="H11" s="75"/>
      <c r="I11" s="81"/>
      <c r="L11" s="69"/>
    </row>
    <row r="12" spans="1:13" s="13" customFormat="1" ht="30" customHeight="1" x14ac:dyDescent="0.2">
      <c r="A12" s="70" t="s">
        <v>270</v>
      </c>
      <c r="B12" s="79">
        <f>'Agency Yr1'!B12</f>
        <v>1</v>
      </c>
      <c r="C12" s="79">
        <v>0</v>
      </c>
      <c r="D12" s="79">
        <f t="shared" ref="D12" si="5">B12*C12</f>
        <v>0</v>
      </c>
      <c r="E12" s="79">
        <v>0</v>
      </c>
      <c r="F12" s="75">
        <f>ROUND(D12*E12, 2)</f>
        <v>0</v>
      </c>
      <c r="G12" s="75">
        <f t="shared" ref="G12" si="6">ROUND(F12*0.05, 2)</f>
        <v>0</v>
      </c>
      <c r="H12" s="75">
        <f t="shared" ref="H12" si="7">ROUND(F12*0.1, 2)</f>
        <v>0</v>
      </c>
      <c r="I12" s="81">
        <f t="shared" ref="I12" si="8">ROUND(F12*$L$8+G12*$L$7+H12*$L$9, 2)</f>
        <v>0</v>
      </c>
      <c r="L12" s="69"/>
    </row>
    <row r="13" spans="1:13" s="13" customFormat="1" ht="28.5" x14ac:dyDescent="0.2">
      <c r="A13" s="70" t="s">
        <v>272</v>
      </c>
      <c r="B13" s="93">
        <f>'Agency Yr1'!B13</f>
        <v>3.5</v>
      </c>
      <c r="C13" s="79">
        <v>1</v>
      </c>
      <c r="D13" s="93">
        <f t="shared" si="0"/>
        <v>3.5</v>
      </c>
      <c r="E13" s="76">
        <v>0</v>
      </c>
      <c r="F13" s="75">
        <f>ROUND(D13*E13, 2)</f>
        <v>0</v>
      </c>
      <c r="G13" s="75">
        <f t="shared" si="1"/>
        <v>0</v>
      </c>
      <c r="H13" s="75">
        <f t="shared" si="2"/>
        <v>0</v>
      </c>
      <c r="I13" s="81">
        <f t="shared" si="3"/>
        <v>0</v>
      </c>
      <c r="L13" s="69"/>
    </row>
    <row r="14" spans="1:13" s="13" customFormat="1" ht="28.5" x14ac:dyDescent="0.2">
      <c r="A14" s="70" t="s">
        <v>276</v>
      </c>
      <c r="B14" s="93">
        <f>'Agency Yr1'!B14</f>
        <v>3.5</v>
      </c>
      <c r="C14" s="79">
        <v>1</v>
      </c>
      <c r="D14" s="93">
        <f t="shared" si="0"/>
        <v>3.5</v>
      </c>
      <c r="E14" s="79">
        <v>0</v>
      </c>
      <c r="F14" s="75">
        <f>ROUND(D14*E14, 2)</f>
        <v>0</v>
      </c>
      <c r="G14" s="75">
        <f t="shared" si="1"/>
        <v>0</v>
      </c>
      <c r="H14" s="75">
        <f t="shared" si="2"/>
        <v>0</v>
      </c>
      <c r="I14" s="81">
        <f t="shared" si="3"/>
        <v>0</v>
      </c>
      <c r="L14" s="69"/>
    </row>
    <row r="15" spans="1:13" s="13" customFormat="1" ht="28.5" x14ac:dyDescent="0.2">
      <c r="A15" s="70" t="s">
        <v>278</v>
      </c>
      <c r="B15" s="93">
        <f>'Agency Yr1'!B15</f>
        <v>1.9</v>
      </c>
      <c r="C15" s="79">
        <v>2</v>
      </c>
      <c r="D15" s="93">
        <f t="shared" si="0"/>
        <v>3.8</v>
      </c>
      <c r="E15" s="79">
        <f>'Respondent &amp; Agency Data'!C13</f>
        <v>15</v>
      </c>
      <c r="F15" s="75">
        <f>ROUND(D15*E15, 2)</f>
        <v>57</v>
      </c>
      <c r="G15" s="75">
        <f t="shared" ref="G15" si="9">ROUND(F15*0.05, 2)</f>
        <v>2.85</v>
      </c>
      <c r="H15" s="75">
        <f t="shared" ref="H15" si="10">ROUND(F15*0.1, 2)</f>
        <v>5.7</v>
      </c>
      <c r="I15" s="81">
        <f t="shared" ref="I15" si="11">ROUND(F15*$L$8+G15*$L$7+H15*$L$9, 2)</f>
        <v>3274.94</v>
      </c>
      <c r="L15" s="69"/>
    </row>
    <row r="16" spans="1:13" s="13" customFormat="1" ht="31.5" customHeight="1" x14ac:dyDescent="0.2">
      <c r="A16" s="70" t="s">
        <v>279</v>
      </c>
      <c r="B16" s="93">
        <f>'Agency Yr1'!B16</f>
        <v>1.9</v>
      </c>
      <c r="C16" s="79">
        <v>2</v>
      </c>
      <c r="D16" s="93">
        <f t="shared" si="0"/>
        <v>3.8</v>
      </c>
      <c r="E16" s="79">
        <f>E$15</f>
        <v>15</v>
      </c>
      <c r="F16" s="75">
        <f>ROUND(D16*E16, 2)</f>
        <v>57</v>
      </c>
      <c r="G16" s="75">
        <f t="shared" si="1"/>
        <v>2.85</v>
      </c>
      <c r="H16" s="75">
        <f t="shared" si="2"/>
        <v>5.7</v>
      </c>
      <c r="I16" s="81">
        <f t="shared" si="3"/>
        <v>3274.94</v>
      </c>
      <c r="L16" s="69"/>
    </row>
    <row r="17" spans="1:12" s="13" customFormat="1" ht="20.25" customHeight="1" x14ac:dyDescent="0.2">
      <c r="A17" s="23" t="s">
        <v>316</v>
      </c>
      <c r="B17" s="80"/>
      <c r="C17" s="80"/>
      <c r="D17" s="79"/>
      <c r="E17" s="75"/>
      <c r="F17" s="75"/>
      <c r="G17" s="75"/>
      <c r="H17" s="75"/>
      <c r="I17" s="81"/>
      <c r="L17" s="69"/>
    </row>
    <row r="18" spans="1:12" s="13" customFormat="1" ht="41.25" x14ac:dyDescent="0.2">
      <c r="A18" s="71" t="s">
        <v>280</v>
      </c>
      <c r="B18" s="79">
        <f>'Agency Yr1'!B18</f>
        <v>1</v>
      </c>
      <c r="C18" s="80">
        <v>1</v>
      </c>
      <c r="D18" s="79">
        <f t="shared" ref="D18:D22" si="12">B18*C18</f>
        <v>1</v>
      </c>
      <c r="E18" s="76">
        <v>0</v>
      </c>
      <c r="F18" s="75">
        <f>ROUND(D18*E18, 2)</f>
        <v>0</v>
      </c>
      <c r="G18" s="75">
        <f t="shared" ref="G18:G22" si="13">ROUND(F18*0.05, 2)</f>
        <v>0</v>
      </c>
      <c r="H18" s="75">
        <f t="shared" ref="H18:H22" si="14">ROUND(F18*0.1, 2)</f>
        <v>0</v>
      </c>
      <c r="I18" s="81">
        <f t="shared" ref="I18:I22" si="15">ROUND(F18*$L$8+G18*$L$7+H18*$L$9, 2)</f>
        <v>0</v>
      </c>
      <c r="L18" s="69"/>
    </row>
    <row r="19" spans="1:12" s="13" customFormat="1" ht="31.5" customHeight="1" x14ac:dyDescent="0.2">
      <c r="A19" s="71" t="s">
        <v>281</v>
      </c>
      <c r="B19" s="93">
        <f>'Agency Yr1'!B19</f>
        <v>0.5</v>
      </c>
      <c r="C19" s="80">
        <v>1</v>
      </c>
      <c r="D19" s="93">
        <f t="shared" si="12"/>
        <v>0.5</v>
      </c>
      <c r="E19" s="75">
        <v>0</v>
      </c>
      <c r="F19" s="75">
        <f>ROUND(D19*E19, 2)</f>
        <v>0</v>
      </c>
      <c r="G19" s="75">
        <f t="shared" si="13"/>
        <v>0</v>
      </c>
      <c r="H19" s="75">
        <f t="shared" si="14"/>
        <v>0</v>
      </c>
      <c r="I19" s="81">
        <f t="shared" si="15"/>
        <v>0</v>
      </c>
      <c r="L19" s="69"/>
    </row>
    <row r="20" spans="1:12" s="13" customFormat="1" ht="31.5" customHeight="1" x14ac:dyDescent="0.2">
      <c r="A20" s="71" t="s">
        <v>277</v>
      </c>
      <c r="B20" s="93">
        <f>'Agency Yr1'!B20</f>
        <v>5.5</v>
      </c>
      <c r="C20" s="80">
        <v>1</v>
      </c>
      <c r="D20" s="93">
        <f t="shared" si="12"/>
        <v>5.5</v>
      </c>
      <c r="E20" s="75">
        <v>0</v>
      </c>
      <c r="F20" s="75">
        <f>ROUND(D20*E20, 2)</f>
        <v>0</v>
      </c>
      <c r="G20" s="75">
        <f t="shared" si="13"/>
        <v>0</v>
      </c>
      <c r="H20" s="75">
        <f t="shared" si="14"/>
        <v>0</v>
      </c>
      <c r="I20" s="81">
        <f t="shared" si="15"/>
        <v>0</v>
      </c>
    </row>
    <row r="21" spans="1:12" s="13" customFormat="1" ht="18.75" customHeight="1" x14ac:dyDescent="0.2">
      <c r="A21" s="71" t="s">
        <v>282</v>
      </c>
      <c r="B21" s="93">
        <f>'Agency Yr1'!B21</f>
        <v>1.9</v>
      </c>
      <c r="C21" s="80">
        <v>2</v>
      </c>
      <c r="D21" s="93">
        <f t="shared" si="12"/>
        <v>3.8</v>
      </c>
      <c r="E21" s="75">
        <f>'Respondent &amp; Agency Data'!C14</f>
        <v>19</v>
      </c>
      <c r="F21" s="75">
        <f>ROUND(D21*E21, 2)</f>
        <v>72.2</v>
      </c>
      <c r="G21" s="75">
        <f t="shared" ref="G21" si="16">ROUND(F21*0.05, 2)</f>
        <v>3.61</v>
      </c>
      <c r="H21" s="75">
        <f t="shared" ref="H21" si="17">ROUND(F21*0.1, 2)</f>
        <v>7.22</v>
      </c>
      <c r="I21" s="81">
        <f t="shared" ref="I21" si="18">ROUND(F21*$L$8+G21*$L$7+H21*$L$9, 2)</f>
        <v>4148.25</v>
      </c>
    </row>
    <row r="22" spans="1:12" s="13" customFormat="1" ht="33" customHeight="1" x14ac:dyDescent="0.2">
      <c r="A22" s="71" t="s">
        <v>279</v>
      </c>
      <c r="B22" s="93">
        <f>'Agency Yr1'!B22</f>
        <v>1.9</v>
      </c>
      <c r="C22" s="80">
        <v>2</v>
      </c>
      <c r="D22" s="93">
        <f t="shared" si="12"/>
        <v>3.8</v>
      </c>
      <c r="E22" s="75">
        <f>E$21</f>
        <v>19</v>
      </c>
      <c r="F22" s="75">
        <f>ROUND(D22*E22, 2)</f>
        <v>72.2</v>
      </c>
      <c r="G22" s="75">
        <f t="shared" si="13"/>
        <v>3.61</v>
      </c>
      <c r="H22" s="75">
        <f t="shared" si="14"/>
        <v>7.22</v>
      </c>
      <c r="I22" s="81">
        <f t="shared" si="15"/>
        <v>4148.25</v>
      </c>
    </row>
    <row r="23" spans="1:12" s="13" customFormat="1" ht="33" customHeight="1" x14ac:dyDescent="0.2">
      <c r="A23" s="23" t="s">
        <v>317</v>
      </c>
      <c r="B23" s="79"/>
      <c r="C23" s="80"/>
      <c r="D23" s="79"/>
      <c r="E23" s="75"/>
      <c r="F23" s="75"/>
      <c r="G23" s="75"/>
      <c r="H23" s="75"/>
      <c r="I23" s="81"/>
    </row>
    <row r="24" spans="1:12" s="13" customFormat="1" ht="33" customHeight="1" x14ac:dyDescent="0.2">
      <c r="A24" s="71" t="s">
        <v>318</v>
      </c>
      <c r="B24" s="79">
        <f>'Agency Yr1'!B24</f>
        <v>8</v>
      </c>
      <c r="C24" s="80">
        <v>1</v>
      </c>
      <c r="D24" s="79">
        <f t="shared" ref="D24:D26" si="19">B24*C24</f>
        <v>8</v>
      </c>
      <c r="E24" s="75">
        <v>0</v>
      </c>
      <c r="F24" s="75">
        <f t="shared" ref="F24:F26" si="20">ROUND(D24*E24, 2)</f>
        <v>0</v>
      </c>
      <c r="G24" s="75">
        <f t="shared" ref="G24:G26" si="21">ROUND(F24*0.05, 2)</f>
        <v>0</v>
      </c>
      <c r="H24" s="75">
        <f t="shared" ref="H24:H26" si="22">ROUND(F24*0.1, 2)</f>
        <v>0</v>
      </c>
      <c r="I24" s="81">
        <f t="shared" ref="I24:I26" si="23">ROUND(F24*$L$8+G24*$L$7+H24*$L$9, 2)</f>
        <v>0</v>
      </c>
    </row>
    <row r="25" spans="1:12" s="13" customFormat="1" ht="33" customHeight="1" x14ac:dyDescent="0.2">
      <c r="A25" s="71" t="s">
        <v>319</v>
      </c>
      <c r="B25" s="93">
        <f>'Agency Yr1'!B25</f>
        <v>1.9</v>
      </c>
      <c r="C25" s="80">
        <v>2</v>
      </c>
      <c r="D25" s="93">
        <f t="shared" si="19"/>
        <v>3.8</v>
      </c>
      <c r="E25" s="75">
        <f>'Respondent &amp; Agency Data'!B$15</f>
        <v>16</v>
      </c>
      <c r="F25" s="75">
        <f t="shared" si="20"/>
        <v>60.8</v>
      </c>
      <c r="G25" s="75">
        <f t="shared" si="21"/>
        <v>3.04</v>
      </c>
      <c r="H25" s="75">
        <f t="shared" si="22"/>
        <v>6.08</v>
      </c>
      <c r="I25" s="81">
        <f t="shared" si="23"/>
        <v>3493.26</v>
      </c>
    </row>
    <row r="26" spans="1:12" s="13" customFormat="1" ht="33" customHeight="1" x14ac:dyDescent="0.2">
      <c r="A26" s="71" t="s">
        <v>320</v>
      </c>
      <c r="B26" s="93">
        <f>'Agency Yr1'!B26</f>
        <v>1.9</v>
      </c>
      <c r="C26" s="80">
        <v>2</v>
      </c>
      <c r="D26" s="93">
        <f t="shared" si="19"/>
        <v>3.8</v>
      </c>
      <c r="E26" s="75">
        <f>'Respondent &amp; Agency Data'!B$15</f>
        <v>16</v>
      </c>
      <c r="F26" s="75">
        <f t="shared" si="20"/>
        <v>60.8</v>
      </c>
      <c r="G26" s="75">
        <f t="shared" si="21"/>
        <v>3.04</v>
      </c>
      <c r="H26" s="75">
        <f t="shared" si="22"/>
        <v>6.08</v>
      </c>
      <c r="I26" s="81">
        <f t="shared" si="23"/>
        <v>3493.26</v>
      </c>
    </row>
    <row r="27" spans="1:12" s="13" customFormat="1" ht="15.75" x14ac:dyDescent="0.2">
      <c r="A27" s="72" t="s">
        <v>283</v>
      </c>
      <c r="B27" s="141"/>
      <c r="C27" s="141"/>
      <c r="D27" s="141"/>
      <c r="E27" s="142"/>
      <c r="F27" s="133">
        <f>SUM(F6:H26)</f>
        <v>530.84</v>
      </c>
      <c r="G27" s="133"/>
      <c r="H27" s="133"/>
      <c r="I27" s="54">
        <f>ROUND(SUM(I6:I26),-2)</f>
        <v>26500</v>
      </c>
    </row>
    <row r="28" spans="1:12" s="13" customFormat="1" ht="12.75" x14ac:dyDescent="0.2">
      <c r="A28" s="47"/>
      <c r="B28" s="47"/>
      <c r="C28" s="47"/>
      <c r="D28" s="47"/>
      <c r="E28" s="47"/>
      <c r="F28" s="47"/>
      <c r="G28" s="47"/>
      <c r="H28" s="47"/>
      <c r="I28" s="47"/>
    </row>
    <row r="29" spans="1:12" s="13" customFormat="1" ht="30" customHeight="1" x14ac:dyDescent="0.2">
      <c r="A29" s="46" t="s">
        <v>213</v>
      </c>
    </row>
    <row r="30" spans="1:12" s="13" customFormat="1" ht="28.5" customHeight="1" x14ac:dyDescent="0.2">
      <c r="A30" s="138" t="s">
        <v>335</v>
      </c>
      <c r="B30" s="138"/>
      <c r="C30" s="138"/>
      <c r="D30" s="138"/>
      <c r="E30" s="138"/>
      <c r="F30" s="138"/>
      <c r="G30" s="138"/>
      <c r="H30" s="138"/>
      <c r="I30" s="138"/>
      <c r="J30" s="115"/>
    </row>
    <row r="31" spans="1:12" s="47" customFormat="1" ht="42" customHeight="1" x14ac:dyDescent="0.2">
      <c r="A31" s="136" t="s">
        <v>218</v>
      </c>
      <c r="B31" s="136"/>
      <c r="C31" s="136"/>
      <c r="D31" s="136"/>
      <c r="E31" s="136"/>
      <c r="F31" s="136"/>
      <c r="G31" s="136"/>
      <c r="H31" s="136"/>
      <c r="I31" s="136"/>
      <c r="J31" s="13"/>
      <c r="K31" s="13"/>
    </row>
    <row r="32" spans="1:12" s="13" customFormat="1" ht="22.5" customHeight="1" x14ac:dyDescent="0.2">
      <c r="A32" s="138" t="s">
        <v>313</v>
      </c>
      <c r="B32" s="138"/>
      <c r="C32" s="138"/>
      <c r="D32" s="138"/>
      <c r="E32" s="138"/>
      <c r="F32" s="138"/>
      <c r="G32" s="138"/>
      <c r="H32" s="138"/>
      <c r="I32" s="138"/>
      <c r="J32" s="78"/>
    </row>
    <row r="33" spans="1:11" s="13" customFormat="1" ht="47.25" customHeight="1" x14ac:dyDescent="0.2">
      <c r="A33" s="138" t="s">
        <v>290</v>
      </c>
      <c r="B33" s="138"/>
      <c r="C33" s="138"/>
      <c r="D33" s="138"/>
      <c r="E33" s="138"/>
      <c r="F33" s="138"/>
      <c r="G33" s="138"/>
      <c r="H33" s="138"/>
      <c r="I33" s="138"/>
      <c r="J33" s="78"/>
    </row>
    <row r="34" spans="1:11" s="47" customFormat="1" ht="19.5" customHeight="1" x14ac:dyDescent="0.2">
      <c r="A34" s="138" t="s">
        <v>322</v>
      </c>
      <c r="B34" s="138"/>
      <c r="C34" s="138"/>
      <c r="D34" s="138"/>
      <c r="E34" s="138"/>
      <c r="F34" s="138"/>
      <c r="G34" s="138"/>
      <c r="H34" s="138"/>
      <c r="I34" s="138"/>
      <c r="J34" s="13"/>
      <c r="K34" s="13"/>
    </row>
    <row r="35" spans="1:11" s="47" customFormat="1" ht="23.25" customHeight="1" x14ac:dyDescent="0.2">
      <c r="A35" s="138" t="s">
        <v>289</v>
      </c>
      <c r="B35" s="138"/>
      <c r="C35" s="138"/>
      <c r="D35" s="138"/>
      <c r="E35" s="138"/>
      <c r="F35" s="138"/>
      <c r="G35" s="138"/>
      <c r="H35" s="138"/>
      <c r="I35" s="138"/>
      <c r="J35" s="13"/>
      <c r="K35" s="13"/>
    </row>
    <row r="36" spans="1:11" ht="21" customHeight="1" x14ac:dyDescent="0.25">
      <c r="A36" s="138" t="s">
        <v>321</v>
      </c>
      <c r="B36" s="138"/>
      <c r="C36" s="138"/>
      <c r="D36" s="138"/>
      <c r="E36" s="138"/>
      <c r="F36" s="138"/>
      <c r="G36" s="138"/>
      <c r="H36" s="138"/>
      <c r="I36" s="138"/>
    </row>
    <row r="37" spans="1:11" ht="15.75" x14ac:dyDescent="0.25">
      <c r="A37" s="134" t="s">
        <v>288</v>
      </c>
      <c r="B37" s="134"/>
      <c r="C37" s="134"/>
      <c r="D37" s="134"/>
      <c r="E37" s="134"/>
      <c r="F37" s="134"/>
      <c r="G37" s="134"/>
      <c r="H37" s="134"/>
      <c r="I37" s="134"/>
    </row>
  </sheetData>
  <mergeCells count="13">
    <mergeCell ref="A30:I30"/>
    <mergeCell ref="A1:I1"/>
    <mergeCell ref="A4:A5"/>
    <mergeCell ref="K6:L6"/>
    <mergeCell ref="B27:E27"/>
    <mergeCell ref="F27:H27"/>
    <mergeCell ref="A36:I36"/>
    <mergeCell ref="A37:I37"/>
    <mergeCell ref="A31:I31"/>
    <mergeCell ref="A32:I32"/>
    <mergeCell ref="A33:I33"/>
    <mergeCell ref="A34:I34"/>
    <mergeCell ref="A35:I3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D93B7-151F-481C-8008-CBE917138604}">
  <dimension ref="A1:M37"/>
  <sheetViews>
    <sheetView workbookViewId="0">
      <selection activeCell="R3" sqref="R3"/>
    </sheetView>
  </sheetViews>
  <sheetFormatPr defaultColWidth="9.140625" defaultRowHeight="15" x14ac:dyDescent="0.25"/>
  <cols>
    <col min="1" max="1" width="47.140625" style="49" customWidth="1"/>
    <col min="2" max="2" width="12.85546875" style="49" bestFit="1" customWidth="1"/>
    <col min="3" max="4" width="12.5703125" style="49" bestFit="1" customWidth="1"/>
    <col min="5" max="5" width="11.7109375" style="49" customWidth="1"/>
    <col min="6" max="6" width="13.85546875" style="49" bestFit="1" customWidth="1"/>
    <col min="7" max="8" width="12.42578125" style="49" bestFit="1" customWidth="1"/>
    <col min="9" max="9" width="11.7109375" style="49" bestFit="1" customWidth="1"/>
    <col min="10" max="10" width="2" style="48" customWidth="1"/>
    <col min="11" max="11" width="14.5703125" style="48" customWidth="1"/>
    <col min="12" max="16384" width="9.140625" style="49"/>
  </cols>
  <sheetData>
    <row r="1" spans="1:13" ht="15.75" x14ac:dyDescent="0.25">
      <c r="A1" s="124" t="s">
        <v>265</v>
      </c>
      <c r="B1" s="124"/>
      <c r="C1" s="124"/>
      <c r="D1" s="124"/>
      <c r="E1" s="124"/>
      <c r="F1" s="124"/>
      <c r="G1" s="124"/>
      <c r="H1" s="124"/>
      <c r="I1" s="124"/>
    </row>
    <row r="2" spans="1:13" ht="15.75" x14ac:dyDescent="0.25">
      <c r="A2" s="50" t="s">
        <v>261</v>
      </c>
    </row>
    <row r="3" spans="1:13" s="47" customFormat="1" ht="12.75" x14ac:dyDescent="0.2">
      <c r="E3" s="14"/>
      <c r="J3" s="13"/>
      <c r="K3" s="17"/>
    </row>
    <row r="4" spans="1:13" s="13" customFormat="1" ht="12.75" x14ac:dyDescent="0.2">
      <c r="A4" s="140" t="s">
        <v>342</v>
      </c>
      <c r="B4" s="51" t="s">
        <v>194</v>
      </c>
      <c r="C4" s="51" t="s">
        <v>195</v>
      </c>
      <c r="D4" s="51" t="s">
        <v>196</v>
      </c>
      <c r="E4" s="51" t="s">
        <v>197</v>
      </c>
      <c r="F4" s="51" t="s">
        <v>198</v>
      </c>
      <c r="G4" s="51" t="s">
        <v>199</v>
      </c>
      <c r="H4" s="51" t="s">
        <v>200</v>
      </c>
      <c r="I4" s="51" t="s">
        <v>201</v>
      </c>
      <c r="J4" s="52"/>
    </row>
    <row r="5" spans="1:13" s="22" customFormat="1" ht="51" x14ac:dyDescent="0.25">
      <c r="A5" s="140"/>
      <c r="B5" s="20" t="s">
        <v>214</v>
      </c>
      <c r="C5" s="20" t="s">
        <v>203</v>
      </c>
      <c r="D5" s="20" t="s">
        <v>215</v>
      </c>
      <c r="E5" s="20" t="s">
        <v>205</v>
      </c>
      <c r="F5" s="20" t="s">
        <v>216</v>
      </c>
      <c r="G5" s="20" t="s">
        <v>217</v>
      </c>
      <c r="H5" s="20" t="s">
        <v>208</v>
      </c>
      <c r="I5" s="20" t="s">
        <v>209</v>
      </c>
      <c r="J5" s="13"/>
      <c r="K5" s="53"/>
    </row>
    <row r="6" spans="1:13" s="13" customFormat="1" ht="28.5" x14ac:dyDescent="0.2">
      <c r="A6" s="23" t="s">
        <v>314</v>
      </c>
      <c r="B6" s="30"/>
      <c r="C6" s="24"/>
      <c r="D6" s="24"/>
      <c r="E6" s="25"/>
      <c r="F6" s="75"/>
      <c r="G6" s="25"/>
      <c r="H6" s="25"/>
      <c r="I6" s="27"/>
      <c r="K6" s="135" t="s">
        <v>224</v>
      </c>
      <c r="L6" s="135"/>
    </row>
    <row r="7" spans="1:13" s="13" customFormat="1" ht="18" customHeight="1" x14ac:dyDescent="0.2">
      <c r="A7" s="70" t="s">
        <v>275</v>
      </c>
      <c r="B7" s="79">
        <f>'Agency Yr1'!B7</f>
        <v>2</v>
      </c>
      <c r="C7" s="79">
        <v>1</v>
      </c>
      <c r="D7" s="79">
        <f t="shared" ref="D7:D16" si="0">B7*C7</f>
        <v>2</v>
      </c>
      <c r="E7" s="75">
        <f>'Respondent &amp; Agency Data'!D12-'Respondent &amp; Agency Data'!C4</f>
        <v>6</v>
      </c>
      <c r="F7" s="75">
        <f>ROUND(D7*E7, 2)</f>
        <v>12</v>
      </c>
      <c r="G7" s="75">
        <f t="shared" ref="G7:G16" si="1">ROUND(F7*0.05, 2)</f>
        <v>0.6</v>
      </c>
      <c r="H7" s="75">
        <f t="shared" ref="H7:H16" si="2">ROUND(F7*0.1, 2)</f>
        <v>1.2</v>
      </c>
      <c r="I7" s="81">
        <f t="shared" ref="I7:I16" si="3">ROUND(F7*$L$8+G7*$L$7+H7*$L$9, 2)</f>
        <v>689.46</v>
      </c>
      <c r="K7" s="32" t="s">
        <v>221</v>
      </c>
      <c r="L7" s="15">
        <v>69.040000000000006</v>
      </c>
      <c r="M7" s="17"/>
    </row>
    <row r="8" spans="1:13" s="13" customFormat="1" ht="32.25" customHeight="1" x14ac:dyDescent="0.2">
      <c r="A8" s="70" t="s">
        <v>273</v>
      </c>
      <c r="B8" s="79">
        <f>'Agency Yr1'!B8</f>
        <v>4</v>
      </c>
      <c r="C8" s="79">
        <v>1</v>
      </c>
      <c r="D8" s="79">
        <f t="shared" si="0"/>
        <v>4</v>
      </c>
      <c r="E8" s="79">
        <f>E$7</f>
        <v>6</v>
      </c>
      <c r="F8" s="75">
        <f>ROUND(D8*E8, 2)</f>
        <v>24</v>
      </c>
      <c r="G8" s="75">
        <f t="shared" si="1"/>
        <v>1.2</v>
      </c>
      <c r="H8" s="75">
        <f t="shared" si="2"/>
        <v>2.4</v>
      </c>
      <c r="I8" s="81">
        <f t="shared" si="3"/>
        <v>1378.92</v>
      </c>
      <c r="K8" s="32" t="s">
        <v>222</v>
      </c>
      <c r="L8" s="15">
        <v>51.23</v>
      </c>
    </row>
    <row r="9" spans="1:13" s="13" customFormat="1" ht="31.5" customHeight="1" x14ac:dyDescent="0.2">
      <c r="A9" s="70" t="s">
        <v>274</v>
      </c>
      <c r="B9" s="93">
        <f>'Agency Yr1'!B9</f>
        <v>1.9</v>
      </c>
      <c r="C9" s="79">
        <v>2</v>
      </c>
      <c r="D9" s="93">
        <f t="shared" si="0"/>
        <v>3.8</v>
      </c>
      <c r="E9" s="79">
        <f>'Respondent &amp; Agency Data'!D12</f>
        <v>12</v>
      </c>
      <c r="F9" s="75">
        <f>ROUND(D9*E9, 2)</f>
        <v>45.6</v>
      </c>
      <c r="G9" s="75">
        <f t="shared" si="1"/>
        <v>2.2799999999999998</v>
      </c>
      <c r="H9" s="75">
        <f t="shared" si="2"/>
        <v>4.5599999999999996</v>
      </c>
      <c r="I9" s="81">
        <f t="shared" si="3"/>
        <v>2619.9499999999998</v>
      </c>
      <c r="K9" s="32" t="s">
        <v>223</v>
      </c>
      <c r="L9" s="15">
        <v>27.73</v>
      </c>
    </row>
    <row r="10" spans="1:13" s="13" customFormat="1" ht="32.25" customHeight="1" x14ac:dyDescent="0.2">
      <c r="A10" s="70" t="s">
        <v>271</v>
      </c>
      <c r="B10" s="93">
        <f>'Agency Yr1'!B10</f>
        <v>1.9</v>
      </c>
      <c r="C10" s="79">
        <v>2</v>
      </c>
      <c r="D10" s="93">
        <f t="shared" si="0"/>
        <v>3.8</v>
      </c>
      <c r="E10" s="79">
        <f>E$9</f>
        <v>12</v>
      </c>
      <c r="F10" s="75">
        <f>ROUND(D10*E10, 2)</f>
        <v>45.6</v>
      </c>
      <c r="G10" s="75">
        <f t="shared" si="1"/>
        <v>2.2799999999999998</v>
      </c>
      <c r="H10" s="75">
        <f t="shared" si="2"/>
        <v>4.5599999999999996</v>
      </c>
      <c r="I10" s="81">
        <f t="shared" si="3"/>
        <v>2619.9499999999998</v>
      </c>
      <c r="K10" s="17"/>
      <c r="L10" s="69"/>
    </row>
    <row r="11" spans="1:13" s="13" customFormat="1" ht="30" customHeight="1" x14ac:dyDescent="0.2">
      <c r="A11" s="23" t="s">
        <v>315</v>
      </c>
      <c r="B11" s="79"/>
      <c r="C11" s="79"/>
      <c r="D11" s="79"/>
      <c r="E11" s="79"/>
      <c r="F11" s="75"/>
      <c r="G11" s="75"/>
      <c r="H11" s="75"/>
      <c r="I11" s="81"/>
      <c r="L11" s="69"/>
    </row>
    <row r="12" spans="1:13" s="13" customFormat="1" ht="19.5" customHeight="1" x14ac:dyDescent="0.2">
      <c r="A12" s="70" t="s">
        <v>270</v>
      </c>
      <c r="B12" s="79">
        <f>'Agency Yr1'!B12</f>
        <v>1</v>
      </c>
      <c r="C12" s="79">
        <v>0</v>
      </c>
      <c r="D12" s="79">
        <f t="shared" ref="D12" si="4">B12*C12</f>
        <v>0</v>
      </c>
      <c r="E12" s="79">
        <v>0</v>
      </c>
      <c r="F12" s="75">
        <f>ROUND(D12*E12, 2)</f>
        <v>0</v>
      </c>
      <c r="G12" s="75">
        <f t="shared" ref="G12" si="5">ROUND(F12*0.05, 2)</f>
        <v>0</v>
      </c>
      <c r="H12" s="75">
        <f t="shared" ref="H12" si="6">ROUND(F12*0.1, 2)</f>
        <v>0</v>
      </c>
      <c r="I12" s="81">
        <f t="shared" ref="I12" si="7">ROUND(F12*$L$8+G12*$L$7+H12*$L$9, 2)</f>
        <v>0</v>
      </c>
      <c r="L12" s="69"/>
    </row>
    <row r="13" spans="1:13" s="13" customFormat="1" ht="28.5" x14ac:dyDescent="0.2">
      <c r="A13" s="70" t="s">
        <v>272</v>
      </c>
      <c r="B13" s="93">
        <f>'Agency Yr1'!B13</f>
        <v>3.5</v>
      </c>
      <c r="C13" s="79">
        <v>1</v>
      </c>
      <c r="D13" s="93">
        <f t="shared" si="0"/>
        <v>3.5</v>
      </c>
      <c r="E13" s="76">
        <v>0</v>
      </c>
      <c r="F13" s="75">
        <f>ROUND(D13*E13, 2)</f>
        <v>0</v>
      </c>
      <c r="G13" s="75">
        <f t="shared" si="1"/>
        <v>0</v>
      </c>
      <c r="H13" s="75">
        <f t="shared" si="2"/>
        <v>0</v>
      </c>
      <c r="I13" s="81">
        <f t="shared" si="3"/>
        <v>0</v>
      </c>
      <c r="L13" s="69"/>
    </row>
    <row r="14" spans="1:13" s="13" customFormat="1" ht="28.5" x14ac:dyDescent="0.2">
      <c r="A14" s="70" t="s">
        <v>276</v>
      </c>
      <c r="B14" s="93">
        <f>'Agency Yr1'!B14</f>
        <v>3.5</v>
      </c>
      <c r="C14" s="79">
        <v>1</v>
      </c>
      <c r="D14" s="93">
        <f t="shared" si="0"/>
        <v>3.5</v>
      </c>
      <c r="E14" s="79">
        <v>0</v>
      </c>
      <c r="F14" s="75">
        <f>ROUND(D14*E14, 2)</f>
        <v>0</v>
      </c>
      <c r="G14" s="75">
        <f t="shared" si="1"/>
        <v>0</v>
      </c>
      <c r="H14" s="75">
        <f t="shared" si="2"/>
        <v>0</v>
      </c>
      <c r="I14" s="81">
        <f t="shared" si="3"/>
        <v>0</v>
      </c>
      <c r="L14" s="69"/>
    </row>
    <row r="15" spans="1:13" s="13" customFormat="1" ht="28.5" x14ac:dyDescent="0.2">
      <c r="A15" s="70" t="s">
        <v>278</v>
      </c>
      <c r="B15" s="93">
        <f>'Agency Yr1'!B15</f>
        <v>1.9</v>
      </c>
      <c r="C15" s="79">
        <v>2</v>
      </c>
      <c r="D15" s="93">
        <f t="shared" si="0"/>
        <v>3.8</v>
      </c>
      <c r="E15" s="79">
        <f>'Respondent &amp; Agency Data'!D13</f>
        <v>12</v>
      </c>
      <c r="F15" s="75">
        <f>ROUND(D15*E15, 2)</f>
        <v>45.6</v>
      </c>
      <c r="G15" s="75">
        <f t="shared" ref="G15" si="8">ROUND(F15*0.05, 2)</f>
        <v>2.2799999999999998</v>
      </c>
      <c r="H15" s="75">
        <f t="shared" ref="H15" si="9">ROUND(F15*0.1, 2)</f>
        <v>4.5599999999999996</v>
      </c>
      <c r="I15" s="81">
        <f t="shared" ref="I15" si="10">ROUND(F15*$L$8+G15*$L$7+H15*$L$9, 2)</f>
        <v>2619.9499999999998</v>
      </c>
      <c r="L15" s="69"/>
    </row>
    <row r="16" spans="1:13" s="13" customFormat="1" ht="31.5" customHeight="1" x14ac:dyDescent="0.2">
      <c r="A16" s="70" t="s">
        <v>279</v>
      </c>
      <c r="B16" s="93">
        <f>'Agency Yr1'!B16</f>
        <v>1.9</v>
      </c>
      <c r="C16" s="79">
        <v>2</v>
      </c>
      <c r="D16" s="93">
        <f t="shared" si="0"/>
        <v>3.8</v>
      </c>
      <c r="E16" s="79">
        <f>E$15</f>
        <v>12</v>
      </c>
      <c r="F16" s="75">
        <f>ROUND(D16*E16, 2)</f>
        <v>45.6</v>
      </c>
      <c r="G16" s="75">
        <f t="shared" si="1"/>
        <v>2.2799999999999998</v>
      </c>
      <c r="H16" s="75">
        <f t="shared" si="2"/>
        <v>4.5599999999999996</v>
      </c>
      <c r="I16" s="81">
        <f t="shared" si="3"/>
        <v>2619.9499999999998</v>
      </c>
      <c r="L16" s="69"/>
    </row>
    <row r="17" spans="1:12" s="13" customFormat="1" ht="20.25" customHeight="1" x14ac:dyDescent="0.2">
      <c r="A17" s="23" t="s">
        <v>316</v>
      </c>
      <c r="B17" s="80"/>
      <c r="C17" s="80"/>
      <c r="D17" s="79"/>
      <c r="E17" s="75"/>
      <c r="F17" s="75"/>
      <c r="G17" s="75"/>
      <c r="H17" s="75"/>
      <c r="I17" s="81"/>
      <c r="L17" s="69"/>
    </row>
    <row r="18" spans="1:12" s="13" customFormat="1" ht="41.25" x14ac:dyDescent="0.2">
      <c r="A18" s="71" t="s">
        <v>280</v>
      </c>
      <c r="B18" s="79">
        <f>'Agency Yr1'!B18</f>
        <v>1</v>
      </c>
      <c r="C18" s="80">
        <v>1</v>
      </c>
      <c r="D18" s="79">
        <f t="shared" ref="D18:D22" si="11">B18*C18</f>
        <v>1</v>
      </c>
      <c r="E18" s="76">
        <v>0</v>
      </c>
      <c r="F18" s="75">
        <f>ROUND(D18*E18, 2)</f>
        <v>0</v>
      </c>
      <c r="G18" s="75">
        <f t="shared" ref="G18:G22" si="12">ROUND(F18*0.05, 2)</f>
        <v>0</v>
      </c>
      <c r="H18" s="75">
        <f t="shared" ref="H18:H22" si="13">ROUND(F18*0.1, 2)</f>
        <v>0</v>
      </c>
      <c r="I18" s="81">
        <f t="shared" ref="I18:I22" si="14">ROUND(F18*$L$8+G18*$L$7+H18*$L$9, 2)</f>
        <v>0</v>
      </c>
      <c r="L18" s="69"/>
    </row>
    <row r="19" spans="1:12" s="13" customFormat="1" ht="31.5" customHeight="1" x14ac:dyDescent="0.2">
      <c r="A19" s="71" t="s">
        <v>281</v>
      </c>
      <c r="B19" s="93">
        <f>'Agency Yr1'!B19</f>
        <v>0.5</v>
      </c>
      <c r="C19" s="80">
        <v>1</v>
      </c>
      <c r="D19" s="93">
        <f t="shared" si="11"/>
        <v>0.5</v>
      </c>
      <c r="E19" s="75">
        <v>0</v>
      </c>
      <c r="F19" s="75">
        <f>ROUND(D19*E19, 2)</f>
        <v>0</v>
      </c>
      <c r="G19" s="75">
        <f t="shared" si="12"/>
        <v>0</v>
      </c>
      <c r="H19" s="75">
        <f t="shared" si="13"/>
        <v>0</v>
      </c>
      <c r="I19" s="81">
        <f t="shared" si="14"/>
        <v>0</v>
      </c>
      <c r="L19" s="69"/>
    </row>
    <row r="20" spans="1:12" s="13" customFormat="1" ht="31.5" customHeight="1" x14ac:dyDescent="0.2">
      <c r="A20" s="71" t="s">
        <v>277</v>
      </c>
      <c r="B20" s="93">
        <f>'Agency Yr1'!B20</f>
        <v>5.5</v>
      </c>
      <c r="C20" s="80">
        <v>1</v>
      </c>
      <c r="D20" s="93">
        <f t="shared" si="11"/>
        <v>5.5</v>
      </c>
      <c r="E20" s="75">
        <v>0</v>
      </c>
      <c r="F20" s="75">
        <f>ROUND(D20*E20, 2)</f>
        <v>0</v>
      </c>
      <c r="G20" s="75">
        <f t="shared" si="12"/>
        <v>0</v>
      </c>
      <c r="H20" s="75">
        <f t="shared" si="13"/>
        <v>0</v>
      </c>
      <c r="I20" s="81">
        <f t="shared" si="14"/>
        <v>0</v>
      </c>
    </row>
    <row r="21" spans="1:12" s="13" customFormat="1" ht="18.75" customHeight="1" x14ac:dyDescent="0.2">
      <c r="A21" s="71" t="s">
        <v>282</v>
      </c>
      <c r="B21" s="93">
        <f>'Agency Yr1'!B21</f>
        <v>1.9</v>
      </c>
      <c r="C21" s="80">
        <v>2</v>
      </c>
      <c r="D21" s="93">
        <f t="shared" si="11"/>
        <v>3.8</v>
      </c>
      <c r="E21" s="75">
        <f>'Respondent &amp; Agency Data'!D14</f>
        <v>16</v>
      </c>
      <c r="F21" s="75">
        <f>ROUND(D21*E21, 2)</f>
        <v>60.8</v>
      </c>
      <c r="G21" s="75">
        <f t="shared" ref="G21" si="15">ROUND(F21*0.05, 2)</f>
        <v>3.04</v>
      </c>
      <c r="H21" s="75">
        <f t="shared" ref="H21" si="16">ROUND(F21*0.1, 2)</f>
        <v>6.08</v>
      </c>
      <c r="I21" s="81">
        <f t="shared" ref="I21" si="17">ROUND(F21*$L$8+G21*$L$7+H21*$L$9, 2)</f>
        <v>3493.26</v>
      </c>
    </row>
    <row r="22" spans="1:12" s="13" customFormat="1" ht="33" customHeight="1" x14ac:dyDescent="0.2">
      <c r="A22" s="71" t="s">
        <v>279</v>
      </c>
      <c r="B22" s="93">
        <f>'Agency Yr1'!B22</f>
        <v>1.9</v>
      </c>
      <c r="C22" s="80">
        <v>2</v>
      </c>
      <c r="D22" s="93">
        <f t="shared" si="11"/>
        <v>3.8</v>
      </c>
      <c r="E22" s="75">
        <f>E$21</f>
        <v>16</v>
      </c>
      <c r="F22" s="75">
        <f>ROUND(D22*E22, 2)</f>
        <v>60.8</v>
      </c>
      <c r="G22" s="75">
        <f t="shared" si="12"/>
        <v>3.04</v>
      </c>
      <c r="H22" s="75">
        <f t="shared" si="13"/>
        <v>6.08</v>
      </c>
      <c r="I22" s="81">
        <f t="shared" si="14"/>
        <v>3493.26</v>
      </c>
    </row>
    <row r="23" spans="1:12" s="13" customFormat="1" ht="33" customHeight="1" x14ac:dyDescent="0.2">
      <c r="A23" s="23" t="s">
        <v>317</v>
      </c>
      <c r="B23" s="79"/>
      <c r="C23" s="80"/>
      <c r="D23" s="79"/>
      <c r="E23" s="75"/>
      <c r="F23" s="75"/>
      <c r="G23" s="75"/>
      <c r="H23" s="75"/>
      <c r="I23" s="81"/>
    </row>
    <row r="24" spans="1:12" s="13" customFormat="1" ht="33" customHeight="1" x14ac:dyDescent="0.2">
      <c r="A24" s="71" t="s">
        <v>318</v>
      </c>
      <c r="B24" s="79">
        <f>'Agency Yr1'!B24</f>
        <v>8</v>
      </c>
      <c r="C24" s="80">
        <v>1</v>
      </c>
      <c r="D24" s="79">
        <f t="shared" ref="D24:D26" si="18">B24*C24</f>
        <v>8</v>
      </c>
      <c r="E24" s="75">
        <v>0</v>
      </c>
      <c r="F24" s="75">
        <f t="shared" ref="F24:F26" si="19">ROUND(D24*E24, 2)</f>
        <v>0</v>
      </c>
      <c r="G24" s="75">
        <f t="shared" ref="G24:G26" si="20">ROUND(F24*0.05, 2)</f>
        <v>0</v>
      </c>
      <c r="H24" s="75">
        <f t="shared" ref="H24:H26" si="21">ROUND(F24*0.1, 2)</f>
        <v>0</v>
      </c>
      <c r="I24" s="81">
        <f t="shared" ref="I24:I26" si="22">ROUND(F24*$L$8+G24*$L$7+H24*$L$9, 2)</f>
        <v>0</v>
      </c>
    </row>
    <row r="25" spans="1:12" s="13" customFormat="1" ht="16.5" customHeight="1" x14ac:dyDescent="0.2">
      <c r="A25" s="71" t="s">
        <v>319</v>
      </c>
      <c r="B25" s="93">
        <f>'Agency Yr1'!B25</f>
        <v>1.9</v>
      </c>
      <c r="C25" s="80">
        <v>2</v>
      </c>
      <c r="D25" s="93">
        <f t="shared" si="18"/>
        <v>3.8</v>
      </c>
      <c r="E25" s="75">
        <f>'Respondent &amp; Agency Data'!B$15</f>
        <v>16</v>
      </c>
      <c r="F25" s="75">
        <f t="shared" si="19"/>
        <v>60.8</v>
      </c>
      <c r="G25" s="75">
        <f t="shared" si="20"/>
        <v>3.04</v>
      </c>
      <c r="H25" s="75">
        <f t="shared" si="21"/>
        <v>6.08</v>
      </c>
      <c r="I25" s="81">
        <f t="shared" si="22"/>
        <v>3493.26</v>
      </c>
      <c r="L25" s="103"/>
    </row>
    <row r="26" spans="1:12" s="13" customFormat="1" ht="33" customHeight="1" x14ac:dyDescent="0.2">
      <c r="A26" s="71" t="s">
        <v>320</v>
      </c>
      <c r="B26" s="93">
        <f>'Agency Yr1'!B26</f>
        <v>1.9</v>
      </c>
      <c r="C26" s="80">
        <v>2</v>
      </c>
      <c r="D26" s="93">
        <f t="shared" si="18"/>
        <v>3.8</v>
      </c>
      <c r="E26" s="75">
        <f>'Respondent &amp; Agency Data'!B$15</f>
        <v>16</v>
      </c>
      <c r="F26" s="75">
        <f t="shared" si="19"/>
        <v>60.8</v>
      </c>
      <c r="G26" s="75">
        <f t="shared" si="20"/>
        <v>3.04</v>
      </c>
      <c r="H26" s="75">
        <f t="shared" si="21"/>
        <v>6.08</v>
      </c>
      <c r="I26" s="81">
        <f t="shared" si="22"/>
        <v>3493.26</v>
      </c>
    </row>
    <row r="27" spans="1:12" s="13" customFormat="1" ht="15.75" x14ac:dyDescent="0.2">
      <c r="A27" s="72" t="s">
        <v>283</v>
      </c>
      <c r="B27" s="141"/>
      <c r="C27" s="141"/>
      <c r="D27" s="141"/>
      <c r="E27" s="142"/>
      <c r="F27" s="133">
        <f>SUM(F6:H26)</f>
        <v>530.84</v>
      </c>
      <c r="G27" s="133"/>
      <c r="H27" s="133"/>
      <c r="I27" s="54">
        <f>ROUND(SUM(I6:I26),-2)</f>
        <v>26500</v>
      </c>
    </row>
    <row r="28" spans="1:12" s="13" customFormat="1" ht="12.75" x14ac:dyDescent="0.2">
      <c r="A28" s="47"/>
      <c r="B28" s="47"/>
      <c r="C28" s="47"/>
      <c r="D28" s="47"/>
      <c r="E28" s="47"/>
      <c r="F28" s="47"/>
      <c r="G28" s="47"/>
      <c r="H28" s="47"/>
      <c r="I28" s="47"/>
    </row>
    <row r="29" spans="1:12" s="13" customFormat="1" ht="30" customHeight="1" x14ac:dyDescent="0.2">
      <c r="A29" s="46" t="s">
        <v>213</v>
      </c>
    </row>
    <row r="30" spans="1:12" s="13" customFormat="1" ht="33" customHeight="1" x14ac:dyDescent="0.2">
      <c r="A30" s="138" t="s">
        <v>335</v>
      </c>
      <c r="B30" s="138"/>
      <c r="C30" s="138"/>
      <c r="D30" s="138"/>
      <c r="E30" s="138"/>
      <c r="F30" s="138"/>
      <c r="G30" s="138"/>
      <c r="H30" s="138"/>
      <c r="I30" s="138"/>
      <c r="J30" s="115"/>
    </row>
    <row r="31" spans="1:12" s="47" customFormat="1" ht="44.25" customHeight="1" x14ac:dyDescent="0.2">
      <c r="A31" s="136" t="s">
        <v>218</v>
      </c>
      <c r="B31" s="136"/>
      <c r="C31" s="136"/>
      <c r="D31" s="136"/>
      <c r="E31" s="136"/>
      <c r="F31" s="136"/>
      <c r="G31" s="136"/>
      <c r="H31" s="136"/>
      <c r="I31" s="136"/>
      <c r="J31" s="13"/>
      <c r="K31" s="13"/>
    </row>
    <row r="32" spans="1:12" s="13" customFormat="1" ht="20.25" customHeight="1" x14ac:dyDescent="0.2">
      <c r="A32" s="138" t="s">
        <v>313</v>
      </c>
      <c r="B32" s="138"/>
      <c r="C32" s="138"/>
      <c r="D32" s="138"/>
      <c r="E32" s="138"/>
      <c r="F32" s="138"/>
      <c r="G32" s="138"/>
      <c r="H32" s="138"/>
      <c r="I32" s="138"/>
      <c r="J32" s="78"/>
    </row>
    <row r="33" spans="1:11" s="13" customFormat="1" ht="51" customHeight="1" x14ac:dyDescent="0.2">
      <c r="A33" s="138" t="s">
        <v>290</v>
      </c>
      <c r="B33" s="138"/>
      <c r="C33" s="138"/>
      <c r="D33" s="138"/>
      <c r="E33" s="138"/>
      <c r="F33" s="138"/>
      <c r="G33" s="138"/>
      <c r="H33" s="138"/>
      <c r="I33" s="138"/>
      <c r="J33" s="78"/>
    </row>
    <row r="34" spans="1:11" s="47" customFormat="1" ht="35.25" customHeight="1" x14ac:dyDescent="0.2">
      <c r="A34" s="138" t="s">
        <v>322</v>
      </c>
      <c r="B34" s="138"/>
      <c r="C34" s="138"/>
      <c r="D34" s="138"/>
      <c r="E34" s="138"/>
      <c r="F34" s="138"/>
      <c r="G34" s="138"/>
      <c r="H34" s="138"/>
      <c r="I34" s="138"/>
      <c r="J34" s="13"/>
      <c r="K34" s="13"/>
    </row>
    <row r="35" spans="1:11" s="47" customFormat="1" ht="21.75" customHeight="1" x14ac:dyDescent="0.2">
      <c r="A35" s="138" t="s">
        <v>289</v>
      </c>
      <c r="B35" s="138"/>
      <c r="C35" s="138"/>
      <c r="D35" s="138"/>
      <c r="E35" s="138"/>
      <c r="F35" s="138"/>
      <c r="G35" s="138"/>
      <c r="H35" s="138"/>
      <c r="I35" s="138"/>
      <c r="J35" s="13"/>
      <c r="K35" s="13"/>
    </row>
    <row r="36" spans="1:11" ht="18.75" customHeight="1" x14ac:dyDescent="0.25">
      <c r="A36" s="138" t="s">
        <v>321</v>
      </c>
      <c r="B36" s="138"/>
      <c r="C36" s="138"/>
      <c r="D36" s="138"/>
      <c r="E36" s="138"/>
      <c r="F36" s="138"/>
      <c r="G36" s="138"/>
      <c r="H36" s="138"/>
      <c r="I36" s="138"/>
    </row>
    <row r="37" spans="1:11" ht="15.75" x14ac:dyDescent="0.25">
      <c r="A37" s="134" t="s">
        <v>288</v>
      </c>
      <c r="B37" s="134"/>
      <c r="C37" s="134"/>
      <c r="D37" s="134"/>
      <c r="E37" s="134"/>
      <c r="F37" s="134"/>
      <c r="G37" s="134"/>
      <c r="H37" s="134"/>
      <c r="I37" s="134"/>
    </row>
  </sheetData>
  <mergeCells count="13">
    <mergeCell ref="A30:I30"/>
    <mergeCell ref="A1:I1"/>
    <mergeCell ref="A4:A5"/>
    <mergeCell ref="K6:L6"/>
    <mergeCell ref="B27:E27"/>
    <mergeCell ref="F27:H27"/>
    <mergeCell ref="A36:I36"/>
    <mergeCell ref="A37:I37"/>
    <mergeCell ref="A31:I31"/>
    <mergeCell ref="A32:I32"/>
    <mergeCell ref="A33:I33"/>
    <mergeCell ref="A34:I34"/>
    <mergeCell ref="A35:I3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UST Interviews Data</vt:lpstr>
      <vt:lpstr>Hourly Summary-from Interviews</vt:lpstr>
      <vt:lpstr>Respondent &amp; Agency Data</vt:lpstr>
      <vt:lpstr>Respondent Yr1</vt:lpstr>
      <vt:lpstr>Respondent Yr2</vt:lpstr>
      <vt:lpstr>Respondent Yr3</vt:lpstr>
      <vt:lpstr>Agency Yr1</vt:lpstr>
      <vt:lpstr>Agency Yr2</vt:lpstr>
      <vt:lpstr>Agency Yr3</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Treimel</dc:creator>
  <cp:lastModifiedBy>Schultz, Eric</cp:lastModifiedBy>
  <dcterms:created xsi:type="dcterms:W3CDTF">2021-06-07T20:29:14Z</dcterms:created>
  <dcterms:modified xsi:type="dcterms:W3CDTF">2023-05-10T14:32:00Z</dcterms:modified>
</cp:coreProperties>
</file>