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MA\Internal\PASD\PDD\Paperwork\ARPI\2023 APRI\"/>
    </mc:Choice>
  </mc:AlternateContent>
  <xr:revisionPtr revIDLastSave="0" documentId="13_ncr:1_{D5C61C4A-2942-4A09-888A-4577D7A3EF5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urden Grid" sheetId="1" r:id="rId1"/>
    <sheet name="Numbers for Burden Grid" sheetId="2" r:id="rId2"/>
    <sheet name="Wages" sheetId="3" r:id="rId3"/>
  </sheets>
  <definedNames>
    <definedName name="_xlnm.Print_Titles" localSheetId="0">'Burden Grid'!$1:$19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H41" i="1"/>
  <c r="B7" i="2"/>
  <c r="B6" i="2"/>
  <c r="B5" i="2" l="1"/>
  <c r="B4" i="2"/>
  <c r="D3" i="2"/>
  <c r="B1" i="2"/>
  <c r="P32" i="1"/>
  <c r="C13" i="3"/>
  <c r="C12" i="3"/>
  <c r="C11" i="3"/>
  <c r="P20" i="1" s="1"/>
  <c r="C10" i="3"/>
  <c r="C9" i="3"/>
  <c r="P46" i="1" l="1"/>
  <c r="P45" i="1"/>
  <c r="P44" i="1"/>
  <c r="P43" i="1"/>
  <c r="P42" i="1"/>
  <c r="P40" i="1"/>
  <c r="P39" i="1"/>
  <c r="P38" i="1"/>
  <c r="P37" i="1"/>
  <c r="P36" i="1"/>
  <c r="P35" i="1"/>
  <c r="P34" i="1"/>
  <c r="P33" i="1"/>
  <c r="P31" i="1"/>
  <c r="P30" i="1"/>
  <c r="P29" i="1"/>
  <c r="P28" i="1"/>
  <c r="P27" i="1"/>
  <c r="P26" i="1"/>
  <c r="P25" i="1"/>
  <c r="P24" i="1"/>
  <c r="P23" i="1"/>
  <c r="P22" i="1"/>
  <c r="P21" i="1"/>
  <c r="H33" i="1" l="1"/>
  <c r="H34" i="1" l="1"/>
  <c r="H35" i="1" s="1"/>
  <c r="H45" i="1"/>
  <c r="B17" i="2"/>
  <c r="B11" i="2" l="1"/>
  <c r="H40" i="1" l="1"/>
  <c r="H22" i="1"/>
  <c r="H39" i="1"/>
  <c r="H26" i="1" l="1"/>
  <c r="J34" i="1"/>
  <c r="J35" i="1" l="1"/>
  <c r="L35" i="1" s="1"/>
  <c r="Q35" i="1" s="1"/>
  <c r="O35" i="1"/>
  <c r="O34" i="1"/>
  <c r="L34" i="1"/>
  <c r="Q34" i="1" s="1"/>
  <c r="H36" i="1"/>
  <c r="O36" i="1"/>
  <c r="J37" i="1"/>
  <c r="L37" i="1" s="1"/>
  <c r="Q37" i="1" s="1"/>
  <c r="O37" i="1"/>
  <c r="O39" i="1" l="1"/>
  <c r="O40" i="1"/>
  <c r="H29" i="1"/>
  <c r="H24" i="1"/>
  <c r="H25" i="1"/>
  <c r="K23" i="1" l="1"/>
  <c r="H21" i="1" l="1"/>
  <c r="I30" i="1" l="1"/>
  <c r="I36" i="1" l="1"/>
  <c r="J36" i="1" s="1"/>
  <c r="L36" i="1" s="1"/>
  <c r="Q36" i="1" s="1"/>
  <c r="H46" i="1" l="1"/>
  <c r="H43" i="1"/>
  <c r="H27" i="1" l="1"/>
  <c r="I27" i="1" s="1"/>
  <c r="I44" i="1" l="1"/>
  <c r="I29" i="1"/>
  <c r="H44" i="1"/>
  <c r="O44" i="1"/>
  <c r="O45" i="1"/>
  <c r="J44" i="1" l="1"/>
  <c r="L44" i="1" s="1"/>
  <c r="Q44" i="1" s="1"/>
  <c r="O20" i="1" l="1"/>
  <c r="J21" i="1"/>
  <c r="J20" i="1"/>
  <c r="L20" i="1" s="1"/>
  <c r="Q20" i="1" s="1"/>
  <c r="I32" i="1" l="1"/>
  <c r="H32" i="1"/>
  <c r="H30" i="1"/>
  <c r="I24" i="1"/>
  <c r="O42" i="1" l="1"/>
  <c r="J42" i="1"/>
  <c r="L42" i="1" s="1"/>
  <c r="Q42" i="1" s="1"/>
  <c r="H23" i="1"/>
  <c r="I25" i="1"/>
  <c r="J46" i="1" l="1"/>
  <c r="L46" i="1" s="1"/>
  <c r="K22" i="1" l="1"/>
  <c r="I23" i="1" l="1"/>
  <c r="H38" i="1" l="1"/>
  <c r="O28" i="1" l="1"/>
  <c r="O29" i="1"/>
  <c r="O30" i="1"/>
  <c r="O31" i="1"/>
  <c r="O32" i="1"/>
  <c r="O33" i="1"/>
  <c r="O38" i="1"/>
  <c r="O41" i="1"/>
  <c r="O43" i="1"/>
  <c r="O46" i="1"/>
  <c r="J38" i="1"/>
  <c r="L38" i="1" s="1"/>
  <c r="Q38" i="1" s="1"/>
  <c r="J32" i="1" l="1"/>
  <c r="I33" i="1" s="1"/>
  <c r="O27" i="1"/>
  <c r="J27" i="1"/>
  <c r="L27" i="1" s="1"/>
  <c r="Q27" i="1" s="1"/>
  <c r="L32" i="1" l="1"/>
  <c r="Q32" i="1" s="1"/>
  <c r="J33" i="1"/>
  <c r="L21" i="1"/>
  <c r="Q21" i="1" s="1"/>
  <c r="J31" i="1"/>
  <c r="L31" i="1" s="1"/>
  <c r="Q31" i="1" s="1"/>
  <c r="J28" i="1"/>
  <c r="P47" i="1"/>
  <c r="P48" i="1" s="1"/>
  <c r="O24" i="1"/>
  <c r="O25" i="1"/>
  <c r="O26" i="1"/>
  <c r="O21" i="1"/>
  <c r="O22" i="1"/>
  <c r="O23" i="1"/>
  <c r="M47" i="1"/>
  <c r="M48" i="1" s="1"/>
  <c r="J43" i="1"/>
  <c r="L43" i="1" s="1"/>
  <c r="Q43" i="1" s="1"/>
  <c r="J41" i="1"/>
  <c r="L41" i="1" s="1"/>
  <c r="Q41" i="1" s="1"/>
  <c r="J30" i="1"/>
  <c r="L30" i="1" s="1"/>
  <c r="Q30" i="1" s="1"/>
  <c r="J29" i="1"/>
  <c r="J26" i="1"/>
  <c r="L26" i="1" s="1"/>
  <c r="Q26" i="1" s="1"/>
  <c r="J25" i="1"/>
  <c r="L25" i="1" s="1"/>
  <c r="Q25" i="1" s="1"/>
  <c r="J24" i="1"/>
  <c r="L24" i="1" s="1"/>
  <c r="Q24" i="1" s="1"/>
  <c r="J23" i="1"/>
  <c r="J22" i="1"/>
  <c r="L22" i="1" s="1"/>
  <c r="J39" i="1" l="1"/>
  <c r="L39" i="1" s="1"/>
  <c r="Q39" i="1" s="1"/>
  <c r="L33" i="1"/>
  <c r="Q33" i="1" s="1"/>
  <c r="J45" i="1"/>
  <c r="L45" i="1" s="1"/>
  <c r="Q45" i="1" s="1"/>
  <c r="L29" i="1"/>
  <c r="Q29" i="1" s="1"/>
  <c r="L28" i="1"/>
  <c r="Q28" i="1" s="1"/>
  <c r="O47" i="1"/>
  <c r="O48" i="1" s="1"/>
  <c r="L23" i="1"/>
  <c r="Q23" i="1" s="1"/>
  <c r="Q22" i="1"/>
  <c r="Q46" i="1" l="1"/>
  <c r="J40" i="1"/>
  <c r="L40" i="1" s="1"/>
  <c r="J47" i="1" l="1"/>
  <c r="J48" i="1" s="1"/>
  <c r="J49" i="1" s="1"/>
  <c r="B13" i="2" s="1"/>
  <c r="B12" i="2" s="1"/>
  <c r="L47" i="1"/>
  <c r="L48" i="1" s="1"/>
  <c r="L49" i="1" s="1"/>
  <c r="B14" i="2" s="1"/>
  <c r="Q40" i="1"/>
  <c r="Q47" i="1" s="1"/>
  <c r="Q48" i="1" s="1"/>
  <c r="Q49" i="1" s="1"/>
  <c r="B10" i="2" l="1"/>
  <c r="B18" i="2"/>
</calcChain>
</file>

<file path=xl/sharedStrings.xml><?xml version="1.0" encoding="utf-8"?>
<sst xmlns="http://schemas.openxmlformats.org/spreadsheetml/2006/main" count="143" uniqueCount="95">
  <si>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</si>
  <si>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DOCUMENT</t>
  </si>
  <si>
    <t>IDENTIFICATION OF REPORTING OR RECORDKEEPING REQUIREMENT</t>
  </si>
  <si>
    <t>FORMS NO(S) (IF "NONE" SO STATE) (D)</t>
  </si>
  <si>
    <t>ANNUAL BURDEN</t>
  </si>
  <si>
    <t>REPORTS</t>
  </si>
  <si>
    <t>RECORDS</t>
  </si>
  <si>
    <t>NO OF RESPONSES PER POLICY (F)</t>
  </si>
  <si>
    <t>TOTAL ANNUAL RESPONSES (CAL. E X F) (G)</t>
  </si>
  <si>
    <t>HOURS PER RESPONSE (H)</t>
  </si>
  <si>
    <t>TOTAL HOURS (CAL. G X H) (I)</t>
  </si>
  <si>
    <t>NO. OF RECORD-KEEPERS (J)</t>
  </si>
  <si>
    <t>HOURS PER RECORD-KEEPER (K)</t>
  </si>
  <si>
    <t>TOTAL RECORD- KEEPING HOURS (CAL. J X K)  (L)</t>
  </si>
  <si>
    <t>COST PER HOUR</t>
  </si>
  <si>
    <t>NONE</t>
  </si>
  <si>
    <t>P10- Policy Record</t>
  </si>
  <si>
    <t>P11- Acreage Record</t>
  </si>
  <si>
    <t>P12- Payment Record</t>
  </si>
  <si>
    <t>P21- Loss Line Record</t>
  </si>
  <si>
    <t>P27- Land ID Record</t>
  </si>
  <si>
    <t>Reading insurance documents</t>
  </si>
  <si>
    <t>SUBTOTAL</t>
  </si>
  <si>
    <t>TOTAL OF ALL PAGES</t>
  </si>
  <si>
    <t>DESCRIPTION: (DATA ELEMENT)  (C)</t>
  </si>
  <si>
    <t>TOTAL COST</t>
  </si>
  <si>
    <t>RESPONDENT (B)</t>
  </si>
  <si>
    <t xml:space="preserve">Farmer </t>
  </si>
  <si>
    <t>Insurance Sales Agent/Insurance Underwriter/Farmer</t>
  </si>
  <si>
    <t>Insurance Sales Agent/Office Clerk</t>
  </si>
  <si>
    <t>TOTAL - COLUMNS "G" AND "J" = OMB 831, 13 b; COLUMNS "I" AND "L" = OMB 831, 13c</t>
  </si>
  <si>
    <t>P15- Yield History Record</t>
  </si>
  <si>
    <t>P49- Policy Delete Record</t>
  </si>
  <si>
    <t>P10- Policy Record (Company Application)</t>
  </si>
  <si>
    <t>P11- Acreage Record (Company Acreage Report)</t>
  </si>
  <si>
    <t>P21- Loss Line Record (Company Claim for Indemnity)</t>
  </si>
  <si>
    <t>Accountant</t>
  </si>
  <si>
    <t>Farmer</t>
  </si>
  <si>
    <t>IT Staff</t>
  </si>
  <si>
    <t>Additional burden hours for crop insurance companies to transmit data elements to RMA</t>
  </si>
  <si>
    <t>P48- Delete Record*</t>
  </si>
  <si>
    <t>* This is accounted for on line_ "IT Staff" as part of the IT transmittal of data records.</t>
  </si>
  <si>
    <t>P14- Insurance In Force Record*</t>
  </si>
  <si>
    <t xml:space="preserve">Additional information provided as needed </t>
  </si>
  <si>
    <t>Insurance Sales Agent/Insurance Underwriter/Farmer/Agricultural Inspector</t>
  </si>
  <si>
    <t>P20- Loss Total Record *</t>
  </si>
  <si>
    <t>P05-  CIMS Request Record*</t>
  </si>
  <si>
    <t>POLICIES/ COMPANY (E)</t>
  </si>
  <si>
    <t>P09- Fund Designation Record (per company)*</t>
  </si>
  <si>
    <t xml:space="preserve">Travel time </t>
  </si>
  <si>
    <t>Record retention</t>
  </si>
  <si>
    <t>Policies Earning Premium</t>
  </si>
  <si>
    <t>Companies</t>
  </si>
  <si>
    <t>Active Crop Insurance Agents</t>
  </si>
  <si>
    <t>Unique Producers</t>
  </si>
  <si>
    <t>New Producers</t>
  </si>
  <si>
    <t>PASS Processing Summary Input Records</t>
  </si>
  <si>
    <t>P75- Records Producer Certification</t>
  </si>
  <si>
    <t>P26- Production</t>
  </si>
  <si>
    <t>P26-Production</t>
  </si>
  <si>
    <r>
      <t xml:space="preserve">Estimate of Burden: </t>
    </r>
    <r>
      <rPr>
        <sz val="11"/>
        <color theme="1"/>
        <rFont val="Calibri"/>
        <family val="2"/>
        <scheme val="minor"/>
      </rPr>
      <t>The public reporting burden for this collection of information are estimated to average  of an hour per response.</t>
    </r>
  </si>
  <si>
    <t xml:space="preserve">Estimated Annual Number of Responses: </t>
  </si>
  <si>
    <t xml:space="preserve">Estimated Annual Number of Respondents: </t>
  </si>
  <si>
    <t>Estimated Annual Number of Responses Per Respondent:</t>
  </si>
  <si>
    <t>Estimated Total Annual Burden on Respondents:</t>
  </si>
  <si>
    <t>ratio=total ARPI earning premium/total policies earning premium</t>
  </si>
  <si>
    <t>Estimated total number of respondents for insurance companies</t>
  </si>
  <si>
    <t>Supporting Statement Numbers</t>
  </si>
  <si>
    <t>Average burden for each respondent</t>
  </si>
  <si>
    <t>Beginning Farmer or Rancher</t>
  </si>
  <si>
    <t>Insurance Sales Agent/Farmer</t>
  </si>
  <si>
    <t>OMB NO. 0563-0083</t>
  </si>
  <si>
    <t>Area Risk Protection Insurance</t>
  </si>
  <si>
    <t>DATE PREPARED-1/6/20</t>
  </si>
  <si>
    <t>Ins. Sales Agent/Farmer and Rancher</t>
  </si>
  <si>
    <t>Ins. Sales Agent/Ins. Underwriter/Farmer</t>
  </si>
  <si>
    <t>Ins. Sales Agent/Office Clerk</t>
  </si>
  <si>
    <t>Ins. Sales Agent/Ins. Underwriter/Office Clerk</t>
  </si>
  <si>
    <t>Ins. Sales Agent/Ins. Underwriter/Farmer/Ag. Insp.</t>
  </si>
  <si>
    <t>45-2011</t>
  </si>
  <si>
    <t>Insurance Sales Agent</t>
  </si>
  <si>
    <t xml:space="preserve">41-3021 </t>
  </si>
  <si>
    <t>Insurance Underwriter</t>
  </si>
  <si>
    <t xml:space="preserve">13-2053 </t>
  </si>
  <si>
    <t>Farmers, Ranchers, and Other Agricultural Managers</t>
  </si>
  <si>
    <t>11-9013</t>
  </si>
  <si>
    <t>43-9061</t>
  </si>
  <si>
    <t xml:space="preserve">Office Clerk-General </t>
  </si>
  <si>
    <t>Accountants and Auditors</t>
  </si>
  <si>
    <t xml:space="preserve">13-2011 </t>
  </si>
  <si>
    <t>Agricultural Inspectors</t>
  </si>
  <si>
    <t>15-1252</t>
  </si>
  <si>
    <t>Software Developers</t>
  </si>
  <si>
    <t>P57– Quality Control Reporting Record</t>
  </si>
  <si>
    <t>https://www.rma.usda.gov/Policy-and-Procedure/Appendix-III-M13-Handbook-Index/2023-Approved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</si>
</sst>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9">
    <xf numFmtId="0" fontId="0" fillId="0" borderId="0" xfId="0"/>
    <xf numFmtId="0" fontId="8" fillId="0" borderId="0" xfId="0" applyFont="1"/>
    <xf numFmtId="1" fontId="3" fillId="0" borderId="12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165" fontId="3" fillId="0" borderId="12" xfId="0" applyNumberFormat="1" applyFont="1" applyBorder="1" applyAlignment="1">
      <alignment wrapText="1"/>
    </xf>
    <xf numFmtId="1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0" fontId="10" fillId="0" borderId="0" xfId="0" applyFont="1"/>
    <xf numFmtId="3" fontId="3" fillId="0" borderId="12" xfId="0" applyNumberFormat="1" applyFont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wrapText="1"/>
    </xf>
    <xf numFmtId="0" fontId="0" fillId="0" borderId="0" xfId="0" applyAlignment="1">
      <alignment wrapText="1"/>
    </xf>
    <xf numFmtId="1" fontId="3" fillId="0" borderId="12" xfId="0" applyNumberFormat="1" applyFont="1" applyBorder="1" applyAlignment="1">
      <alignment wrapText="1"/>
    </xf>
    <xf numFmtId="1" fontId="7" fillId="0" borderId="12" xfId="0" applyNumberFormat="1" applyFont="1" applyBorder="1" applyAlignment="1">
      <alignment wrapText="1"/>
    </xf>
    <xf numFmtId="3" fontId="7" fillId="0" borderId="12" xfId="0" applyNumberFormat="1" applyFont="1" applyBorder="1" applyAlignment="1">
      <alignment wrapText="1"/>
    </xf>
    <xf numFmtId="3" fontId="0" fillId="0" borderId="0" xfId="0" applyNumberFormat="1"/>
    <xf numFmtId="0" fontId="11" fillId="0" borderId="0" xfId="1"/>
    <xf numFmtId="3" fontId="12" fillId="0" borderId="0" xfId="0" applyNumberFormat="1" applyFont="1" applyAlignment="1" applyProtection="1">
      <alignment wrapText="1"/>
      <protection locked="0"/>
    </xf>
    <xf numFmtId="0" fontId="13" fillId="0" borderId="0" xfId="0" applyFont="1" applyAlignment="1">
      <alignment vertical="center" wrapText="1"/>
    </xf>
    <xf numFmtId="2" fontId="0" fillId="0" borderId="0" xfId="0" applyNumberFormat="1"/>
    <xf numFmtId="166" fontId="0" fillId="0" borderId="0" xfId="0" applyNumberFormat="1"/>
    <xf numFmtId="1" fontId="0" fillId="0" borderId="0" xfId="0" applyNumberFormat="1"/>
    <xf numFmtId="0" fontId="8" fillId="0" borderId="0" xfId="0" applyFont="1" applyAlignment="1">
      <alignment wrapText="1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4" fillId="0" borderId="0" xfId="0" applyFont="1"/>
    <xf numFmtId="49" fontId="14" fillId="0" borderId="0" xfId="0" applyNumberFormat="1" applyFont="1" applyAlignment="1">
      <alignment horizontal="left"/>
    </xf>
    <xf numFmtId="2" fontId="9" fillId="0" borderId="12" xfId="0" applyNumberFormat="1" applyFont="1" applyBorder="1" applyAlignment="1" applyProtection="1">
      <alignment horizontal="left" vertical="center" wrapTex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49" fontId="9" fillId="0" borderId="13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0" fillId="0" borderId="12" xfId="0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49" fontId="7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ma.usda.gov/Policy-and-Procedure/Appendix-III-M13-Handbook-Index/2023-Approv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zoomScale="80" zoomScaleNormal="80" workbookViewId="0">
      <pane xSplit="7" ySplit="21" topLeftCell="H37" activePane="bottomRight" state="frozen"/>
      <selection pane="topRight" activeCell="H1" sqref="H1"/>
      <selection pane="bottomLeft" activeCell="A22" sqref="A22"/>
      <selection pane="bottomRight" activeCell="I53" sqref="I53"/>
    </sheetView>
  </sheetViews>
  <sheetFormatPr defaultRowHeight="15" x14ac:dyDescent="0.25"/>
  <cols>
    <col min="1" max="1" width="12.28515625" customWidth="1"/>
    <col min="2" max="2" width="16.42578125" customWidth="1"/>
    <col min="7" max="7" width="19" customWidth="1"/>
    <col min="8" max="8" width="15.140625" customWidth="1"/>
    <col min="9" max="10" width="15" customWidth="1"/>
    <col min="11" max="11" width="15.42578125" customWidth="1"/>
    <col min="12" max="12" width="12.7109375" customWidth="1"/>
    <col min="13" max="13" width="14.140625" customWidth="1"/>
    <col min="14" max="14" width="11.42578125" customWidth="1"/>
    <col min="15" max="15" width="9.85546875" customWidth="1"/>
    <col min="16" max="16" width="13" customWidth="1"/>
    <col min="17" max="17" width="18.7109375" bestFit="1" customWidth="1"/>
    <col min="18" max="18" width="47.140625" customWidth="1"/>
    <col min="19" max="19" width="14.85546875" customWidth="1"/>
  </cols>
  <sheetData>
    <row r="1" spans="1:17" x14ac:dyDescent="0.25">
      <c r="A1" s="95" t="s">
        <v>0</v>
      </c>
      <c r="B1" s="96"/>
      <c r="C1" s="97"/>
      <c r="D1" s="97"/>
      <c r="E1" s="97"/>
      <c r="F1" s="97"/>
      <c r="G1" s="97"/>
      <c r="H1" s="97"/>
      <c r="I1" s="98"/>
      <c r="J1" s="62" t="s">
        <v>1</v>
      </c>
      <c r="K1" s="63"/>
      <c r="L1" s="63"/>
      <c r="M1" s="63"/>
      <c r="N1" s="64"/>
      <c r="O1" s="75" t="s">
        <v>71</v>
      </c>
      <c r="P1" s="76"/>
    </row>
    <row r="2" spans="1:17" x14ac:dyDescent="0.25">
      <c r="A2" s="99"/>
      <c r="B2" s="100"/>
      <c r="C2" s="100"/>
      <c r="D2" s="100"/>
      <c r="E2" s="100"/>
      <c r="F2" s="100"/>
      <c r="G2" s="100"/>
      <c r="H2" s="100"/>
      <c r="I2" s="101"/>
      <c r="J2" s="65"/>
      <c r="K2" s="66"/>
      <c r="L2" s="66"/>
      <c r="M2" s="66"/>
      <c r="N2" s="67"/>
      <c r="O2" s="77"/>
      <c r="P2" s="78"/>
    </row>
    <row r="3" spans="1:17" x14ac:dyDescent="0.25">
      <c r="A3" s="99"/>
      <c r="B3" s="100"/>
      <c r="C3" s="100"/>
      <c r="D3" s="100"/>
      <c r="E3" s="100"/>
      <c r="F3" s="100"/>
      <c r="G3" s="100"/>
      <c r="H3" s="100"/>
      <c r="I3" s="101"/>
      <c r="J3" s="81" t="s">
        <v>72</v>
      </c>
      <c r="K3" s="82"/>
      <c r="L3" s="82"/>
      <c r="M3" s="82"/>
      <c r="N3" s="83"/>
      <c r="O3" s="77"/>
      <c r="P3" s="78"/>
    </row>
    <row r="4" spans="1:17" x14ac:dyDescent="0.25">
      <c r="A4" s="99"/>
      <c r="B4" s="100"/>
      <c r="C4" s="100"/>
      <c r="D4" s="100"/>
      <c r="E4" s="100"/>
      <c r="F4" s="100"/>
      <c r="G4" s="100"/>
      <c r="H4" s="100"/>
      <c r="I4" s="101"/>
      <c r="J4" s="84"/>
      <c r="K4" s="82"/>
      <c r="L4" s="82"/>
      <c r="M4" s="82"/>
      <c r="N4" s="83"/>
      <c r="O4" s="77"/>
      <c r="P4" s="78"/>
    </row>
    <row r="5" spans="1:17" x14ac:dyDescent="0.25">
      <c r="A5" s="99"/>
      <c r="B5" s="100"/>
      <c r="C5" s="100"/>
      <c r="D5" s="100"/>
      <c r="E5" s="100"/>
      <c r="F5" s="100"/>
      <c r="G5" s="100"/>
      <c r="H5" s="100"/>
      <c r="I5" s="101"/>
      <c r="J5" s="84"/>
      <c r="K5" s="82"/>
      <c r="L5" s="82"/>
      <c r="M5" s="82"/>
      <c r="N5" s="83"/>
      <c r="O5" s="79"/>
      <c r="P5" s="80"/>
    </row>
    <row r="6" spans="1:17" x14ac:dyDescent="0.25">
      <c r="A6" s="99"/>
      <c r="B6" s="100"/>
      <c r="C6" s="100"/>
      <c r="D6" s="100"/>
      <c r="E6" s="100"/>
      <c r="F6" s="100"/>
      <c r="G6" s="100"/>
      <c r="H6" s="100"/>
      <c r="I6" s="101"/>
      <c r="J6" s="84"/>
      <c r="K6" s="82"/>
      <c r="L6" s="82"/>
      <c r="M6" s="82"/>
      <c r="N6" s="83"/>
      <c r="O6" s="75" t="s">
        <v>73</v>
      </c>
      <c r="P6" s="76"/>
    </row>
    <row r="7" spans="1:17" hidden="1" x14ac:dyDescent="0.25">
      <c r="A7" s="99"/>
      <c r="B7" s="100"/>
      <c r="C7" s="100"/>
      <c r="D7" s="100"/>
      <c r="E7" s="100"/>
      <c r="F7" s="100"/>
      <c r="G7" s="100"/>
      <c r="H7" s="100"/>
      <c r="I7" s="101"/>
      <c r="J7" s="84"/>
      <c r="K7" s="82"/>
      <c r="L7" s="82"/>
      <c r="M7" s="82"/>
      <c r="N7" s="83"/>
      <c r="O7" s="77"/>
      <c r="P7" s="78"/>
      <c r="Q7" s="10"/>
    </row>
    <row r="8" spans="1:17" ht="2.25" hidden="1" customHeight="1" x14ac:dyDescent="0.25">
      <c r="A8" s="99"/>
      <c r="B8" s="100"/>
      <c r="C8" s="100"/>
      <c r="D8" s="100"/>
      <c r="E8" s="100"/>
      <c r="F8" s="100"/>
      <c r="G8" s="100"/>
      <c r="H8" s="100"/>
      <c r="I8" s="101"/>
      <c r="J8" s="84"/>
      <c r="K8" s="82"/>
      <c r="L8" s="82"/>
      <c r="M8" s="82"/>
      <c r="N8" s="83"/>
      <c r="O8" s="77"/>
      <c r="P8" s="78"/>
      <c r="Q8" s="10"/>
    </row>
    <row r="9" spans="1:17" hidden="1" x14ac:dyDescent="0.25">
      <c r="A9" s="102"/>
      <c r="B9" s="103"/>
      <c r="C9" s="103"/>
      <c r="D9" s="103"/>
      <c r="E9" s="103"/>
      <c r="F9" s="103"/>
      <c r="G9" s="103"/>
      <c r="H9" s="103"/>
      <c r="I9" s="104"/>
      <c r="J9" s="85"/>
      <c r="K9" s="86"/>
      <c r="L9" s="86"/>
      <c r="M9" s="86"/>
      <c r="N9" s="87"/>
      <c r="O9" s="79"/>
      <c r="P9" s="80"/>
      <c r="Q9" s="10"/>
    </row>
    <row r="10" spans="1:17" ht="15" hidden="1" customHeight="1" x14ac:dyDescent="0.25">
      <c r="A10" s="69" t="s">
        <v>2</v>
      </c>
      <c r="B10" s="70"/>
      <c r="C10" s="70"/>
      <c r="D10" s="70"/>
      <c r="E10" s="70"/>
      <c r="F10" s="70"/>
      <c r="G10" s="70"/>
      <c r="H10" s="71"/>
      <c r="I10" s="89" t="s">
        <v>4</v>
      </c>
      <c r="J10" s="90"/>
      <c r="K10" s="90"/>
      <c r="L10" s="90"/>
      <c r="M10" s="90"/>
      <c r="N10" s="90"/>
      <c r="O10" s="90"/>
      <c r="P10" s="91"/>
      <c r="Q10" s="1"/>
    </row>
    <row r="11" spans="1:17" hidden="1" x14ac:dyDescent="0.25">
      <c r="A11" s="72"/>
      <c r="B11" s="73"/>
      <c r="C11" s="73"/>
      <c r="D11" s="73"/>
      <c r="E11" s="73"/>
      <c r="F11" s="73"/>
      <c r="G11" s="73"/>
      <c r="H11" s="74"/>
      <c r="I11" s="92"/>
      <c r="J11" s="93"/>
      <c r="K11" s="93"/>
      <c r="L11" s="93"/>
      <c r="M11" s="93"/>
      <c r="N11" s="93"/>
      <c r="O11" s="93"/>
      <c r="P11" s="94"/>
      <c r="Q11" s="1"/>
    </row>
    <row r="12" spans="1:17" ht="15" hidden="1" customHeight="1" x14ac:dyDescent="0.25">
      <c r="A12" s="38" t="s">
        <v>26</v>
      </c>
      <c r="B12" s="38" t="s">
        <v>24</v>
      </c>
      <c r="C12" s="39"/>
      <c r="D12" s="39"/>
      <c r="E12" s="39"/>
      <c r="F12" s="40"/>
      <c r="G12" s="35" t="s">
        <v>3</v>
      </c>
      <c r="H12" s="47" t="s">
        <v>5</v>
      </c>
      <c r="I12" s="48"/>
      <c r="J12" s="48"/>
      <c r="K12" s="48"/>
      <c r="L12" s="49"/>
      <c r="M12" s="53" t="s">
        <v>6</v>
      </c>
      <c r="N12" s="54"/>
      <c r="O12" s="55"/>
      <c r="P12" s="24"/>
      <c r="Q12" s="13"/>
    </row>
    <row r="13" spans="1:17" ht="15" hidden="1" customHeight="1" x14ac:dyDescent="0.25">
      <c r="A13" s="41"/>
      <c r="B13" s="41"/>
      <c r="C13" s="42"/>
      <c r="D13" s="42"/>
      <c r="E13" s="42"/>
      <c r="F13" s="43"/>
      <c r="G13" s="36"/>
      <c r="H13" s="50"/>
      <c r="I13" s="51"/>
      <c r="J13" s="51"/>
      <c r="K13" s="51"/>
      <c r="L13" s="52"/>
      <c r="M13" s="56"/>
      <c r="N13" s="57"/>
      <c r="O13" s="58"/>
      <c r="P13" s="24"/>
      <c r="Q13" s="13"/>
    </row>
    <row r="14" spans="1:17" ht="15" hidden="1" customHeight="1" x14ac:dyDescent="0.25">
      <c r="A14" s="41"/>
      <c r="B14" s="41"/>
      <c r="C14" s="42"/>
      <c r="D14" s="42"/>
      <c r="E14" s="42"/>
      <c r="F14" s="43"/>
      <c r="G14" s="36"/>
      <c r="H14" s="35" t="s">
        <v>47</v>
      </c>
      <c r="I14" s="35" t="s">
        <v>7</v>
      </c>
      <c r="J14" s="35" t="s">
        <v>8</v>
      </c>
      <c r="K14" s="35" t="s">
        <v>9</v>
      </c>
      <c r="L14" s="35" t="s">
        <v>10</v>
      </c>
      <c r="M14" s="35" t="s">
        <v>11</v>
      </c>
      <c r="N14" s="35" t="s">
        <v>12</v>
      </c>
      <c r="O14" s="59" t="s">
        <v>13</v>
      </c>
      <c r="P14" s="35" t="s">
        <v>14</v>
      </c>
      <c r="Q14" s="35" t="s">
        <v>25</v>
      </c>
    </row>
    <row r="15" spans="1:17" ht="15" hidden="1" customHeight="1" x14ac:dyDescent="0.25">
      <c r="A15" s="41"/>
      <c r="B15" s="41"/>
      <c r="C15" s="42"/>
      <c r="D15" s="42"/>
      <c r="E15" s="42"/>
      <c r="F15" s="43"/>
      <c r="G15" s="36"/>
      <c r="H15" s="36"/>
      <c r="I15" s="36"/>
      <c r="J15" s="36"/>
      <c r="K15" s="36"/>
      <c r="L15" s="36"/>
      <c r="M15" s="36"/>
      <c r="N15" s="36"/>
      <c r="O15" s="60"/>
      <c r="P15" s="36"/>
      <c r="Q15" s="36"/>
    </row>
    <row r="16" spans="1:17" ht="15" hidden="1" customHeight="1" x14ac:dyDescent="0.25">
      <c r="A16" s="41"/>
      <c r="B16" s="41"/>
      <c r="C16" s="42"/>
      <c r="D16" s="42"/>
      <c r="E16" s="42"/>
      <c r="F16" s="43"/>
      <c r="G16" s="36"/>
      <c r="H16" s="36"/>
      <c r="I16" s="36"/>
      <c r="J16" s="36"/>
      <c r="K16" s="36"/>
      <c r="L16" s="36"/>
      <c r="M16" s="36"/>
      <c r="N16" s="36"/>
      <c r="O16" s="60"/>
      <c r="P16" s="36"/>
      <c r="Q16" s="36"/>
    </row>
    <row r="17" spans="1:17" ht="15" hidden="1" customHeight="1" x14ac:dyDescent="0.25">
      <c r="A17" s="41"/>
      <c r="B17" s="41"/>
      <c r="C17" s="42"/>
      <c r="D17" s="42"/>
      <c r="E17" s="42"/>
      <c r="F17" s="43"/>
      <c r="G17" s="36"/>
      <c r="H17" s="36"/>
      <c r="I17" s="36"/>
      <c r="J17" s="36"/>
      <c r="K17" s="36"/>
      <c r="L17" s="36"/>
      <c r="M17" s="36"/>
      <c r="N17" s="36"/>
      <c r="O17" s="60"/>
      <c r="P17" s="36"/>
      <c r="Q17" s="36"/>
    </row>
    <row r="18" spans="1:17" ht="15" hidden="1" customHeight="1" x14ac:dyDescent="0.25">
      <c r="A18" s="41"/>
      <c r="B18" s="41"/>
      <c r="C18" s="42"/>
      <c r="D18" s="42"/>
      <c r="E18" s="42"/>
      <c r="F18" s="43"/>
      <c r="G18" s="36"/>
      <c r="H18" s="36"/>
      <c r="I18" s="36"/>
      <c r="J18" s="36"/>
      <c r="K18" s="36"/>
      <c r="L18" s="36"/>
      <c r="M18" s="36"/>
      <c r="N18" s="36"/>
      <c r="O18" s="60"/>
      <c r="P18" s="36"/>
      <c r="Q18" s="36"/>
    </row>
    <row r="19" spans="1:17" ht="67.5" customHeight="1" x14ac:dyDescent="0.25">
      <c r="A19" s="44"/>
      <c r="B19" s="44"/>
      <c r="C19" s="45"/>
      <c r="D19" s="45"/>
      <c r="E19" s="45"/>
      <c r="F19" s="46"/>
      <c r="G19" s="37"/>
      <c r="H19" s="37"/>
      <c r="I19" s="37"/>
      <c r="J19" s="37"/>
      <c r="K19" s="37"/>
      <c r="L19" s="37"/>
      <c r="M19" s="37"/>
      <c r="N19" s="37"/>
      <c r="O19" s="61"/>
      <c r="P19" s="37"/>
      <c r="Q19" s="37"/>
    </row>
    <row r="20" spans="1:17" ht="51" x14ac:dyDescent="0.25">
      <c r="A20" s="4" t="s">
        <v>29</v>
      </c>
      <c r="B20" s="31" t="s">
        <v>46</v>
      </c>
      <c r="C20" s="68"/>
      <c r="D20" s="68"/>
      <c r="E20" s="68"/>
      <c r="F20" s="68"/>
      <c r="G20" s="4" t="s">
        <v>15</v>
      </c>
      <c r="H20" s="11">
        <v>0</v>
      </c>
      <c r="I20" s="7">
        <v>0</v>
      </c>
      <c r="J20" s="12">
        <f>H20*I20</f>
        <v>0</v>
      </c>
      <c r="K20" s="7">
        <v>0</v>
      </c>
      <c r="L20" s="12">
        <f>SUM(J20*K20)</f>
        <v>0</v>
      </c>
      <c r="M20" s="6">
        <v>0</v>
      </c>
      <c r="N20" s="6">
        <v>0</v>
      </c>
      <c r="O20" s="6">
        <f t="shared" ref="O20:O27" si="0">SUM(M20*N20)</f>
        <v>0</v>
      </c>
      <c r="P20" s="5">
        <f>Wages!C11</f>
        <v>26.045000000000002</v>
      </c>
      <c r="Q20" s="5">
        <f>L20*P20</f>
        <v>0</v>
      </c>
    </row>
    <row r="21" spans="1:17" x14ac:dyDescent="0.25">
      <c r="A21" s="4" t="s">
        <v>38</v>
      </c>
      <c r="B21" s="29" t="s">
        <v>48</v>
      </c>
      <c r="C21" s="30"/>
      <c r="D21" s="30"/>
      <c r="E21" s="30"/>
      <c r="F21" s="30"/>
      <c r="G21" s="4" t="s">
        <v>15</v>
      </c>
      <c r="H21" s="11">
        <f>'Numbers for Burden Grid'!B2</f>
        <v>14</v>
      </c>
      <c r="I21" s="7">
        <v>0</v>
      </c>
      <c r="J21" s="12">
        <f>H21*I21</f>
        <v>0</v>
      </c>
      <c r="K21" s="7">
        <v>0</v>
      </c>
      <c r="L21" s="12">
        <f>SUM(J21*K21)</f>
        <v>0</v>
      </c>
      <c r="M21" s="6">
        <v>0</v>
      </c>
      <c r="N21" s="6">
        <v>0</v>
      </c>
      <c r="O21" s="6">
        <f t="shared" si="0"/>
        <v>0</v>
      </c>
      <c r="P21" s="5">
        <f>Wages!C7</f>
        <v>58.17</v>
      </c>
      <c r="Q21" s="5">
        <f>L21*P21</f>
        <v>0</v>
      </c>
    </row>
    <row r="22" spans="1:17" x14ac:dyDescent="0.25">
      <c r="A22" s="4" t="s">
        <v>27</v>
      </c>
      <c r="B22" s="31" t="s">
        <v>33</v>
      </c>
      <c r="C22" s="31"/>
      <c r="D22" s="31"/>
      <c r="E22" s="31"/>
      <c r="F22" s="31"/>
      <c r="G22" s="4" t="s">
        <v>15</v>
      </c>
      <c r="H22" s="11">
        <f>'Numbers for Burden Grid'!B5+('Numbers for Burden Grid'!B1*0.1)</f>
        <v>392.3199116793653</v>
      </c>
      <c r="I22" s="7">
        <v>1</v>
      </c>
      <c r="J22" s="12">
        <f>SUM(H22*I22)</f>
        <v>392.3199116793653</v>
      </c>
      <c r="K22" s="7">
        <f>((25336*1)+(94278*0.15))/(25336+94278)</f>
        <v>0.3300424699449897</v>
      </c>
      <c r="L22" s="12">
        <f>SUM(J22*K22)</f>
        <v>129.48223265925793</v>
      </c>
      <c r="M22" s="6">
        <v>0</v>
      </c>
      <c r="N22" s="6">
        <v>0</v>
      </c>
      <c r="O22" s="6">
        <f>SUM(M22*N22)</f>
        <v>0</v>
      </c>
      <c r="P22" s="5">
        <f>Wages!C4</f>
        <v>37.71</v>
      </c>
      <c r="Q22" s="5">
        <f t="shared" ref="Q22:Q40" si="1">L22*P22</f>
        <v>4882.7749935806169</v>
      </c>
    </row>
    <row r="23" spans="1:17" ht="51" x14ac:dyDescent="0.25">
      <c r="A23" s="4" t="s">
        <v>29</v>
      </c>
      <c r="B23" s="31" t="s">
        <v>16</v>
      </c>
      <c r="C23" s="31"/>
      <c r="D23" s="31"/>
      <c r="E23" s="31"/>
      <c r="F23" s="31"/>
      <c r="G23" s="4" t="s">
        <v>15</v>
      </c>
      <c r="H23" s="11">
        <f>'Numbers for Burden Grid'!B3</f>
        <v>14185</v>
      </c>
      <c r="I23" s="7">
        <f>H22/'Numbers for Burden Grid'!B3</f>
        <v>2.7657378334816025E-2</v>
      </c>
      <c r="J23" s="12">
        <f>SUM(H23*I23)</f>
        <v>392.3199116793653</v>
      </c>
      <c r="K23" s="7">
        <f>((25336*1)+(94278*0.15))/(25336+94278)</f>
        <v>0.3300424699449897</v>
      </c>
      <c r="L23" s="12">
        <f>SUM(J23*K23)</f>
        <v>129.48223265925793</v>
      </c>
      <c r="M23" s="6">
        <v>0</v>
      </c>
      <c r="N23" s="6">
        <v>0</v>
      </c>
      <c r="O23" s="6">
        <f t="shared" si="0"/>
        <v>0</v>
      </c>
      <c r="P23" s="5">
        <f>Wages!C11</f>
        <v>26.045000000000002</v>
      </c>
      <c r="Q23" s="5">
        <f t="shared" si="1"/>
        <v>3372.3647496103731</v>
      </c>
    </row>
    <row r="24" spans="1:17" x14ac:dyDescent="0.25">
      <c r="A24" s="4" t="s">
        <v>27</v>
      </c>
      <c r="B24" s="31" t="s">
        <v>34</v>
      </c>
      <c r="C24" s="31"/>
      <c r="D24" s="31"/>
      <c r="E24" s="31"/>
      <c r="F24" s="31"/>
      <c r="G24" s="4" t="s">
        <v>15</v>
      </c>
      <c r="H24" s="11">
        <f>'Numbers for Burden Grid'!B4</f>
        <v>1323.5096831044905</v>
      </c>
      <c r="I24" s="7">
        <f>'Numbers for Burden Grid'!B1/'Numbers for Burden Grid'!B4</f>
        <v>2.3339459011393759</v>
      </c>
      <c r="J24" s="12">
        <f>SUM(H24*I24)</f>
        <v>3089</v>
      </c>
      <c r="K24" s="7">
        <v>0.75</v>
      </c>
      <c r="L24" s="12">
        <f>SUM(J24*K24)</f>
        <v>2316.75</v>
      </c>
      <c r="M24" s="6">
        <v>0</v>
      </c>
      <c r="N24" s="6">
        <v>0</v>
      </c>
      <c r="O24" s="6">
        <f t="shared" si="0"/>
        <v>0</v>
      </c>
      <c r="P24" s="5">
        <f>Wages!C4</f>
        <v>37.71</v>
      </c>
      <c r="Q24" s="5">
        <f t="shared" si="1"/>
        <v>87364.642500000002</v>
      </c>
    </row>
    <row r="25" spans="1:17" ht="51" x14ac:dyDescent="0.25">
      <c r="A25" s="4" t="s">
        <v>29</v>
      </c>
      <c r="B25" s="31" t="s">
        <v>17</v>
      </c>
      <c r="C25" s="31"/>
      <c r="D25" s="31"/>
      <c r="E25" s="31"/>
      <c r="F25" s="31"/>
      <c r="G25" s="4" t="s">
        <v>15</v>
      </c>
      <c r="H25" s="11">
        <f>'Numbers for Burden Grid'!B3</f>
        <v>14185</v>
      </c>
      <c r="I25" s="7">
        <f>'Numbers for Burden Grid'!B1/'Numbers for Burden Grid'!B3</f>
        <v>0.21776524497708846</v>
      </c>
      <c r="J25" s="12">
        <f t="shared" ref="J25:J36" si="2">SUM(H25*I25)</f>
        <v>3089</v>
      </c>
      <c r="K25" s="8">
        <v>0.5</v>
      </c>
      <c r="L25" s="12">
        <f t="shared" ref="L25:L38" si="3">SUM(J25*K25)</f>
        <v>1544.5</v>
      </c>
      <c r="M25" s="6">
        <v>0</v>
      </c>
      <c r="N25" s="6">
        <v>0</v>
      </c>
      <c r="O25" s="6">
        <f t="shared" si="0"/>
        <v>0</v>
      </c>
      <c r="P25" s="5">
        <f>Wages!C11</f>
        <v>26.045000000000002</v>
      </c>
      <c r="Q25" s="5">
        <f t="shared" si="1"/>
        <v>40226.502500000002</v>
      </c>
    </row>
    <row r="26" spans="1:17" x14ac:dyDescent="0.25">
      <c r="A26" s="4" t="s">
        <v>27</v>
      </c>
      <c r="B26" s="31" t="s">
        <v>18</v>
      </c>
      <c r="C26" s="31"/>
      <c r="D26" s="31"/>
      <c r="E26" s="31"/>
      <c r="F26" s="31"/>
      <c r="G26" s="4" t="s">
        <v>15</v>
      </c>
      <c r="H26" s="11">
        <f>'Numbers for Burden Grid'!B4</f>
        <v>1323.5096831044905</v>
      </c>
      <c r="I26" s="7">
        <v>1</v>
      </c>
      <c r="J26" s="12">
        <f t="shared" si="2"/>
        <v>1323.5096831044905</v>
      </c>
      <c r="K26" s="8">
        <v>0.1</v>
      </c>
      <c r="L26" s="12">
        <f t="shared" si="3"/>
        <v>132.35096831044905</v>
      </c>
      <c r="M26" s="6">
        <v>0</v>
      </c>
      <c r="N26" s="6">
        <v>0</v>
      </c>
      <c r="O26" s="6">
        <f t="shared" si="0"/>
        <v>0</v>
      </c>
      <c r="P26" s="5">
        <f>Wages!C4</f>
        <v>37.71</v>
      </c>
      <c r="Q26" s="5">
        <f t="shared" si="1"/>
        <v>4990.9550149870338</v>
      </c>
    </row>
    <row r="27" spans="1:17" x14ac:dyDescent="0.25">
      <c r="A27" s="4" t="s">
        <v>36</v>
      </c>
      <c r="B27" s="31" t="s">
        <v>18</v>
      </c>
      <c r="C27" s="31"/>
      <c r="D27" s="31"/>
      <c r="E27" s="31"/>
      <c r="F27" s="31"/>
      <c r="G27" s="4" t="s">
        <v>15</v>
      </c>
      <c r="H27" s="11">
        <f>'Numbers for Burden Grid'!B2</f>
        <v>14</v>
      </c>
      <c r="I27" s="7">
        <f>H26/H27</f>
        <v>94.536405936035038</v>
      </c>
      <c r="J27" s="12">
        <f t="shared" ref="J27" si="4">SUM(H27*I27)</f>
        <v>1323.5096831044905</v>
      </c>
      <c r="K27" s="8">
        <v>0.1</v>
      </c>
      <c r="L27" s="12">
        <f t="shared" ref="L27:L28" si="5">SUM(J27*K27)</f>
        <v>132.35096831044905</v>
      </c>
      <c r="M27" s="6">
        <v>0</v>
      </c>
      <c r="N27" s="6">
        <v>0</v>
      </c>
      <c r="O27" s="6">
        <f t="shared" si="0"/>
        <v>0</v>
      </c>
      <c r="P27" s="5">
        <f>Wages!C6</f>
        <v>40.369999999999997</v>
      </c>
      <c r="Q27" s="5">
        <f t="shared" ref="Q27" si="6">L27*P27</f>
        <v>5343.008590692828</v>
      </c>
    </row>
    <row r="28" spans="1:17" ht="15" customHeight="1" x14ac:dyDescent="0.25">
      <c r="A28" s="4" t="s">
        <v>38</v>
      </c>
      <c r="B28" s="31" t="s">
        <v>42</v>
      </c>
      <c r="C28" s="31"/>
      <c r="D28" s="31"/>
      <c r="E28" s="31"/>
      <c r="F28" s="31"/>
      <c r="G28" s="4" t="s">
        <v>15</v>
      </c>
      <c r="H28" s="11">
        <v>0</v>
      </c>
      <c r="I28" s="7">
        <v>0</v>
      </c>
      <c r="J28" s="12">
        <f t="shared" si="2"/>
        <v>0</v>
      </c>
      <c r="K28" s="8">
        <v>0</v>
      </c>
      <c r="L28" s="12">
        <f t="shared" si="5"/>
        <v>0</v>
      </c>
      <c r="M28" s="6">
        <v>0</v>
      </c>
      <c r="N28" s="6">
        <v>0</v>
      </c>
      <c r="O28" s="6">
        <f t="shared" ref="O28:O46" si="7">SUM(M28*N28)</f>
        <v>0</v>
      </c>
      <c r="P28" s="5">
        <f>Wages!C7</f>
        <v>58.17</v>
      </c>
      <c r="Q28" s="5">
        <f t="shared" si="1"/>
        <v>0</v>
      </c>
    </row>
    <row r="29" spans="1:17" x14ac:dyDescent="0.25">
      <c r="A29" s="4" t="s">
        <v>27</v>
      </c>
      <c r="B29" s="31" t="s">
        <v>31</v>
      </c>
      <c r="C29" s="31"/>
      <c r="D29" s="31"/>
      <c r="E29" s="31"/>
      <c r="F29" s="31"/>
      <c r="G29" s="4" t="s">
        <v>15</v>
      </c>
      <c r="H29" s="11">
        <f>'Numbers for Burden Grid'!B4</f>
        <v>1323.5096831044905</v>
      </c>
      <c r="I29" s="7">
        <f>'Numbers for Burden Grid'!B1/'Numbers for Burden Grid'!B4</f>
        <v>2.3339459011393759</v>
      </c>
      <c r="J29" s="12">
        <f t="shared" si="2"/>
        <v>3089</v>
      </c>
      <c r="K29" s="8">
        <v>1</v>
      </c>
      <c r="L29" s="12">
        <f>SUM(J29*K29)</f>
        <v>3089</v>
      </c>
      <c r="M29" s="6">
        <v>0</v>
      </c>
      <c r="N29" s="6">
        <v>0</v>
      </c>
      <c r="O29" s="6">
        <f t="shared" si="7"/>
        <v>0</v>
      </c>
      <c r="P29" s="5">
        <f>Wages!C4</f>
        <v>37.71</v>
      </c>
      <c r="Q29" s="5">
        <f t="shared" si="1"/>
        <v>116486.19</v>
      </c>
    </row>
    <row r="30" spans="1:17" ht="51" x14ac:dyDescent="0.25">
      <c r="A30" s="4" t="s">
        <v>29</v>
      </c>
      <c r="B30" s="31" t="s">
        <v>31</v>
      </c>
      <c r="C30" s="31"/>
      <c r="D30" s="31"/>
      <c r="E30" s="31"/>
      <c r="F30" s="31"/>
      <c r="G30" s="4" t="s">
        <v>15</v>
      </c>
      <c r="H30" s="11">
        <f>'Numbers for Burden Grid'!B3</f>
        <v>14185</v>
      </c>
      <c r="I30" s="7">
        <f>'Numbers for Burden Grid'!B1/'Numbers for Burden Grid'!B3</f>
        <v>0.21776524497708846</v>
      </c>
      <c r="J30" s="12">
        <f t="shared" si="2"/>
        <v>3089</v>
      </c>
      <c r="K30" s="8">
        <v>1.5</v>
      </c>
      <c r="L30" s="12">
        <f t="shared" si="3"/>
        <v>4633.5</v>
      </c>
      <c r="M30" s="6">
        <v>0</v>
      </c>
      <c r="N30" s="6">
        <v>0</v>
      </c>
      <c r="O30" s="6">
        <f t="shared" si="7"/>
        <v>0</v>
      </c>
      <c r="P30" s="5">
        <f>Wages!C11</f>
        <v>26.045000000000002</v>
      </c>
      <c r="Q30" s="5">
        <f t="shared" si="1"/>
        <v>120679.50750000001</v>
      </c>
    </row>
    <row r="31" spans="1:17" ht="15" customHeight="1" x14ac:dyDescent="0.25">
      <c r="A31" s="4" t="s">
        <v>38</v>
      </c>
      <c r="B31" s="31" t="s">
        <v>45</v>
      </c>
      <c r="C31" s="31"/>
      <c r="D31" s="31"/>
      <c r="E31" s="31"/>
      <c r="F31" s="31"/>
      <c r="G31" s="4" t="s">
        <v>15</v>
      </c>
      <c r="H31" s="11">
        <v>0</v>
      </c>
      <c r="I31" s="7">
        <v>0</v>
      </c>
      <c r="J31" s="12">
        <f t="shared" si="2"/>
        <v>0</v>
      </c>
      <c r="K31" s="8">
        <v>0</v>
      </c>
      <c r="L31" s="12">
        <f t="shared" si="3"/>
        <v>0</v>
      </c>
      <c r="M31" s="6">
        <v>0</v>
      </c>
      <c r="N31" s="6">
        <v>0</v>
      </c>
      <c r="O31" s="6">
        <f t="shared" si="7"/>
        <v>0</v>
      </c>
      <c r="P31" s="5">
        <f>Wages!C7</f>
        <v>58.17</v>
      </c>
      <c r="Q31" s="5">
        <f t="shared" si="1"/>
        <v>0</v>
      </c>
    </row>
    <row r="32" spans="1:17" x14ac:dyDescent="0.25">
      <c r="A32" s="4" t="s">
        <v>27</v>
      </c>
      <c r="B32" s="31" t="s">
        <v>35</v>
      </c>
      <c r="C32" s="31"/>
      <c r="D32" s="31"/>
      <c r="E32" s="31"/>
      <c r="F32" s="31"/>
      <c r="G32" s="4" t="s">
        <v>15</v>
      </c>
      <c r="H32" s="11">
        <f>ROUND(0.3*'Numbers for Burden Grid'!B4, 0)</f>
        <v>397</v>
      </c>
      <c r="I32" s="7">
        <f>'Numbers for Burden Grid'!B1/'Numbers for Burden Grid'!B4</f>
        <v>2.3339459011393759</v>
      </c>
      <c r="J32" s="12">
        <f t="shared" ref="J32" si="8">SUM(H32*I32)</f>
        <v>926.57652275233227</v>
      </c>
      <c r="K32" s="8">
        <v>2.5</v>
      </c>
      <c r="L32" s="12">
        <f t="shared" ref="L32" si="9">SUM(J32*K32)</f>
        <v>2316.4413068808308</v>
      </c>
      <c r="M32" s="6">
        <v>0</v>
      </c>
      <c r="N32" s="6">
        <v>0</v>
      </c>
      <c r="O32" s="6">
        <f t="shared" si="7"/>
        <v>0</v>
      </c>
      <c r="P32" s="5">
        <f>Wages!C4</f>
        <v>37.71</v>
      </c>
      <c r="Q32" s="5">
        <f t="shared" ref="Q32" si="10">L32*P32</f>
        <v>87353.001682476126</v>
      </c>
    </row>
    <row r="33" spans="1:17" ht="51" x14ac:dyDescent="0.25">
      <c r="A33" s="4" t="s">
        <v>29</v>
      </c>
      <c r="B33" s="31" t="s">
        <v>19</v>
      </c>
      <c r="C33" s="31"/>
      <c r="D33" s="31"/>
      <c r="E33" s="31"/>
      <c r="F33" s="31"/>
      <c r="G33" s="4" t="s">
        <v>15</v>
      </c>
      <c r="H33" s="11">
        <f>'Numbers for Burden Grid'!B3</f>
        <v>14185</v>
      </c>
      <c r="I33" s="7">
        <f>J32/H33</f>
        <v>6.5320868717118952E-2</v>
      </c>
      <c r="J33" s="12">
        <f t="shared" si="2"/>
        <v>926.57652275233238</v>
      </c>
      <c r="K33" s="8">
        <v>2.5</v>
      </c>
      <c r="L33" s="12">
        <f t="shared" si="3"/>
        <v>2316.4413068808308</v>
      </c>
      <c r="M33" s="6">
        <v>0</v>
      </c>
      <c r="N33" s="6">
        <v>0</v>
      </c>
      <c r="O33" s="6">
        <f t="shared" si="7"/>
        <v>0</v>
      </c>
      <c r="P33" s="5">
        <f>Wages!C11</f>
        <v>26.045000000000002</v>
      </c>
      <c r="Q33" s="5">
        <f t="shared" si="1"/>
        <v>60331.713837711242</v>
      </c>
    </row>
    <row r="34" spans="1:17" ht="15" customHeight="1" x14ac:dyDescent="0.25">
      <c r="A34" s="4" t="s">
        <v>27</v>
      </c>
      <c r="B34" s="32" t="s">
        <v>58</v>
      </c>
      <c r="C34" s="33"/>
      <c r="D34" s="33"/>
      <c r="E34" s="33"/>
      <c r="F34" s="34"/>
      <c r="G34" s="4" t="s">
        <v>15</v>
      </c>
      <c r="H34" s="11">
        <f>'Numbers for Burden Grid'!B4</f>
        <v>1323.5096831044905</v>
      </c>
      <c r="I34" s="7">
        <v>1</v>
      </c>
      <c r="J34" s="12">
        <f>H34*I34</f>
        <v>1323.5096831044905</v>
      </c>
      <c r="K34" s="8">
        <v>0.5</v>
      </c>
      <c r="L34" s="12">
        <f>SUM(J34*K34)</f>
        <v>661.75484155224524</v>
      </c>
      <c r="M34" s="6">
        <v>0</v>
      </c>
      <c r="N34" s="6">
        <v>0</v>
      </c>
      <c r="O34" s="6">
        <f t="shared" ref="O34:O35" si="11">SUM(M34*N34)</f>
        <v>0</v>
      </c>
      <c r="P34" s="5">
        <f>Wages!C4</f>
        <v>37.71</v>
      </c>
      <c r="Q34" s="5">
        <f t="shared" ref="Q34:Q35" si="12">L34*P34</f>
        <v>24954.775074935169</v>
      </c>
    </row>
    <row r="35" spans="1:17" ht="51" x14ac:dyDescent="0.25">
      <c r="A35" s="4" t="s">
        <v>29</v>
      </c>
      <c r="B35" s="32" t="s">
        <v>59</v>
      </c>
      <c r="C35" s="33"/>
      <c r="D35" s="33"/>
      <c r="E35" s="33"/>
      <c r="F35" s="34"/>
      <c r="G35" s="4" t="s">
        <v>15</v>
      </c>
      <c r="H35" s="11">
        <f>0.06*H34</f>
        <v>79.410580986269423</v>
      </c>
      <c r="I35" s="7">
        <v>1</v>
      </c>
      <c r="J35" s="12">
        <f>H35*I35</f>
        <v>79.410580986269423</v>
      </c>
      <c r="K35" s="7">
        <v>0.5</v>
      </c>
      <c r="L35" s="12">
        <f>SUM(J35*K35)</f>
        <v>39.705290493134711</v>
      </c>
      <c r="M35" s="6">
        <v>0</v>
      </c>
      <c r="N35" s="6">
        <v>0</v>
      </c>
      <c r="O35" s="6">
        <f t="shared" si="11"/>
        <v>0</v>
      </c>
      <c r="P35" s="5">
        <f>Wages!C11</f>
        <v>26.045000000000002</v>
      </c>
      <c r="Q35" s="5">
        <f t="shared" si="12"/>
        <v>1034.1242908936936</v>
      </c>
    </row>
    <row r="36" spans="1:17" ht="51" x14ac:dyDescent="0.25">
      <c r="A36" s="4" t="s">
        <v>29</v>
      </c>
      <c r="B36" s="32" t="s">
        <v>20</v>
      </c>
      <c r="C36" s="33"/>
      <c r="D36" s="33"/>
      <c r="E36" s="33"/>
      <c r="F36" s="34"/>
      <c r="G36" s="4" t="s">
        <v>15</v>
      </c>
      <c r="H36" s="11">
        <f>'Numbers for Burden Grid'!B3</f>
        <v>14185</v>
      </c>
      <c r="I36" s="7">
        <f>('Numbers for Burden Grid'!B1*0.5*0.85)/'Numbers for Burden Grid'!B3</f>
        <v>9.2550229115262603E-2</v>
      </c>
      <c r="J36" s="12">
        <f t="shared" si="2"/>
        <v>1312.825</v>
      </c>
      <c r="K36" s="8">
        <v>1</v>
      </c>
      <c r="L36" s="12">
        <f t="shared" si="3"/>
        <v>1312.825</v>
      </c>
      <c r="M36" s="6">
        <v>0</v>
      </c>
      <c r="N36" s="6">
        <v>0</v>
      </c>
      <c r="O36" s="6">
        <f t="shared" si="7"/>
        <v>0</v>
      </c>
      <c r="P36" s="5">
        <f>Wages!C11</f>
        <v>26.045000000000002</v>
      </c>
      <c r="Q36" s="5">
        <f t="shared" si="1"/>
        <v>34192.527125000001</v>
      </c>
    </row>
    <row r="37" spans="1:17" x14ac:dyDescent="0.25">
      <c r="A37" s="4" t="s">
        <v>38</v>
      </c>
      <c r="B37" s="32" t="s">
        <v>40</v>
      </c>
      <c r="C37" s="33"/>
      <c r="D37" s="33"/>
      <c r="E37" s="33"/>
      <c r="F37" s="34"/>
      <c r="G37" s="4" t="s">
        <v>15</v>
      </c>
      <c r="H37" s="11">
        <v>0</v>
      </c>
      <c r="I37" s="7">
        <v>0</v>
      </c>
      <c r="J37" s="12">
        <f t="shared" ref="J37:J38" si="13">SUM(H37*I37)</f>
        <v>0</v>
      </c>
      <c r="K37" s="8">
        <v>0</v>
      </c>
      <c r="L37" s="12">
        <f t="shared" si="3"/>
        <v>0</v>
      </c>
      <c r="M37" s="6">
        <v>0</v>
      </c>
      <c r="N37" s="6">
        <v>0</v>
      </c>
      <c r="O37" s="6">
        <f t="shared" si="7"/>
        <v>0</v>
      </c>
      <c r="P37" s="5">
        <f>Wages!C7</f>
        <v>58.17</v>
      </c>
      <c r="Q37" s="5">
        <f t="shared" si="1"/>
        <v>0</v>
      </c>
    </row>
    <row r="38" spans="1:17" ht="51" x14ac:dyDescent="0.25">
      <c r="A38" s="4" t="s">
        <v>29</v>
      </c>
      <c r="B38" s="31" t="s">
        <v>32</v>
      </c>
      <c r="C38" s="31"/>
      <c r="D38" s="31"/>
      <c r="E38" s="31"/>
      <c r="F38" s="31"/>
      <c r="G38" s="4" t="s">
        <v>15</v>
      </c>
      <c r="H38" s="11">
        <f>ROUND(0.1*'Numbers for Burden Grid'!B1, 0)</f>
        <v>309</v>
      </c>
      <c r="I38" s="7">
        <v>1</v>
      </c>
      <c r="J38" s="12">
        <f t="shared" si="13"/>
        <v>309</v>
      </c>
      <c r="K38" s="8">
        <v>0.1</v>
      </c>
      <c r="L38" s="12">
        <f t="shared" si="3"/>
        <v>30.900000000000002</v>
      </c>
      <c r="M38" s="6">
        <v>0</v>
      </c>
      <c r="N38" s="6">
        <v>0</v>
      </c>
      <c r="O38" s="6">
        <f t="shared" si="7"/>
        <v>0</v>
      </c>
      <c r="P38" s="5">
        <f>Wages!C11</f>
        <v>26.045000000000002</v>
      </c>
      <c r="Q38" s="5">
        <f t="shared" si="1"/>
        <v>804.79050000000007</v>
      </c>
    </row>
    <row r="39" spans="1:17" ht="15" customHeight="1" x14ac:dyDescent="0.25">
      <c r="A39" s="4" t="s">
        <v>37</v>
      </c>
      <c r="B39" s="32" t="s">
        <v>57</v>
      </c>
      <c r="C39" s="33"/>
      <c r="D39" s="33"/>
      <c r="E39" s="33"/>
      <c r="F39" s="34"/>
      <c r="G39" s="4" t="s">
        <v>15</v>
      </c>
      <c r="H39" s="11">
        <f>'Numbers for Burden Grid'!B7</f>
        <v>43.182224132038677</v>
      </c>
      <c r="I39" s="7">
        <v>1</v>
      </c>
      <c r="J39" s="12">
        <f t="shared" ref="J39" si="14">SUM(H39*I39)</f>
        <v>43.182224132038677</v>
      </c>
      <c r="K39" s="7">
        <v>0.3</v>
      </c>
      <c r="L39" s="12">
        <f t="shared" ref="L39" si="15">SUM(J39*K39)</f>
        <v>12.954667239611602</v>
      </c>
      <c r="M39" s="6">
        <v>0</v>
      </c>
      <c r="N39" s="6">
        <v>0</v>
      </c>
      <c r="O39" s="6">
        <f t="shared" ref="O39" si="16">SUM(M39*N39)</f>
        <v>0</v>
      </c>
      <c r="P39" s="5">
        <f>Wages!C4</f>
        <v>37.71</v>
      </c>
      <c r="Q39" s="5">
        <f t="shared" ref="Q39" si="17">L39*P39</f>
        <v>488.52050160575351</v>
      </c>
    </row>
    <row r="40" spans="1:17" ht="51" x14ac:dyDescent="0.25">
      <c r="A40" s="4" t="s">
        <v>29</v>
      </c>
      <c r="B40" s="32" t="s">
        <v>57</v>
      </c>
      <c r="C40" s="33"/>
      <c r="D40" s="33"/>
      <c r="E40" s="33"/>
      <c r="F40" s="34"/>
      <c r="G40" s="4" t="s">
        <v>15</v>
      </c>
      <c r="H40" s="11">
        <f>'Numbers for Burden Grid'!B7</f>
        <v>43.182224132038677</v>
      </c>
      <c r="I40" s="7">
        <v>1</v>
      </c>
      <c r="J40" s="12">
        <f t="shared" ref="J40:J46" si="18">SUM(H40*I40)</f>
        <v>43.182224132038677</v>
      </c>
      <c r="K40" s="7">
        <v>0.3</v>
      </c>
      <c r="L40" s="12">
        <f t="shared" ref="L40:L46" si="19">SUM(J40*K40)</f>
        <v>12.954667239611602</v>
      </c>
      <c r="M40" s="6">
        <v>0</v>
      </c>
      <c r="N40" s="6">
        <v>0</v>
      </c>
      <c r="O40" s="6">
        <f t="shared" si="7"/>
        <v>0</v>
      </c>
      <c r="P40" s="5">
        <f>Wages!C11</f>
        <v>26.045000000000002</v>
      </c>
      <c r="Q40" s="5">
        <f t="shared" si="1"/>
        <v>337.40430825568421</v>
      </c>
    </row>
    <row r="41" spans="1:17" ht="25.5" x14ac:dyDescent="0.25">
      <c r="A41" s="4" t="s">
        <v>82</v>
      </c>
      <c r="B41" s="31" t="s">
        <v>93</v>
      </c>
      <c r="C41" s="31"/>
      <c r="D41" s="31"/>
      <c r="E41" s="31"/>
      <c r="F41" s="31"/>
      <c r="G41" s="4" t="s">
        <v>15</v>
      </c>
      <c r="H41" s="11">
        <f>'Numbers for Burden Grid'!B2</f>
        <v>14</v>
      </c>
      <c r="I41" s="7">
        <v>1</v>
      </c>
      <c r="J41" s="12">
        <f t="shared" si="18"/>
        <v>14</v>
      </c>
      <c r="K41" s="7">
        <v>24</v>
      </c>
      <c r="L41" s="12">
        <f t="shared" si="19"/>
        <v>336</v>
      </c>
      <c r="M41" s="6">
        <v>0</v>
      </c>
      <c r="N41" s="6">
        <v>0</v>
      </c>
      <c r="O41" s="6">
        <f t="shared" si="7"/>
        <v>0</v>
      </c>
      <c r="P41" s="5">
        <f>Wages!C3</f>
        <v>38.43</v>
      </c>
      <c r="Q41" s="5">
        <f t="shared" ref="Q41" si="20">L41*P41</f>
        <v>12912.48</v>
      </c>
    </row>
    <row r="42" spans="1:17" ht="102" x14ac:dyDescent="0.25">
      <c r="A42" s="4" t="s">
        <v>44</v>
      </c>
      <c r="B42" s="31" t="s">
        <v>43</v>
      </c>
      <c r="C42" s="88"/>
      <c r="D42" s="88"/>
      <c r="E42" s="88"/>
      <c r="F42" s="88"/>
      <c r="G42" s="4" t="s">
        <v>15</v>
      </c>
      <c r="H42" s="11">
        <v>25000</v>
      </c>
      <c r="I42" s="7">
        <v>1</v>
      </c>
      <c r="J42" s="12">
        <f t="shared" si="18"/>
        <v>25000</v>
      </c>
      <c r="K42" s="7">
        <v>0.33</v>
      </c>
      <c r="L42" s="12">
        <f t="shared" si="19"/>
        <v>8250</v>
      </c>
      <c r="M42" s="6">
        <v>0</v>
      </c>
      <c r="N42" s="6">
        <v>0</v>
      </c>
      <c r="O42" s="6">
        <f t="shared" ref="O42" si="21">SUM(M42*N42)</f>
        <v>0</v>
      </c>
      <c r="P42" s="5">
        <f>Wages!C13</f>
        <v>33.070000000000007</v>
      </c>
      <c r="Q42" s="5">
        <f t="shared" ref="Q42" si="22">L42*P42</f>
        <v>272827.50000000006</v>
      </c>
    </row>
    <row r="43" spans="1:17" ht="76.5" x14ac:dyDescent="0.25">
      <c r="A43" s="4" t="s">
        <v>28</v>
      </c>
      <c r="B43" s="31" t="s">
        <v>21</v>
      </c>
      <c r="C43" s="88"/>
      <c r="D43" s="88"/>
      <c r="E43" s="88"/>
      <c r="F43" s="88"/>
      <c r="G43" s="4" t="s">
        <v>15</v>
      </c>
      <c r="H43" s="11">
        <f>'Numbers for Burden Grid'!B4+26000</f>
        <v>27323.50968310449</v>
      </c>
      <c r="I43" s="7">
        <v>1</v>
      </c>
      <c r="J43" s="12">
        <f t="shared" si="18"/>
        <v>27323.50968310449</v>
      </c>
      <c r="K43" s="7">
        <v>0.5</v>
      </c>
      <c r="L43" s="12">
        <f t="shared" si="19"/>
        <v>13661.754841552245</v>
      </c>
      <c r="M43" s="6">
        <v>0</v>
      </c>
      <c r="N43" s="6">
        <v>0</v>
      </c>
      <c r="O43" s="6">
        <f t="shared" si="7"/>
        <v>0</v>
      </c>
      <c r="P43" s="5">
        <f>Wages!C10</f>
        <v>36.493333333333339</v>
      </c>
      <c r="Q43" s="5">
        <f t="shared" ref="Q43:Q46" si="23">L43*P43</f>
        <v>498562.97335104668</v>
      </c>
    </row>
    <row r="44" spans="1:17" x14ac:dyDescent="0.25">
      <c r="A44" s="4" t="s">
        <v>37</v>
      </c>
      <c r="B44" s="31" t="s">
        <v>50</v>
      </c>
      <c r="C44" s="88"/>
      <c r="D44" s="88"/>
      <c r="E44" s="88"/>
      <c r="F44" s="88"/>
      <c r="G44" s="4" t="s">
        <v>15</v>
      </c>
      <c r="H44" s="11">
        <f>'Numbers for Burden Grid'!B4</f>
        <v>1323.5096831044905</v>
      </c>
      <c r="I44" s="7">
        <f>'Numbers for Burden Grid'!B1/'Numbers for Burden Grid'!B4</f>
        <v>2.3339459011393759</v>
      </c>
      <c r="J44" s="12">
        <f t="shared" si="18"/>
        <v>3089</v>
      </c>
      <c r="K44" s="7">
        <v>0.15</v>
      </c>
      <c r="L44" s="12">
        <f t="shared" si="19"/>
        <v>463.34999999999997</v>
      </c>
      <c r="M44" s="6">
        <v>0</v>
      </c>
      <c r="N44" s="6">
        <v>0</v>
      </c>
      <c r="O44" s="6">
        <f t="shared" si="7"/>
        <v>0</v>
      </c>
      <c r="P44" s="5">
        <f>Wages!C4</f>
        <v>37.71</v>
      </c>
      <c r="Q44" s="5">
        <f t="shared" si="23"/>
        <v>17472.928499999998</v>
      </c>
    </row>
    <row r="45" spans="1:17" ht="38.25" x14ac:dyDescent="0.25">
      <c r="A45" s="4" t="s">
        <v>70</v>
      </c>
      <c r="B45" s="31" t="s">
        <v>49</v>
      </c>
      <c r="C45" s="88"/>
      <c r="D45" s="88"/>
      <c r="E45" s="88"/>
      <c r="F45" s="88"/>
      <c r="G45" s="4" t="s">
        <v>15</v>
      </c>
      <c r="H45" s="11">
        <f>'Numbers for Burden Grid'!B4+'Numbers for Burden Grid'!B3</f>
        <v>15508.50968310449</v>
      </c>
      <c r="I45" s="7">
        <v>1</v>
      </c>
      <c r="J45" s="12">
        <f t="shared" si="18"/>
        <v>15508.50968310449</v>
      </c>
      <c r="K45" s="7">
        <v>1</v>
      </c>
      <c r="L45" s="12">
        <f t="shared" si="19"/>
        <v>15508.50968310449</v>
      </c>
      <c r="M45" s="6">
        <v>0</v>
      </c>
      <c r="N45" s="6">
        <v>0</v>
      </c>
      <c r="O45" s="6">
        <f t="shared" si="7"/>
        <v>0</v>
      </c>
      <c r="P45" s="5">
        <f>Wages!C9</f>
        <v>35.525000000000006</v>
      </c>
      <c r="Q45" s="5">
        <f t="shared" si="23"/>
        <v>550939.80649228708</v>
      </c>
    </row>
    <row r="46" spans="1:17" ht="30.75" customHeight="1" x14ac:dyDescent="0.25">
      <c r="A46" s="4" t="s">
        <v>38</v>
      </c>
      <c r="B46" s="31" t="s">
        <v>39</v>
      </c>
      <c r="C46" s="88"/>
      <c r="D46" s="88"/>
      <c r="E46" s="88"/>
      <c r="F46" s="88"/>
      <c r="G46" s="4" t="s">
        <v>15</v>
      </c>
      <c r="H46" s="7">
        <f>'Numbers for Burden Grid'!B6/2500000</f>
        <v>6.3838166230809694</v>
      </c>
      <c r="I46" s="7">
        <v>1</v>
      </c>
      <c r="J46" s="12">
        <f t="shared" si="18"/>
        <v>6.3838166230809694</v>
      </c>
      <c r="K46" s="7">
        <v>2.5</v>
      </c>
      <c r="L46" s="12">
        <f t="shared" si="19"/>
        <v>15.959541557702423</v>
      </c>
      <c r="M46" s="6">
        <v>0</v>
      </c>
      <c r="N46" s="6">
        <v>0</v>
      </c>
      <c r="O46" s="6">
        <f t="shared" si="7"/>
        <v>0</v>
      </c>
      <c r="P46" s="5">
        <f>Wages!C7</f>
        <v>58.17</v>
      </c>
      <c r="Q46" s="5">
        <f t="shared" si="23"/>
        <v>928.36653241155</v>
      </c>
    </row>
    <row r="47" spans="1:17" x14ac:dyDescent="0.25">
      <c r="A47" s="2"/>
      <c r="B47" s="105" t="s">
        <v>22</v>
      </c>
      <c r="C47" s="106"/>
      <c r="D47" s="106"/>
      <c r="E47" s="106"/>
      <c r="F47" s="106"/>
      <c r="G47" s="3"/>
      <c r="H47" s="9"/>
      <c r="I47" s="6"/>
      <c r="J47" s="12">
        <f>SUM(J21:J46)</f>
        <v>91693.325130259283</v>
      </c>
      <c r="K47" s="12"/>
      <c r="L47" s="12">
        <f>SUM(L21:L46)</f>
        <v>57046.967548440123</v>
      </c>
      <c r="M47" s="12">
        <f>SUM(M21:M41)</f>
        <v>0</v>
      </c>
      <c r="N47" s="12"/>
      <c r="O47" s="12">
        <f>SUM(O21:O41)</f>
        <v>0</v>
      </c>
      <c r="P47" s="12">
        <f>SUM(P21:P46)</f>
        <v>984.77833333333319</v>
      </c>
      <c r="Q47" s="12">
        <f>SUM(Q21:Q46)</f>
        <v>1946486.858045494</v>
      </c>
    </row>
    <row r="48" spans="1:17" x14ac:dyDescent="0.25">
      <c r="A48" s="2"/>
      <c r="B48" s="105" t="s">
        <v>23</v>
      </c>
      <c r="C48" s="106"/>
      <c r="D48" s="106"/>
      <c r="E48" s="106"/>
      <c r="F48" s="106"/>
      <c r="G48" s="3"/>
      <c r="H48" s="9"/>
      <c r="I48" s="6"/>
      <c r="J48" s="12">
        <f>SUM(J47+K78+K107+K136+K165+K194+K223+K252+K281+K310+K339+K368+K397+K426+K455+K484+K513+K542+K571+K600+K629+K658+K687+K716+K745+K774+K803+K832+K861+K890+K919+K948+K977+K1006+K1035+K1064+K1093+K1122+K1151+K1180+K1209+K1238+K1267+K1296+K1325+K1354+K1383+K1412+K1441+K1470+K1499+K1528+K1557+K1586+K1615+K1644+K1673+K1702+K1731+K1760)</f>
        <v>91693.325130259283</v>
      </c>
      <c r="K48" s="12"/>
      <c r="L48" s="12">
        <f>SUM(L47+M78+M107+M136+M165+M194+M223+M252+M281+M310+M339+M368+M397+M426+M455+M484+M513+M542+M571+M600+M629+M658+M687+M716+M745+M774+M803+M832+M861+M890+M919+M948+M977+M1006+M1035+M1064+M1093+M1122+M1151+M1180+M1209+M1238+M1267+M1296+M1325+M1354+M1383+M1412+M1441+M1470+M1499+M1528+M1557+M1586+M1615+M1644+M1673+M1702+M1731+M1760)</f>
        <v>57046.967548440123</v>
      </c>
      <c r="M48" s="12">
        <f>SUM(M47+N78+N107+N136+N165+N194+N223+N252+N281+N310+N339+N368+N397+N426+N455+N484+N513+N542+N571+N600+N629+N658+N687+N716+N745+N774+N803+N832+N861+N890+N919+N948+N977+N1006+N1035+N1064+N1093+N1122+N1151+N1180+N1209+N1238+N1267+N1296+N1325+N1354+N1383+N1412+N1441+N1470+N1499+N1528+N1557+N1586+N1615+N1644+N1673+N1702+N1731+N1760)</f>
        <v>0</v>
      </c>
      <c r="N48" s="12"/>
      <c r="O48" s="12">
        <f>SUM(O47+P78+P107+P136+P165+P194+P223+P252+P281+P310+P339+P368+P397+P426+P455+P484+P513+P542+P571+P600+P629+P658+P687+P716+P745+P774+P803+P832+P861+P890+P919+P948+P977+P1006+P1035+P1064+P1093+P1122+P1151+P1180+P1209+P1238+P1267+P1296+P1325+P1354+P1383+P1412+P1441+P1470+P1499+P1528+P1557+P1586+P1615+P1644+P1673+P1702+P1731+P1760)</f>
        <v>0</v>
      </c>
      <c r="P48" s="12">
        <f>SUM(P47+Q78+Q107+Q136+Q165+Q194+Q223+Q252+Q281+Q310+Q339+Q368+Q397+Q426+Q455+Q484+Q513+Q542+Q571+Q600+Q629+Q658+Q687+Q716+Q745+Q774+Q803+Q832+Q861+Q890+Q919+Q948+Q977+Q1006+Q1035+Q1064+Q1093+Q1122+Q1151+Q1180+Q1209+Q1238+Q1267+Q1296+Q1325+Q1354+Q1383+Q1412+Q1441+Q1470+Q1499+Q1528+Q1557+Q1586+Q1615+Q1644+Q1673+Q1702+Q1731+Q1760)</f>
        <v>984.77833333333319</v>
      </c>
      <c r="Q48" s="12">
        <f>SUM(Q47+R67+R96+R125+R154+R183+R212+R241+R270+R299+R328+R357+R386+R415+R444+R473+R502+R531+R560+R589+R618+R647+R676+R705+R734+R763+R792+R821+R850+R879+R908+R937+R966+R995+R1024+R1053+R1082+R1111+R1140+R1169+R1198+R1227+R1256+R1285+R1314+R1343+R1372+R1401+R1430+R1459+R1488+R1517+R1546+R1575+R1604+R1633+R1662+R1691+R1720+R1749)</f>
        <v>1946486.858045494</v>
      </c>
    </row>
    <row r="49" spans="1:17" ht="15.75" x14ac:dyDescent="0.25">
      <c r="A49" s="107" t="s">
        <v>30</v>
      </c>
      <c r="B49" s="107"/>
      <c r="C49" s="108"/>
      <c r="D49" s="108"/>
      <c r="E49" s="108"/>
      <c r="F49" s="108"/>
      <c r="G49" s="108"/>
      <c r="H49" s="14"/>
      <c r="I49" s="15"/>
      <c r="J49" s="16">
        <f>SUM(J48+M48)</f>
        <v>91693.325130259283</v>
      </c>
      <c r="K49" s="12"/>
      <c r="L49" s="16">
        <f>SUM(L48+O48)</f>
        <v>57046.967548440123</v>
      </c>
      <c r="M49" s="16"/>
      <c r="N49" s="16"/>
      <c r="O49" s="16"/>
      <c r="P49" s="16"/>
      <c r="Q49" s="16">
        <f>Q48</f>
        <v>1946486.858045494</v>
      </c>
    </row>
    <row r="50" spans="1:17" x14ac:dyDescent="0.25">
      <c r="B50" t="s">
        <v>41</v>
      </c>
    </row>
    <row r="52" spans="1:17" x14ac:dyDescent="0.25">
      <c r="A52" s="18" t="s">
        <v>94</v>
      </c>
    </row>
  </sheetData>
  <mergeCells count="52">
    <mergeCell ref="B42:F42"/>
    <mergeCell ref="B41:F41"/>
    <mergeCell ref="B40:F40"/>
    <mergeCell ref="B22:F22"/>
    <mergeCell ref="B23:F23"/>
    <mergeCell ref="B39:F39"/>
    <mergeCell ref="B35:F35"/>
    <mergeCell ref="B24:F24"/>
    <mergeCell ref="B27:F27"/>
    <mergeCell ref="B34:F34"/>
    <mergeCell ref="B48:F48"/>
    <mergeCell ref="A49:G49"/>
    <mergeCell ref="B43:F43"/>
    <mergeCell ref="B47:F47"/>
    <mergeCell ref="B46:F46"/>
    <mergeCell ref="B45:F45"/>
    <mergeCell ref="O1:P5"/>
    <mergeCell ref="J3:N9"/>
    <mergeCell ref="O6:P9"/>
    <mergeCell ref="B44:F44"/>
    <mergeCell ref="I10:P11"/>
    <mergeCell ref="L14:L19"/>
    <mergeCell ref="M14:M19"/>
    <mergeCell ref="B36:F36"/>
    <mergeCell ref="B25:F25"/>
    <mergeCell ref="B26:F26"/>
    <mergeCell ref="B28:F28"/>
    <mergeCell ref="B29:F29"/>
    <mergeCell ref="B30:F30"/>
    <mergeCell ref="B31:F31"/>
    <mergeCell ref="B33:F33"/>
    <mergeCell ref="A1:I9"/>
    <mergeCell ref="J1:N2"/>
    <mergeCell ref="B20:F20"/>
    <mergeCell ref="G12:G19"/>
    <mergeCell ref="A10:H11"/>
    <mergeCell ref="A12:A19"/>
    <mergeCell ref="B21:F21"/>
    <mergeCell ref="B32:F32"/>
    <mergeCell ref="B38:F38"/>
    <mergeCell ref="B37:F37"/>
    <mergeCell ref="Q14:Q19"/>
    <mergeCell ref="P14:P19"/>
    <mergeCell ref="B12:F19"/>
    <mergeCell ref="H12:L13"/>
    <mergeCell ref="M12:O13"/>
    <mergeCell ref="H14:H19"/>
    <mergeCell ref="I14:I19"/>
    <mergeCell ref="J14:J19"/>
    <mergeCell ref="N14:N19"/>
    <mergeCell ref="O14:O19"/>
    <mergeCell ref="K14:K19"/>
  </mergeCells>
  <hyperlinks>
    <hyperlink ref="A52" r:id="rId1" xr:uid="{00000000-0004-0000-0000-000000000000}"/>
  </hyperlinks>
  <pageMargins left="0.7" right="0.7" top="0.75" bottom="0.75" header="0.3" footer="0.3"/>
  <pageSetup scale="5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B7" sqref="B7"/>
    </sheetView>
  </sheetViews>
  <sheetFormatPr defaultColWidth="9.140625" defaultRowHeight="15" x14ac:dyDescent="0.25"/>
  <cols>
    <col min="1" max="1" width="54" bestFit="1" customWidth="1"/>
    <col min="2" max="2" width="12" bestFit="1" customWidth="1"/>
  </cols>
  <sheetData>
    <row r="1" spans="1:4" x14ac:dyDescent="0.25">
      <c r="A1" t="s">
        <v>51</v>
      </c>
      <c r="B1" s="19">
        <f>3028+61</f>
        <v>3089</v>
      </c>
    </row>
    <row r="2" spans="1:4" x14ac:dyDescent="0.25">
      <c r="A2" t="s">
        <v>52</v>
      </c>
      <c r="B2" s="17">
        <v>14</v>
      </c>
      <c r="D2" t="s">
        <v>65</v>
      </c>
    </row>
    <row r="3" spans="1:4" x14ac:dyDescent="0.25">
      <c r="A3" t="s">
        <v>53</v>
      </c>
      <c r="B3" s="17">
        <v>14185</v>
      </c>
      <c r="D3">
        <f>3089/1193832</f>
        <v>2.5874662431564911E-3</v>
      </c>
    </row>
    <row r="4" spans="1:4" x14ac:dyDescent="0.25">
      <c r="A4" t="s">
        <v>54</v>
      </c>
      <c r="B4" s="23">
        <f>511508*D3</f>
        <v>1323.5096831044905</v>
      </c>
    </row>
    <row r="5" spans="1:4" x14ac:dyDescent="0.25">
      <c r="A5" t="s">
        <v>55</v>
      </c>
      <c r="B5" s="23">
        <f>32240*D3</f>
        <v>83.419911679365271</v>
      </c>
    </row>
    <row r="6" spans="1:4" x14ac:dyDescent="0.25">
      <c r="A6" t="s">
        <v>56</v>
      </c>
      <c r="B6" s="17">
        <f>6168019235*D3</f>
        <v>15959541.557702424</v>
      </c>
    </row>
    <row r="7" spans="1:4" x14ac:dyDescent="0.25">
      <c r="A7" t="s">
        <v>69</v>
      </c>
      <c r="B7" s="23">
        <f>16689*D3</f>
        <v>43.182224132038677</v>
      </c>
    </row>
    <row r="8" spans="1:4" ht="16.5" customHeight="1" x14ac:dyDescent="0.25"/>
    <row r="9" spans="1:4" x14ac:dyDescent="0.25">
      <c r="B9" s="17"/>
    </row>
    <row r="10" spans="1:4" ht="45" x14ac:dyDescent="0.25">
      <c r="A10" s="20" t="s">
        <v>60</v>
      </c>
      <c r="B10" s="21">
        <f>B14/B13</f>
        <v>0.62214962176798971</v>
      </c>
    </row>
    <row r="11" spans="1:4" x14ac:dyDescent="0.25">
      <c r="A11" s="20" t="s">
        <v>62</v>
      </c>
      <c r="B11" s="17">
        <f>B3+B4</f>
        <v>15508.50968310449</v>
      </c>
    </row>
    <row r="12" spans="1:4" x14ac:dyDescent="0.25">
      <c r="A12" s="20" t="s">
        <v>63</v>
      </c>
      <c r="B12" s="22">
        <f>B13/B11</f>
        <v>5.9124523892939358</v>
      </c>
    </row>
    <row r="13" spans="1:4" x14ac:dyDescent="0.25">
      <c r="A13" s="20" t="s">
        <v>61</v>
      </c>
      <c r="B13" s="17">
        <f>'Burden Grid'!J49</f>
        <v>91693.325130259283</v>
      </c>
    </row>
    <row r="14" spans="1:4" x14ac:dyDescent="0.25">
      <c r="A14" s="20" t="s">
        <v>64</v>
      </c>
      <c r="B14" s="17">
        <f>'Burden Grid'!L49</f>
        <v>57046.967548440123</v>
      </c>
    </row>
    <row r="15" spans="1:4" x14ac:dyDescent="0.25">
      <c r="A15" s="20"/>
      <c r="B15" s="17"/>
    </row>
    <row r="16" spans="1:4" x14ac:dyDescent="0.25">
      <c r="A16" s="20" t="s">
        <v>67</v>
      </c>
    </row>
    <row r="17" spans="1:2" ht="30" x14ac:dyDescent="0.25">
      <c r="A17" s="20" t="s">
        <v>66</v>
      </c>
      <c r="B17" s="17">
        <f>B3</f>
        <v>14185</v>
      </c>
    </row>
    <row r="18" spans="1:2" x14ac:dyDescent="0.25">
      <c r="A18" s="20" t="s">
        <v>68</v>
      </c>
      <c r="B18">
        <f>B14/B11</f>
        <v>3.6784300177204696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5906-4A0D-4857-B05C-A51966FFF4C0}">
  <dimension ref="A1:C13"/>
  <sheetViews>
    <sheetView workbookViewId="0">
      <selection activeCell="C13" sqref="C13"/>
    </sheetView>
  </sheetViews>
  <sheetFormatPr defaultRowHeight="15.75" x14ac:dyDescent="0.25"/>
  <cols>
    <col min="1" max="1" width="11.5703125" style="25" bestFit="1" customWidth="1"/>
    <col min="2" max="2" width="59.42578125" style="25" bestFit="1" customWidth="1"/>
    <col min="3" max="3" width="16.42578125" style="26" customWidth="1"/>
    <col min="4" max="16384" width="9.140625" style="27"/>
  </cols>
  <sheetData>
    <row r="1" spans="1:3" x14ac:dyDescent="0.25">
      <c r="A1" s="25" t="s">
        <v>79</v>
      </c>
      <c r="B1" s="25" t="s">
        <v>90</v>
      </c>
      <c r="C1" s="26">
        <v>22.8</v>
      </c>
    </row>
    <row r="2" spans="1:3" x14ac:dyDescent="0.25">
      <c r="A2" s="25" t="s">
        <v>81</v>
      </c>
      <c r="B2" s="25" t="s">
        <v>80</v>
      </c>
      <c r="C2" s="26">
        <v>33.340000000000003</v>
      </c>
    </row>
    <row r="3" spans="1:3" x14ac:dyDescent="0.25">
      <c r="A3" s="25" t="s">
        <v>83</v>
      </c>
      <c r="B3" s="25" t="s">
        <v>82</v>
      </c>
      <c r="C3" s="26">
        <v>38.43</v>
      </c>
    </row>
    <row r="4" spans="1:3" x14ac:dyDescent="0.25">
      <c r="A4" s="28" t="s">
        <v>85</v>
      </c>
      <c r="B4" s="25" t="s">
        <v>84</v>
      </c>
      <c r="C4" s="26">
        <v>37.71</v>
      </c>
    </row>
    <row r="5" spans="1:3" x14ac:dyDescent="0.25">
      <c r="A5" s="25" t="s">
        <v>86</v>
      </c>
      <c r="B5" s="25" t="s">
        <v>87</v>
      </c>
      <c r="C5" s="26">
        <v>18.75</v>
      </c>
    </row>
    <row r="6" spans="1:3" x14ac:dyDescent="0.25">
      <c r="A6" s="25" t="s">
        <v>89</v>
      </c>
      <c r="B6" s="25" t="s">
        <v>88</v>
      </c>
      <c r="C6" s="26">
        <v>40.369999999999997</v>
      </c>
    </row>
    <row r="7" spans="1:3" x14ac:dyDescent="0.25">
      <c r="A7" s="25" t="s">
        <v>91</v>
      </c>
      <c r="B7" s="25" t="s">
        <v>92</v>
      </c>
      <c r="C7" s="26">
        <v>58.17</v>
      </c>
    </row>
    <row r="9" spans="1:3" x14ac:dyDescent="0.25">
      <c r="B9" s="25" t="s">
        <v>74</v>
      </c>
      <c r="C9" s="26">
        <f>AVERAGE(C2,C4)</f>
        <v>35.525000000000006</v>
      </c>
    </row>
    <row r="10" spans="1:3" x14ac:dyDescent="0.25">
      <c r="B10" s="25" t="s">
        <v>75</v>
      </c>
      <c r="C10" s="26">
        <f>AVERAGE(C2,C3,C4)</f>
        <v>36.493333333333339</v>
      </c>
    </row>
    <row r="11" spans="1:3" x14ac:dyDescent="0.25">
      <c r="B11" s="25" t="s">
        <v>76</v>
      </c>
      <c r="C11" s="26">
        <f>AVERAGE(C2,C5)</f>
        <v>26.045000000000002</v>
      </c>
    </row>
    <row r="12" spans="1:3" x14ac:dyDescent="0.25">
      <c r="B12" s="25" t="s">
        <v>77</v>
      </c>
      <c r="C12" s="26">
        <f>AVERAGE(C2,C3,C5)</f>
        <v>30.173333333333336</v>
      </c>
    </row>
    <row r="13" spans="1:3" x14ac:dyDescent="0.25">
      <c r="B13" s="25" t="s">
        <v>78</v>
      </c>
      <c r="C13" s="26">
        <f>AVERAGE(C2,C3,C4,C1)</f>
        <v>33.070000000000007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Burden Grid</vt:lpstr>
      <vt:lpstr>Numbers for Burden Grid</vt:lpstr>
      <vt:lpstr>Wages</vt:lpstr>
      <vt:lpstr>'Burden Grid'!Print_Titles</vt:lpstr>
    </vt:vector>
  </TitlesOfParts>
  <Company>Risk Management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sarah.shaw</dc:creator>
  <cp:lastModifiedBy>Kliethermes, Sarah - FPAC-RMA, Kansas City, MO</cp:lastModifiedBy>
  <cp:lastPrinted>2015-08-17T18:13:22Z</cp:lastPrinted>
  <dcterms:created xsi:type="dcterms:W3CDTF">2011-01-12T13:53:13Z</dcterms:created>
  <dcterms:modified xsi:type="dcterms:W3CDTF">2023-04-04T19:03:25Z</dcterms:modified>
</cp:coreProperties>
</file>