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usepa.sharepoint.com/sites/OzoneTransportRule/Shared Documents/ICRs/final ICR/"/>
    </mc:Choice>
  </mc:AlternateContent>
  <xr:revisionPtr revIDLastSave="3232" documentId="13_ncr:1_{F5AAC42D-4180-F744-8BA9-C505B5114D3B}" xr6:coauthVersionLast="47" xr6:coauthVersionMax="47" xr10:uidLastSave="{11B7B1CF-602A-458A-8EF5-78D8B998C8AA}"/>
  <bookViews>
    <workbookView xWindow="28680" yWindow="-120" windowWidth="29040" windowHeight="15720" tabRatio="888" firstSheet="1" activeTab="1" xr2:uid="{00000000-000D-0000-FFFF-FFFF00000000}"/>
  </bookViews>
  <sheets>
    <sheet name="Monitors" sheetId="137" state="hidden" r:id="rId1"/>
    <sheet name="ICR Summary" sheetId="250" r:id="rId2"/>
    <sheet name="RespondentBurdenSUMbySector" sheetId="251" r:id="rId3"/>
    <sheet name="AgencyBurdenSUMbySector" sheetId="252" r:id="rId4"/>
    <sheet name="RI-Y1" sheetId="241" r:id="rId5"/>
    <sheet name="RI-Y2" sheetId="245" r:id="rId6"/>
    <sheet name="RI-Y3" sheetId="246" r:id="rId7"/>
    <sheet name="RI-Y4" sheetId="272" r:id="rId8"/>
    <sheet name="RI-Y5" sheetId="273" r:id="rId9"/>
    <sheet name="RI-Y6" sheetId="274" r:id="rId10"/>
    <sheet name="RA-Y1" sheetId="247" r:id="rId11"/>
    <sheet name="RA-Y2" sheetId="248" r:id="rId12"/>
    <sheet name="RA-Y3" sheetId="249" r:id="rId13"/>
    <sheet name="RA-Y4" sheetId="275" r:id="rId14"/>
    <sheet name="RA-Y5" sheetId="276" r:id="rId15"/>
    <sheet name="RA-Y6" sheetId="277" r:id="rId16"/>
    <sheet name="RCOM1-3" sheetId="244" r:id="rId17"/>
    <sheet name="RCOM4-6" sheetId="278" r:id="rId18"/>
    <sheet name="CI-Y1" sheetId="209" r:id="rId19"/>
    <sheet name="CI-Y2" sheetId="262" r:id="rId20"/>
    <sheet name="CI-Y3" sheetId="263" r:id="rId21"/>
    <sheet name="CI-Y4" sheetId="279" r:id="rId22"/>
    <sheet name="CI-Y5" sheetId="280" r:id="rId23"/>
    <sheet name="CI-Y6" sheetId="281" r:id="rId24"/>
    <sheet name="CA-Y1" sheetId="210" r:id="rId25"/>
    <sheet name="CA-Y2" sheetId="264" r:id="rId26"/>
    <sheet name="CA-Y3" sheetId="265" r:id="rId27"/>
    <sheet name="CA-Y4" sheetId="282" r:id="rId28"/>
    <sheet name="CA-Y5" sheetId="283" r:id="rId29"/>
    <sheet name="CA-Y6" sheetId="284" r:id="rId30"/>
    <sheet name="CCOM1-3" sheetId="261" r:id="rId31"/>
    <sheet name="CCOM4-6" sheetId="285" r:id="rId32"/>
    <sheet name="II-Y1" sheetId="228" r:id="rId33"/>
    <sheet name="II-Y2" sheetId="237" r:id="rId34"/>
    <sheet name="II-Y3" sheetId="238" r:id="rId35"/>
    <sheet name="II-Y4" sheetId="319" r:id="rId36"/>
    <sheet name="II-Y5" sheetId="320" r:id="rId37"/>
    <sheet name="II-Y6" sheetId="321" r:id="rId38"/>
    <sheet name="IA-Y1" sheetId="229" r:id="rId39"/>
    <sheet name="IA-Y2" sheetId="239" r:id="rId40"/>
    <sheet name="IA-Y3" sheetId="240" r:id="rId41"/>
    <sheet name="IA-Y4" sheetId="322" r:id="rId42"/>
    <sheet name="IA-Y5" sheetId="323" r:id="rId43"/>
    <sheet name="IA-Y6" sheetId="324" r:id="rId44"/>
    <sheet name="ICOM1-3" sheetId="236" r:id="rId45"/>
    <sheet name="ICOM4-6" sheetId="299" r:id="rId46"/>
    <sheet name="SI-Y1" sheetId="222" r:id="rId47"/>
    <sheet name="SI-Y2" sheetId="268" r:id="rId48"/>
    <sheet name="SI-Y3" sheetId="269" r:id="rId49"/>
    <sheet name="SI-Y4" sheetId="286" r:id="rId50"/>
    <sheet name="SI-Y5" sheetId="314" r:id="rId51"/>
    <sheet name="SI-Y6" sheetId="288" r:id="rId52"/>
    <sheet name="SA-1" sheetId="223" r:id="rId53"/>
    <sheet name="SA-2" sheetId="270" r:id="rId54"/>
    <sheet name="SA-3" sheetId="271" r:id="rId55"/>
    <sheet name="SA-4" sheetId="315" r:id="rId56"/>
    <sheet name="SA-5" sheetId="317" r:id="rId57"/>
    <sheet name="SA-6" sheetId="318" r:id="rId58"/>
    <sheet name="SS1-3" sheetId="224" r:id="rId59"/>
    <sheet name="SS4-6" sheetId="292" r:id="rId60"/>
    <sheet name="BPPI-Y1" sheetId="225" r:id="rId61"/>
    <sheet name="BPPI-Y2" sheetId="233" r:id="rId62"/>
    <sheet name="BPPI-Y3" sheetId="232" r:id="rId63"/>
    <sheet name="BPPI-Y4" sheetId="325" r:id="rId64"/>
    <sheet name="BPPI-Y5" sheetId="326" r:id="rId65"/>
    <sheet name="BPPI-Y6" sheetId="328" r:id="rId66"/>
    <sheet name="BPPA-Y1" sheetId="226" r:id="rId67"/>
    <sheet name="BPPA-Y2" sheetId="235" r:id="rId68"/>
    <sheet name="BPPA-Y3" sheetId="234" r:id="rId69"/>
    <sheet name="BPPA-Y4" sheetId="329" r:id="rId70"/>
    <sheet name="BPPA-Y5" sheetId="330" r:id="rId71"/>
    <sheet name="BPPA-Y6" sheetId="331" r:id="rId72"/>
    <sheet name="BPPCOM1-3" sheetId="227" r:id="rId73"/>
    <sheet name="BPPCOM4-6" sheetId="332" r:id="rId74"/>
    <sheet name="MWCI-Y1" sheetId="254" r:id="rId75"/>
    <sheet name="MWCI-Y2" sheetId="255" r:id="rId76"/>
    <sheet name="MWCI-Y3" sheetId="256" r:id="rId77"/>
    <sheet name="MWCI-Y4" sheetId="307" r:id="rId78"/>
    <sheet name="MWCI-Y5" sheetId="308" r:id="rId79"/>
    <sheet name="MWCI-Y6" sheetId="309" r:id="rId80"/>
    <sheet name="MWCA-Y1" sheetId="257" r:id="rId81"/>
    <sheet name="MWCA-Y2" sheetId="258" r:id="rId82"/>
    <sheet name="MWCA-Y3" sheetId="259" r:id="rId83"/>
    <sheet name="MWCA-Y4" sheetId="310" r:id="rId84"/>
    <sheet name="MWCA-Y5" sheetId="311" r:id="rId85"/>
    <sheet name="MWCA-Y6" sheetId="312" r:id="rId86"/>
    <sheet name="MWCCOM1-3" sheetId="260" r:id="rId87"/>
    <sheet name="MWCCOM4-6" sheetId="313" r:id="rId88"/>
  </sheets>
  <externalReferences>
    <externalReference r:id="rId89"/>
  </externalReferences>
  <definedNames>
    <definedName name="_xlnm._FilterDatabase" localSheetId="2" hidden="1">RespondentBurdenSUMbySector!#REF!</definedName>
    <definedName name="cler">[1]basis!$C$26</definedName>
    <definedName name="excd">[1]basis!$C$19</definedName>
    <definedName name="lit">[1]basis!$C$13</definedName>
    <definedName name="mang">[1]basis!$C$25</definedName>
    <definedName name="new_respondents">[1]basis!$C$17</definedName>
    <definedName name="noexcd">[1]basis!$C$20</definedName>
    <definedName name="read1">#REF!</definedName>
    <definedName name="ssmalf">[1]basis!$C$21</definedName>
    <definedName name="tech">[1]basis!$C$24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50" l="1"/>
  <c r="B12" i="250"/>
  <c r="E10" i="239" l="1"/>
  <c r="F10" i="239" s="1"/>
  <c r="E13" i="229"/>
  <c r="F13" i="229"/>
  <c r="D10" i="239"/>
  <c r="E29" i="237"/>
  <c r="D29" i="237"/>
  <c r="E32" i="228"/>
  <c r="F32" i="228" s="1"/>
  <c r="D30" i="328"/>
  <c r="D31" i="328"/>
  <c r="D32" i="328"/>
  <c r="D28" i="328"/>
  <c r="D34" i="326"/>
  <c r="D33" i="326"/>
  <c r="D32" i="326"/>
  <c r="D31" i="326"/>
  <c r="D30" i="326"/>
  <c r="D28" i="326"/>
  <c r="D28" i="325"/>
  <c r="D34" i="232"/>
  <c r="D33" i="232"/>
  <c r="D32" i="232"/>
  <c r="D31" i="232"/>
  <c r="D29" i="232"/>
  <c r="D25" i="232"/>
  <c r="D26" i="232"/>
  <c r="D27" i="232"/>
  <c r="D27" i="233"/>
  <c r="D26" i="233"/>
  <c r="D25" i="233"/>
  <c r="D24" i="233"/>
  <c r="D29" i="233"/>
  <c r="D30" i="233"/>
  <c r="D31" i="233"/>
  <c r="D26" i="308"/>
  <c r="D25" i="308"/>
  <c r="D24" i="308"/>
  <c r="D26" i="255"/>
  <c r="D25" i="255"/>
  <c r="D24" i="255"/>
  <c r="D29" i="255"/>
  <c r="D30" i="255"/>
  <c r="D31" i="255"/>
  <c r="D33" i="254"/>
  <c r="D32" i="254"/>
  <c r="D31" i="254"/>
  <c r="D30" i="254"/>
  <c r="D28" i="254"/>
  <c r="D27" i="254"/>
  <c r="D26" i="254"/>
  <c r="D25" i="254"/>
  <c r="E57" i="288"/>
  <c r="F57" i="288" s="1"/>
  <c r="D41" i="288"/>
  <c r="E57" i="314"/>
  <c r="F57" i="314" s="1"/>
  <c r="D39" i="314"/>
  <c r="D40" i="314"/>
  <c r="D41" i="314"/>
  <c r="E57" i="286"/>
  <c r="F57" i="286" s="1"/>
  <c r="D53" i="269"/>
  <c r="D52" i="268"/>
  <c r="E57" i="268"/>
  <c r="F57" i="268" s="1"/>
  <c r="E39" i="268"/>
  <c r="F39" i="268" s="1"/>
  <c r="E33" i="268"/>
  <c r="F33" i="268"/>
  <c r="G33" i="268"/>
  <c r="I33" i="268" s="1"/>
  <c r="H33" i="268"/>
  <c r="E34" i="268"/>
  <c r="F34" i="268" s="1"/>
  <c r="E35" i="268"/>
  <c r="F35" i="268"/>
  <c r="G35" i="268" s="1"/>
  <c r="D39" i="268"/>
  <c r="D40" i="268"/>
  <c r="D41" i="268"/>
  <c r="D33" i="268"/>
  <c r="D34" i="268"/>
  <c r="D35" i="268"/>
  <c r="E25" i="268"/>
  <c r="F25" i="268" s="1"/>
  <c r="E20" i="268"/>
  <c r="F20" i="268" s="1"/>
  <c r="E19" i="268"/>
  <c r="F19" i="268" s="1"/>
  <c r="E16" i="268"/>
  <c r="F16" i="268" s="1"/>
  <c r="E17" i="268"/>
  <c r="F17" i="268" s="1"/>
  <c r="E58" i="222"/>
  <c r="F58" i="222" s="1"/>
  <c r="F36" i="222"/>
  <c r="E36" i="222"/>
  <c r="E35" i="222"/>
  <c r="F35" i="222" s="1"/>
  <c r="E34" i="222"/>
  <c r="F34" i="222" s="1"/>
  <c r="E40" i="222"/>
  <c r="F40" i="222"/>
  <c r="G40" i="222" s="1"/>
  <c r="I40" i="222" s="1"/>
  <c r="H40" i="222"/>
  <c r="E41" i="222"/>
  <c r="E42" i="222" s="1"/>
  <c r="F42" i="222" s="1"/>
  <c r="D40" i="222"/>
  <c r="D41" i="222"/>
  <c r="D42" i="222"/>
  <c r="D34" i="222"/>
  <c r="D35" i="222"/>
  <c r="D36" i="222"/>
  <c r="D36" i="321"/>
  <c r="D35" i="321"/>
  <c r="D34" i="321"/>
  <c r="D36" i="320"/>
  <c r="D35" i="320"/>
  <c r="D34" i="320"/>
  <c r="D34" i="238"/>
  <c r="D35" i="238"/>
  <c r="D33" i="238"/>
  <c r="D29" i="238"/>
  <c r="D30" i="238"/>
  <c r="D28" i="238"/>
  <c r="D39" i="228"/>
  <c r="D38" i="228"/>
  <c r="D37" i="228"/>
  <c r="D35" i="228"/>
  <c r="D34" i="228"/>
  <c r="D33" i="228"/>
  <c r="D32" i="228"/>
  <c r="D29" i="228"/>
  <c r="D28" i="228"/>
  <c r="D27" i="228"/>
  <c r="D19" i="228"/>
  <c r="E19" i="228"/>
  <c r="E59" i="281"/>
  <c r="F59" i="281" s="1"/>
  <c r="I59" i="280"/>
  <c r="E59" i="280"/>
  <c r="F59" i="280" s="1"/>
  <c r="D40" i="280"/>
  <c r="D41" i="280"/>
  <c r="D42" i="280"/>
  <c r="E59" i="279"/>
  <c r="F59" i="279" s="1"/>
  <c r="E60" i="263"/>
  <c r="F60" i="263" s="1"/>
  <c r="D34" i="263"/>
  <c r="D35" i="263"/>
  <c r="D36" i="263"/>
  <c r="G10" i="239" l="1"/>
  <c r="I10" i="239" s="1"/>
  <c r="H10" i="239"/>
  <c r="G13" i="229"/>
  <c r="H13" i="229"/>
  <c r="I13" i="229"/>
  <c r="F29" i="237"/>
  <c r="H29" i="237" s="1"/>
  <c r="H32" i="228"/>
  <c r="G32" i="228"/>
  <c r="G57" i="288"/>
  <c r="H57" i="288"/>
  <c r="I57" i="288"/>
  <c r="G57" i="314"/>
  <c r="I57" i="314" s="1"/>
  <c r="H57" i="314"/>
  <c r="G57" i="286"/>
  <c r="H57" i="286"/>
  <c r="I57" i="286"/>
  <c r="H57" i="268"/>
  <c r="I57" i="268"/>
  <c r="G57" i="268"/>
  <c r="G39" i="268"/>
  <c r="I39" i="268" s="1"/>
  <c r="H39" i="268"/>
  <c r="E40" i="268"/>
  <c r="H34" i="268"/>
  <c r="G34" i="268"/>
  <c r="I34" i="268" s="1"/>
  <c r="H35" i="268"/>
  <c r="I35" i="268" s="1"/>
  <c r="H25" i="268"/>
  <c r="G25" i="268"/>
  <c r="I25" i="268" s="1"/>
  <c r="H19" i="268"/>
  <c r="G19" i="268"/>
  <c r="I19" i="268" s="1"/>
  <c r="G20" i="268"/>
  <c r="I20" i="268" s="1"/>
  <c r="H20" i="268"/>
  <c r="H17" i="268"/>
  <c r="G17" i="268"/>
  <c r="I17" i="268" s="1"/>
  <c r="G16" i="268"/>
  <c r="H16" i="268"/>
  <c r="I16" i="268"/>
  <c r="G58" i="222"/>
  <c r="H58" i="222"/>
  <c r="I58" i="222"/>
  <c r="H34" i="222"/>
  <c r="G34" i="222"/>
  <c r="I34" i="222" s="1"/>
  <c r="G35" i="222"/>
  <c r="H35" i="222"/>
  <c r="I35" i="222" s="1"/>
  <c r="I36" i="222"/>
  <c r="G36" i="222"/>
  <c r="H36" i="222"/>
  <c r="H42" i="222"/>
  <c r="G42" i="222"/>
  <c r="I42" i="222"/>
  <c r="F41" i="222"/>
  <c r="G59" i="281"/>
  <c r="H59" i="281"/>
  <c r="I59" i="281" s="1"/>
  <c r="G59" i="280"/>
  <c r="H59" i="280"/>
  <c r="G59" i="279"/>
  <c r="H59" i="279"/>
  <c r="I59" i="279" s="1"/>
  <c r="H60" i="263"/>
  <c r="G60" i="263"/>
  <c r="I60" i="263"/>
  <c r="E59" i="262"/>
  <c r="F59" i="262" s="1"/>
  <c r="E40" i="262"/>
  <c r="F40" i="262"/>
  <c r="G40" i="262" s="1"/>
  <c r="E41" i="262"/>
  <c r="E42" i="262" s="1"/>
  <c r="F42" i="262" s="1"/>
  <c r="F41" i="262"/>
  <c r="H41" i="262" s="1"/>
  <c r="E33" i="262"/>
  <c r="F33" i="262" s="1"/>
  <c r="E34" i="262"/>
  <c r="F34" i="262"/>
  <c r="H34" i="262" s="1"/>
  <c r="G34" i="262"/>
  <c r="E35" i="262"/>
  <c r="F35" i="262"/>
  <c r="G35" i="262" s="1"/>
  <c r="E20" i="262"/>
  <c r="F20" i="262" s="1"/>
  <c r="E19" i="262"/>
  <c r="F19" i="262" s="1"/>
  <c r="E16" i="262"/>
  <c r="F16" i="262"/>
  <c r="G16" i="262"/>
  <c r="I16" i="262" s="1"/>
  <c r="H16" i="262"/>
  <c r="E17" i="262"/>
  <c r="F17" i="262" s="1"/>
  <c r="D40" i="262"/>
  <c r="D41" i="262"/>
  <c r="D42" i="262"/>
  <c r="D33" i="262"/>
  <c r="D34" i="262"/>
  <c r="D35" i="262"/>
  <c r="E60" i="209"/>
  <c r="E41" i="209"/>
  <c r="F41" i="209"/>
  <c r="G41" i="209"/>
  <c r="H41" i="209"/>
  <c r="I41" i="209"/>
  <c r="E42" i="209"/>
  <c r="E43" i="209" s="1"/>
  <c r="F43" i="209" s="1"/>
  <c r="F42" i="209"/>
  <c r="H42" i="209" s="1"/>
  <c r="G42" i="209"/>
  <c r="D41" i="209"/>
  <c r="D42" i="209"/>
  <c r="D43" i="209"/>
  <c r="D34" i="209"/>
  <c r="D35" i="209"/>
  <c r="D36" i="209"/>
  <c r="F36" i="209" s="1"/>
  <c r="E36" i="209"/>
  <c r="E34" i="209"/>
  <c r="F34" i="209" s="1"/>
  <c r="E35" i="209"/>
  <c r="F35" i="209" s="1"/>
  <c r="E17" i="209"/>
  <c r="E18" i="209" s="1"/>
  <c r="O8" i="272"/>
  <c r="G42" i="251"/>
  <c r="G21" i="313"/>
  <c r="G12" i="260"/>
  <c r="D19" i="309"/>
  <c r="G29" i="237" l="1"/>
  <c r="I29" i="237" s="1"/>
  <c r="I32" i="228"/>
  <c r="E41" i="268"/>
  <c r="F41" i="268" s="1"/>
  <c r="F40" i="268"/>
  <c r="H41" i="222"/>
  <c r="G41" i="222"/>
  <c r="I41" i="222" s="1"/>
  <c r="H59" i="262"/>
  <c r="G59" i="262"/>
  <c r="I59" i="262"/>
  <c r="G42" i="262"/>
  <c r="I42" i="262" s="1"/>
  <c r="H42" i="262"/>
  <c r="H40" i="262"/>
  <c r="I40" i="262" s="1"/>
  <c r="G41" i="262"/>
  <c r="I41" i="262" s="1"/>
  <c r="G33" i="262"/>
  <c r="I33" i="262" s="1"/>
  <c r="H33" i="262"/>
  <c r="I34" i="262"/>
  <c r="H35" i="262"/>
  <c r="I35" i="262" s="1"/>
  <c r="H20" i="262"/>
  <c r="G20" i="262"/>
  <c r="I20" i="262" s="1"/>
  <c r="H19" i="262"/>
  <c r="G19" i="262"/>
  <c r="I19" i="262" s="1"/>
  <c r="H17" i="262"/>
  <c r="G17" i="262"/>
  <c r="I17" i="262" s="1"/>
  <c r="G43" i="209"/>
  <c r="H43" i="209"/>
  <c r="I43" i="209"/>
  <c r="I42" i="209"/>
  <c r="G36" i="209"/>
  <c r="H36" i="209"/>
  <c r="H35" i="209"/>
  <c r="G35" i="209"/>
  <c r="I35" i="209"/>
  <c r="G34" i="209"/>
  <c r="H34" i="209"/>
  <c r="O20" i="272"/>
  <c r="E18" i="274"/>
  <c r="E18" i="273"/>
  <c r="L15" i="328"/>
  <c r="L15" i="326"/>
  <c r="L15" i="325"/>
  <c r="L16" i="232"/>
  <c r="L15" i="233"/>
  <c r="E12" i="331"/>
  <c r="E12" i="330"/>
  <c r="E12" i="329"/>
  <c r="H40" i="268" l="1"/>
  <c r="G40" i="268"/>
  <c r="I40" i="268" s="1"/>
  <c r="G41" i="268"/>
  <c r="H41" i="268"/>
  <c r="I41" i="268"/>
  <c r="I34" i="209"/>
  <c r="I36" i="209"/>
  <c r="E20" i="209"/>
  <c r="L16" i="225"/>
  <c r="G25" i="332"/>
  <c r="G24" i="332"/>
  <c r="G16" i="332"/>
  <c r="G15" i="332"/>
  <c r="G11" i="332"/>
  <c r="G10" i="332"/>
  <c r="G13" i="227"/>
  <c r="G12" i="227"/>
  <c r="L18" i="225"/>
  <c r="G22" i="332"/>
  <c r="G19" i="332"/>
  <c r="G13" i="332"/>
  <c r="G12" i="332"/>
  <c r="G8" i="332"/>
  <c r="G7" i="332"/>
  <c r="G19" i="227"/>
  <c r="G18" i="227"/>
  <c r="G16" i="227"/>
  <c r="G15" i="227"/>
  <c r="G14" i="227"/>
  <c r="L14" i="307"/>
  <c r="L15" i="256"/>
  <c r="L14" i="255"/>
  <c r="G13" i="292"/>
  <c r="G10" i="292"/>
  <c r="G9" i="292"/>
  <c r="G7" i="292"/>
  <c r="G18" i="224"/>
  <c r="G12" i="224"/>
  <c r="L17" i="288"/>
  <c r="L17" i="314"/>
  <c r="L17" i="286"/>
  <c r="L18" i="269"/>
  <c r="L17" i="268"/>
  <c r="E21" i="209" l="1"/>
  <c r="N43" i="280"/>
  <c r="N43" i="279"/>
  <c r="N44" i="209"/>
  <c r="E57" i="272"/>
  <c r="E53" i="272"/>
  <c r="E52" i="272"/>
  <c r="E51" i="272"/>
  <c r="E8" i="277"/>
  <c r="E8" i="276"/>
  <c r="E8" i="275"/>
  <c r="E16" i="274"/>
  <c r="E16" i="273"/>
  <c r="E16" i="272" l="1"/>
  <c r="G13" i="244"/>
  <c r="G12" i="244"/>
  <c r="G13" i="278"/>
  <c r="G10" i="278"/>
  <c r="G8" i="278"/>
  <c r="D21" i="321"/>
  <c r="D20" i="321"/>
  <c r="D16" i="321"/>
  <c r="D15" i="321"/>
  <c r="D24" i="320"/>
  <c r="D23" i="320"/>
  <c r="D16" i="320"/>
  <c r="D15" i="320"/>
  <c r="N20" i="319"/>
  <c r="D16" i="319"/>
  <c r="D15" i="319"/>
  <c r="G11" i="299" l="1"/>
  <c r="H25" i="332"/>
  <c r="H24" i="332"/>
  <c r="H15" i="332"/>
  <c r="H16" i="332"/>
  <c r="H10" i="332"/>
  <c r="H11" i="332"/>
  <c r="H12" i="227"/>
  <c r="H13" i="227"/>
  <c r="E43" i="326"/>
  <c r="E19" i="328"/>
  <c r="L13" i="328"/>
  <c r="E47" i="328" s="1"/>
  <c r="L13" i="326"/>
  <c r="E47" i="326" s="1"/>
  <c r="L13" i="325"/>
  <c r="E33" i="325" s="1"/>
  <c r="E19" i="326"/>
  <c r="E19" i="325"/>
  <c r="E34" i="325"/>
  <c r="E30" i="325"/>
  <c r="F22" i="332"/>
  <c r="E17" i="332"/>
  <c r="F13" i="332"/>
  <c r="E13" i="332"/>
  <c r="E12" i="332"/>
  <c r="F8" i="332"/>
  <c r="E8" i="332"/>
  <c r="E7" i="332"/>
  <c r="F19" i="227"/>
  <c r="F18" i="227"/>
  <c r="E14" i="227"/>
  <c r="E10" i="227"/>
  <c r="E9" i="227"/>
  <c r="E8" i="227"/>
  <c r="E7" i="227"/>
  <c r="E46" i="326" l="1"/>
  <c r="E46" i="328"/>
  <c r="G34" i="251"/>
  <c r="O6" i="256" l="1"/>
  <c r="O7" i="256"/>
  <c r="O9" i="256"/>
  <c r="O12" i="256"/>
  <c r="O13" i="256"/>
  <c r="O16" i="256"/>
  <c r="O19" i="256"/>
  <c r="O21" i="256"/>
  <c r="O22" i="256"/>
  <c r="O23" i="256"/>
  <c r="O24" i="256"/>
  <c r="O29" i="256"/>
  <c r="O34" i="256"/>
  <c r="O35" i="256"/>
  <c r="O36" i="256"/>
  <c r="O37" i="256"/>
  <c r="O38" i="256"/>
  <c r="O39" i="256"/>
  <c r="O40" i="256"/>
  <c r="O41" i="256"/>
  <c r="O43" i="256"/>
  <c r="O44" i="256"/>
  <c r="O45" i="256"/>
  <c r="O46" i="256"/>
  <c r="O48" i="256"/>
  <c r="G23" i="313" l="1"/>
  <c r="G20" i="313"/>
  <c r="G17" i="313"/>
  <c r="G14" i="313"/>
  <c r="H14" i="313" s="1"/>
  <c r="G11" i="313"/>
  <c r="G8" i="313"/>
  <c r="H8" i="313" s="1"/>
  <c r="F18" i="313"/>
  <c r="F17" i="313"/>
  <c r="H13" i="313"/>
  <c r="E13" i="313"/>
  <c r="F12" i="313"/>
  <c r="F11" i="313"/>
  <c r="H11" i="313" s="1"/>
  <c r="H7" i="313"/>
  <c r="E7" i="313"/>
  <c r="E13" i="312"/>
  <c r="E13" i="311"/>
  <c r="E13" i="310"/>
  <c r="E14" i="259"/>
  <c r="D27" i="309"/>
  <c r="D27" i="308"/>
  <c r="D45" i="308"/>
  <c r="D32" i="307"/>
  <c r="D27" i="307"/>
  <c r="E45" i="308"/>
  <c r="E44" i="308"/>
  <c r="E32" i="308"/>
  <c r="E27" i="307"/>
  <c r="E32" i="307"/>
  <c r="E27" i="308"/>
  <c r="E26" i="308"/>
  <c r="E25" i="308"/>
  <c r="E24" i="308"/>
  <c r="E13" i="308"/>
  <c r="E41" i="307"/>
  <c r="E11" i="256"/>
  <c r="O11" i="256" s="1"/>
  <c r="E29" i="309"/>
  <c r="E31" i="308"/>
  <c r="E17" i="256"/>
  <c r="O17" i="256" s="1"/>
  <c r="E11" i="234"/>
  <c r="D11" i="234"/>
  <c r="E11" i="259"/>
  <c r="D11" i="259"/>
  <c r="E14" i="271"/>
  <c r="F14" i="271" s="1"/>
  <c r="D14" i="271"/>
  <c r="E11" i="240"/>
  <c r="D11" i="240"/>
  <c r="E14" i="265"/>
  <c r="D14" i="265"/>
  <c r="E11" i="249"/>
  <c r="F11" i="249" s="1"/>
  <c r="H11" i="249" s="1"/>
  <c r="D11" i="249"/>
  <c r="E10" i="256"/>
  <c r="E10" i="269"/>
  <c r="F10" i="269" s="1"/>
  <c r="G10" i="269" s="1"/>
  <c r="D10" i="232"/>
  <c r="D10" i="256"/>
  <c r="D10" i="269"/>
  <c r="D10" i="238"/>
  <c r="D10" i="263"/>
  <c r="E10" i="246"/>
  <c r="D10" i="246"/>
  <c r="E11" i="226"/>
  <c r="D11" i="226"/>
  <c r="E11" i="257"/>
  <c r="F11" i="257" s="1"/>
  <c r="G11" i="257" s="1"/>
  <c r="D11" i="257"/>
  <c r="E14" i="223"/>
  <c r="F14" i="223" s="1"/>
  <c r="D14" i="223"/>
  <c r="E8" i="223"/>
  <c r="E12" i="229"/>
  <c r="D12" i="229"/>
  <c r="E14" i="210"/>
  <c r="D14" i="210"/>
  <c r="E10" i="225"/>
  <c r="E10" i="254"/>
  <c r="O10" i="254" s="1"/>
  <c r="E10" i="222"/>
  <c r="E10" i="228"/>
  <c r="E11" i="247"/>
  <c r="D11" i="247"/>
  <c r="D10" i="225"/>
  <c r="D10" i="254"/>
  <c r="F10" i="222"/>
  <c r="G10" i="222" s="1"/>
  <c r="D10" i="222"/>
  <c r="D10" i="228"/>
  <c r="E10" i="209"/>
  <c r="D10" i="209"/>
  <c r="E10" i="241"/>
  <c r="D10" i="241"/>
  <c r="D8" i="241"/>
  <c r="H17" i="332"/>
  <c r="H18" i="332"/>
  <c r="H20" i="332"/>
  <c r="H21" i="332"/>
  <c r="E26" i="332"/>
  <c r="E8" i="329"/>
  <c r="E9" i="329" s="1"/>
  <c r="O9" i="329" s="1"/>
  <c r="O13" i="329"/>
  <c r="E9" i="234"/>
  <c r="D13" i="331"/>
  <c r="F13" i="331" s="1"/>
  <c r="O12" i="331"/>
  <c r="D12" i="331"/>
  <c r="E11" i="331"/>
  <c r="O11" i="331" s="1"/>
  <c r="D11" i="331"/>
  <c r="O10" i="331"/>
  <c r="O9" i="331"/>
  <c r="D9" i="331"/>
  <c r="F9" i="331" s="1"/>
  <c r="E8" i="331"/>
  <c r="O8" i="331" s="1"/>
  <c r="D8" i="331"/>
  <c r="F8" i="331" s="1"/>
  <c r="D13" i="330"/>
  <c r="F13" i="330" s="1"/>
  <c r="H13" i="330" s="1"/>
  <c r="O12" i="330"/>
  <c r="D12" i="330"/>
  <c r="E11" i="330"/>
  <c r="O11" i="330" s="1"/>
  <c r="D11" i="330"/>
  <c r="O10" i="330"/>
  <c r="O9" i="330"/>
  <c r="F9" i="330"/>
  <c r="G9" i="330" s="1"/>
  <c r="D9" i="330"/>
  <c r="E8" i="330"/>
  <c r="O8" i="330" s="1"/>
  <c r="D8" i="330"/>
  <c r="D13" i="329"/>
  <c r="F13" i="329" s="1"/>
  <c r="O12" i="329"/>
  <c r="D12" i="329"/>
  <c r="F12" i="329" s="1"/>
  <c r="E11" i="329"/>
  <c r="O11" i="329" s="1"/>
  <c r="D11" i="329"/>
  <c r="O10" i="329"/>
  <c r="D9" i="329"/>
  <c r="D8" i="329"/>
  <c r="N49" i="328"/>
  <c r="E48" i="328"/>
  <c r="N48" i="328" s="1"/>
  <c r="D48" i="328"/>
  <c r="F48" i="328" s="1"/>
  <c r="D47" i="328"/>
  <c r="D46" i="328"/>
  <c r="N45" i="328"/>
  <c r="D44" i="328"/>
  <c r="D43" i="328"/>
  <c r="N42" i="328"/>
  <c r="N41" i="328"/>
  <c r="N40" i="328"/>
  <c r="N39" i="328"/>
  <c r="N38" i="328"/>
  <c r="N37" i="328"/>
  <c r="N36" i="328"/>
  <c r="N35" i="328"/>
  <c r="N34" i="328"/>
  <c r="D34" i="328"/>
  <c r="F34" i="328" s="1"/>
  <c r="N33" i="328"/>
  <c r="D33" i="328"/>
  <c r="F33" i="328" s="1"/>
  <c r="H33" i="328" s="1"/>
  <c r="N32" i="328"/>
  <c r="F32" i="328"/>
  <c r="H32" i="328" s="1"/>
  <c r="N31" i="328"/>
  <c r="F31" i="328"/>
  <c r="N30" i="328"/>
  <c r="F30" i="328"/>
  <c r="H30" i="328" s="1"/>
  <c r="N29" i="328"/>
  <c r="N28" i="328"/>
  <c r="F28" i="328"/>
  <c r="H28" i="328" s="1"/>
  <c r="D27" i="328"/>
  <c r="N23" i="328"/>
  <c r="N22" i="328"/>
  <c r="N21" i="328"/>
  <c r="N20" i="328"/>
  <c r="D19" i="328"/>
  <c r="N18" i="328"/>
  <c r="E17" i="328"/>
  <c r="N17" i="328" s="1"/>
  <c r="D17" i="328"/>
  <c r="F17" i="328" s="1"/>
  <c r="H17" i="328" s="1"/>
  <c r="N16" i="328"/>
  <c r="D16" i="328"/>
  <c r="F16" i="328" s="1"/>
  <c r="H16" i="328" s="1"/>
  <c r="N15" i="328"/>
  <c r="L14" i="328"/>
  <c r="D14" i="328"/>
  <c r="D13" i="328"/>
  <c r="N12" i="328"/>
  <c r="N11" i="328"/>
  <c r="N10" i="328"/>
  <c r="D10" i="328"/>
  <c r="F10" i="328" s="1"/>
  <c r="N9" i="328"/>
  <c r="L9" i="328"/>
  <c r="L8" i="328"/>
  <c r="E8" i="328"/>
  <c r="N8" i="328" s="1"/>
  <c r="D8" i="328"/>
  <c r="F8" i="328" s="1"/>
  <c r="N7" i="328"/>
  <c r="L7" i="328"/>
  <c r="N6" i="328"/>
  <c r="N49" i="326"/>
  <c r="E48" i="326"/>
  <c r="N48" i="326" s="1"/>
  <c r="D48" i="326"/>
  <c r="D47" i="326"/>
  <c r="D46" i="326"/>
  <c r="N45" i="326"/>
  <c r="D44" i="326"/>
  <c r="D43" i="326"/>
  <c r="N42" i="326"/>
  <c r="N41" i="326"/>
  <c r="N40" i="326"/>
  <c r="N39" i="326"/>
  <c r="N38" i="326"/>
  <c r="N37" i="326"/>
  <c r="N36" i="326"/>
  <c r="N35" i="326"/>
  <c r="N34" i="326"/>
  <c r="N29" i="326"/>
  <c r="N28" i="326"/>
  <c r="F28" i="326"/>
  <c r="D27" i="326"/>
  <c r="N23" i="326"/>
  <c r="N22" i="326"/>
  <c r="N21" i="326"/>
  <c r="N20" i="326"/>
  <c r="D19" i="326"/>
  <c r="N18" i="326"/>
  <c r="D17" i="326"/>
  <c r="D16" i="326"/>
  <c r="N15" i="326"/>
  <c r="L14" i="326"/>
  <c r="E44" i="326" s="1"/>
  <c r="D14" i="326"/>
  <c r="D13" i="326"/>
  <c r="N12" i="326"/>
  <c r="N11" i="326"/>
  <c r="N10" i="326"/>
  <c r="D10" i="326"/>
  <c r="F10" i="326" s="1"/>
  <c r="N9" i="326"/>
  <c r="L9" i="326"/>
  <c r="N8" i="326"/>
  <c r="L8" i="326"/>
  <c r="E8" i="326"/>
  <c r="D8" i="326"/>
  <c r="F8" i="326" s="1"/>
  <c r="N7" i="326"/>
  <c r="L7" i="326"/>
  <c r="N6" i="326"/>
  <c r="E11" i="232"/>
  <c r="N49" i="325"/>
  <c r="E48" i="325"/>
  <c r="N48" i="325" s="1"/>
  <c r="D48" i="325"/>
  <c r="F48" i="325" s="1"/>
  <c r="D47" i="325"/>
  <c r="D46" i="325"/>
  <c r="N45" i="325"/>
  <c r="D44" i="325"/>
  <c r="D43" i="325"/>
  <c r="N42" i="325"/>
  <c r="N41" i="325"/>
  <c r="N40" i="325"/>
  <c r="N39" i="325"/>
  <c r="N38" i="325"/>
  <c r="N37" i="325"/>
  <c r="N36" i="325"/>
  <c r="N35" i="325"/>
  <c r="N34" i="325"/>
  <c r="D34" i="325"/>
  <c r="D33" i="325"/>
  <c r="N29" i="325"/>
  <c r="N28" i="325"/>
  <c r="F28" i="325"/>
  <c r="D27" i="325"/>
  <c r="N23" i="325"/>
  <c r="N22" i="325"/>
  <c r="N21" i="325"/>
  <c r="N20" i="325"/>
  <c r="D19" i="325"/>
  <c r="N18" i="325"/>
  <c r="D17" i="325"/>
  <c r="D16" i="325"/>
  <c r="N15" i="325"/>
  <c r="L14" i="325"/>
  <c r="D14" i="325"/>
  <c r="D13" i="325"/>
  <c r="N12" i="325"/>
  <c r="N11" i="325"/>
  <c r="N10" i="325"/>
  <c r="D10" i="325"/>
  <c r="F10" i="325" s="1"/>
  <c r="N9" i="325"/>
  <c r="L9" i="325"/>
  <c r="N8" i="325"/>
  <c r="L8" i="325"/>
  <c r="E8" i="325"/>
  <c r="D8" i="325"/>
  <c r="F8" i="325" s="1"/>
  <c r="N7" i="325"/>
  <c r="L7" i="325"/>
  <c r="N6" i="325"/>
  <c r="H11" i="299"/>
  <c r="H10" i="299"/>
  <c r="G9" i="299"/>
  <c r="H9" i="299" s="1"/>
  <c r="P22" i="251" s="1"/>
  <c r="H8" i="299"/>
  <c r="G14" i="299"/>
  <c r="E18" i="324"/>
  <c r="N17" i="324" s="1"/>
  <c r="E18" i="323"/>
  <c r="E18" i="322"/>
  <c r="N17" i="322" s="1"/>
  <c r="E9" i="322"/>
  <c r="E10" i="322" s="1"/>
  <c r="N9" i="322" s="1"/>
  <c r="E9" i="239"/>
  <c r="D18" i="324"/>
  <c r="E17" i="324"/>
  <c r="N16" i="324" s="1"/>
  <c r="D17" i="324"/>
  <c r="E16" i="324"/>
  <c r="F16" i="324" s="1"/>
  <c r="D16" i="324"/>
  <c r="D15" i="324"/>
  <c r="F15" i="324" s="1"/>
  <c r="N14" i="324"/>
  <c r="D14" i="324"/>
  <c r="F14" i="324" s="1"/>
  <c r="N13" i="324"/>
  <c r="D13" i="324"/>
  <c r="F13" i="324" s="1"/>
  <c r="N12" i="324"/>
  <c r="D12" i="324"/>
  <c r="F12" i="324" s="1"/>
  <c r="N11" i="324"/>
  <c r="N10" i="324"/>
  <c r="D10" i="324"/>
  <c r="F10" i="324" s="1"/>
  <c r="N9" i="324"/>
  <c r="E9" i="324"/>
  <c r="N8" i="324" s="1"/>
  <c r="D9" i="324"/>
  <c r="D8" i="324"/>
  <c r="F8" i="324" s="1"/>
  <c r="N17" i="323"/>
  <c r="D18" i="323"/>
  <c r="E17" i="323"/>
  <c r="N16" i="323" s="1"/>
  <c r="D17" i="323"/>
  <c r="E16" i="323"/>
  <c r="N15" i="323" s="1"/>
  <c r="D16" i="323"/>
  <c r="D15" i="323"/>
  <c r="F15" i="323" s="1"/>
  <c r="N14" i="323"/>
  <c r="D14" i="323"/>
  <c r="F14" i="323" s="1"/>
  <c r="N13" i="323"/>
  <c r="D13" i="323"/>
  <c r="F13" i="323" s="1"/>
  <c r="N12" i="323"/>
  <c r="N11" i="323"/>
  <c r="D12" i="323"/>
  <c r="F12" i="323" s="1"/>
  <c r="N10" i="323"/>
  <c r="D10" i="323"/>
  <c r="F10" i="323" s="1"/>
  <c r="N9" i="323"/>
  <c r="E9" i="323"/>
  <c r="N8" i="323" s="1"/>
  <c r="D9" i="323"/>
  <c r="D8" i="323"/>
  <c r="F8" i="323" s="1"/>
  <c r="D18" i="322"/>
  <c r="E17" i="322"/>
  <c r="N16" i="322" s="1"/>
  <c r="D17" i="322"/>
  <c r="E16" i="322"/>
  <c r="N15" i="322" s="1"/>
  <c r="D16" i="322"/>
  <c r="F16" i="322" s="1"/>
  <c r="D15" i="322"/>
  <c r="F15" i="322" s="1"/>
  <c r="N14" i="322"/>
  <c r="D14" i="322"/>
  <c r="F14" i="322" s="1"/>
  <c r="N13" i="322"/>
  <c r="D13" i="322"/>
  <c r="F13" i="322" s="1"/>
  <c r="N12" i="322"/>
  <c r="N11" i="322"/>
  <c r="D12" i="322"/>
  <c r="F12" i="322" s="1"/>
  <c r="N10" i="322"/>
  <c r="D10" i="322"/>
  <c r="D9" i="322"/>
  <c r="N8" i="322"/>
  <c r="D8" i="322"/>
  <c r="F8" i="322" s="1"/>
  <c r="D52" i="321"/>
  <c r="F52" i="321" s="1"/>
  <c r="D51" i="321"/>
  <c r="D50" i="321"/>
  <c r="N49" i="321"/>
  <c r="D48" i="321"/>
  <c r="D47" i="321"/>
  <c r="N46" i="321"/>
  <c r="N45" i="321"/>
  <c r="N44" i="321"/>
  <c r="N43" i="321"/>
  <c r="N42" i="321"/>
  <c r="N41" i="321"/>
  <c r="N40" i="321"/>
  <c r="N39" i="321"/>
  <c r="D37" i="321"/>
  <c r="E35" i="321"/>
  <c r="F35" i="321" s="1"/>
  <c r="N34" i="321"/>
  <c r="F34" i="321"/>
  <c r="N33" i="321"/>
  <c r="N28" i="321"/>
  <c r="N27" i="321"/>
  <c r="N26" i="321"/>
  <c r="N25" i="321"/>
  <c r="N22" i="321"/>
  <c r="N20" i="321"/>
  <c r="E19" i="321"/>
  <c r="N19" i="321" s="1"/>
  <c r="D19" i="321"/>
  <c r="N18" i="321"/>
  <c r="D18" i="321"/>
  <c r="F18" i="321" s="1"/>
  <c r="N17" i="321"/>
  <c r="L14" i="321"/>
  <c r="E20" i="321" s="1"/>
  <c r="E21" i="321" s="1"/>
  <c r="D14" i="321"/>
  <c r="D13" i="321"/>
  <c r="N12" i="321"/>
  <c r="N11" i="321"/>
  <c r="N10" i="321"/>
  <c r="D10" i="321"/>
  <c r="F10" i="321" s="1"/>
  <c r="N9" i="321"/>
  <c r="L9" i="321"/>
  <c r="L8" i="321"/>
  <c r="E8" i="321"/>
  <c r="N8" i="321" s="1"/>
  <c r="D8" i="321"/>
  <c r="N7" i="321"/>
  <c r="L7" i="321"/>
  <c r="N6" i="321"/>
  <c r="E52" i="320"/>
  <c r="F52" i="320" s="1"/>
  <c r="D52" i="320"/>
  <c r="E51" i="320"/>
  <c r="D51" i="320"/>
  <c r="D50" i="320"/>
  <c r="N49" i="320"/>
  <c r="D48" i="320"/>
  <c r="D47" i="320"/>
  <c r="N46" i="320"/>
  <c r="N45" i="320"/>
  <c r="N44" i="320"/>
  <c r="N43" i="320"/>
  <c r="N42" i="320"/>
  <c r="N41" i="320"/>
  <c r="N40" i="320"/>
  <c r="N39" i="320"/>
  <c r="D37" i="320"/>
  <c r="N33" i="320"/>
  <c r="N28" i="320"/>
  <c r="N27" i="320"/>
  <c r="N26" i="320"/>
  <c r="N25" i="320"/>
  <c r="N22" i="320"/>
  <c r="N38" i="320"/>
  <c r="N20" i="320"/>
  <c r="D19" i="320"/>
  <c r="D18" i="320"/>
  <c r="N17" i="320"/>
  <c r="L14" i="320"/>
  <c r="D14" i="320"/>
  <c r="D13" i="320"/>
  <c r="N12" i="320"/>
  <c r="N11" i="320"/>
  <c r="N10" i="320"/>
  <c r="D10" i="320"/>
  <c r="F10" i="320" s="1"/>
  <c r="N9" i="320"/>
  <c r="L9" i="320"/>
  <c r="L8" i="320"/>
  <c r="E8" i="320"/>
  <c r="N8" i="320" s="1"/>
  <c r="D8" i="320"/>
  <c r="N7" i="320"/>
  <c r="L7" i="320"/>
  <c r="N6" i="320"/>
  <c r="E34" i="238"/>
  <c r="E53" i="319"/>
  <c r="D53" i="319"/>
  <c r="E52" i="319"/>
  <c r="D52" i="319"/>
  <c r="F52" i="319" s="1"/>
  <c r="D51" i="319"/>
  <c r="N50" i="319"/>
  <c r="D49" i="319"/>
  <c r="D48" i="319"/>
  <c r="N47" i="319"/>
  <c r="N46" i="319"/>
  <c r="N45" i="319"/>
  <c r="N44" i="319"/>
  <c r="N43" i="319"/>
  <c r="N42" i="319"/>
  <c r="N41" i="319"/>
  <c r="N40" i="319"/>
  <c r="D38" i="319"/>
  <c r="N34" i="319"/>
  <c r="N29" i="319"/>
  <c r="N28" i="319"/>
  <c r="N27" i="319"/>
  <c r="N26" i="319"/>
  <c r="N23" i="319"/>
  <c r="D22" i="319"/>
  <c r="D21" i="319"/>
  <c r="D19" i="319"/>
  <c r="D18" i="319"/>
  <c r="N17" i="319"/>
  <c r="L14" i="319"/>
  <c r="D14" i="319"/>
  <c r="D13" i="319"/>
  <c r="N12" i="319"/>
  <c r="N11" i="319"/>
  <c r="N10" i="319"/>
  <c r="D10" i="319"/>
  <c r="F10" i="319" s="1"/>
  <c r="N9" i="319"/>
  <c r="L9" i="319"/>
  <c r="L8" i="319"/>
  <c r="E8" i="319"/>
  <c r="N8" i="319" s="1"/>
  <c r="D8" i="319"/>
  <c r="F8" i="319" s="1"/>
  <c r="N7" i="319"/>
  <c r="L7" i="319"/>
  <c r="N6" i="319"/>
  <c r="G12" i="292"/>
  <c r="O18" i="318"/>
  <c r="E17" i="318"/>
  <c r="F17" i="318" s="1"/>
  <c r="D17" i="318"/>
  <c r="E16" i="318"/>
  <c r="O16" i="318" s="1"/>
  <c r="D16" i="318"/>
  <c r="O15" i="318"/>
  <c r="E14" i="318"/>
  <c r="O14" i="318" s="1"/>
  <c r="D14" i="318"/>
  <c r="O13" i="318"/>
  <c r="O12" i="318"/>
  <c r="D12" i="318"/>
  <c r="F12" i="318" s="1"/>
  <c r="D11" i="318"/>
  <c r="O10" i="318"/>
  <c r="D10" i="318"/>
  <c r="F10" i="318" s="1"/>
  <c r="D9" i="318"/>
  <c r="O8" i="318"/>
  <c r="D8" i="318"/>
  <c r="F8" i="318" s="1"/>
  <c r="E9" i="315"/>
  <c r="E11" i="315"/>
  <c r="O11" i="315" s="1"/>
  <c r="O18" i="317"/>
  <c r="E17" i="317"/>
  <c r="O17" i="317" s="1"/>
  <c r="D17" i="317"/>
  <c r="E16" i="317"/>
  <c r="O16" i="317" s="1"/>
  <c r="D16" i="317"/>
  <c r="O15" i="317"/>
  <c r="E14" i="317"/>
  <c r="O14" i="317" s="1"/>
  <c r="D14" i="317"/>
  <c r="O13" i="317"/>
  <c r="O12" i="317"/>
  <c r="D12" i="317"/>
  <c r="F12" i="317" s="1"/>
  <c r="D11" i="317"/>
  <c r="O10" i="317"/>
  <c r="D10" i="317"/>
  <c r="F10" i="317" s="1"/>
  <c r="D9" i="317"/>
  <c r="O8" i="317"/>
  <c r="D8" i="317"/>
  <c r="F8" i="317" s="1"/>
  <c r="O18" i="315"/>
  <c r="E17" i="315"/>
  <c r="O17" i="315" s="1"/>
  <c r="D17" i="315"/>
  <c r="E16" i="315"/>
  <c r="F16" i="315" s="1"/>
  <c r="D16" i="315"/>
  <c r="O15" i="315"/>
  <c r="E14" i="315"/>
  <c r="O14" i="315" s="1"/>
  <c r="D14" i="315"/>
  <c r="O13" i="315"/>
  <c r="O12" i="315"/>
  <c r="D12" i="315"/>
  <c r="F12" i="315" s="1"/>
  <c r="D11" i="315"/>
  <c r="O10" i="315"/>
  <c r="D10" i="315"/>
  <c r="F10" i="315" s="1"/>
  <c r="D9" i="315"/>
  <c r="O8" i="315"/>
  <c r="D8" i="315"/>
  <c r="F8" i="315" s="1"/>
  <c r="E19" i="286"/>
  <c r="O59" i="314"/>
  <c r="E58" i="314"/>
  <c r="O58" i="314" s="1"/>
  <c r="D58" i="314"/>
  <c r="F58" i="314" s="1"/>
  <c r="O57" i="314"/>
  <c r="D57" i="314"/>
  <c r="O56" i="314"/>
  <c r="E56" i="314"/>
  <c r="D56" i="314"/>
  <c r="E55" i="314"/>
  <c r="O55" i="314" s="1"/>
  <c r="D55" i="314"/>
  <c r="F55" i="314" s="1"/>
  <c r="O54" i="314"/>
  <c r="E53" i="314"/>
  <c r="O53" i="314" s="1"/>
  <c r="D53" i="314"/>
  <c r="F53" i="314" s="1"/>
  <c r="E51" i="314"/>
  <c r="E52" i="314" s="1"/>
  <c r="D51" i="314"/>
  <c r="O50" i="314"/>
  <c r="O49" i="314"/>
  <c r="O48" i="314"/>
  <c r="O47" i="314"/>
  <c r="O46" i="314"/>
  <c r="O45" i="314"/>
  <c r="O44" i="314"/>
  <c r="O43" i="314"/>
  <c r="O42" i="314"/>
  <c r="F41" i="314"/>
  <c r="O41" i="314"/>
  <c r="O40" i="314"/>
  <c r="F40" i="314"/>
  <c r="O39" i="314"/>
  <c r="F39" i="314"/>
  <c r="E38" i="314"/>
  <c r="O38" i="314" s="1"/>
  <c r="D38" i="314"/>
  <c r="E37" i="314"/>
  <c r="O37" i="314" s="1"/>
  <c r="D37" i="314"/>
  <c r="O36" i="314"/>
  <c r="D32" i="314"/>
  <c r="D31" i="314"/>
  <c r="O30" i="314"/>
  <c r="O29" i="314"/>
  <c r="O28" i="314"/>
  <c r="O27" i="314"/>
  <c r="O24" i="314"/>
  <c r="D23" i="314"/>
  <c r="E22" i="314"/>
  <c r="O22" i="314" s="1"/>
  <c r="D22" i="314"/>
  <c r="O21" i="314"/>
  <c r="D20" i="314"/>
  <c r="D19" i="314"/>
  <c r="O18" i="314"/>
  <c r="D17" i="314"/>
  <c r="L16" i="314"/>
  <c r="E35" i="314" s="1"/>
  <c r="D16" i="314"/>
  <c r="D15" i="314"/>
  <c r="D14" i="314"/>
  <c r="O13" i="314"/>
  <c r="O12" i="314"/>
  <c r="O11" i="314"/>
  <c r="D11" i="314"/>
  <c r="F11" i="314" s="1"/>
  <c r="O10" i="314"/>
  <c r="D10" i="314"/>
  <c r="F10" i="314" s="1"/>
  <c r="O9" i="314"/>
  <c r="L9" i="314"/>
  <c r="L8" i="314"/>
  <c r="E8" i="314"/>
  <c r="D8" i="314"/>
  <c r="O7" i="314"/>
  <c r="L7" i="314"/>
  <c r="O6" i="314"/>
  <c r="D51" i="286"/>
  <c r="D52" i="269"/>
  <c r="D51" i="268"/>
  <c r="D52" i="222"/>
  <c r="D14" i="246"/>
  <c r="L17" i="263"/>
  <c r="E10" i="263" s="1"/>
  <c r="D56" i="246"/>
  <c r="E52" i="222"/>
  <c r="E11" i="222"/>
  <c r="E53" i="286"/>
  <c r="E51" i="286"/>
  <c r="E52" i="286" s="1"/>
  <c r="F41" i="286"/>
  <c r="G41" i="286" s="1"/>
  <c r="E41" i="286"/>
  <c r="E40" i="286"/>
  <c r="F40" i="286" s="1"/>
  <c r="E39" i="286"/>
  <c r="F39" i="286" s="1"/>
  <c r="E38" i="286"/>
  <c r="E37" i="286"/>
  <c r="F18" i="286"/>
  <c r="H18" i="286" s="1"/>
  <c r="E23" i="286"/>
  <c r="E20" i="286"/>
  <c r="G9" i="285"/>
  <c r="H9" i="285" s="1"/>
  <c r="P16" i="251" s="1"/>
  <c r="G7" i="285"/>
  <c r="D31" i="281"/>
  <c r="E17" i="283"/>
  <c r="E16" i="283"/>
  <c r="E15" i="283"/>
  <c r="E14" i="283"/>
  <c r="E17" i="282"/>
  <c r="E16" i="282"/>
  <c r="E15" i="282"/>
  <c r="E14" i="282"/>
  <c r="E11" i="282"/>
  <c r="E9" i="282"/>
  <c r="E55" i="280"/>
  <c r="E54" i="280"/>
  <c r="F40" i="280"/>
  <c r="G40" i="280" s="1"/>
  <c r="F41" i="280"/>
  <c r="H41" i="280" s="1"/>
  <c r="F42" i="280"/>
  <c r="H42" i="280" s="1"/>
  <c r="E38" i="280"/>
  <c r="E39" i="280" s="1"/>
  <c r="F18" i="280"/>
  <c r="G18" i="280" s="1"/>
  <c r="E22" i="280"/>
  <c r="E23" i="280" s="1"/>
  <c r="E20" i="280"/>
  <c r="E21" i="263"/>
  <c r="E55" i="279"/>
  <c r="E54" i="279"/>
  <c r="E42" i="279"/>
  <c r="F42" i="279" s="1"/>
  <c r="E41" i="279"/>
  <c r="F41" i="279" s="1"/>
  <c r="E40" i="279"/>
  <c r="F40" i="279" s="1"/>
  <c r="E38" i="279"/>
  <c r="E39" i="279" s="1"/>
  <c r="E22" i="279"/>
  <c r="E23" i="279" s="1"/>
  <c r="E19" i="279"/>
  <c r="E20" i="279" s="1"/>
  <c r="P46" i="252"/>
  <c r="E12" i="275"/>
  <c r="H10" i="315" l="1"/>
  <c r="I10" i="315" s="1"/>
  <c r="G10" i="315"/>
  <c r="F8" i="314"/>
  <c r="G8" i="314" s="1"/>
  <c r="F51" i="320"/>
  <c r="G12" i="329"/>
  <c r="H12" i="329"/>
  <c r="F8" i="329"/>
  <c r="F10" i="256"/>
  <c r="F37" i="314"/>
  <c r="G37" i="314" s="1"/>
  <c r="F38" i="314"/>
  <c r="F51" i="314"/>
  <c r="G51" i="314" s="1"/>
  <c r="H41" i="286"/>
  <c r="G14" i="271"/>
  <c r="I14" i="271" s="1"/>
  <c r="H14" i="271"/>
  <c r="F14" i="318"/>
  <c r="G14" i="318" s="1"/>
  <c r="I14" i="318" s="1"/>
  <c r="F20" i="321"/>
  <c r="G20" i="321" s="1"/>
  <c r="F10" i="228"/>
  <c r="G10" i="228" s="1"/>
  <c r="E35" i="319"/>
  <c r="E21" i="319"/>
  <c r="L13" i="320"/>
  <c r="E23" i="320"/>
  <c r="E24" i="320" s="1"/>
  <c r="N24" i="320" s="1"/>
  <c r="F11" i="240"/>
  <c r="G11" i="240" s="1"/>
  <c r="E11" i="263"/>
  <c r="F14" i="210"/>
  <c r="G14" i="210" s="1"/>
  <c r="F14" i="265"/>
  <c r="G14" i="265" s="1"/>
  <c r="F10" i="209"/>
  <c r="H10" i="209" s="1"/>
  <c r="F10" i="246"/>
  <c r="G10" i="246" s="1"/>
  <c r="F19" i="321"/>
  <c r="F8" i="321"/>
  <c r="G8" i="321" s="1"/>
  <c r="F8" i="320"/>
  <c r="G8" i="320" s="1"/>
  <c r="F53" i="319"/>
  <c r="F10" i="263"/>
  <c r="G10" i="263" s="1"/>
  <c r="G42" i="279"/>
  <c r="H42" i="279"/>
  <c r="G14" i="223"/>
  <c r="H14" i="223"/>
  <c r="H41" i="279"/>
  <c r="G41" i="279"/>
  <c r="G8" i="319"/>
  <c r="H8" i="319"/>
  <c r="I8" i="319" s="1"/>
  <c r="G39" i="286"/>
  <c r="H39" i="286"/>
  <c r="H18" i="321"/>
  <c r="G18" i="321"/>
  <c r="H14" i="210"/>
  <c r="H40" i="286"/>
  <c r="G40" i="286"/>
  <c r="H10" i="318"/>
  <c r="G10" i="318"/>
  <c r="H40" i="279"/>
  <c r="G40" i="279"/>
  <c r="H38" i="314"/>
  <c r="G38" i="314"/>
  <c r="I38" i="314" s="1"/>
  <c r="F11" i="226"/>
  <c r="H11" i="226" s="1"/>
  <c r="E19" i="308"/>
  <c r="G15" i="260"/>
  <c r="E11" i="311"/>
  <c r="G16" i="260"/>
  <c r="G18" i="313"/>
  <c r="H18" i="313" s="1"/>
  <c r="P37" i="251" s="1"/>
  <c r="G42" i="280"/>
  <c r="E23" i="314"/>
  <c r="O23" i="314" s="1"/>
  <c r="O16" i="315"/>
  <c r="L13" i="319"/>
  <c r="E15" i="319" s="1"/>
  <c r="N35" i="321"/>
  <c r="E12" i="311"/>
  <c r="G12" i="313"/>
  <c r="H12" i="313" s="1"/>
  <c r="E9" i="250"/>
  <c r="P47" i="252"/>
  <c r="F14" i="315"/>
  <c r="N21" i="320"/>
  <c r="F21" i="321"/>
  <c r="G21" i="321" s="1"/>
  <c r="E16" i="325"/>
  <c r="N16" i="325" s="1"/>
  <c r="E31" i="325"/>
  <c r="F48" i="326"/>
  <c r="G48" i="326" s="1"/>
  <c r="E12" i="259"/>
  <c r="G24" i="313"/>
  <c r="E13" i="259"/>
  <c r="E11" i="312"/>
  <c r="F22" i="314"/>
  <c r="E34" i="314"/>
  <c r="O34" i="314" s="1"/>
  <c r="F56" i="314"/>
  <c r="F9" i="315"/>
  <c r="G32" i="328"/>
  <c r="I32" i="328" s="1"/>
  <c r="F12" i="229"/>
  <c r="E29" i="308"/>
  <c r="E31" i="309"/>
  <c r="E12" i="312"/>
  <c r="O8" i="314"/>
  <c r="G34" i="321"/>
  <c r="I34" i="321" s="1"/>
  <c r="F11" i="234"/>
  <c r="G11" i="234" s="1"/>
  <c r="E30" i="308"/>
  <c r="E11" i="310"/>
  <c r="G15" i="313"/>
  <c r="H15" i="313" s="1"/>
  <c r="G18" i="286"/>
  <c r="H34" i="321"/>
  <c r="E12" i="310"/>
  <c r="G13" i="260"/>
  <c r="G9" i="313"/>
  <c r="H9" i="313" s="1"/>
  <c r="P23" i="251"/>
  <c r="H12" i="229"/>
  <c r="G12" i="229"/>
  <c r="F9" i="322"/>
  <c r="G9" i="322" s="1"/>
  <c r="L13" i="321"/>
  <c r="E15" i="321" s="1"/>
  <c r="F17" i="324"/>
  <c r="H17" i="324" s="1"/>
  <c r="E18" i="319"/>
  <c r="E19" i="319" s="1"/>
  <c r="N19" i="319" s="1"/>
  <c r="F16" i="323"/>
  <c r="H16" i="323" s="1"/>
  <c r="E47" i="321"/>
  <c r="E48" i="321" s="1"/>
  <c r="F48" i="321" s="1"/>
  <c r="F17" i="323"/>
  <c r="G17" i="323" s="1"/>
  <c r="G28" i="328"/>
  <c r="I28" i="328" s="1"/>
  <c r="F11" i="329"/>
  <c r="G11" i="329" s="1"/>
  <c r="O8" i="329"/>
  <c r="O14" i="329" s="1"/>
  <c r="O13" i="331"/>
  <c r="O14" i="331" s="1"/>
  <c r="F34" i="326"/>
  <c r="H34" i="326" s="1"/>
  <c r="E24" i="328"/>
  <c r="F24" i="328" s="1"/>
  <c r="F12" i="330"/>
  <c r="H12" i="330" s="1"/>
  <c r="N19" i="325"/>
  <c r="F11" i="259"/>
  <c r="G11" i="259" s="1"/>
  <c r="H17" i="313"/>
  <c r="E31" i="307"/>
  <c r="E16" i="307"/>
  <c r="E29" i="307"/>
  <c r="E30" i="307"/>
  <c r="G10" i="256"/>
  <c r="E30" i="256"/>
  <c r="O30" i="256" s="1"/>
  <c r="E32" i="256"/>
  <c r="O32" i="256" s="1"/>
  <c r="F10" i="254"/>
  <c r="G10" i="254" s="1"/>
  <c r="H11" i="234"/>
  <c r="I11" i="234" s="1"/>
  <c r="G11" i="249"/>
  <c r="I11" i="249" s="1"/>
  <c r="H10" i="256"/>
  <c r="H10" i="269"/>
  <c r="H10" i="263"/>
  <c r="H10" i="246"/>
  <c r="H11" i="257"/>
  <c r="I11" i="257" s="1"/>
  <c r="H10" i="254"/>
  <c r="H10" i="222"/>
  <c r="H10" i="228"/>
  <c r="F11" i="247"/>
  <c r="H11" i="247" s="1"/>
  <c r="G11" i="247"/>
  <c r="F10" i="225"/>
  <c r="G10" i="225" s="1"/>
  <c r="E13" i="325"/>
  <c r="F8" i="330"/>
  <c r="H8" i="330" s="1"/>
  <c r="F11" i="330"/>
  <c r="G11" i="330" s="1"/>
  <c r="F11" i="331"/>
  <c r="F34" i="325"/>
  <c r="H34" i="325" s="1"/>
  <c r="F17" i="315"/>
  <c r="G17" i="315" s="1"/>
  <c r="F14" i="317"/>
  <c r="F16" i="317"/>
  <c r="F17" i="317"/>
  <c r="H17" i="317" s="1"/>
  <c r="O9" i="315"/>
  <c r="O19" i="315" s="1"/>
  <c r="F16" i="318"/>
  <c r="E29" i="320"/>
  <c r="F29" i="320" s="1"/>
  <c r="E13" i="320"/>
  <c r="E14" i="320" s="1"/>
  <c r="N14" i="320" s="1"/>
  <c r="F17" i="322"/>
  <c r="E38" i="319"/>
  <c r="N38" i="319" s="1"/>
  <c r="N23" i="321"/>
  <c r="E37" i="321"/>
  <c r="N37" i="321" s="1"/>
  <c r="F9" i="324"/>
  <c r="H9" i="324" s="1"/>
  <c r="E48" i="319"/>
  <c r="E49" i="319" s="1"/>
  <c r="F49" i="319" s="1"/>
  <c r="F9" i="323"/>
  <c r="H9" i="323" s="1"/>
  <c r="F10" i="241"/>
  <c r="G10" i="241" s="1"/>
  <c r="O13" i="330"/>
  <c r="O14" i="330" s="1"/>
  <c r="F9" i="329"/>
  <c r="H9" i="329" s="1"/>
  <c r="H9" i="331"/>
  <c r="G9" i="331"/>
  <c r="I9" i="331" s="1"/>
  <c r="H8" i="331"/>
  <c r="G8" i="331"/>
  <c r="G13" i="331"/>
  <c r="H13" i="331"/>
  <c r="F12" i="331"/>
  <c r="G13" i="330"/>
  <c r="I13" i="330" s="1"/>
  <c r="H9" i="330"/>
  <c r="I9" i="330" s="1"/>
  <c r="H8" i="329"/>
  <c r="G8" i="329"/>
  <c r="G13" i="329"/>
  <c r="H13" i="329"/>
  <c r="G34" i="328"/>
  <c r="H34" i="328"/>
  <c r="H10" i="328"/>
  <c r="G10" i="328"/>
  <c r="H48" i="328"/>
  <c r="G48" i="328"/>
  <c r="H8" i="328"/>
  <c r="G8" i="328"/>
  <c r="G31" i="328"/>
  <c r="E25" i="328"/>
  <c r="H31" i="328"/>
  <c r="E43" i="328"/>
  <c r="G16" i="328"/>
  <c r="I16" i="328" s="1"/>
  <c r="G17" i="328"/>
  <c r="I17" i="328" s="1"/>
  <c r="G30" i="328"/>
  <c r="I30" i="328" s="1"/>
  <c r="G33" i="328"/>
  <c r="I33" i="328" s="1"/>
  <c r="G10" i="326"/>
  <c r="H10" i="326"/>
  <c r="H8" i="326"/>
  <c r="G8" i="326"/>
  <c r="I8" i="326" s="1"/>
  <c r="F33" i="326"/>
  <c r="N19" i="326"/>
  <c r="E25" i="326"/>
  <c r="E24" i="326"/>
  <c r="G28" i="326"/>
  <c r="N33" i="326"/>
  <c r="H28" i="326"/>
  <c r="E13" i="326"/>
  <c r="G10" i="325"/>
  <c r="H10" i="325"/>
  <c r="G8" i="325"/>
  <c r="H8" i="325"/>
  <c r="G48" i="325"/>
  <c r="I48" i="325" s="1"/>
  <c r="G28" i="325"/>
  <c r="N33" i="325"/>
  <c r="E43" i="325"/>
  <c r="H48" i="325"/>
  <c r="H28" i="325"/>
  <c r="F18" i="324"/>
  <c r="H18" i="324" s="1"/>
  <c r="N18" i="323"/>
  <c r="F10" i="322"/>
  <c r="H10" i="322" s="1"/>
  <c r="G15" i="324"/>
  <c r="H15" i="324"/>
  <c r="H16" i="324"/>
  <c r="G16" i="324"/>
  <c r="H13" i="324"/>
  <c r="G13" i="324"/>
  <c r="G8" i="324"/>
  <c r="H8" i="324"/>
  <c r="G14" i="324"/>
  <c r="H14" i="324"/>
  <c r="N15" i="324"/>
  <c r="N18" i="324" s="1"/>
  <c r="G10" i="324"/>
  <c r="G12" i="324"/>
  <c r="H10" i="324"/>
  <c r="H12" i="324"/>
  <c r="H8" i="323"/>
  <c r="G8" i="323"/>
  <c r="H15" i="323"/>
  <c r="I15" i="323" s="1"/>
  <c r="G15" i="323"/>
  <c r="H12" i="323"/>
  <c r="G12" i="323"/>
  <c r="H10" i="323"/>
  <c r="G10" i="323"/>
  <c r="G14" i="323"/>
  <c r="H14" i="323"/>
  <c r="G13" i="323"/>
  <c r="I13" i="323" s="1"/>
  <c r="F18" i="323"/>
  <c r="H13" i="323"/>
  <c r="H8" i="322"/>
  <c r="G8" i="322"/>
  <c r="H12" i="322"/>
  <c r="G12" i="322"/>
  <c r="H15" i="322"/>
  <c r="G15" i="322"/>
  <c r="I15" i="322" s="1"/>
  <c r="N18" i="322"/>
  <c r="H9" i="322"/>
  <c r="G14" i="322"/>
  <c r="H14" i="322"/>
  <c r="H16" i="322"/>
  <c r="G16" i="322"/>
  <c r="G13" i="322"/>
  <c r="F18" i="322"/>
  <c r="H13" i="322"/>
  <c r="N38" i="321"/>
  <c r="H35" i="321"/>
  <c r="G35" i="321"/>
  <c r="I35" i="321" s="1"/>
  <c r="H19" i="321"/>
  <c r="G19" i="321"/>
  <c r="N24" i="321"/>
  <c r="H10" i="321"/>
  <c r="G10" i="321"/>
  <c r="H52" i="321"/>
  <c r="G52" i="321"/>
  <c r="H21" i="321"/>
  <c r="E36" i="321"/>
  <c r="N21" i="321"/>
  <c r="E30" i="321"/>
  <c r="H10" i="320"/>
  <c r="G10" i="320"/>
  <c r="F34" i="320"/>
  <c r="N34" i="320"/>
  <c r="E35" i="320"/>
  <c r="F18" i="320"/>
  <c r="H51" i="320"/>
  <c r="G51" i="320"/>
  <c r="H52" i="320"/>
  <c r="G52" i="320"/>
  <c r="I52" i="320" s="1"/>
  <c r="H8" i="320"/>
  <c r="E37" i="320"/>
  <c r="N37" i="320" s="1"/>
  <c r="E47" i="320"/>
  <c r="F35" i="319"/>
  <c r="E36" i="319"/>
  <c r="N35" i="319"/>
  <c r="G10" i="319"/>
  <c r="H10" i="319"/>
  <c r="H53" i="319"/>
  <c r="G53" i="319"/>
  <c r="G52" i="319"/>
  <c r="I52" i="319" s="1"/>
  <c r="H52" i="319"/>
  <c r="N25" i="319"/>
  <c r="E31" i="319"/>
  <c r="N24" i="319"/>
  <c r="H12" i="318"/>
  <c r="G12" i="318"/>
  <c r="I12" i="318" s="1"/>
  <c r="H16" i="318"/>
  <c r="G16" i="318"/>
  <c r="I16" i="318" s="1"/>
  <c r="H14" i="318"/>
  <c r="G17" i="318"/>
  <c r="H17" i="318"/>
  <c r="I17" i="318" s="1"/>
  <c r="H8" i="318"/>
  <c r="G8" i="318"/>
  <c r="I8" i="318" s="1"/>
  <c r="O17" i="318"/>
  <c r="F11" i="315"/>
  <c r="G11" i="315" s="1"/>
  <c r="G12" i="317"/>
  <c r="H12" i="317"/>
  <c r="I12" i="317" s="1"/>
  <c r="H10" i="317"/>
  <c r="G10" i="317"/>
  <c r="G14" i="317"/>
  <c r="H14" i="317"/>
  <c r="G17" i="317"/>
  <c r="H8" i="317"/>
  <c r="H16" i="317"/>
  <c r="G8" i="317"/>
  <c r="G16" i="317"/>
  <c r="H12" i="315"/>
  <c r="G12" i="315"/>
  <c r="H8" i="315"/>
  <c r="G8" i="315"/>
  <c r="H14" i="315"/>
  <c r="G14" i="315"/>
  <c r="G9" i="315"/>
  <c r="H9" i="315"/>
  <c r="H16" i="315"/>
  <c r="G16" i="315"/>
  <c r="I16" i="315" s="1"/>
  <c r="H10" i="314"/>
  <c r="G10" i="314"/>
  <c r="I10" i="314" s="1"/>
  <c r="H39" i="314"/>
  <c r="G39" i="314"/>
  <c r="H56" i="314"/>
  <c r="G56" i="314"/>
  <c r="I56" i="314" s="1"/>
  <c r="F35" i="314"/>
  <c r="O35" i="314"/>
  <c r="H53" i="314"/>
  <c r="G53" i="314"/>
  <c r="H8" i="314"/>
  <c r="H11" i="314"/>
  <c r="G11" i="314"/>
  <c r="I11" i="314" s="1"/>
  <c r="H55" i="314"/>
  <c r="G55" i="314"/>
  <c r="H58" i="314"/>
  <c r="G58" i="314"/>
  <c r="I58" i="314" s="1"/>
  <c r="F52" i="314"/>
  <c r="O52" i="314"/>
  <c r="E16" i="314"/>
  <c r="F34" i="314"/>
  <c r="H37" i="314"/>
  <c r="I37" i="314" s="1"/>
  <c r="G41" i="314"/>
  <c r="H51" i="314"/>
  <c r="I51" i="314" s="1"/>
  <c r="E33" i="314"/>
  <c r="H41" i="314"/>
  <c r="E14" i="314"/>
  <c r="F14" i="314" s="1"/>
  <c r="O25" i="314"/>
  <c r="G40" i="314"/>
  <c r="O51" i="314"/>
  <c r="H40" i="314"/>
  <c r="G41" i="280"/>
  <c r="H40" i="280"/>
  <c r="H18" i="280"/>
  <c r="E32" i="319" l="1"/>
  <c r="E31" i="321"/>
  <c r="E32" i="321"/>
  <c r="I12" i="229"/>
  <c r="H20" i="321"/>
  <c r="I20" i="321" s="1"/>
  <c r="H11" i="240"/>
  <c r="I11" i="240" s="1"/>
  <c r="E30" i="319"/>
  <c r="N30" i="319" s="1"/>
  <c r="E13" i="321"/>
  <c r="E14" i="321" s="1"/>
  <c r="I48" i="328"/>
  <c r="I31" i="328"/>
  <c r="H48" i="326"/>
  <c r="I48" i="326"/>
  <c r="G34" i="326"/>
  <c r="I34" i="326" s="1"/>
  <c r="I8" i="325"/>
  <c r="I10" i="325"/>
  <c r="I10" i="318"/>
  <c r="I10" i="317"/>
  <c r="I8" i="315"/>
  <c r="I41" i="314"/>
  <c r="I15" i="324"/>
  <c r="I52" i="321"/>
  <c r="H8" i="321"/>
  <c r="I8" i="321" s="1"/>
  <c r="I10" i="326"/>
  <c r="I12" i="329"/>
  <c r="H11" i="329"/>
  <c r="F16" i="325"/>
  <c r="H16" i="325" s="1"/>
  <c r="E17" i="325"/>
  <c r="N17" i="325" s="1"/>
  <c r="G11" i="226"/>
  <c r="I11" i="226" s="1"/>
  <c r="P36" i="251"/>
  <c r="I53" i="314"/>
  <c r="H17" i="315"/>
  <c r="H11" i="315"/>
  <c r="I11" i="315" s="1"/>
  <c r="I14" i="315"/>
  <c r="I14" i="223"/>
  <c r="I10" i="324"/>
  <c r="E50" i="320"/>
  <c r="F50" i="320" s="1"/>
  <c r="E15" i="320"/>
  <c r="E22" i="319"/>
  <c r="N21" i="319"/>
  <c r="F19" i="319"/>
  <c r="G19" i="319" s="1"/>
  <c r="N23" i="320"/>
  <c r="N15" i="319"/>
  <c r="E16" i="319"/>
  <c r="F15" i="319"/>
  <c r="N47" i="321"/>
  <c r="E30" i="320"/>
  <c r="E31" i="320"/>
  <c r="N31" i="320" s="1"/>
  <c r="F15" i="321"/>
  <c r="E16" i="321"/>
  <c r="F16" i="321" s="1"/>
  <c r="F21" i="319"/>
  <c r="G10" i="209"/>
  <c r="H14" i="265"/>
  <c r="I14" i="265" s="1"/>
  <c r="I14" i="210"/>
  <c r="N48" i="321"/>
  <c r="I21" i="321"/>
  <c r="I19" i="321"/>
  <c r="I10" i="321"/>
  <c r="F14" i="320"/>
  <c r="H14" i="320" s="1"/>
  <c r="I51" i="320"/>
  <c r="I10" i="320"/>
  <c r="I53" i="319"/>
  <c r="I10" i="319"/>
  <c r="I14" i="322"/>
  <c r="I12" i="315"/>
  <c r="K24" i="252"/>
  <c r="I18" i="321"/>
  <c r="I39" i="314"/>
  <c r="I55" i="314"/>
  <c r="I13" i="324"/>
  <c r="I8" i="328"/>
  <c r="H11" i="259"/>
  <c r="E29" i="321"/>
  <c r="E51" i="321"/>
  <c r="F51" i="321" s="1"/>
  <c r="E50" i="321"/>
  <c r="F50" i="321" s="1"/>
  <c r="I28" i="326"/>
  <c r="I13" i="322"/>
  <c r="F23" i="314"/>
  <c r="I16" i="317"/>
  <c r="I14" i="323"/>
  <c r="I8" i="323"/>
  <c r="I14" i="324"/>
  <c r="I10" i="328"/>
  <c r="E13" i="319"/>
  <c r="E51" i="319"/>
  <c r="F51" i="319" s="1"/>
  <c r="I10" i="323"/>
  <c r="H22" i="314"/>
  <c r="G22" i="314"/>
  <c r="I22" i="314" s="1"/>
  <c r="G9" i="323"/>
  <c r="I9" i="323" s="1"/>
  <c r="F18" i="319"/>
  <c r="N29" i="320"/>
  <c r="G17" i="324"/>
  <c r="G16" i="323"/>
  <c r="I16" i="323" s="1"/>
  <c r="N18" i="319"/>
  <c r="I16" i="324"/>
  <c r="N13" i="320"/>
  <c r="I16" i="322"/>
  <c r="H17" i="323"/>
  <c r="I17" i="323" s="1"/>
  <c r="G9" i="324"/>
  <c r="I9" i="324" s="1"/>
  <c r="F47" i="321"/>
  <c r="I9" i="322"/>
  <c r="K29" i="252"/>
  <c r="G12" i="330"/>
  <c r="I12" i="330" s="1"/>
  <c r="I28" i="325"/>
  <c r="E13" i="328"/>
  <c r="F13" i="328" s="1"/>
  <c r="G13" i="328" s="1"/>
  <c r="E27" i="328"/>
  <c r="N27" i="328" s="1"/>
  <c r="N24" i="328"/>
  <c r="G34" i="325"/>
  <c r="I34" i="325" s="1"/>
  <c r="K44" i="252"/>
  <c r="F19" i="325"/>
  <c r="H11" i="330"/>
  <c r="I11" i="330" s="1"/>
  <c r="F33" i="325"/>
  <c r="G33" i="325" s="1"/>
  <c r="K45" i="252"/>
  <c r="I11" i="329"/>
  <c r="I11" i="259"/>
  <c r="I11" i="247"/>
  <c r="H10" i="225"/>
  <c r="K43" i="252"/>
  <c r="F19" i="326"/>
  <c r="H19" i="326" s="1"/>
  <c r="G11" i="331"/>
  <c r="H11" i="331"/>
  <c r="E24" i="325"/>
  <c r="E25" i="325"/>
  <c r="I34" i="328"/>
  <c r="G8" i="330"/>
  <c r="I8" i="331"/>
  <c r="I14" i="317"/>
  <c r="I17" i="315"/>
  <c r="I17" i="317"/>
  <c r="N49" i="319"/>
  <c r="N33" i="319"/>
  <c r="F48" i="319"/>
  <c r="F38" i="319"/>
  <c r="H38" i="319" s="1"/>
  <c r="I17" i="324"/>
  <c r="M24" i="252"/>
  <c r="G17" i="322"/>
  <c r="G10" i="322"/>
  <c r="G18" i="324"/>
  <c r="I18" i="324" s="1"/>
  <c r="K23" i="252"/>
  <c r="F13" i="320"/>
  <c r="N32" i="320"/>
  <c r="H17" i="322"/>
  <c r="N32" i="321"/>
  <c r="F32" i="321"/>
  <c r="N48" i="319"/>
  <c r="F37" i="321"/>
  <c r="K22" i="252"/>
  <c r="H10" i="241"/>
  <c r="I12" i="324"/>
  <c r="I12" i="323"/>
  <c r="I12" i="322"/>
  <c r="I13" i="331"/>
  <c r="G9" i="329"/>
  <c r="I9" i="329" s="1"/>
  <c r="I8" i="329"/>
  <c r="I13" i="329"/>
  <c r="H12" i="331"/>
  <c r="G12" i="331"/>
  <c r="F43" i="328"/>
  <c r="E44" i="328"/>
  <c r="N43" i="328"/>
  <c r="F25" i="328"/>
  <c r="N25" i="328"/>
  <c r="F19" i="328"/>
  <c r="N19" i="328"/>
  <c r="G24" i="328"/>
  <c r="H24" i="328"/>
  <c r="F13" i="326"/>
  <c r="E14" i="326"/>
  <c r="N13" i="326"/>
  <c r="N24" i="326"/>
  <c r="E27" i="326"/>
  <c r="F24" i="326"/>
  <c r="N30" i="326"/>
  <c r="F30" i="326"/>
  <c r="N25" i="326"/>
  <c r="F25" i="326"/>
  <c r="F32" i="326"/>
  <c r="N32" i="326"/>
  <c r="N16" i="326"/>
  <c r="E17" i="326"/>
  <c r="F43" i="326"/>
  <c r="N43" i="326"/>
  <c r="H33" i="326"/>
  <c r="G33" i="326"/>
  <c r="I33" i="326" s="1"/>
  <c r="F16" i="326"/>
  <c r="E44" i="325"/>
  <c r="N43" i="325"/>
  <c r="E14" i="325"/>
  <c r="N13" i="325"/>
  <c r="F13" i="325"/>
  <c r="E32" i="325"/>
  <c r="N30" i="325"/>
  <c r="F30" i="325"/>
  <c r="F43" i="325"/>
  <c r="I10" i="322"/>
  <c r="I8" i="324"/>
  <c r="H18" i="323"/>
  <c r="M23" i="252" s="1"/>
  <c r="G18" i="323"/>
  <c r="H18" i="322"/>
  <c r="G18" i="322"/>
  <c r="I8" i="322"/>
  <c r="F30" i="321"/>
  <c r="N30" i="321"/>
  <c r="N36" i="321"/>
  <c r="F36" i="321"/>
  <c r="H48" i="321"/>
  <c r="G48" i="321"/>
  <c r="N13" i="321"/>
  <c r="N31" i="321"/>
  <c r="F31" i="321"/>
  <c r="G18" i="320"/>
  <c r="H18" i="320"/>
  <c r="F30" i="320"/>
  <c r="N30" i="320"/>
  <c r="E19" i="320"/>
  <c r="N18" i="320"/>
  <c r="F35" i="320"/>
  <c r="E36" i="320"/>
  <c r="N35" i="320"/>
  <c r="F31" i="320"/>
  <c r="G34" i="320"/>
  <c r="H34" i="320"/>
  <c r="I8" i="320"/>
  <c r="E48" i="320"/>
  <c r="N47" i="320"/>
  <c r="G29" i="320"/>
  <c r="H29" i="320"/>
  <c r="F37" i="320"/>
  <c r="F47" i="320"/>
  <c r="F24" i="320"/>
  <c r="F23" i="320"/>
  <c r="N32" i="319"/>
  <c r="F32" i="319"/>
  <c r="H49" i="319"/>
  <c r="G49" i="319"/>
  <c r="I49" i="319" s="1"/>
  <c r="N31" i="319"/>
  <c r="F31" i="319"/>
  <c r="F36" i="319"/>
  <c r="N36" i="319"/>
  <c r="E37" i="319"/>
  <c r="G35" i="319"/>
  <c r="H35" i="319"/>
  <c r="I35" i="319" s="1"/>
  <c r="I9" i="315"/>
  <c r="I8" i="317"/>
  <c r="M29" i="252"/>
  <c r="I40" i="314"/>
  <c r="I8" i="314"/>
  <c r="H52" i="314"/>
  <c r="G52" i="314"/>
  <c r="I52" i="314" s="1"/>
  <c r="E31" i="314"/>
  <c r="E32" i="314"/>
  <c r="O14" i="314"/>
  <c r="E15" i="314"/>
  <c r="H34" i="314"/>
  <c r="G34" i="314"/>
  <c r="I34" i="314" s="1"/>
  <c r="O16" i="314"/>
  <c r="E17" i="314"/>
  <c r="F16" i="314"/>
  <c r="H14" i="314"/>
  <c r="G14" i="314"/>
  <c r="F19" i="314"/>
  <c r="E20" i="314"/>
  <c r="O19" i="314"/>
  <c r="O33" i="314"/>
  <c r="F33" i="314"/>
  <c r="O26" i="314"/>
  <c r="G35" i="314"/>
  <c r="H35" i="314"/>
  <c r="L23" i="252" l="1"/>
  <c r="F13" i="321"/>
  <c r="H13" i="321" s="1"/>
  <c r="F30" i="319"/>
  <c r="I60" i="314"/>
  <c r="I19" i="324"/>
  <c r="F19" i="324"/>
  <c r="E14" i="328"/>
  <c r="N13" i="328"/>
  <c r="H13" i="328"/>
  <c r="I13" i="328" s="1"/>
  <c r="G16" i="325"/>
  <c r="I16" i="325" s="1"/>
  <c r="F14" i="330"/>
  <c r="F17" i="325"/>
  <c r="I35" i="314"/>
  <c r="F60" i="314"/>
  <c r="G14" i="320"/>
  <c r="I14" i="320" s="1"/>
  <c r="M22" i="252"/>
  <c r="N39" i="319"/>
  <c r="G21" i="319"/>
  <c r="H21" i="319"/>
  <c r="H16" i="321"/>
  <c r="G16" i="321"/>
  <c r="I16" i="321"/>
  <c r="H19" i="319"/>
  <c r="I19" i="319" s="1"/>
  <c r="F22" i="319"/>
  <c r="N22" i="319"/>
  <c r="H15" i="321"/>
  <c r="G15" i="321"/>
  <c r="G15" i="319"/>
  <c r="H15" i="319"/>
  <c r="F15" i="320"/>
  <c r="N15" i="320"/>
  <c r="E16" i="320"/>
  <c r="N16" i="319"/>
  <c r="F16" i="319"/>
  <c r="G50" i="320"/>
  <c r="H50" i="320"/>
  <c r="I34" i="320"/>
  <c r="L29" i="252"/>
  <c r="N29" i="252" s="1"/>
  <c r="F27" i="328"/>
  <c r="H27" i="328" s="1"/>
  <c r="F29" i="321"/>
  <c r="N29" i="321"/>
  <c r="I18" i="320"/>
  <c r="H23" i="314"/>
  <c r="G23" i="314"/>
  <c r="I23" i="314" s="1"/>
  <c r="G51" i="321"/>
  <c r="H51" i="321"/>
  <c r="I51" i="321" s="1"/>
  <c r="G51" i="319"/>
  <c r="H51" i="319"/>
  <c r="I17" i="322"/>
  <c r="E14" i="319"/>
  <c r="N13" i="319"/>
  <c r="F13" i="319"/>
  <c r="G50" i="321"/>
  <c r="H50" i="321"/>
  <c r="I50" i="321" s="1"/>
  <c r="G18" i="319"/>
  <c r="H18" i="319"/>
  <c r="G47" i="321"/>
  <c r="H47" i="321"/>
  <c r="G38" i="319"/>
  <c r="I38" i="319" s="1"/>
  <c r="O24" i="252"/>
  <c r="Q24" i="252" s="1"/>
  <c r="I48" i="321"/>
  <c r="L24" i="252"/>
  <c r="N24" i="252" s="1"/>
  <c r="N23" i="252"/>
  <c r="F19" i="322"/>
  <c r="L22" i="252"/>
  <c r="E26" i="328"/>
  <c r="N26" i="328" s="1"/>
  <c r="M43" i="252"/>
  <c r="I11" i="331"/>
  <c r="H33" i="325"/>
  <c r="I33" i="325" s="1"/>
  <c r="G19" i="326"/>
  <c r="I19" i="326" s="1"/>
  <c r="L45" i="252"/>
  <c r="G19" i="325"/>
  <c r="H19" i="325"/>
  <c r="M44" i="252"/>
  <c r="F14" i="329"/>
  <c r="M45" i="252"/>
  <c r="I24" i="328"/>
  <c r="F14" i="331"/>
  <c r="E27" i="325"/>
  <c r="N24" i="325"/>
  <c r="F24" i="325"/>
  <c r="N25" i="325"/>
  <c r="F25" i="325"/>
  <c r="I8" i="330"/>
  <c r="L44" i="252"/>
  <c r="O43" i="252"/>
  <c r="Q43" i="252" s="1"/>
  <c r="L43" i="252"/>
  <c r="I19" i="315"/>
  <c r="O29" i="252"/>
  <c r="Q29" i="252" s="1"/>
  <c r="I29" i="320"/>
  <c r="H32" i="321"/>
  <c r="G32" i="321"/>
  <c r="G48" i="319"/>
  <c r="H48" i="319"/>
  <c r="G37" i="321"/>
  <c r="H37" i="321"/>
  <c r="G13" i="320"/>
  <c r="H13" i="320"/>
  <c r="I14" i="329"/>
  <c r="I12" i="331"/>
  <c r="H25" i="328"/>
  <c r="G25" i="328"/>
  <c r="N14" i="328"/>
  <c r="F14" i="328"/>
  <c r="H43" i="328"/>
  <c r="G43" i="328"/>
  <c r="N44" i="328"/>
  <c r="F44" i="328"/>
  <c r="H19" i="328"/>
  <c r="G19" i="328"/>
  <c r="H30" i="326"/>
  <c r="G30" i="326"/>
  <c r="H24" i="326"/>
  <c r="G24" i="326"/>
  <c r="I24" i="326" s="1"/>
  <c r="F14" i="326"/>
  <c r="N14" i="326"/>
  <c r="H25" i="326"/>
  <c r="G25" i="326"/>
  <c r="N44" i="326"/>
  <c r="F44" i="326"/>
  <c r="F27" i="326"/>
  <c r="N27" i="326"/>
  <c r="E26" i="326"/>
  <c r="H16" i="326"/>
  <c r="G16" i="326"/>
  <c r="I16" i="326" s="1"/>
  <c r="H43" i="326"/>
  <c r="G43" i="326"/>
  <c r="N17" i="326"/>
  <c r="F17" i="326"/>
  <c r="H13" i="326"/>
  <c r="G13" i="326"/>
  <c r="G32" i="326"/>
  <c r="H32" i="326"/>
  <c r="I32" i="326" s="1"/>
  <c r="N31" i="326"/>
  <c r="F31" i="326"/>
  <c r="F32" i="325"/>
  <c r="N32" i="325"/>
  <c r="G43" i="325"/>
  <c r="H43" i="325"/>
  <c r="H13" i="325"/>
  <c r="G13" i="325"/>
  <c r="G17" i="325"/>
  <c r="H17" i="325"/>
  <c r="N31" i="325"/>
  <c r="F31" i="325"/>
  <c r="H30" i="325"/>
  <c r="G30" i="325"/>
  <c r="N14" i="325"/>
  <c r="F14" i="325"/>
  <c r="N44" i="325"/>
  <c r="F44" i="325"/>
  <c r="F19" i="323"/>
  <c r="I18" i="323"/>
  <c r="I19" i="323" s="1"/>
  <c r="I18" i="322"/>
  <c r="N14" i="321"/>
  <c r="F14" i="321"/>
  <c r="H31" i="321"/>
  <c r="G31" i="321"/>
  <c r="H36" i="321"/>
  <c r="G36" i="321"/>
  <c r="H30" i="321"/>
  <c r="G30" i="321"/>
  <c r="N19" i="320"/>
  <c r="F19" i="320"/>
  <c r="H23" i="320"/>
  <c r="G23" i="320"/>
  <c r="I23" i="320" s="1"/>
  <c r="N48" i="320"/>
  <c r="F48" i="320"/>
  <c r="H31" i="320"/>
  <c r="G31" i="320"/>
  <c r="H30" i="320"/>
  <c r="G30" i="320"/>
  <c r="I30" i="320" s="1"/>
  <c r="H24" i="320"/>
  <c r="G24" i="320"/>
  <c r="G47" i="320"/>
  <c r="H47" i="320"/>
  <c r="H37" i="320"/>
  <c r="G37" i="320"/>
  <c r="F36" i="320"/>
  <c r="N36" i="320"/>
  <c r="H35" i="320"/>
  <c r="G35" i="320"/>
  <c r="H31" i="319"/>
  <c r="G31" i="319"/>
  <c r="H36" i="319"/>
  <c r="G36" i="319"/>
  <c r="H32" i="319"/>
  <c r="G32" i="319"/>
  <c r="G30" i="319"/>
  <c r="H30" i="319"/>
  <c r="N37" i="319"/>
  <c r="F37" i="319"/>
  <c r="F19" i="315"/>
  <c r="O17" i="314"/>
  <c r="F17" i="314"/>
  <c r="F20" i="314"/>
  <c r="O20" i="314"/>
  <c r="G19" i="314"/>
  <c r="H19" i="314"/>
  <c r="O15" i="314"/>
  <c r="F15" i="314"/>
  <c r="F31" i="314"/>
  <c r="O31" i="314"/>
  <c r="I14" i="314"/>
  <c r="H33" i="314"/>
  <c r="G33" i="314"/>
  <c r="I33" i="314" s="1"/>
  <c r="H16" i="314"/>
  <c r="G16" i="314"/>
  <c r="I16" i="314" s="1"/>
  <c r="F32" i="314"/>
  <c r="O32" i="314"/>
  <c r="G13" i="321" l="1"/>
  <c r="K24" i="251"/>
  <c r="I35" i="320"/>
  <c r="G27" i="328"/>
  <c r="I27" i="328" s="1"/>
  <c r="K30" i="251"/>
  <c r="I15" i="321"/>
  <c r="I21" i="319"/>
  <c r="N22" i="252"/>
  <c r="I50" i="320"/>
  <c r="H16" i="319"/>
  <c r="G16" i="319"/>
  <c r="I51" i="319"/>
  <c r="I15" i="319"/>
  <c r="F16" i="320"/>
  <c r="N16" i="320"/>
  <c r="G22" i="319"/>
  <c r="H22" i="319"/>
  <c r="H15" i="320"/>
  <c r="G15" i="320"/>
  <c r="F54" i="321"/>
  <c r="N50" i="321"/>
  <c r="N51" i="321" s="1"/>
  <c r="I36" i="321"/>
  <c r="F55" i="319"/>
  <c r="I30" i="319"/>
  <c r="N14" i="319"/>
  <c r="N51" i="319" s="1"/>
  <c r="N52" i="319" s="1"/>
  <c r="F14" i="319"/>
  <c r="I30" i="326"/>
  <c r="G29" i="321"/>
  <c r="H29" i="321"/>
  <c r="I14" i="331"/>
  <c r="O60" i="314"/>
  <c r="I19" i="322"/>
  <c r="H13" i="319"/>
  <c r="G13" i="319"/>
  <c r="I31" i="321"/>
  <c r="I30" i="321"/>
  <c r="I18" i="319"/>
  <c r="I47" i="320"/>
  <c r="I48" i="319"/>
  <c r="I55" i="319" s="1"/>
  <c r="I32" i="319"/>
  <c r="I32" i="321"/>
  <c r="I47" i="321"/>
  <c r="I54" i="321" s="1"/>
  <c r="N43" i="252"/>
  <c r="F26" i="328"/>
  <c r="H26" i="328" s="1"/>
  <c r="I25" i="328"/>
  <c r="N45" i="252"/>
  <c r="I17" i="325"/>
  <c r="G26" i="328"/>
  <c r="I26" i="328" s="1"/>
  <c r="I19" i="328"/>
  <c r="I19" i="325"/>
  <c r="N44" i="252"/>
  <c r="I25" i="326"/>
  <c r="I13" i="325"/>
  <c r="H25" i="325"/>
  <c r="G25" i="325"/>
  <c r="I30" i="325"/>
  <c r="O45" i="252"/>
  <c r="Q45" i="252" s="1"/>
  <c r="G24" i="325"/>
  <c r="H24" i="325"/>
  <c r="I13" i="326"/>
  <c r="N27" i="325"/>
  <c r="F27" i="325"/>
  <c r="E26" i="325"/>
  <c r="O44" i="252"/>
  <c r="Q44" i="252" s="1"/>
  <c r="I14" i="330"/>
  <c r="I13" i="321"/>
  <c r="I37" i="321"/>
  <c r="I24" i="320"/>
  <c r="O23" i="252"/>
  <c r="Q23" i="252" s="1"/>
  <c r="I13" i="320"/>
  <c r="I31" i="319"/>
  <c r="O22" i="252"/>
  <c r="Q22" i="252" s="1"/>
  <c r="I36" i="319"/>
  <c r="I31" i="320"/>
  <c r="I43" i="328"/>
  <c r="H14" i="328"/>
  <c r="G14" i="328"/>
  <c r="H44" i="328"/>
  <c r="G44" i="328"/>
  <c r="H17" i="326"/>
  <c r="G17" i="326"/>
  <c r="F26" i="326"/>
  <c r="N26" i="326"/>
  <c r="I43" i="326"/>
  <c r="H14" i="326"/>
  <c r="G14" i="326"/>
  <c r="G27" i="326"/>
  <c r="H27" i="326"/>
  <c r="H44" i="326"/>
  <c r="G44" i="326"/>
  <c r="H31" i="326"/>
  <c r="G31" i="326"/>
  <c r="G32" i="325"/>
  <c r="H32" i="325"/>
  <c r="I43" i="325"/>
  <c r="H14" i="325"/>
  <c r="G14" i="325"/>
  <c r="H44" i="325"/>
  <c r="G44" i="325"/>
  <c r="H31" i="325"/>
  <c r="G31" i="325"/>
  <c r="H14" i="321"/>
  <c r="M24" i="251" s="1"/>
  <c r="G14" i="321"/>
  <c r="I37" i="320"/>
  <c r="G19" i="320"/>
  <c r="H19" i="320"/>
  <c r="H48" i="320"/>
  <c r="G48" i="320"/>
  <c r="I48" i="320" s="1"/>
  <c r="H36" i="320"/>
  <c r="G36" i="320"/>
  <c r="I36" i="320" s="1"/>
  <c r="N50" i="320"/>
  <c r="N51" i="320" s="1"/>
  <c r="H37" i="319"/>
  <c r="G37" i="319"/>
  <c r="I19" i="314"/>
  <c r="H15" i="314"/>
  <c r="G15" i="314"/>
  <c r="L30" i="251" s="1"/>
  <c r="H32" i="314"/>
  <c r="G32" i="314"/>
  <c r="I32" i="314"/>
  <c r="H20" i="314"/>
  <c r="G20" i="314"/>
  <c r="G31" i="314"/>
  <c r="I31" i="314" s="1"/>
  <c r="H31" i="314"/>
  <c r="H17" i="314"/>
  <c r="G17" i="314"/>
  <c r="I15" i="320" l="1"/>
  <c r="I16" i="319"/>
  <c r="I17" i="314"/>
  <c r="M30" i="251"/>
  <c r="N30" i="251" s="1"/>
  <c r="I22" i="319"/>
  <c r="I13" i="319"/>
  <c r="G16" i="320"/>
  <c r="L23" i="251" s="1"/>
  <c r="H16" i="320"/>
  <c r="I16" i="320" s="1"/>
  <c r="I29" i="321"/>
  <c r="I54" i="320"/>
  <c r="F43" i="314"/>
  <c r="F61" i="314" s="1"/>
  <c r="K61" i="314" s="1"/>
  <c r="H14" i="319"/>
  <c r="G14" i="319"/>
  <c r="L22" i="251" s="1"/>
  <c r="I17" i="326"/>
  <c r="I37" i="319"/>
  <c r="F39" i="321"/>
  <c r="F55" i="321" s="1"/>
  <c r="K51" i="321" s="1"/>
  <c r="I44" i="326"/>
  <c r="I32" i="325"/>
  <c r="I31" i="325"/>
  <c r="I14" i="325"/>
  <c r="I27" i="326"/>
  <c r="I24" i="325"/>
  <c r="I44" i="328"/>
  <c r="I44" i="325"/>
  <c r="I14" i="328"/>
  <c r="I35" i="328" s="1"/>
  <c r="G27" i="325"/>
  <c r="H27" i="325"/>
  <c r="I14" i="326"/>
  <c r="I25" i="325"/>
  <c r="N26" i="325"/>
  <c r="F26" i="325"/>
  <c r="F35" i="328"/>
  <c r="L24" i="251"/>
  <c r="I14" i="321"/>
  <c r="I39" i="321" s="1"/>
  <c r="F54" i="320"/>
  <c r="I31" i="326"/>
  <c r="H26" i="326"/>
  <c r="G26" i="326"/>
  <c r="I19" i="320"/>
  <c r="I20" i="314"/>
  <c r="I15" i="314"/>
  <c r="F39" i="320" l="1"/>
  <c r="F55" i="320" s="1"/>
  <c r="K51" i="320" s="1"/>
  <c r="F40" i="319"/>
  <c r="F56" i="319" s="1"/>
  <c r="K52" i="319" s="1"/>
  <c r="I39" i="320"/>
  <c r="O23" i="251" s="1"/>
  <c r="M23" i="251"/>
  <c r="I43" i="314"/>
  <c r="I61" i="314" s="1"/>
  <c r="I63" i="314" s="1"/>
  <c r="M22" i="251"/>
  <c r="I14" i="319"/>
  <c r="I40" i="319" s="1"/>
  <c r="I56" i="319" s="1"/>
  <c r="I58" i="319" s="1"/>
  <c r="F35" i="326"/>
  <c r="I27" i="325"/>
  <c r="I26" i="326"/>
  <c r="I35" i="326" s="1"/>
  <c r="H26" i="325"/>
  <c r="G26" i="325"/>
  <c r="I55" i="321"/>
  <c r="I57" i="321" s="1"/>
  <c r="O24" i="251"/>
  <c r="I55" i="320" l="1"/>
  <c r="I57" i="320" s="1"/>
  <c r="K22" i="251"/>
  <c r="K23" i="251"/>
  <c r="O30" i="251"/>
  <c r="N22" i="251"/>
  <c r="O22" i="251"/>
  <c r="I26" i="325"/>
  <c r="I35" i="325" s="1"/>
  <c r="F35" i="325"/>
  <c r="L14" i="225"/>
  <c r="L21" i="228"/>
  <c r="E51" i="228" s="1"/>
  <c r="L17" i="269"/>
  <c r="L16" i="286"/>
  <c r="L16" i="288"/>
  <c r="L16" i="268"/>
  <c r="L17" i="222"/>
  <c r="L16" i="263"/>
  <c r="E58" i="263" s="1"/>
  <c r="L15" i="279"/>
  <c r="L15" i="280"/>
  <c r="L15" i="281"/>
  <c r="L15" i="262"/>
  <c r="L16" i="209"/>
  <c r="E34" i="286" l="1"/>
  <c r="F34" i="286" s="1"/>
  <c r="E35" i="286"/>
  <c r="F35" i="286" s="1"/>
  <c r="E33" i="286"/>
  <c r="F33" i="286" s="1"/>
  <c r="E16" i="286"/>
  <c r="E17" i="286" s="1"/>
  <c r="E14" i="286"/>
  <c r="E16" i="280"/>
  <c r="E14" i="280"/>
  <c r="E15" i="280" s="1"/>
  <c r="E33" i="280" s="1"/>
  <c r="F33" i="280" s="1"/>
  <c r="E14" i="279"/>
  <c r="E35" i="279"/>
  <c r="F35" i="279" s="1"/>
  <c r="E36" i="279"/>
  <c r="E33" i="279"/>
  <c r="F33" i="279" s="1"/>
  <c r="E16" i="279"/>
  <c r="E26" i="309"/>
  <c r="E45" i="309"/>
  <c r="E44" i="309"/>
  <c r="E27" i="309"/>
  <c r="O27" i="309" s="1"/>
  <c r="E19" i="309"/>
  <c r="O19" i="309" s="1"/>
  <c r="E45" i="307"/>
  <c r="E26" i="307"/>
  <c r="F26" i="307" s="1"/>
  <c r="H26" i="307" s="1"/>
  <c r="E44" i="307"/>
  <c r="O44" i="307" s="1"/>
  <c r="E25" i="307"/>
  <c r="E8" i="312" s="1"/>
  <c r="O8" i="312" s="1"/>
  <c r="E24" i="307"/>
  <c r="E19" i="307"/>
  <c r="O19" i="307" s="1"/>
  <c r="E13" i="307"/>
  <c r="E14" i="307" s="1"/>
  <c r="O27" i="307"/>
  <c r="E27" i="256"/>
  <c r="O27" i="256" s="1"/>
  <c r="E20" i="256"/>
  <c r="O20" i="256" s="1"/>
  <c r="E46" i="325"/>
  <c r="E47" i="325"/>
  <c r="E9" i="318"/>
  <c r="E11" i="318"/>
  <c r="E11" i="317"/>
  <c r="E9" i="317"/>
  <c r="E11" i="284"/>
  <c r="O11" i="284" s="1"/>
  <c r="E9" i="284"/>
  <c r="E11" i="283"/>
  <c r="E9" i="283"/>
  <c r="F24" i="313"/>
  <c r="F23" i="313"/>
  <c r="H21" i="313"/>
  <c r="P38" i="251" s="1"/>
  <c r="H20" i="313"/>
  <c r="H19" i="313"/>
  <c r="E19" i="313"/>
  <c r="E25" i="313" s="1"/>
  <c r="D13" i="312"/>
  <c r="F13" i="312" s="1"/>
  <c r="O12" i="312"/>
  <c r="D12" i="312"/>
  <c r="O11" i="312"/>
  <c r="D11" i="312"/>
  <c r="O10" i="312"/>
  <c r="O9" i="312"/>
  <c r="D9" i="312"/>
  <c r="F9" i="312" s="1"/>
  <c r="G9" i="312" s="1"/>
  <c r="D8" i="312"/>
  <c r="O13" i="311"/>
  <c r="D13" i="311"/>
  <c r="O12" i="311"/>
  <c r="D12" i="311"/>
  <c r="F12" i="311" s="1"/>
  <c r="H12" i="311" s="1"/>
  <c r="O11" i="311"/>
  <c r="D11" i="311"/>
  <c r="F11" i="311" s="1"/>
  <c r="G11" i="311" s="1"/>
  <c r="O10" i="311"/>
  <c r="O9" i="311"/>
  <c r="D9" i="311"/>
  <c r="F9" i="311" s="1"/>
  <c r="D8" i="311"/>
  <c r="O13" i="310"/>
  <c r="D13" i="310"/>
  <c r="O12" i="310"/>
  <c r="F12" i="310"/>
  <c r="D12" i="310"/>
  <c r="O11" i="310"/>
  <c r="D11" i="310"/>
  <c r="F11" i="310" s="1"/>
  <c r="O10" i="310"/>
  <c r="O9" i="310"/>
  <c r="D9" i="310"/>
  <c r="F9" i="310" s="1"/>
  <c r="G9" i="310" s="1"/>
  <c r="E8" i="310"/>
  <c r="O8" i="310" s="1"/>
  <c r="D8" i="310"/>
  <c r="O47" i="309"/>
  <c r="E46" i="309"/>
  <c r="O46" i="309" s="1"/>
  <c r="D46" i="309"/>
  <c r="O45" i="309"/>
  <c r="D45" i="309"/>
  <c r="D44" i="309"/>
  <c r="O43" i="309"/>
  <c r="D42" i="309"/>
  <c r="E41" i="309"/>
  <c r="O41" i="309" s="1"/>
  <c r="D41" i="309"/>
  <c r="O40" i="309"/>
  <c r="O39" i="309"/>
  <c r="O38" i="309"/>
  <c r="O37" i="309"/>
  <c r="O36" i="309"/>
  <c r="O35" i="309"/>
  <c r="O34" i="309"/>
  <c r="O33" i="309"/>
  <c r="E32" i="309"/>
  <c r="O32" i="309" s="1"/>
  <c r="D32" i="309"/>
  <c r="F29" i="309"/>
  <c r="O28" i="309"/>
  <c r="O23" i="309"/>
  <c r="O22" i="309"/>
  <c r="O21" i="309"/>
  <c r="O20" i="309"/>
  <c r="F19" i="309"/>
  <c r="O18" i="309"/>
  <c r="D17" i="309"/>
  <c r="O16" i="309"/>
  <c r="D16" i="309"/>
  <c r="O15" i="309"/>
  <c r="D14" i="309"/>
  <c r="E24" i="309"/>
  <c r="E13" i="309"/>
  <c r="O13" i="309" s="1"/>
  <c r="D13" i="309"/>
  <c r="O12" i="309"/>
  <c r="O11" i="309"/>
  <c r="O10" i="309"/>
  <c r="D10" i="309"/>
  <c r="F10" i="309" s="1"/>
  <c r="O9" i="309"/>
  <c r="L9" i="309"/>
  <c r="L8" i="309"/>
  <c r="E8" i="309"/>
  <c r="O8" i="309" s="1"/>
  <c r="D8" i="309"/>
  <c r="O7" i="309"/>
  <c r="L7" i="309"/>
  <c r="O6" i="309"/>
  <c r="O47" i="308"/>
  <c r="E46" i="308"/>
  <c r="O46" i="308" s="1"/>
  <c r="D46" i="308"/>
  <c r="O45" i="308"/>
  <c r="O44" i="308"/>
  <c r="D44" i="308"/>
  <c r="O43" i="308"/>
  <c r="D42" i="308"/>
  <c r="E41" i="308"/>
  <c r="D41" i="308"/>
  <c r="O40" i="308"/>
  <c r="O39" i="308"/>
  <c r="O38" i="308"/>
  <c r="O37" i="308"/>
  <c r="O36" i="308"/>
  <c r="O35" i="308"/>
  <c r="O34" i="308"/>
  <c r="O33" i="308"/>
  <c r="O32" i="308"/>
  <c r="D32" i="308"/>
  <c r="F32" i="308" s="1"/>
  <c r="O31" i="308"/>
  <c r="F31" i="308"/>
  <c r="O30" i="308"/>
  <c r="F30" i="308"/>
  <c r="O29" i="308"/>
  <c r="F29" i="308"/>
  <c r="H29" i="308" s="1"/>
  <c r="O28" i="308"/>
  <c r="O27" i="308"/>
  <c r="F27" i="308"/>
  <c r="O26" i="308"/>
  <c r="F26" i="308"/>
  <c r="H26" i="308" s="1"/>
  <c r="O25" i="308"/>
  <c r="F25" i="308"/>
  <c r="O24" i="308"/>
  <c r="F24" i="308"/>
  <c r="H24" i="308" s="1"/>
  <c r="O23" i="308"/>
  <c r="O22" i="308"/>
  <c r="O21" i="308"/>
  <c r="O20" i="308"/>
  <c r="O19" i="308"/>
  <c r="D19" i="308"/>
  <c r="F19" i="308" s="1"/>
  <c r="O18" i="308"/>
  <c r="E17" i="308"/>
  <c r="O17" i="308" s="1"/>
  <c r="D17" i="308"/>
  <c r="O16" i="308"/>
  <c r="D16" i="308"/>
  <c r="F16" i="308" s="1"/>
  <c r="G16" i="308" s="1"/>
  <c r="O15" i="308"/>
  <c r="E14" i="308"/>
  <c r="O14" i="308" s="1"/>
  <c r="D14" i="308"/>
  <c r="O13" i="308"/>
  <c r="D13" i="308"/>
  <c r="F13" i="308" s="1"/>
  <c r="G13" i="308" s="1"/>
  <c r="O12" i="308"/>
  <c r="O11" i="308"/>
  <c r="O10" i="308"/>
  <c r="D10" i="308"/>
  <c r="F10" i="308" s="1"/>
  <c r="O9" i="308"/>
  <c r="L9" i="308"/>
  <c r="L8" i="308"/>
  <c r="E8" i="308"/>
  <c r="O8" i="308" s="1"/>
  <c r="D8" i="308"/>
  <c r="O7" i="308"/>
  <c r="L7" i="308"/>
  <c r="O6" i="308"/>
  <c r="O47" i="307"/>
  <c r="E46" i="307"/>
  <c r="O46" i="307" s="1"/>
  <c r="D46" i="307"/>
  <c r="O45" i="307"/>
  <c r="D45" i="307"/>
  <c r="D44" i="307"/>
  <c r="O43" i="307"/>
  <c r="D42" i="307"/>
  <c r="D41" i="307"/>
  <c r="F41" i="307" s="1"/>
  <c r="O40" i="307"/>
  <c r="O39" i="307"/>
  <c r="O38" i="307"/>
  <c r="O37" i="307"/>
  <c r="O36" i="307"/>
  <c r="O35" i="307"/>
  <c r="O34" i="307"/>
  <c r="O33" i="307"/>
  <c r="O32" i="307"/>
  <c r="F32" i="307"/>
  <c r="O31" i="307"/>
  <c r="F31" i="307"/>
  <c r="H31" i="307" s="1"/>
  <c r="O30" i="307"/>
  <c r="F30" i="307"/>
  <c r="H30" i="307" s="1"/>
  <c r="O29" i="307"/>
  <c r="F29" i="307"/>
  <c r="O28" i="307"/>
  <c r="F27" i="307"/>
  <c r="O25" i="307"/>
  <c r="F25" i="307"/>
  <c r="O24" i="307"/>
  <c r="F24" i="307"/>
  <c r="H24" i="307" s="1"/>
  <c r="O23" i="307"/>
  <c r="O22" i="307"/>
  <c r="O21" i="307"/>
  <c r="O20" i="307"/>
  <c r="D19" i="307"/>
  <c r="O18" i="307"/>
  <c r="E17" i="307"/>
  <c r="D17" i="307"/>
  <c r="O16" i="307"/>
  <c r="D16" i="307"/>
  <c r="F16" i="307" s="1"/>
  <c r="O15" i="307"/>
  <c r="D14" i="307"/>
  <c r="O13" i="307"/>
  <c r="D13" i="307"/>
  <c r="O12" i="307"/>
  <c r="O11" i="307"/>
  <c r="O10" i="307"/>
  <c r="D10" i="307"/>
  <c r="O9" i="307"/>
  <c r="L9" i="307"/>
  <c r="L8" i="307"/>
  <c r="E8" i="307"/>
  <c r="O8" i="307" s="1"/>
  <c r="D8" i="307"/>
  <c r="F8" i="307" s="1"/>
  <c r="O7" i="307"/>
  <c r="L7" i="307"/>
  <c r="O6" i="307"/>
  <c r="H14" i="299"/>
  <c r="H13" i="299"/>
  <c r="H12" i="299"/>
  <c r="E12" i="299"/>
  <c r="E11" i="299"/>
  <c r="E10" i="299"/>
  <c r="E8" i="299"/>
  <c r="H7" i="299"/>
  <c r="E7" i="299"/>
  <c r="G14" i="292"/>
  <c r="E14" i="292"/>
  <c r="H16" i="292"/>
  <c r="E16" i="292"/>
  <c r="H15" i="292"/>
  <c r="E15" i="292"/>
  <c r="H13" i="292"/>
  <c r="E13" i="292"/>
  <c r="H11" i="292"/>
  <c r="E11" i="292"/>
  <c r="H10" i="292"/>
  <c r="E10" i="292"/>
  <c r="H8" i="292"/>
  <c r="E8" i="292"/>
  <c r="H7" i="292"/>
  <c r="E7" i="292"/>
  <c r="O59" i="288"/>
  <c r="E58" i="288"/>
  <c r="O58" i="288" s="1"/>
  <c r="D58" i="288"/>
  <c r="O57" i="288"/>
  <c r="D57" i="288"/>
  <c r="E56" i="288"/>
  <c r="O56" i="288" s="1"/>
  <c r="D56" i="288"/>
  <c r="E55" i="288"/>
  <c r="O55" i="288" s="1"/>
  <c r="D55" i="288"/>
  <c r="O54" i="288"/>
  <c r="E53" i="288"/>
  <c r="O53" i="288" s="1"/>
  <c r="D53" i="288"/>
  <c r="E51" i="288"/>
  <c r="E52" i="288" s="1"/>
  <c r="O52" i="288" s="1"/>
  <c r="O50" i="288"/>
  <c r="O49" i="288"/>
  <c r="O48" i="288"/>
  <c r="O47" i="288"/>
  <c r="O46" i="288"/>
  <c r="O45" i="288"/>
  <c r="O44" i="288"/>
  <c r="O43" i="288"/>
  <c r="O42" i="288"/>
  <c r="O41" i="288"/>
  <c r="F41" i="288"/>
  <c r="G41" i="288" s="1"/>
  <c r="O40" i="288"/>
  <c r="D40" i="288"/>
  <c r="F40" i="288" s="1"/>
  <c r="H40" i="288" s="1"/>
  <c r="O39" i="288"/>
  <c r="D39" i="288"/>
  <c r="F39" i="288" s="1"/>
  <c r="H39" i="288" s="1"/>
  <c r="D38" i="288"/>
  <c r="E37" i="288"/>
  <c r="O37" i="288" s="1"/>
  <c r="D37" i="288"/>
  <c r="O36" i="288"/>
  <c r="D35" i="288"/>
  <c r="D34" i="288"/>
  <c r="D33" i="288"/>
  <c r="D32" i="288"/>
  <c r="D31" i="288"/>
  <c r="O30" i="288"/>
  <c r="O29" i="288"/>
  <c r="O28" i="288"/>
  <c r="O27" i="288"/>
  <c r="O24" i="288"/>
  <c r="D23" i="288"/>
  <c r="E22" i="288"/>
  <c r="E23" i="288" s="1"/>
  <c r="O23" i="288" s="1"/>
  <c r="D22" i="288"/>
  <c r="O21" i="288"/>
  <c r="D20" i="288"/>
  <c r="D19" i="288"/>
  <c r="O18" i="288"/>
  <c r="D17" i="288"/>
  <c r="D16" i="288"/>
  <c r="D15" i="288"/>
  <c r="D14" i="288"/>
  <c r="O13" i="288"/>
  <c r="O12" i="288"/>
  <c r="O11" i="288"/>
  <c r="D11" i="288"/>
  <c r="F11" i="288" s="1"/>
  <c r="G11" i="288" s="1"/>
  <c r="O10" i="288"/>
  <c r="D10" i="288"/>
  <c r="F10" i="288" s="1"/>
  <c r="O9" i="288"/>
  <c r="L9" i="288"/>
  <c r="L8" i="288"/>
  <c r="F14" i="292" s="1"/>
  <c r="E8" i="288"/>
  <c r="O8" i="288" s="1"/>
  <c r="D8" i="288"/>
  <c r="F8" i="288" s="1"/>
  <c r="O7" i="288"/>
  <c r="L7" i="288"/>
  <c r="O6" i="288"/>
  <c r="O59" i="286"/>
  <c r="E58" i="286"/>
  <c r="O58" i="286" s="1"/>
  <c r="D58" i="286"/>
  <c r="O57" i="286"/>
  <c r="D57" i="286"/>
  <c r="E56" i="286"/>
  <c r="O56" i="286" s="1"/>
  <c r="D56" i="286"/>
  <c r="E55" i="286"/>
  <c r="O55" i="286" s="1"/>
  <c r="D55" i="286"/>
  <c r="O54" i="286"/>
  <c r="O53" i="286"/>
  <c r="D53" i="286"/>
  <c r="F53" i="286" s="1"/>
  <c r="O51" i="286"/>
  <c r="F51" i="286"/>
  <c r="G51" i="286" s="1"/>
  <c r="O50" i="286"/>
  <c r="O49" i="286"/>
  <c r="O48" i="286"/>
  <c r="O47" i="286"/>
  <c r="O46" i="286"/>
  <c r="O45" i="286"/>
  <c r="O44" i="286"/>
  <c r="O43" i="286"/>
  <c r="O42" i="286"/>
  <c r="O41" i="286"/>
  <c r="O40" i="286"/>
  <c r="O39" i="286"/>
  <c r="O38" i="286"/>
  <c r="D38" i="286"/>
  <c r="F38" i="286" s="1"/>
  <c r="O37" i="286"/>
  <c r="D37" i="286"/>
  <c r="F37" i="286" s="1"/>
  <c r="O36" i="286"/>
  <c r="O35" i="286"/>
  <c r="O34" i="286"/>
  <c r="O33" i="286"/>
  <c r="D32" i="286"/>
  <c r="E31" i="286"/>
  <c r="D31" i="286"/>
  <c r="O30" i="286"/>
  <c r="O29" i="286"/>
  <c r="O28" i="286"/>
  <c r="O27" i="286"/>
  <c r="O26" i="286"/>
  <c r="O25" i="286"/>
  <c r="O24" i="286"/>
  <c r="O23" i="286"/>
  <c r="D23" i="286"/>
  <c r="F23" i="286" s="1"/>
  <c r="O22" i="286"/>
  <c r="D22" i="286"/>
  <c r="F22" i="286" s="1"/>
  <c r="G22" i="286" s="1"/>
  <c r="O21" i="286"/>
  <c r="O20" i="286"/>
  <c r="D20" i="286"/>
  <c r="F20" i="286" s="1"/>
  <c r="O19" i="286"/>
  <c r="D19" i="286"/>
  <c r="F19" i="286" s="1"/>
  <c r="O18" i="286"/>
  <c r="O17" i="286"/>
  <c r="D17" i="286"/>
  <c r="F17" i="286" s="1"/>
  <c r="O16" i="286"/>
  <c r="D16" i="286"/>
  <c r="F16" i="286" s="1"/>
  <c r="D15" i="286"/>
  <c r="O14" i="286"/>
  <c r="D14" i="286"/>
  <c r="F14" i="286" s="1"/>
  <c r="O13" i="286"/>
  <c r="O12" i="286"/>
  <c r="E11" i="286"/>
  <c r="O11" i="286" s="1"/>
  <c r="D11" i="286"/>
  <c r="O10" i="286"/>
  <c r="D10" i="286"/>
  <c r="F10" i="286" s="1"/>
  <c r="O9" i="286"/>
  <c r="L9" i="286"/>
  <c r="O8" i="286"/>
  <c r="L8" i="286"/>
  <c r="E8" i="286"/>
  <c r="D8" i="286"/>
  <c r="O7" i="286"/>
  <c r="L7" i="286"/>
  <c r="O6" i="286"/>
  <c r="G13" i="285"/>
  <c r="H13" i="285" s="1"/>
  <c r="H12" i="285"/>
  <c r="H11" i="285"/>
  <c r="E11" i="285"/>
  <c r="E10" i="285"/>
  <c r="E9" i="285"/>
  <c r="E8" i="285"/>
  <c r="H7" i="285"/>
  <c r="E7" i="285"/>
  <c r="O18" i="284"/>
  <c r="E17" i="284"/>
  <c r="O17" i="284" s="1"/>
  <c r="D17" i="284"/>
  <c r="E16" i="284"/>
  <c r="O16" i="284" s="1"/>
  <c r="D16" i="284"/>
  <c r="F16" i="284" s="1"/>
  <c r="E15" i="284"/>
  <c r="O15" i="284" s="1"/>
  <c r="D15" i="284"/>
  <c r="O14" i="284"/>
  <c r="E14" i="284"/>
  <c r="D14" i="284"/>
  <c r="F14" i="284" s="1"/>
  <c r="O13" i="284"/>
  <c r="D12" i="284"/>
  <c r="D11" i="284"/>
  <c r="D10" i="284"/>
  <c r="O9" i="284"/>
  <c r="D9" i="284"/>
  <c r="F9" i="284" s="1"/>
  <c r="O8" i="284"/>
  <c r="D8" i="284"/>
  <c r="F8" i="284" s="1"/>
  <c r="H8" i="284" s="1"/>
  <c r="O18" i="283"/>
  <c r="O17" i="283"/>
  <c r="D17" i="283"/>
  <c r="F17" i="283" s="1"/>
  <c r="G17" i="283" s="1"/>
  <c r="O16" i="283"/>
  <c r="D16" i="283"/>
  <c r="F16" i="283" s="1"/>
  <c r="O15" i="283"/>
  <c r="D15" i="283"/>
  <c r="F15" i="283" s="1"/>
  <c r="O14" i="283"/>
  <c r="F14" i="283"/>
  <c r="H14" i="283" s="1"/>
  <c r="D14" i="283"/>
  <c r="O13" i="283"/>
  <c r="O12" i="283"/>
  <c r="D12" i="283"/>
  <c r="F12" i="283" s="1"/>
  <c r="O11" i="283"/>
  <c r="D11" i="283"/>
  <c r="F11" i="283" s="1"/>
  <c r="O10" i="283"/>
  <c r="D10" i="283"/>
  <c r="F10" i="283" s="1"/>
  <c r="G10" i="283" s="1"/>
  <c r="O9" i="283"/>
  <c r="F9" i="283"/>
  <c r="D9" i="283"/>
  <c r="O8" i="283"/>
  <c r="D8" i="283"/>
  <c r="F8" i="283" s="1"/>
  <c r="O18" i="282"/>
  <c r="O17" i="282"/>
  <c r="D17" i="282"/>
  <c r="F17" i="282" s="1"/>
  <c r="O16" i="282"/>
  <c r="D16" i="282"/>
  <c r="F16" i="282" s="1"/>
  <c r="O15" i="282"/>
  <c r="D15" i="282"/>
  <c r="F15" i="282" s="1"/>
  <c r="O14" i="282"/>
  <c r="F14" i="282"/>
  <c r="D14" i="282"/>
  <c r="O13" i="282"/>
  <c r="O12" i="282"/>
  <c r="D12" i="282"/>
  <c r="F12" i="282" s="1"/>
  <c r="O11" i="282"/>
  <c r="D11" i="282"/>
  <c r="F11" i="282" s="1"/>
  <c r="O10" i="282"/>
  <c r="D10" i="282"/>
  <c r="F10" i="282" s="1"/>
  <c r="G10" i="282" s="1"/>
  <c r="D9" i="282"/>
  <c r="O8" i="282"/>
  <c r="D8" i="282"/>
  <c r="F8" i="282" s="1"/>
  <c r="G8" i="282" s="1"/>
  <c r="E60" i="281"/>
  <c r="D60" i="281"/>
  <c r="N59" i="281"/>
  <c r="D59" i="281"/>
  <c r="E58" i="281"/>
  <c r="N58" i="281" s="1"/>
  <c r="D58" i="281"/>
  <c r="E57" i="281"/>
  <c r="N57" i="281" s="1"/>
  <c r="D57" i="281"/>
  <c r="N56" i="281"/>
  <c r="E55" i="281"/>
  <c r="N55" i="281" s="1"/>
  <c r="D55" i="281"/>
  <c r="D54" i="281"/>
  <c r="F54" i="281" s="1"/>
  <c r="E53" i="281"/>
  <c r="E54" i="281" s="1"/>
  <c r="N54" i="281" s="1"/>
  <c r="D53" i="281"/>
  <c r="F53" i="281" s="1"/>
  <c r="N52" i="281"/>
  <c r="N51" i="281"/>
  <c r="N50" i="281"/>
  <c r="N49" i="281"/>
  <c r="N48" i="281"/>
  <c r="N47" i="281"/>
  <c r="N46" i="281"/>
  <c r="N45" i="281"/>
  <c r="D44" i="281"/>
  <c r="N43" i="281"/>
  <c r="F43" i="281"/>
  <c r="N42" i="281"/>
  <c r="F41" i="281"/>
  <c r="N41" i="281"/>
  <c r="D40" i="281"/>
  <c r="E39" i="281"/>
  <c r="N39" i="281" s="1"/>
  <c r="D39" i="281"/>
  <c r="N38" i="281"/>
  <c r="D37" i="281"/>
  <c r="D32" i="281"/>
  <c r="N30" i="281"/>
  <c r="N29" i="281"/>
  <c r="N28" i="281"/>
  <c r="N27" i="281"/>
  <c r="N26" i="281"/>
  <c r="N25" i="281"/>
  <c r="N24" i="281"/>
  <c r="D23" i="281"/>
  <c r="F23" i="281" s="1"/>
  <c r="E22" i="281"/>
  <c r="E23" i="281" s="1"/>
  <c r="N23" i="281" s="1"/>
  <c r="D22" i="281"/>
  <c r="F22" i="281" s="1"/>
  <c r="N21" i="281"/>
  <c r="E20" i="281"/>
  <c r="N20" i="281" s="1"/>
  <c r="D20" i="281"/>
  <c r="N19" i="281"/>
  <c r="D19" i="281"/>
  <c r="F19" i="281" s="1"/>
  <c r="N18" i="281"/>
  <c r="D17" i="281"/>
  <c r="E16" i="281"/>
  <c r="D16" i="281"/>
  <c r="D15" i="281"/>
  <c r="E14" i="281"/>
  <c r="E15" i="281" s="1"/>
  <c r="D14" i="281"/>
  <c r="N13" i="281"/>
  <c r="N12" i="281"/>
  <c r="N11" i="281"/>
  <c r="D11" i="281"/>
  <c r="F11" i="281" s="1"/>
  <c r="N10" i="281"/>
  <c r="D10" i="281"/>
  <c r="F10" i="281" s="1"/>
  <c r="N9" i="281"/>
  <c r="L9" i="281"/>
  <c r="L8" i="281"/>
  <c r="E8" i="281"/>
  <c r="N8" i="281" s="1"/>
  <c r="D8" i="281"/>
  <c r="N7" i="281"/>
  <c r="L7" i="281"/>
  <c r="N6" i="281"/>
  <c r="E60" i="280"/>
  <c r="D60" i="280"/>
  <c r="F60" i="280" s="1"/>
  <c r="N59" i="280"/>
  <c r="D59" i="280"/>
  <c r="N58" i="280"/>
  <c r="E58" i="280"/>
  <c r="D58" i="280"/>
  <c r="F58" i="280" s="1"/>
  <c r="E57" i="280"/>
  <c r="D57" i="280"/>
  <c r="N56" i="280"/>
  <c r="N55" i="280"/>
  <c r="D55" i="280"/>
  <c r="F55" i="280" s="1"/>
  <c r="N54" i="280"/>
  <c r="D54" i="280"/>
  <c r="F54" i="280" s="1"/>
  <c r="G54" i="280" s="1"/>
  <c r="E53" i="280"/>
  <c r="N53" i="280" s="1"/>
  <c r="D53" i="280"/>
  <c r="N52" i="280"/>
  <c r="N51" i="280"/>
  <c r="N50" i="280"/>
  <c r="N49" i="280"/>
  <c r="N48" i="280"/>
  <c r="N47" i="280"/>
  <c r="N46" i="280"/>
  <c r="N45" i="280"/>
  <c r="N42" i="280"/>
  <c r="N41" i="280"/>
  <c r="N40" i="280"/>
  <c r="D39" i="280"/>
  <c r="N38" i="280"/>
  <c r="D38" i="280"/>
  <c r="F38" i="280" s="1"/>
  <c r="N37" i="280"/>
  <c r="D36" i="280"/>
  <c r="N33" i="280"/>
  <c r="E32" i="280"/>
  <c r="N32" i="280" s="1"/>
  <c r="D32" i="280"/>
  <c r="D31" i="280"/>
  <c r="N30" i="280"/>
  <c r="N29" i="280"/>
  <c r="N28" i="280"/>
  <c r="N27" i="280"/>
  <c r="N26" i="280"/>
  <c r="N25" i="280"/>
  <c r="N24" i="280"/>
  <c r="N23" i="280"/>
  <c r="D23" i="280"/>
  <c r="F23" i="280" s="1"/>
  <c r="N22" i="280"/>
  <c r="D22" i="280"/>
  <c r="F22" i="280" s="1"/>
  <c r="N21" i="280"/>
  <c r="N20" i="280"/>
  <c r="D20" i="280"/>
  <c r="F20" i="280" s="1"/>
  <c r="N19" i="280"/>
  <c r="D19" i="280"/>
  <c r="F19" i="280" s="1"/>
  <c r="N18" i="280"/>
  <c r="D17" i="280"/>
  <c r="N16" i="280"/>
  <c r="D16" i="280"/>
  <c r="F16" i="280" s="1"/>
  <c r="D15" i="280"/>
  <c r="D14" i="280"/>
  <c r="N13" i="280"/>
  <c r="N12" i="280"/>
  <c r="N11" i="280"/>
  <c r="D11" i="280"/>
  <c r="F11" i="280" s="1"/>
  <c r="N10" i="280"/>
  <c r="D10" i="280"/>
  <c r="F10" i="280" s="1"/>
  <c r="H10" i="280" s="1"/>
  <c r="N9" i="280"/>
  <c r="L9" i="280"/>
  <c r="L8" i="280"/>
  <c r="E8" i="280"/>
  <c r="N8" i="280" s="1"/>
  <c r="D8" i="280"/>
  <c r="N7" i="280"/>
  <c r="L7" i="280"/>
  <c r="N6" i="280"/>
  <c r="E60" i="279"/>
  <c r="D60" i="279"/>
  <c r="N59" i="279"/>
  <c r="D59" i="279"/>
  <c r="N58" i="279"/>
  <c r="E58" i="279"/>
  <c r="D58" i="279"/>
  <c r="F58" i="279" s="1"/>
  <c r="N57" i="279"/>
  <c r="E57" i="279"/>
  <c r="D57" i="279"/>
  <c r="N56" i="279"/>
  <c r="N55" i="279"/>
  <c r="D55" i="279"/>
  <c r="F55" i="279" s="1"/>
  <c r="N54" i="279"/>
  <c r="D54" i="279"/>
  <c r="F54" i="279" s="1"/>
  <c r="E53" i="279"/>
  <c r="D53" i="279"/>
  <c r="N52" i="279"/>
  <c r="N51" i="279"/>
  <c r="N50" i="279"/>
  <c r="N49" i="279"/>
  <c r="N48" i="279"/>
  <c r="N47" i="279"/>
  <c r="N46" i="279"/>
  <c r="N45" i="279"/>
  <c r="N42" i="279"/>
  <c r="N41" i="279"/>
  <c r="N40" i="279"/>
  <c r="N39" i="279"/>
  <c r="D39" i="279"/>
  <c r="F39" i="279" s="1"/>
  <c r="G39" i="279" s="1"/>
  <c r="N38" i="279"/>
  <c r="D38" i="279"/>
  <c r="F38" i="279" s="1"/>
  <c r="N37" i="279"/>
  <c r="D36" i="279"/>
  <c r="N35" i="279"/>
  <c r="N33" i="279"/>
  <c r="D32" i="279"/>
  <c r="D31" i="279"/>
  <c r="N30" i="279"/>
  <c r="N29" i="279"/>
  <c r="N28" i="279"/>
  <c r="N27" i="279"/>
  <c r="N26" i="279"/>
  <c r="N25" i="279"/>
  <c r="N24" i="279"/>
  <c r="N23" i="279"/>
  <c r="D23" i="279"/>
  <c r="F23" i="279" s="1"/>
  <c r="N22" i="279"/>
  <c r="D22" i="279"/>
  <c r="F22" i="279" s="1"/>
  <c r="N21" i="279"/>
  <c r="N20" i="279"/>
  <c r="D20" i="279"/>
  <c r="F20" i="279" s="1"/>
  <c r="N19" i="279"/>
  <c r="D19" i="279"/>
  <c r="F19" i="279" s="1"/>
  <c r="N18" i="279"/>
  <c r="D17" i="279"/>
  <c r="N16" i="279"/>
  <c r="D16" i="279"/>
  <c r="F16" i="279" s="1"/>
  <c r="N36" i="279"/>
  <c r="D15" i="279"/>
  <c r="D14" i="279"/>
  <c r="N13" i="279"/>
  <c r="N12" i="279"/>
  <c r="N11" i="279"/>
  <c r="D11" i="279"/>
  <c r="F11" i="279" s="1"/>
  <c r="N10" i="279"/>
  <c r="E10" i="279"/>
  <c r="D10" i="279"/>
  <c r="F10" i="279" s="1"/>
  <c r="N9" i="279"/>
  <c r="L9" i="279"/>
  <c r="L8" i="279"/>
  <c r="E8" i="279"/>
  <c r="N8" i="279" s="1"/>
  <c r="D8" i="279"/>
  <c r="N7" i="279"/>
  <c r="L7" i="279"/>
  <c r="N6" i="279"/>
  <c r="E14" i="278"/>
  <c r="H12" i="278"/>
  <c r="H11" i="278"/>
  <c r="E8" i="278"/>
  <c r="H7" i="278"/>
  <c r="E7" i="278"/>
  <c r="E12" i="277"/>
  <c r="D12" i="277"/>
  <c r="D11" i="277"/>
  <c r="O10" i="277"/>
  <c r="D9" i="277"/>
  <c r="D8" i="277"/>
  <c r="E12" i="276"/>
  <c r="D12" i="276"/>
  <c r="D11" i="276"/>
  <c r="O10" i="276"/>
  <c r="D9" i="276"/>
  <c r="D8" i="276"/>
  <c r="C13" i="275"/>
  <c r="O12" i="275"/>
  <c r="D12" i="275"/>
  <c r="F12" i="275" s="1"/>
  <c r="D11" i="275"/>
  <c r="O10" i="275"/>
  <c r="D9" i="275"/>
  <c r="D8" i="275"/>
  <c r="D57" i="274"/>
  <c r="D56" i="274"/>
  <c r="D55" i="274"/>
  <c r="O54" i="274"/>
  <c r="D53" i="274"/>
  <c r="D52" i="274"/>
  <c r="O51" i="274"/>
  <c r="D51" i="274"/>
  <c r="F51" i="274" s="1"/>
  <c r="H51" i="274" s="1"/>
  <c r="O50" i="274"/>
  <c r="D49" i="274"/>
  <c r="D48" i="274"/>
  <c r="O47" i="274"/>
  <c r="D46" i="274"/>
  <c r="E45" i="274"/>
  <c r="O45" i="274" s="1"/>
  <c r="D45" i="274"/>
  <c r="E44" i="274"/>
  <c r="O44" i="274" s="1"/>
  <c r="D44" i="274"/>
  <c r="E43" i="274"/>
  <c r="E46" i="274" s="1"/>
  <c r="D43" i="274"/>
  <c r="O42" i="274"/>
  <c r="O41" i="274"/>
  <c r="O40" i="274"/>
  <c r="O39" i="274"/>
  <c r="O38" i="274"/>
  <c r="O37" i="274"/>
  <c r="O36" i="274"/>
  <c r="O35" i="274"/>
  <c r="E34" i="274"/>
  <c r="O34" i="274" s="1"/>
  <c r="D34" i="274"/>
  <c r="O31" i="274"/>
  <c r="F31" i="274"/>
  <c r="O30" i="274"/>
  <c r="D29" i="274"/>
  <c r="O25" i="274"/>
  <c r="O24" i="274"/>
  <c r="O23" i="274"/>
  <c r="O22" i="274"/>
  <c r="O21" i="274"/>
  <c r="F21" i="274"/>
  <c r="H21" i="274" s="1"/>
  <c r="D21" i="274"/>
  <c r="O20" i="274"/>
  <c r="L20" i="274"/>
  <c r="L19" i="274"/>
  <c r="D19" i="274"/>
  <c r="O18" i="274"/>
  <c r="D18" i="274"/>
  <c r="L17" i="274"/>
  <c r="E53" i="274" s="1"/>
  <c r="D17" i="274"/>
  <c r="D16" i="274"/>
  <c r="O15" i="274"/>
  <c r="D14" i="274"/>
  <c r="D13" i="274"/>
  <c r="O12" i="274"/>
  <c r="L12" i="274"/>
  <c r="E8" i="274" s="1"/>
  <c r="O8" i="274" s="1"/>
  <c r="O11" i="274"/>
  <c r="O10" i="274"/>
  <c r="D10" i="274"/>
  <c r="F10" i="274" s="1"/>
  <c r="O9" i="274"/>
  <c r="L9" i="274"/>
  <c r="L8" i="274"/>
  <c r="D8" i="274"/>
  <c r="O7" i="274"/>
  <c r="L7" i="274"/>
  <c r="O6" i="274"/>
  <c r="D57" i="273"/>
  <c r="D56" i="273"/>
  <c r="D55" i="273"/>
  <c r="O54" i="273"/>
  <c r="D53" i="273"/>
  <c r="D52" i="273"/>
  <c r="D51" i="273"/>
  <c r="O50" i="273"/>
  <c r="O49" i="273"/>
  <c r="D49" i="273"/>
  <c r="F49" i="273" s="1"/>
  <c r="H49" i="273" s="1"/>
  <c r="O48" i="273"/>
  <c r="D48" i="273"/>
  <c r="F48" i="273" s="1"/>
  <c r="H48" i="273" s="1"/>
  <c r="O47" i="273"/>
  <c r="D46" i="273"/>
  <c r="E45" i="273"/>
  <c r="F45" i="273" s="1"/>
  <c r="D45" i="273"/>
  <c r="E44" i="273"/>
  <c r="O44" i="273" s="1"/>
  <c r="D44" i="273"/>
  <c r="E43" i="273"/>
  <c r="D43" i="273"/>
  <c r="O42" i="273"/>
  <c r="O41" i="273"/>
  <c r="O40" i="273"/>
  <c r="O39" i="273"/>
  <c r="O38" i="273"/>
  <c r="O37" i="273"/>
  <c r="O36" i="273"/>
  <c r="O35" i="273"/>
  <c r="E34" i="273"/>
  <c r="O34" i="273" s="1"/>
  <c r="D34" i="273"/>
  <c r="O31" i="273"/>
  <c r="F31" i="273"/>
  <c r="H31" i="273" s="1"/>
  <c r="O30" i="273"/>
  <c r="D29" i="273"/>
  <c r="O25" i="273"/>
  <c r="O24" i="273"/>
  <c r="O23" i="273"/>
  <c r="O22" i="273"/>
  <c r="O21" i="273"/>
  <c r="D21" i="273"/>
  <c r="F21" i="273" s="1"/>
  <c r="H21" i="273" s="1"/>
  <c r="O20" i="273"/>
  <c r="L20" i="273"/>
  <c r="L19" i="273"/>
  <c r="E19" i="273"/>
  <c r="O19" i="273" s="1"/>
  <c r="D19" i="273"/>
  <c r="D18" i="273"/>
  <c r="F18" i="273" s="1"/>
  <c r="L17" i="273"/>
  <c r="D17" i="273"/>
  <c r="D16" i="273"/>
  <c r="O15" i="273"/>
  <c r="D14" i="273"/>
  <c r="D13" i="273"/>
  <c r="O12" i="273"/>
  <c r="L12" i="273"/>
  <c r="E8" i="273" s="1"/>
  <c r="O8" i="273" s="1"/>
  <c r="O11" i="273"/>
  <c r="O10" i="273"/>
  <c r="D10" i="273"/>
  <c r="F10" i="273" s="1"/>
  <c r="G10" i="273" s="1"/>
  <c r="O9" i="273"/>
  <c r="L9" i="273"/>
  <c r="L8" i="273"/>
  <c r="D8" i="273"/>
  <c r="O7" i="273"/>
  <c r="L7" i="273"/>
  <c r="O6" i="273"/>
  <c r="D57" i="272"/>
  <c r="D56" i="272"/>
  <c r="D55" i="272"/>
  <c r="O54" i="272"/>
  <c r="D53" i="272"/>
  <c r="D52" i="272"/>
  <c r="D51" i="272"/>
  <c r="O50" i="272"/>
  <c r="O49" i="272"/>
  <c r="D49" i="272"/>
  <c r="F49" i="272" s="1"/>
  <c r="H49" i="272" s="1"/>
  <c r="O48" i="272"/>
  <c r="D48" i="272"/>
  <c r="F48" i="272" s="1"/>
  <c r="O47" i="272"/>
  <c r="D46" i="272"/>
  <c r="E45" i="272"/>
  <c r="O45" i="272" s="1"/>
  <c r="D45" i="272"/>
  <c r="E44" i="272"/>
  <c r="O44" i="272" s="1"/>
  <c r="D44" i="272"/>
  <c r="E43" i="272"/>
  <c r="D43" i="272"/>
  <c r="O42" i="272"/>
  <c r="O41" i="272"/>
  <c r="O40" i="272"/>
  <c r="O39" i="272"/>
  <c r="O38" i="272"/>
  <c r="O37" i="272"/>
  <c r="O36" i="272"/>
  <c r="O35" i="272"/>
  <c r="E34" i="272"/>
  <c r="O34" i="272" s="1"/>
  <c r="D34" i="272"/>
  <c r="O31" i="272"/>
  <c r="F31" i="272"/>
  <c r="O30" i="272"/>
  <c r="D29" i="272"/>
  <c r="O25" i="272"/>
  <c r="O24" i="272"/>
  <c r="O23" i="272"/>
  <c r="O22" i="272"/>
  <c r="O21" i="272"/>
  <c r="D21" i="272"/>
  <c r="F21" i="272" s="1"/>
  <c r="L20" i="272"/>
  <c r="E18" i="272" s="1"/>
  <c r="E19" i="272" s="1"/>
  <c r="L19" i="272"/>
  <c r="D19" i="272"/>
  <c r="D18" i="272"/>
  <c r="L17" i="272"/>
  <c r="D17" i="272"/>
  <c r="D16" i="272"/>
  <c r="O15" i="272"/>
  <c r="D14" i="272"/>
  <c r="D13" i="272"/>
  <c r="O12" i="272"/>
  <c r="L12" i="272"/>
  <c r="E55" i="272" s="1"/>
  <c r="O55" i="272" s="1"/>
  <c r="O11" i="272"/>
  <c r="E10" i="272"/>
  <c r="O10" i="272" s="1"/>
  <c r="D10" i="272"/>
  <c r="O9" i="272"/>
  <c r="L9" i="272"/>
  <c r="L8" i="272"/>
  <c r="D8" i="272"/>
  <c r="L7" i="272"/>
  <c r="G46" i="252"/>
  <c r="G47" i="252" s="1"/>
  <c r="G10" i="286" l="1"/>
  <c r="H10" i="286"/>
  <c r="F8" i="286"/>
  <c r="O22" i="288"/>
  <c r="F22" i="288"/>
  <c r="E40" i="281"/>
  <c r="F40" i="281" s="1"/>
  <c r="F55" i="281"/>
  <c r="G55" i="281" s="1"/>
  <c r="F39" i="281"/>
  <c r="H39" i="281" s="1"/>
  <c r="F14" i="280"/>
  <c r="N14" i="280"/>
  <c r="F15" i="280"/>
  <c r="H15" i="280" s="1"/>
  <c r="E36" i="280"/>
  <c r="N36" i="280" s="1"/>
  <c r="E31" i="280"/>
  <c r="N31" i="280" s="1"/>
  <c r="N15" i="280"/>
  <c r="F14" i="279"/>
  <c r="F57" i="272"/>
  <c r="G57" i="272" s="1"/>
  <c r="F12" i="276"/>
  <c r="F43" i="274"/>
  <c r="H43" i="274" s="1"/>
  <c r="E48" i="274"/>
  <c r="O48" i="274" s="1"/>
  <c r="F44" i="274"/>
  <c r="G44" i="274" s="1"/>
  <c r="F45" i="274"/>
  <c r="H45" i="274" s="1"/>
  <c r="I45" i="274" s="1"/>
  <c r="F34" i="274"/>
  <c r="H34" i="274" s="1"/>
  <c r="E55" i="273"/>
  <c r="F34" i="273"/>
  <c r="G34" i="273" s="1"/>
  <c r="F8" i="273"/>
  <c r="F43" i="273"/>
  <c r="G43" i="273" s="1"/>
  <c r="F44" i="273"/>
  <c r="H44" i="273" s="1"/>
  <c r="O46" i="274"/>
  <c r="F46" i="274"/>
  <c r="F8" i="274"/>
  <c r="E15" i="279"/>
  <c r="N15" i="279" s="1"/>
  <c r="E31" i="279"/>
  <c r="N31" i="279" s="1"/>
  <c r="E32" i="279"/>
  <c r="N32" i="279" s="1"/>
  <c r="E57" i="273"/>
  <c r="O57" i="273" s="1"/>
  <c r="E26" i="273"/>
  <c r="E29" i="273"/>
  <c r="F29" i="273" s="1"/>
  <c r="G29" i="273" s="1"/>
  <c r="E28" i="273"/>
  <c r="E27" i="273"/>
  <c r="G31" i="273"/>
  <c r="O45" i="273"/>
  <c r="N14" i="279"/>
  <c r="I42" i="280"/>
  <c r="I41" i="280"/>
  <c r="I18" i="280"/>
  <c r="I40" i="280"/>
  <c r="H9" i="310"/>
  <c r="I9" i="310" s="1"/>
  <c r="G33" i="280"/>
  <c r="H33" i="280"/>
  <c r="H43" i="273"/>
  <c r="I43" i="273" s="1"/>
  <c r="E56" i="273"/>
  <c r="O56" i="273" s="1"/>
  <c r="F15" i="279"/>
  <c r="H15" i="279" s="1"/>
  <c r="O51" i="288"/>
  <c r="H9" i="312"/>
  <c r="I9" i="312" s="1"/>
  <c r="E34" i="280"/>
  <c r="E17" i="280"/>
  <c r="E29" i="274"/>
  <c r="O29" i="274" s="1"/>
  <c r="E28" i="274"/>
  <c r="E27" i="274"/>
  <c r="E26" i="274"/>
  <c r="F57" i="279"/>
  <c r="H57" i="279" s="1"/>
  <c r="F60" i="279"/>
  <c r="F52" i="288"/>
  <c r="Q22" i="251"/>
  <c r="E32" i="286"/>
  <c r="O32" i="286" s="1"/>
  <c r="E15" i="286"/>
  <c r="F15" i="286" s="1"/>
  <c r="O43" i="274"/>
  <c r="F32" i="279"/>
  <c r="H32" i="279" s="1"/>
  <c r="E17" i="279"/>
  <c r="N17" i="279" s="1"/>
  <c r="E34" i="279"/>
  <c r="G48" i="273"/>
  <c r="I48" i="273" s="1"/>
  <c r="G51" i="274"/>
  <c r="I51" i="274" s="1"/>
  <c r="I40" i="279"/>
  <c r="I41" i="279"/>
  <c r="I42" i="279"/>
  <c r="G10" i="280"/>
  <c r="I10" i="280" s="1"/>
  <c r="H33" i="279"/>
  <c r="I33" i="279" s="1"/>
  <c r="G33" i="279"/>
  <c r="H33" i="286"/>
  <c r="G33" i="286"/>
  <c r="I33" i="286" s="1"/>
  <c r="H35" i="286"/>
  <c r="G35" i="286"/>
  <c r="I35" i="286" s="1"/>
  <c r="L15" i="274"/>
  <c r="F17" i="279"/>
  <c r="G17" i="279" s="1"/>
  <c r="H14" i="292"/>
  <c r="P31" i="251" s="1"/>
  <c r="F9" i="292"/>
  <c r="H9" i="292" s="1"/>
  <c r="P29" i="251" s="1"/>
  <c r="F12" i="292"/>
  <c r="H12" i="292" s="1"/>
  <c r="H18" i="292" s="1"/>
  <c r="I40" i="286"/>
  <c r="I18" i="286"/>
  <c r="I41" i="286"/>
  <c r="I39" i="286"/>
  <c r="F11" i="286"/>
  <c r="H11" i="286" s="1"/>
  <c r="F32" i="286"/>
  <c r="G32" i="286" s="1"/>
  <c r="G35" i="279"/>
  <c r="I35" i="279" s="1"/>
  <c r="H35" i="279"/>
  <c r="H34" i="286"/>
  <c r="G34" i="286"/>
  <c r="I34" i="286"/>
  <c r="P24" i="251"/>
  <c r="P17" i="251"/>
  <c r="H14" i="285"/>
  <c r="H16" i="285"/>
  <c r="P15" i="251"/>
  <c r="F27" i="309"/>
  <c r="H27" i="309" s="1"/>
  <c r="O26" i="307"/>
  <c r="G12" i="311"/>
  <c r="I12" i="311" s="1"/>
  <c r="H11" i="311"/>
  <c r="I11" i="311" s="1"/>
  <c r="H27" i="307"/>
  <c r="E30" i="309"/>
  <c r="O30" i="309" s="1"/>
  <c r="O29" i="309"/>
  <c r="F13" i="311"/>
  <c r="G13" i="311" s="1"/>
  <c r="F32" i="309"/>
  <c r="H32" i="309" s="1"/>
  <c r="H13" i="308"/>
  <c r="I13" i="308" s="1"/>
  <c r="F17" i="307"/>
  <c r="G17" i="307" s="1"/>
  <c r="H8" i="307"/>
  <c r="E8" i="311"/>
  <c r="F8" i="311" s="1"/>
  <c r="H8" i="311" s="1"/>
  <c r="F30" i="309"/>
  <c r="H30" i="309" s="1"/>
  <c r="H24" i="313"/>
  <c r="H29" i="309"/>
  <c r="G29" i="309"/>
  <c r="F41" i="309"/>
  <c r="H41" i="309" s="1"/>
  <c r="E14" i="309"/>
  <c r="O14" i="309" s="1"/>
  <c r="G26" i="308"/>
  <c r="I26" i="308" s="1"/>
  <c r="F44" i="308"/>
  <c r="H44" i="308" s="1"/>
  <c r="F14" i="308"/>
  <c r="G14" i="308" s="1"/>
  <c r="G24" i="308"/>
  <c r="I24" i="308" s="1"/>
  <c r="G29" i="308"/>
  <c r="I29" i="308" s="1"/>
  <c r="F13" i="307"/>
  <c r="G13" i="307" s="1"/>
  <c r="F44" i="307"/>
  <c r="G44" i="307" s="1"/>
  <c r="F46" i="307"/>
  <c r="H46" i="307" s="1"/>
  <c r="O17" i="307"/>
  <c r="G27" i="307"/>
  <c r="F19" i="307"/>
  <c r="F12" i="312"/>
  <c r="G12" i="312" s="1"/>
  <c r="F13" i="310"/>
  <c r="G13" i="310" s="1"/>
  <c r="G31" i="307"/>
  <c r="I31" i="307" s="1"/>
  <c r="G30" i="307"/>
  <c r="I30" i="307" s="1"/>
  <c r="O13" i="312"/>
  <c r="O14" i="312" s="1"/>
  <c r="O14" i="310"/>
  <c r="G26" i="307"/>
  <c r="I26" i="307" s="1"/>
  <c r="F8" i="312"/>
  <c r="H8" i="312" s="1"/>
  <c r="F8" i="310"/>
  <c r="N46" i="326"/>
  <c r="F46" i="326"/>
  <c r="N46" i="328"/>
  <c r="F46" i="328"/>
  <c r="N47" i="326"/>
  <c r="F47" i="326"/>
  <c r="N47" i="325"/>
  <c r="F47" i="325"/>
  <c r="N47" i="328"/>
  <c r="F47" i="328"/>
  <c r="N46" i="325"/>
  <c r="F46" i="325"/>
  <c r="O9" i="317"/>
  <c r="F9" i="317"/>
  <c r="F11" i="317"/>
  <c r="O11" i="317"/>
  <c r="O11" i="318"/>
  <c r="F11" i="318"/>
  <c r="O9" i="318"/>
  <c r="O19" i="318" s="1"/>
  <c r="F9" i="318"/>
  <c r="G9" i="283"/>
  <c r="I9" i="283" s="1"/>
  <c r="K16" i="252"/>
  <c r="H9" i="284"/>
  <c r="O57" i="272"/>
  <c r="F43" i="272"/>
  <c r="G43" i="272" s="1"/>
  <c r="O43" i="272"/>
  <c r="F44" i="272"/>
  <c r="H44" i="272" s="1"/>
  <c r="F45" i="272"/>
  <c r="H45" i="272" s="1"/>
  <c r="F34" i="272"/>
  <c r="H34" i="272" s="1"/>
  <c r="E8" i="272"/>
  <c r="H13" i="278"/>
  <c r="P10" i="251" s="1"/>
  <c r="O53" i="272"/>
  <c r="O51" i="272"/>
  <c r="O52" i="272"/>
  <c r="F55" i="272"/>
  <c r="G55" i="272" s="1"/>
  <c r="E29" i="272"/>
  <c r="O29" i="272" s="1"/>
  <c r="E28" i="272"/>
  <c r="E27" i="272"/>
  <c r="E26" i="272"/>
  <c r="F10" i="272"/>
  <c r="G10" i="272" s="1"/>
  <c r="H15" i="299"/>
  <c r="E18" i="292"/>
  <c r="H9" i="283"/>
  <c r="H41" i="288"/>
  <c r="I41" i="288" s="1"/>
  <c r="G40" i="288"/>
  <c r="G39" i="288"/>
  <c r="I39" i="288" s="1"/>
  <c r="I10" i="286"/>
  <c r="H16" i="308"/>
  <c r="G20" i="286"/>
  <c r="H20" i="286"/>
  <c r="G19" i="286"/>
  <c r="H19" i="286"/>
  <c r="G17" i="286"/>
  <c r="H17" i="286"/>
  <c r="G16" i="286"/>
  <c r="H16" i="286"/>
  <c r="G14" i="286"/>
  <c r="H14" i="286"/>
  <c r="F53" i="280"/>
  <c r="H53" i="280" s="1"/>
  <c r="H51" i="286"/>
  <c r="I51" i="286" s="1"/>
  <c r="H22" i="286"/>
  <c r="I22" i="286" s="1"/>
  <c r="F31" i="286"/>
  <c r="H31" i="286" s="1"/>
  <c r="O31" i="286"/>
  <c r="F20" i="281"/>
  <c r="H20" i="281" s="1"/>
  <c r="F16" i="281"/>
  <c r="H16" i="281" s="1"/>
  <c r="G20" i="280"/>
  <c r="H20" i="280"/>
  <c r="I20" i="280" s="1"/>
  <c r="G19" i="280"/>
  <c r="I19" i="280" s="1"/>
  <c r="H19" i="280"/>
  <c r="G16" i="280"/>
  <c r="H16" i="280"/>
  <c r="G20" i="279"/>
  <c r="H20" i="279"/>
  <c r="H19" i="279"/>
  <c r="G19" i="279"/>
  <c r="H17" i="279"/>
  <c r="G16" i="279"/>
  <c r="H16" i="279"/>
  <c r="H10" i="283"/>
  <c r="I10" i="283" s="1"/>
  <c r="O19" i="283"/>
  <c r="H10" i="282"/>
  <c r="I10" i="282" s="1"/>
  <c r="F31" i="280"/>
  <c r="H31" i="280" s="1"/>
  <c r="H39" i="279"/>
  <c r="F36" i="279"/>
  <c r="E33" i="273"/>
  <c r="F33" i="273" s="1"/>
  <c r="F46" i="309"/>
  <c r="O26" i="309"/>
  <c r="F45" i="307"/>
  <c r="F46" i="308"/>
  <c r="F8" i="309"/>
  <c r="F45" i="309"/>
  <c r="H45" i="309" s="1"/>
  <c r="G8" i="307"/>
  <c r="F8" i="308"/>
  <c r="F24" i="309"/>
  <c r="H24" i="309" s="1"/>
  <c r="F55" i="288"/>
  <c r="G55" i="288" s="1"/>
  <c r="F58" i="288"/>
  <c r="H58" i="288" s="1"/>
  <c r="F56" i="288"/>
  <c r="H56" i="288" s="1"/>
  <c r="F55" i="286"/>
  <c r="G55" i="286" s="1"/>
  <c r="F8" i="280"/>
  <c r="H8" i="280" s="1"/>
  <c r="N15" i="281"/>
  <c r="F15" i="281"/>
  <c r="H15" i="281" s="1"/>
  <c r="F57" i="281"/>
  <c r="G57" i="281" s="1"/>
  <c r="F8" i="279"/>
  <c r="G8" i="279" s="1"/>
  <c r="G10" i="274"/>
  <c r="H10" i="274"/>
  <c r="H9" i="278"/>
  <c r="H8" i="278"/>
  <c r="L16" i="272"/>
  <c r="E13" i="272" s="1"/>
  <c r="H10" i="278"/>
  <c r="F19" i="272"/>
  <c r="O19" i="272"/>
  <c r="F53" i="274"/>
  <c r="O53" i="274"/>
  <c r="E52" i="273"/>
  <c r="O52" i="273" s="1"/>
  <c r="E53" i="273"/>
  <c r="O53" i="273" s="1"/>
  <c r="L16" i="273"/>
  <c r="E13" i="273" s="1"/>
  <c r="I31" i="273"/>
  <c r="H45" i="273"/>
  <c r="F12" i="277"/>
  <c r="O12" i="277"/>
  <c r="G32" i="279"/>
  <c r="I32" i="279" s="1"/>
  <c r="H14" i="280"/>
  <c r="G14" i="280"/>
  <c r="H55" i="280"/>
  <c r="G55" i="280"/>
  <c r="H10" i="281"/>
  <c r="G10" i="281"/>
  <c r="N53" i="279"/>
  <c r="F53" i="279"/>
  <c r="O18" i="272"/>
  <c r="L15" i="272"/>
  <c r="H21" i="272"/>
  <c r="G21" i="272"/>
  <c r="H31" i="272"/>
  <c r="G31" i="272"/>
  <c r="H8" i="273"/>
  <c r="G8" i="273"/>
  <c r="F19" i="273"/>
  <c r="G45" i="273"/>
  <c r="G21" i="274"/>
  <c r="I21" i="274" s="1"/>
  <c r="H38" i="279"/>
  <c r="I38" i="279" s="1"/>
  <c r="G38" i="279"/>
  <c r="H22" i="280"/>
  <c r="G22" i="280"/>
  <c r="E46" i="272"/>
  <c r="O46" i="272" s="1"/>
  <c r="G45" i="274"/>
  <c r="G12" i="275"/>
  <c r="H12" i="275"/>
  <c r="H11" i="279"/>
  <c r="G11" i="279"/>
  <c r="H11" i="281"/>
  <c r="G11" i="281"/>
  <c r="I11" i="281" s="1"/>
  <c r="H14" i="284"/>
  <c r="I14" i="284" s="1"/>
  <c r="G14" i="284"/>
  <c r="G49" i="272"/>
  <c r="I49" i="272" s="1"/>
  <c r="E32" i="273"/>
  <c r="O18" i="273"/>
  <c r="O29" i="273"/>
  <c r="F29" i="274"/>
  <c r="N39" i="280"/>
  <c r="H54" i="281"/>
  <c r="G54" i="281"/>
  <c r="N57" i="280"/>
  <c r="F57" i="280"/>
  <c r="G18" i="273"/>
  <c r="I18" i="273" s="1"/>
  <c r="E32" i="272"/>
  <c r="F18" i="272"/>
  <c r="G49" i="273"/>
  <c r="I49" i="273" s="1"/>
  <c r="E33" i="272"/>
  <c r="L15" i="273"/>
  <c r="L16" i="274"/>
  <c r="E13" i="274" s="1"/>
  <c r="E52" i="274"/>
  <c r="O52" i="274" s="1"/>
  <c r="F16" i="274"/>
  <c r="E19" i="274"/>
  <c r="O19" i="274" s="1"/>
  <c r="H12" i="276"/>
  <c r="G12" i="276"/>
  <c r="H14" i="279"/>
  <c r="G14" i="279"/>
  <c r="H36" i="279"/>
  <c r="H23" i="281"/>
  <c r="G23" i="281"/>
  <c r="G8" i="283"/>
  <c r="H8" i="283"/>
  <c r="G44" i="273"/>
  <c r="H18" i="273"/>
  <c r="O55" i="273"/>
  <c r="F55" i="273"/>
  <c r="G10" i="279"/>
  <c r="H10" i="279"/>
  <c r="H60" i="279"/>
  <c r="G60" i="279"/>
  <c r="I60" i="279" s="1"/>
  <c r="G12" i="283"/>
  <c r="H12" i="283"/>
  <c r="G45" i="272"/>
  <c r="H48" i="272"/>
  <c r="G48" i="272"/>
  <c r="H10" i="273"/>
  <c r="I10" i="273" s="1"/>
  <c r="G21" i="273"/>
  <c r="I21" i="273" s="1"/>
  <c r="E46" i="273"/>
  <c r="O43" i="273"/>
  <c r="F56" i="273"/>
  <c r="H8" i="274"/>
  <c r="F18" i="274"/>
  <c r="H31" i="274"/>
  <c r="G31" i="274"/>
  <c r="H44" i="274"/>
  <c r="I44" i="274"/>
  <c r="H46" i="274"/>
  <c r="I46" i="274" s="1"/>
  <c r="G46" i="274"/>
  <c r="O12" i="276"/>
  <c r="H22" i="279"/>
  <c r="G22" i="279"/>
  <c r="H16" i="282"/>
  <c r="G16" i="282"/>
  <c r="E56" i="272"/>
  <c r="I39" i="279"/>
  <c r="H55" i="279"/>
  <c r="G55" i="279"/>
  <c r="F39" i="280"/>
  <c r="E56" i="274"/>
  <c r="E57" i="274"/>
  <c r="O57" i="274" s="1"/>
  <c r="G43" i="274"/>
  <c r="I43" i="274" s="1"/>
  <c r="E55" i="274"/>
  <c r="H58" i="279"/>
  <c r="G58" i="279"/>
  <c r="H11" i="280"/>
  <c r="G11" i="280"/>
  <c r="F36" i="280"/>
  <c r="F14" i="281"/>
  <c r="H14" i="282"/>
  <c r="G14" i="282"/>
  <c r="I14" i="282" s="1"/>
  <c r="G8" i="284"/>
  <c r="I8" i="284" s="1"/>
  <c r="F15" i="284"/>
  <c r="H10" i="288"/>
  <c r="G10" i="288"/>
  <c r="O12" i="284"/>
  <c r="F32" i="280"/>
  <c r="G53" i="280"/>
  <c r="H60" i="280"/>
  <c r="G60" i="280"/>
  <c r="F8" i="281"/>
  <c r="E31" i="281"/>
  <c r="N31" i="281" s="1"/>
  <c r="E32" i="281"/>
  <c r="N32" i="281" s="1"/>
  <c r="N14" i="281"/>
  <c r="E17" i="281"/>
  <c r="N16" i="281"/>
  <c r="N36" i="281"/>
  <c r="H11" i="282"/>
  <c r="G11" i="282"/>
  <c r="H23" i="286"/>
  <c r="G23" i="286"/>
  <c r="H52" i="288"/>
  <c r="I52" i="288" s="1"/>
  <c r="G52" i="288"/>
  <c r="H58" i="280"/>
  <c r="H41" i="281"/>
  <c r="G41" i="281"/>
  <c r="I41" i="281" s="1"/>
  <c r="G15" i="282"/>
  <c r="H38" i="286"/>
  <c r="G38" i="286"/>
  <c r="G54" i="279"/>
  <c r="G58" i="280"/>
  <c r="G12" i="282"/>
  <c r="H15" i="282"/>
  <c r="I15" i="282" s="1"/>
  <c r="H8" i="288"/>
  <c r="G8" i="288"/>
  <c r="H23" i="279"/>
  <c r="H38" i="280"/>
  <c r="H19" i="281"/>
  <c r="G23" i="279"/>
  <c r="H54" i="279"/>
  <c r="H23" i="280"/>
  <c r="G23" i="280"/>
  <c r="G38" i="280"/>
  <c r="I38" i="280" s="1"/>
  <c r="H54" i="280"/>
  <c r="I54" i="280" s="1"/>
  <c r="G19" i="281"/>
  <c r="H22" i="281"/>
  <c r="G22" i="281"/>
  <c r="H12" i="282"/>
  <c r="G15" i="283"/>
  <c r="H15" i="283"/>
  <c r="F52" i="286"/>
  <c r="O52" i="286"/>
  <c r="E37" i="281"/>
  <c r="N37" i="281" s="1"/>
  <c r="E34" i="281"/>
  <c r="E35" i="281"/>
  <c r="E33" i="281"/>
  <c r="H53" i="281"/>
  <c r="G53" i="281"/>
  <c r="I53" i="281" s="1"/>
  <c r="H11" i="283"/>
  <c r="G11" i="283"/>
  <c r="H16" i="283"/>
  <c r="G16" i="283"/>
  <c r="H16" i="284"/>
  <c r="G16" i="284"/>
  <c r="H37" i="286"/>
  <c r="G37" i="286"/>
  <c r="E44" i="281"/>
  <c r="N44" i="281" s="1"/>
  <c r="N40" i="281"/>
  <c r="H17" i="282"/>
  <c r="G14" i="283"/>
  <c r="I14" i="283" s="1"/>
  <c r="G9" i="284"/>
  <c r="H8" i="286"/>
  <c r="G8" i="286"/>
  <c r="I8" i="286" s="1"/>
  <c r="H53" i="286"/>
  <c r="E49" i="274"/>
  <c r="N22" i="281"/>
  <c r="H43" i="281"/>
  <c r="G43" i="281"/>
  <c r="I43" i="281" s="1"/>
  <c r="N53" i="281"/>
  <c r="F60" i="281"/>
  <c r="H8" i="282"/>
  <c r="I8" i="282" s="1"/>
  <c r="G17" i="282"/>
  <c r="H17" i="283"/>
  <c r="I17" i="283" s="1"/>
  <c r="F17" i="284"/>
  <c r="G53" i="286"/>
  <c r="F56" i="286"/>
  <c r="E34" i="288"/>
  <c r="O34" i="288" s="1"/>
  <c r="O26" i="288"/>
  <c r="E16" i="288"/>
  <c r="F16" i="288" s="1"/>
  <c r="E14" i="288"/>
  <c r="O25" i="288"/>
  <c r="E33" i="288"/>
  <c r="O33" i="288" s="1"/>
  <c r="E35" i="288"/>
  <c r="O35" i="288" s="1"/>
  <c r="H55" i="281"/>
  <c r="I55" i="281" s="1"/>
  <c r="F58" i="281"/>
  <c r="F58" i="286"/>
  <c r="H11" i="288"/>
  <c r="I11" i="288" s="1"/>
  <c r="E14" i="285"/>
  <c r="F53" i="288"/>
  <c r="H19" i="308"/>
  <c r="G19" i="308"/>
  <c r="F42" i="281"/>
  <c r="F11" i="284"/>
  <c r="H22" i="288"/>
  <c r="G22" i="288"/>
  <c r="F37" i="288"/>
  <c r="F23" i="288"/>
  <c r="E38" i="288"/>
  <c r="I40" i="288"/>
  <c r="H16" i="307"/>
  <c r="G16" i="307"/>
  <c r="F51" i="288"/>
  <c r="H12" i="310"/>
  <c r="G12" i="310"/>
  <c r="F14" i="307"/>
  <c r="O14" i="307"/>
  <c r="H10" i="309"/>
  <c r="G10" i="309"/>
  <c r="G41" i="307"/>
  <c r="H41" i="307"/>
  <c r="H12" i="312"/>
  <c r="H17" i="299"/>
  <c r="G24" i="307"/>
  <c r="I24" i="307" s="1"/>
  <c r="H29" i="307"/>
  <c r="G29" i="307"/>
  <c r="O41" i="307"/>
  <c r="E42" i="307"/>
  <c r="O42" i="307" s="1"/>
  <c r="H25" i="308"/>
  <c r="G25" i="308"/>
  <c r="H8" i="309"/>
  <c r="G8" i="311"/>
  <c r="G10" i="308"/>
  <c r="H10" i="308"/>
  <c r="H32" i="308"/>
  <c r="G32" i="308"/>
  <c r="G19" i="309"/>
  <c r="H19" i="309"/>
  <c r="H9" i="311"/>
  <c r="H13" i="312"/>
  <c r="G13" i="312"/>
  <c r="F10" i="307"/>
  <c r="H11" i="310"/>
  <c r="G11" i="310"/>
  <c r="G9" i="311"/>
  <c r="H32" i="307"/>
  <c r="G32" i="307"/>
  <c r="I32" i="307" s="1"/>
  <c r="H30" i="308"/>
  <c r="G30" i="308"/>
  <c r="E42" i="308"/>
  <c r="O42" i="308" s="1"/>
  <c r="O41" i="308"/>
  <c r="E15" i="299"/>
  <c r="H27" i="308"/>
  <c r="G27" i="308"/>
  <c r="F41" i="308"/>
  <c r="F44" i="309"/>
  <c r="O44" i="309"/>
  <c r="I16" i="308"/>
  <c r="F13" i="309"/>
  <c r="O24" i="309"/>
  <c r="H31" i="308"/>
  <c r="G31" i="308"/>
  <c r="E17" i="309"/>
  <c r="O17" i="309" s="1"/>
  <c r="E25" i="309"/>
  <c r="F16" i="309"/>
  <c r="H23" i="313"/>
  <c r="H27" i="313" s="1"/>
  <c r="F17" i="308"/>
  <c r="F45" i="308"/>
  <c r="H25" i="307"/>
  <c r="G25" i="307"/>
  <c r="E42" i="309"/>
  <c r="F11" i="312"/>
  <c r="O12" i="271"/>
  <c r="O10" i="271"/>
  <c r="O17" i="271"/>
  <c r="O16" i="271"/>
  <c r="O18" i="271"/>
  <c r="D18" i="271"/>
  <c r="F18" i="271" s="1"/>
  <c r="D17" i="271"/>
  <c r="O15" i="271"/>
  <c r="D15" i="271"/>
  <c r="F15" i="271" s="1"/>
  <c r="G15" i="271" s="1"/>
  <c r="O13" i="271"/>
  <c r="D12" i="271"/>
  <c r="O11" i="271"/>
  <c r="D11" i="271"/>
  <c r="F11" i="271" s="1"/>
  <c r="D10" i="271"/>
  <c r="O9" i="271"/>
  <c r="D9" i="271"/>
  <c r="F9" i="271" s="1"/>
  <c r="O8" i="271"/>
  <c r="D8" i="271"/>
  <c r="F8" i="271" s="1"/>
  <c r="H8" i="271" s="1"/>
  <c r="O18" i="270"/>
  <c r="O17" i="270"/>
  <c r="D17" i="270"/>
  <c r="F17" i="270" s="1"/>
  <c r="H17" i="270" s="1"/>
  <c r="O16" i="270"/>
  <c r="D16" i="270"/>
  <c r="F16" i="270" s="1"/>
  <c r="H16" i="270" s="1"/>
  <c r="O15" i="270"/>
  <c r="O14" i="270"/>
  <c r="D14" i="270"/>
  <c r="F14" i="270" s="1"/>
  <c r="G14" i="270" s="1"/>
  <c r="O13" i="270"/>
  <c r="O12" i="270"/>
  <c r="D12" i="270"/>
  <c r="F12" i="270" s="1"/>
  <c r="O11" i="270"/>
  <c r="D11" i="270"/>
  <c r="F11" i="270" s="1"/>
  <c r="H11" i="270" s="1"/>
  <c r="O10" i="270"/>
  <c r="D10" i="270"/>
  <c r="F10" i="270" s="1"/>
  <c r="H10" i="270" s="1"/>
  <c r="D9" i="270"/>
  <c r="O8" i="270"/>
  <c r="D8" i="270"/>
  <c r="F8" i="270" s="1"/>
  <c r="O11" i="223"/>
  <c r="O12" i="223"/>
  <c r="O13" i="223"/>
  <c r="O15" i="223"/>
  <c r="O16" i="223"/>
  <c r="O17" i="223"/>
  <c r="O18" i="223"/>
  <c r="O19" i="223"/>
  <c r="D18" i="223"/>
  <c r="F18" i="223" s="1"/>
  <c r="H18" i="223" s="1"/>
  <c r="D17" i="223"/>
  <c r="F17" i="223" s="1"/>
  <c r="D12" i="223"/>
  <c r="F12" i="223" s="1"/>
  <c r="D11" i="223"/>
  <c r="F11" i="223" s="1"/>
  <c r="H11" i="223" s="1"/>
  <c r="I9" i="311" l="1"/>
  <c r="G44" i="308"/>
  <c r="H55" i="288"/>
  <c r="G58" i="288"/>
  <c r="I58" i="288" s="1"/>
  <c r="I10" i="288"/>
  <c r="I10" i="281"/>
  <c r="I58" i="279"/>
  <c r="I17" i="279"/>
  <c r="I19" i="279"/>
  <c r="O33" i="273"/>
  <c r="I20" i="286"/>
  <c r="I14" i="286"/>
  <c r="I19" i="281"/>
  <c r="G16" i="281"/>
  <c r="G15" i="280"/>
  <c r="I14" i="280"/>
  <c r="I20" i="279"/>
  <c r="H40" i="281"/>
  <c r="G40" i="281"/>
  <c r="G39" i="281"/>
  <c r="I39" i="281" s="1"/>
  <c r="I15" i="283"/>
  <c r="G31" i="280"/>
  <c r="I31" i="280" s="1"/>
  <c r="I15" i="280"/>
  <c r="I55" i="280"/>
  <c r="I10" i="279"/>
  <c r="H57" i="272"/>
  <c r="G34" i="274"/>
  <c r="I34" i="274" s="1"/>
  <c r="H34" i="273"/>
  <c r="G34" i="272"/>
  <c r="I34" i="272" s="1"/>
  <c r="F48" i="274"/>
  <c r="I44" i="273"/>
  <c r="I45" i="273"/>
  <c r="I34" i="273"/>
  <c r="H55" i="272"/>
  <c r="I55" i="272" s="1"/>
  <c r="K29" i="251"/>
  <c r="G15" i="286"/>
  <c r="H15" i="286"/>
  <c r="G12" i="270"/>
  <c r="H12" i="270"/>
  <c r="F52" i="273"/>
  <c r="E33" i="274"/>
  <c r="O33" i="274" s="1"/>
  <c r="I11" i="279"/>
  <c r="I16" i="286"/>
  <c r="P30" i="251"/>
  <c r="Q30" i="251" s="1"/>
  <c r="O26" i="274"/>
  <c r="F26" i="274"/>
  <c r="O27" i="274"/>
  <c r="F27" i="274"/>
  <c r="G11" i="270"/>
  <c r="I11" i="270" s="1"/>
  <c r="G16" i="270"/>
  <c r="I16" i="270" s="1"/>
  <c r="H44" i="307"/>
  <c r="G27" i="309"/>
  <c r="I27" i="309" s="1"/>
  <c r="H17" i="307"/>
  <c r="O15" i="286"/>
  <c r="I16" i="284"/>
  <c r="G31" i="286"/>
  <c r="I10" i="274"/>
  <c r="G8" i="310"/>
  <c r="L36" i="252" s="1"/>
  <c r="K36" i="252"/>
  <c r="O28" i="274"/>
  <c r="F28" i="274"/>
  <c r="O28" i="273"/>
  <c r="F28" i="273"/>
  <c r="G8" i="274"/>
  <c r="F34" i="279"/>
  <c r="N34" i="279"/>
  <c r="I55" i="288"/>
  <c r="I12" i="282"/>
  <c r="G57" i="279"/>
  <c r="I57" i="279" s="1"/>
  <c r="I54" i="279"/>
  <c r="I16" i="281"/>
  <c r="F44" i="281"/>
  <c r="I16" i="282"/>
  <c r="F52" i="274"/>
  <c r="G52" i="274" s="1"/>
  <c r="G8" i="312"/>
  <c r="K38" i="252"/>
  <c r="H32" i="286"/>
  <c r="I32" i="286" s="1"/>
  <c r="O27" i="273"/>
  <c r="F27" i="273"/>
  <c r="I53" i="286"/>
  <c r="G11" i="286"/>
  <c r="H29" i="273"/>
  <c r="I29" i="273" s="1"/>
  <c r="E35" i="280"/>
  <c r="N17" i="280"/>
  <c r="O26" i="273"/>
  <c r="F26" i="273"/>
  <c r="O60" i="286"/>
  <c r="F31" i="279"/>
  <c r="I12" i="310"/>
  <c r="I40" i="281"/>
  <c r="G15" i="279"/>
  <c r="I15" i="279" s="1"/>
  <c r="K37" i="252"/>
  <c r="F17" i="280"/>
  <c r="F34" i="280"/>
  <c r="N34" i="280"/>
  <c r="I33" i="280"/>
  <c r="L37" i="252"/>
  <c r="G56" i="288"/>
  <c r="I56" i="288" s="1"/>
  <c r="G20" i="281"/>
  <c r="I20" i="281" s="1"/>
  <c r="I31" i="274"/>
  <c r="I54" i="281"/>
  <c r="F19" i="274"/>
  <c r="H19" i="274" s="1"/>
  <c r="I22" i="280"/>
  <c r="I8" i="307"/>
  <c r="F57" i="273"/>
  <c r="G36" i="279"/>
  <c r="I36" i="279" s="1"/>
  <c r="N50" i="325"/>
  <c r="N51" i="325" s="1"/>
  <c r="N50" i="326"/>
  <c r="N51" i="326" s="1"/>
  <c r="O8" i="311"/>
  <c r="O14" i="311" s="1"/>
  <c r="I27" i="307"/>
  <c r="O48" i="308"/>
  <c r="I11" i="310"/>
  <c r="G30" i="309"/>
  <c r="I30" i="309" s="1"/>
  <c r="G32" i="309"/>
  <c r="I32" i="309" s="1"/>
  <c r="F14" i="309"/>
  <c r="G14" i="309" s="1"/>
  <c r="H13" i="311"/>
  <c r="I13" i="311" s="1"/>
  <c r="I27" i="308"/>
  <c r="G24" i="309"/>
  <c r="I24" i="309" s="1"/>
  <c r="I29" i="309"/>
  <c r="F26" i="309"/>
  <c r="H26" i="309" s="1"/>
  <c r="G8" i="309"/>
  <c r="I31" i="308"/>
  <c r="H14" i="308"/>
  <c r="I14" i="308" s="1"/>
  <c r="I10" i="308"/>
  <c r="I30" i="308"/>
  <c r="I25" i="308"/>
  <c r="H8" i="308"/>
  <c r="F42" i="308"/>
  <c r="H42" i="308" s="1"/>
  <c r="I19" i="308"/>
  <c r="I29" i="307"/>
  <c r="G41" i="309"/>
  <c r="I41" i="309" s="1"/>
  <c r="I19" i="309"/>
  <c r="F17" i="309"/>
  <c r="H17" i="309" s="1"/>
  <c r="G45" i="309"/>
  <c r="I45" i="309" s="1"/>
  <c r="I10" i="309"/>
  <c r="I32" i="308"/>
  <c r="G46" i="307"/>
  <c r="I46" i="307" s="1"/>
  <c r="I12" i="312"/>
  <c r="I16" i="307"/>
  <c r="H13" i="307"/>
  <c r="I13" i="307" s="1"/>
  <c r="H8" i="310"/>
  <c r="I13" i="312"/>
  <c r="H13" i="310"/>
  <c r="F14" i="310" s="1"/>
  <c r="I25" i="307"/>
  <c r="H19" i="307"/>
  <c r="G19" i="307"/>
  <c r="I8" i="312"/>
  <c r="O48" i="307"/>
  <c r="I17" i="307"/>
  <c r="G47" i="325"/>
  <c r="H47" i="325"/>
  <c r="F50" i="325" s="1"/>
  <c r="H47" i="326"/>
  <c r="G47" i="326"/>
  <c r="G46" i="325"/>
  <c r="H46" i="325"/>
  <c r="K43" i="251"/>
  <c r="G46" i="328"/>
  <c r="H46" i="328"/>
  <c r="K45" i="251"/>
  <c r="N50" i="328"/>
  <c r="N51" i="328" s="1"/>
  <c r="H47" i="328"/>
  <c r="G47" i="328"/>
  <c r="H46" i="326"/>
  <c r="G46" i="326"/>
  <c r="K44" i="251"/>
  <c r="H11" i="318"/>
  <c r="G11" i="318"/>
  <c r="G11" i="317"/>
  <c r="H11" i="317"/>
  <c r="K31" i="252"/>
  <c r="G9" i="318"/>
  <c r="H9" i="318"/>
  <c r="K30" i="252"/>
  <c r="G9" i="317"/>
  <c r="H9" i="317"/>
  <c r="O19" i="317"/>
  <c r="I9" i="284"/>
  <c r="M16" i="252"/>
  <c r="L16" i="252"/>
  <c r="H10" i="272"/>
  <c r="I10" i="272" s="1"/>
  <c r="H43" i="272"/>
  <c r="I43" i="272" s="1"/>
  <c r="F8" i="272"/>
  <c r="H8" i="272" s="1"/>
  <c r="G44" i="272"/>
  <c r="I44" i="272" s="1"/>
  <c r="I45" i="272"/>
  <c r="E17" i="272"/>
  <c r="O16" i="272"/>
  <c r="E14" i="272"/>
  <c r="O13" i="272"/>
  <c r="F13" i="272"/>
  <c r="F16" i="272"/>
  <c r="F27" i="272"/>
  <c r="O27" i="272"/>
  <c r="O26" i="272"/>
  <c r="F26" i="272"/>
  <c r="I57" i="272"/>
  <c r="P8" i="251"/>
  <c r="H16" i="278"/>
  <c r="F51" i="272"/>
  <c r="P9" i="251"/>
  <c r="F29" i="272"/>
  <c r="F52" i="272"/>
  <c r="O28" i="272"/>
  <c r="F28" i="272"/>
  <c r="I31" i="272"/>
  <c r="F53" i="272"/>
  <c r="I19" i="286"/>
  <c r="H55" i="286"/>
  <c r="I55" i="286" s="1"/>
  <c r="I37" i="286"/>
  <c r="I17" i="286"/>
  <c r="I38" i="286"/>
  <c r="I23" i="286"/>
  <c r="H14" i="278"/>
  <c r="I23" i="281"/>
  <c r="I22" i="281"/>
  <c r="I16" i="280"/>
  <c r="I16" i="279"/>
  <c r="I12" i="283"/>
  <c r="I11" i="283"/>
  <c r="I16" i="283"/>
  <c r="F19" i="283"/>
  <c r="I17" i="282"/>
  <c r="I11" i="282"/>
  <c r="I23" i="280"/>
  <c r="I55" i="279"/>
  <c r="I23" i="279"/>
  <c r="I22" i="279"/>
  <c r="I14" i="279"/>
  <c r="I12" i="276"/>
  <c r="I12" i="275"/>
  <c r="O19" i="271"/>
  <c r="O20" i="271" s="1"/>
  <c r="I21" i="272"/>
  <c r="E32" i="274"/>
  <c r="O32" i="274" s="1"/>
  <c r="I44" i="308"/>
  <c r="G8" i="308"/>
  <c r="H46" i="309"/>
  <c r="G46" i="309"/>
  <c r="I44" i="307"/>
  <c r="G46" i="308"/>
  <c r="H46" i="308"/>
  <c r="H45" i="307"/>
  <c r="G45" i="307"/>
  <c r="I8" i="288"/>
  <c r="F33" i="288"/>
  <c r="F10" i="271"/>
  <c r="G10" i="271" s="1"/>
  <c r="G15" i="281"/>
  <c r="I15" i="281" s="1"/>
  <c r="G8" i="280"/>
  <c r="I8" i="280" s="1"/>
  <c r="I58" i="280"/>
  <c r="F32" i="281"/>
  <c r="H32" i="281" s="1"/>
  <c r="H8" i="279"/>
  <c r="I8" i="279" s="1"/>
  <c r="H57" i="281"/>
  <c r="I57" i="281" s="1"/>
  <c r="H16" i="274"/>
  <c r="G16" i="274"/>
  <c r="O38" i="288"/>
  <c r="F38" i="288"/>
  <c r="E15" i="288"/>
  <c r="E31" i="288"/>
  <c r="E32" i="288"/>
  <c r="O14" i="288"/>
  <c r="F14" i="288"/>
  <c r="H17" i="284"/>
  <c r="G17" i="284"/>
  <c r="I17" i="284" s="1"/>
  <c r="H60" i="281"/>
  <c r="G60" i="281"/>
  <c r="K15" i="251"/>
  <c r="N44" i="279"/>
  <c r="N60" i="279" s="1"/>
  <c r="F55" i="274"/>
  <c r="O55" i="274"/>
  <c r="O13" i="274"/>
  <c r="E14" i="274"/>
  <c r="H18" i="272"/>
  <c r="G18" i="272"/>
  <c r="H53" i="279"/>
  <c r="G53" i="279"/>
  <c r="H19" i="272"/>
  <c r="G19" i="272"/>
  <c r="H25" i="313"/>
  <c r="H45" i="308"/>
  <c r="G45" i="308"/>
  <c r="H41" i="308"/>
  <c r="G41" i="308"/>
  <c r="H10" i="307"/>
  <c r="G10" i="307"/>
  <c r="F42" i="307"/>
  <c r="K37" i="251" s="1"/>
  <c r="I8" i="311"/>
  <c r="F35" i="288"/>
  <c r="G16" i="288"/>
  <c r="H16" i="288"/>
  <c r="E17" i="288"/>
  <c r="O16" i="288"/>
  <c r="O49" i="274"/>
  <c r="F49" i="274"/>
  <c r="F37" i="281"/>
  <c r="I53" i="280"/>
  <c r="H31" i="279"/>
  <c r="G31" i="279"/>
  <c r="F9" i="282"/>
  <c r="K15" i="252" s="1"/>
  <c r="O9" i="282"/>
  <c r="O19" i="282" s="1"/>
  <c r="H56" i="273"/>
  <c r="G56" i="273"/>
  <c r="I48" i="272"/>
  <c r="F13" i="274"/>
  <c r="I8" i="283"/>
  <c r="O32" i="272"/>
  <c r="F32" i="272"/>
  <c r="H51" i="288"/>
  <c r="G51" i="288"/>
  <c r="I51" i="288" s="1"/>
  <c r="O19" i="288"/>
  <c r="E20" i="288"/>
  <c r="N17" i="281"/>
  <c r="F17" i="281"/>
  <c r="H44" i="281"/>
  <c r="G44" i="281"/>
  <c r="N44" i="280"/>
  <c r="O51" i="273"/>
  <c r="F51" i="273"/>
  <c r="G17" i="308"/>
  <c r="H17" i="308"/>
  <c r="H23" i="288"/>
  <c r="G23" i="288"/>
  <c r="G11" i="284"/>
  <c r="H11" i="284"/>
  <c r="G58" i="281"/>
  <c r="H58" i="281"/>
  <c r="F12" i="284"/>
  <c r="G39" i="280"/>
  <c r="H39" i="280"/>
  <c r="O46" i="273"/>
  <c r="F46" i="273"/>
  <c r="H55" i="273"/>
  <c r="G55" i="273"/>
  <c r="I55" i="273" s="1"/>
  <c r="O32" i="273"/>
  <c r="F32" i="273"/>
  <c r="F46" i="272"/>
  <c r="F25" i="309"/>
  <c r="O25" i="309"/>
  <c r="H14" i="307"/>
  <c r="G14" i="307"/>
  <c r="G42" i="281"/>
  <c r="I42" i="281" s="1"/>
  <c r="H42" i="281"/>
  <c r="G32" i="280"/>
  <c r="H32" i="280"/>
  <c r="H15" i="284"/>
  <c r="G15" i="284"/>
  <c r="G14" i="281"/>
  <c r="H14" i="281"/>
  <c r="F56" i="272"/>
  <c r="O56" i="272"/>
  <c r="H57" i="280"/>
  <c r="G57" i="280"/>
  <c r="H53" i="274"/>
  <c r="G53" i="274"/>
  <c r="O31" i="309"/>
  <c r="F31" i="309"/>
  <c r="G11" i="312"/>
  <c r="H11" i="312"/>
  <c r="M38" i="252" s="1"/>
  <c r="F33" i="281"/>
  <c r="N33" i="281"/>
  <c r="F56" i="274"/>
  <c r="O56" i="274"/>
  <c r="H52" i="273"/>
  <c r="G52" i="273"/>
  <c r="F33" i="272"/>
  <c r="O33" i="272"/>
  <c r="G33" i="273"/>
  <c r="H33" i="273"/>
  <c r="F53" i="273"/>
  <c r="I41" i="307"/>
  <c r="H53" i="288"/>
  <c r="G53" i="288"/>
  <c r="I53" i="288" s="1"/>
  <c r="H36" i="280"/>
  <c r="G36" i="280"/>
  <c r="H18" i="274"/>
  <c r="G18" i="274"/>
  <c r="G44" i="309"/>
  <c r="H44" i="309"/>
  <c r="H33" i="288"/>
  <c r="G33" i="288"/>
  <c r="H58" i="286"/>
  <c r="G58" i="286"/>
  <c r="G56" i="286"/>
  <c r="H56" i="286"/>
  <c r="F31" i="281"/>
  <c r="N35" i="281"/>
  <c r="F35" i="281"/>
  <c r="G8" i="281"/>
  <c r="H8" i="281"/>
  <c r="F10" i="284"/>
  <c r="K17" i="252" s="1"/>
  <c r="O10" i="284"/>
  <c r="O19" i="284" s="1"/>
  <c r="E17" i="274"/>
  <c r="O16" i="274"/>
  <c r="G29" i="274"/>
  <c r="H29" i="274"/>
  <c r="G19" i="274"/>
  <c r="G19" i="273"/>
  <c r="H19" i="273"/>
  <c r="H12" i="277"/>
  <c r="G12" i="277"/>
  <c r="O16" i="273"/>
  <c r="E17" i="273"/>
  <c r="F16" i="273"/>
  <c r="N23" i="251"/>
  <c r="H37" i="288"/>
  <c r="G37" i="288"/>
  <c r="F42" i="309"/>
  <c r="O42" i="309"/>
  <c r="G16" i="309"/>
  <c r="H16" i="309"/>
  <c r="H13" i="309"/>
  <c r="G13" i="309"/>
  <c r="F19" i="288"/>
  <c r="I22" i="288"/>
  <c r="N34" i="281"/>
  <c r="F34" i="281"/>
  <c r="H52" i="286"/>
  <c r="M29" i="251" s="1"/>
  <c r="G52" i="286"/>
  <c r="F34" i="288"/>
  <c r="I64" i="281"/>
  <c r="I64" i="280"/>
  <c r="I64" i="279"/>
  <c r="I60" i="280"/>
  <c r="I11" i="280"/>
  <c r="F57" i="274"/>
  <c r="I8" i="273"/>
  <c r="E14" i="273"/>
  <c r="F13" i="273"/>
  <c r="O13" i="273"/>
  <c r="F12" i="271"/>
  <c r="G12" i="271" s="1"/>
  <c r="F17" i="271"/>
  <c r="G17" i="271" s="1"/>
  <c r="H15" i="271"/>
  <c r="I15" i="271" s="1"/>
  <c r="H14" i="270"/>
  <c r="I14" i="270" s="1"/>
  <c r="H11" i="271"/>
  <c r="G11" i="271"/>
  <c r="H9" i="271"/>
  <c r="G9" i="271"/>
  <c r="G8" i="271"/>
  <c r="I8" i="271" s="1"/>
  <c r="G18" i="271"/>
  <c r="H18" i="271"/>
  <c r="G8" i="270"/>
  <c r="G10" i="270"/>
  <c r="I10" i="270" s="1"/>
  <c r="H8" i="270"/>
  <c r="G17" i="270"/>
  <c r="I17" i="270" s="1"/>
  <c r="G12" i="223"/>
  <c r="H12" i="223"/>
  <c r="H17" i="223"/>
  <c r="G18" i="223"/>
  <c r="I18" i="223" s="1"/>
  <c r="G17" i="223"/>
  <c r="G11" i="223"/>
  <c r="I11" i="223" s="1"/>
  <c r="I9" i="271" l="1"/>
  <c r="F33" i="274"/>
  <c r="I46" i="326"/>
  <c r="O37" i="252"/>
  <c r="Q37" i="252" s="1"/>
  <c r="I16" i="288"/>
  <c r="I15" i="286"/>
  <c r="I23" i="288"/>
  <c r="I11" i="318"/>
  <c r="M31" i="252"/>
  <c r="I11" i="317"/>
  <c r="M30" i="252"/>
  <c r="L29" i="251"/>
  <c r="N29" i="251" s="1"/>
  <c r="F43" i="286"/>
  <c r="I31" i="286"/>
  <c r="I29" i="274"/>
  <c r="I15" i="284"/>
  <c r="N16" i="252"/>
  <c r="I18" i="274"/>
  <c r="H48" i="274"/>
  <c r="G48" i="274"/>
  <c r="I48" i="274" s="1"/>
  <c r="I52" i="273"/>
  <c r="I56" i="273"/>
  <c r="I58" i="281"/>
  <c r="I53" i="279"/>
  <c r="I62" i="279" s="1"/>
  <c r="L38" i="252"/>
  <c r="N38" i="252" s="1"/>
  <c r="O16" i="252"/>
  <c r="Q16" i="252" s="1"/>
  <c r="I8" i="274"/>
  <c r="K36" i="251"/>
  <c r="H52" i="274"/>
  <c r="I52" i="274" s="1"/>
  <c r="I18" i="272"/>
  <c r="I16" i="274"/>
  <c r="H34" i="280"/>
  <c r="G34" i="280"/>
  <c r="I34" i="280"/>
  <c r="H26" i="273"/>
  <c r="G26" i="273"/>
  <c r="I11" i="286"/>
  <c r="I43" i="286" s="1"/>
  <c r="G28" i="273"/>
  <c r="H28" i="273"/>
  <c r="K38" i="251"/>
  <c r="I12" i="270"/>
  <c r="I11" i="271"/>
  <c r="I39" i="280"/>
  <c r="I8" i="310"/>
  <c r="M36" i="252"/>
  <c r="N36" i="252" s="1"/>
  <c r="H17" i="280"/>
  <c r="G17" i="280"/>
  <c r="H27" i="273"/>
  <c r="G27" i="273"/>
  <c r="G27" i="274"/>
  <c r="H27" i="274"/>
  <c r="I8" i="309"/>
  <c r="I60" i="288"/>
  <c r="L31" i="252"/>
  <c r="H28" i="274"/>
  <c r="G28" i="274"/>
  <c r="M37" i="252"/>
  <c r="N37" i="252" s="1"/>
  <c r="I19" i="274"/>
  <c r="I53" i="274"/>
  <c r="F60" i="288"/>
  <c r="I8" i="308"/>
  <c r="H57" i="273"/>
  <c r="G57" i="273"/>
  <c r="F35" i="280"/>
  <c r="N35" i="280"/>
  <c r="N60" i="280" s="1"/>
  <c r="G34" i="279"/>
  <c r="H34" i="279"/>
  <c r="E9" i="276"/>
  <c r="I33" i="288"/>
  <c r="G8" i="272"/>
  <c r="I44" i="281"/>
  <c r="G26" i="274"/>
  <c r="H26" i="274"/>
  <c r="C28" i="252"/>
  <c r="I37" i="288"/>
  <c r="I36" i="280"/>
  <c r="I46" i="325"/>
  <c r="F51" i="325"/>
  <c r="K51" i="325" s="1"/>
  <c r="F50" i="328"/>
  <c r="F51" i="328" s="1"/>
  <c r="K51" i="328" s="1"/>
  <c r="I47" i="325"/>
  <c r="I50" i="325" s="1"/>
  <c r="F50" i="326"/>
  <c r="F51" i="326" s="1"/>
  <c r="K51" i="326" s="1"/>
  <c r="I47" i="328"/>
  <c r="I47" i="326"/>
  <c r="I50" i="326" s="1"/>
  <c r="H14" i="309"/>
  <c r="I14" i="309" s="1"/>
  <c r="F14" i="311"/>
  <c r="G17" i="309"/>
  <c r="I17" i="309" s="1"/>
  <c r="G26" i="309"/>
  <c r="I26" i="309" s="1"/>
  <c r="I14" i="311"/>
  <c r="I46" i="309"/>
  <c r="G42" i="308"/>
  <c r="F48" i="308" s="1"/>
  <c r="I17" i="308"/>
  <c r="F33" i="308"/>
  <c r="F33" i="307"/>
  <c r="I13" i="310"/>
  <c r="I14" i="310" s="1"/>
  <c r="I41" i="308"/>
  <c r="I46" i="308"/>
  <c r="I11" i="312"/>
  <c r="I14" i="312" s="1"/>
  <c r="F14" i="312"/>
  <c r="I10" i="307"/>
  <c r="I19" i="307"/>
  <c r="L43" i="251"/>
  <c r="L44" i="251"/>
  <c r="M45" i="251"/>
  <c r="M44" i="251"/>
  <c r="I46" i="328"/>
  <c r="L45" i="251"/>
  <c r="M43" i="251"/>
  <c r="I9" i="318"/>
  <c r="F19" i="317"/>
  <c r="I9" i="317"/>
  <c r="L30" i="252"/>
  <c r="N30" i="252" s="1"/>
  <c r="F19" i="318"/>
  <c r="I11" i="284"/>
  <c r="G27" i="272"/>
  <c r="H27" i="272"/>
  <c r="H51" i="272"/>
  <c r="G51" i="272"/>
  <c r="G53" i="272"/>
  <c r="H53" i="272"/>
  <c r="H13" i="272"/>
  <c r="G13" i="272"/>
  <c r="I13" i="272" s="1"/>
  <c r="H28" i="272"/>
  <c r="G28" i="272"/>
  <c r="I19" i="272"/>
  <c r="H26" i="272"/>
  <c r="G26" i="272"/>
  <c r="E9" i="275"/>
  <c r="O14" i="272"/>
  <c r="F14" i="272"/>
  <c r="I8" i="272"/>
  <c r="G16" i="272"/>
  <c r="H16" i="272"/>
  <c r="H52" i="272"/>
  <c r="G52" i="272"/>
  <c r="E11" i="275"/>
  <c r="O8" i="275"/>
  <c r="F8" i="275"/>
  <c r="H29" i="272"/>
  <c r="G29" i="272"/>
  <c r="F17" i="272"/>
  <c r="O17" i="272"/>
  <c r="Q23" i="251"/>
  <c r="I18" i="271"/>
  <c r="I16" i="309"/>
  <c r="I13" i="309"/>
  <c r="I14" i="307"/>
  <c r="F62" i="280"/>
  <c r="F62" i="279"/>
  <c r="K17" i="251"/>
  <c r="I14" i="281"/>
  <c r="I19" i="283"/>
  <c r="I32" i="280"/>
  <c r="I31" i="279"/>
  <c r="I12" i="277"/>
  <c r="F32" i="274"/>
  <c r="G32" i="274" s="1"/>
  <c r="I19" i="273"/>
  <c r="I33" i="273"/>
  <c r="I45" i="307"/>
  <c r="I45" i="308"/>
  <c r="I44" i="309"/>
  <c r="I56" i="286"/>
  <c r="I58" i="286"/>
  <c r="H10" i="271"/>
  <c r="B28" i="252"/>
  <c r="I60" i="281"/>
  <c r="I62" i="281" s="1"/>
  <c r="G32" i="281"/>
  <c r="I32" i="281" s="1"/>
  <c r="F62" i="281"/>
  <c r="I57" i="280"/>
  <c r="I62" i="280" s="1"/>
  <c r="H32" i="273"/>
  <c r="G32" i="273"/>
  <c r="I32" i="273" s="1"/>
  <c r="H10" i="284"/>
  <c r="G10" i="284"/>
  <c r="H31" i="281"/>
  <c r="G31" i="281"/>
  <c r="H35" i="288"/>
  <c r="G35" i="288"/>
  <c r="H14" i="288"/>
  <c r="G14" i="288"/>
  <c r="H34" i="281"/>
  <c r="G34" i="281"/>
  <c r="G33" i="272"/>
  <c r="H33" i="272"/>
  <c r="I33" i="272" s="1"/>
  <c r="G56" i="274"/>
  <c r="H56" i="274"/>
  <c r="H51" i="273"/>
  <c r="G51" i="273"/>
  <c r="H37" i="281"/>
  <c r="G37" i="281"/>
  <c r="H55" i="274"/>
  <c r="G55" i="274"/>
  <c r="M15" i="251"/>
  <c r="H13" i="273"/>
  <c r="G13" i="273"/>
  <c r="O14" i="273"/>
  <c r="F14" i="273"/>
  <c r="I8" i="281"/>
  <c r="G31" i="309"/>
  <c r="H31" i="309"/>
  <c r="I31" i="309" s="1"/>
  <c r="H56" i="272"/>
  <c r="G56" i="272"/>
  <c r="G32" i="272"/>
  <c r="H32" i="272"/>
  <c r="H49" i="274"/>
  <c r="G49" i="274"/>
  <c r="O32" i="288"/>
  <c r="F32" i="288"/>
  <c r="O17" i="273"/>
  <c r="F17" i="273"/>
  <c r="H33" i="281"/>
  <c r="G33" i="281"/>
  <c r="I33" i="281" s="1"/>
  <c r="F60" i="286"/>
  <c r="O48" i="309"/>
  <c r="O49" i="309" s="1"/>
  <c r="G46" i="273"/>
  <c r="H46" i="273"/>
  <c r="I46" i="273" s="1"/>
  <c r="O8" i="276"/>
  <c r="E11" i="276"/>
  <c r="F8" i="276"/>
  <c r="O15" i="288"/>
  <c r="F15" i="288"/>
  <c r="G42" i="309"/>
  <c r="H42" i="309"/>
  <c r="G35" i="281"/>
  <c r="H35" i="281"/>
  <c r="G25" i="309"/>
  <c r="H25" i="309"/>
  <c r="H12" i="284"/>
  <c r="G12" i="284"/>
  <c r="H17" i="281"/>
  <c r="G17" i="281"/>
  <c r="G13" i="274"/>
  <c r="H13" i="274"/>
  <c r="O17" i="288"/>
  <c r="F17" i="288"/>
  <c r="O8" i="277"/>
  <c r="E11" i="277"/>
  <c r="F8" i="277"/>
  <c r="G38" i="288"/>
  <c r="H38" i="288"/>
  <c r="H34" i="288"/>
  <c r="G34" i="288"/>
  <c r="G19" i="288"/>
  <c r="H19" i="288"/>
  <c r="G33" i="274"/>
  <c r="H33" i="274"/>
  <c r="G9" i="282"/>
  <c r="L15" i="252" s="1"/>
  <c r="H9" i="282"/>
  <c r="M15" i="252" s="1"/>
  <c r="O31" i="288"/>
  <c r="F31" i="288"/>
  <c r="H57" i="274"/>
  <c r="G57" i="274"/>
  <c r="H53" i="273"/>
  <c r="G53" i="273"/>
  <c r="I52" i="286"/>
  <c r="G16" i="273"/>
  <c r="H16" i="273"/>
  <c r="O17" i="274"/>
  <c r="F17" i="274"/>
  <c r="G46" i="272"/>
  <c r="H46" i="272"/>
  <c r="N60" i="281"/>
  <c r="O20" i="288"/>
  <c r="F20" i="288"/>
  <c r="H42" i="307"/>
  <c r="M36" i="251" s="1"/>
  <c r="G42" i="307"/>
  <c r="L37" i="251" s="1"/>
  <c r="E9" i="277"/>
  <c r="F14" i="274"/>
  <c r="O14" i="274"/>
  <c r="H12" i="271"/>
  <c r="I12" i="271" s="1"/>
  <c r="H17" i="271"/>
  <c r="I17" i="271" s="1"/>
  <c r="I8" i="270"/>
  <c r="I17" i="223"/>
  <c r="I12" i="223"/>
  <c r="N31" i="252" l="1"/>
  <c r="I51" i="273"/>
  <c r="M38" i="251"/>
  <c r="I33" i="308"/>
  <c r="M37" i="251"/>
  <c r="N37" i="251" s="1"/>
  <c r="I38" i="288"/>
  <c r="F61" i="286"/>
  <c r="K61" i="286" s="1"/>
  <c r="I19" i="318"/>
  <c r="K31" i="251"/>
  <c r="I12" i="284"/>
  <c r="I57" i="274"/>
  <c r="I55" i="274"/>
  <c r="I49" i="274"/>
  <c r="I56" i="274"/>
  <c r="I57" i="273"/>
  <c r="I27" i="273"/>
  <c r="I28" i="273"/>
  <c r="K9" i="251"/>
  <c r="I29" i="272"/>
  <c r="I28" i="272"/>
  <c r="I27" i="272"/>
  <c r="I53" i="272"/>
  <c r="F45" i="279"/>
  <c r="F63" i="279" s="1"/>
  <c r="K61" i="279" s="1"/>
  <c r="N15" i="252"/>
  <c r="I51" i="325"/>
  <c r="I53" i="325" s="1"/>
  <c r="O43" i="251"/>
  <c r="G35" i="280"/>
  <c r="H35" i="280"/>
  <c r="I35" i="280" s="1"/>
  <c r="I16" i="273"/>
  <c r="L17" i="252"/>
  <c r="K10" i="251"/>
  <c r="I53" i="273"/>
  <c r="I33" i="274"/>
  <c r="I35" i="288"/>
  <c r="K16" i="251"/>
  <c r="I17" i="280"/>
  <c r="I45" i="280" s="1"/>
  <c r="O58" i="273"/>
  <c r="L36" i="251"/>
  <c r="N36" i="251" s="1"/>
  <c r="I13" i="274"/>
  <c r="I59" i="274"/>
  <c r="L38" i="251"/>
  <c r="I26" i="274"/>
  <c r="O38" i="252"/>
  <c r="Q38" i="252" s="1"/>
  <c r="O36" i="252"/>
  <c r="Q36" i="252" s="1"/>
  <c r="I26" i="273"/>
  <c r="I13" i="273"/>
  <c r="O58" i="274"/>
  <c r="M17" i="252"/>
  <c r="I52" i="272"/>
  <c r="I26" i="272"/>
  <c r="I42" i="308"/>
  <c r="I34" i="279"/>
  <c r="I28" i="274"/>
  <c r="I27" i="274"/>
  <c r="I51" i="326"/>
  <c r="I53" i="326" s="1"/>
  <c r="O44" i="251"/>
  <c r="N43" i="251"/>
  <c r="I50" i="328"/>
  <c r="N44" i="251"/>
  <c r="F48" i="309"/>
  <c r="F33" i="309"/>
  <c r="I33" i="307"/>
  <c r="I42" i="309"/>
  <c r="I48" i="309" s="1"/>
  <c r="F49" i="308"/>
  <c r="K49" i="308" s="1"/>
  <c r="I48" i="308"/>
  <c r="I42" i="307"/>
  <c r="I48" i="307" s="1"/>
  <c r="F48" i="307"/>
  <c r="F49" i="307" s="1"/>
  <c r="K49" i="307" s="1"/>
  <c r="N45" i="251"/>
  <c r="O31" i="252"/>
  <c r="Q31" i="252" s="1"/>
  <c r="O30" i="252"/>
  <c r="Q30" i="252" s="1"/>
  <c r="I19" i="317"/>
  <c r="I16" i="272"/>
  <c r="I51" i="272"/>
  <c r="I46" i="272"/>
  <c r="O58" i="272"/>
  <c r="I56" i="272"/>
  <c r="G8" i="275"/>
  <c r="H8" i="275"/>
  <c r="G17" i="272"/>
  <c r="H17" i="272"/>
  <c r="O11" i="275"/>
  <c r="F11" i="275"/>
  <c r="H14" i="272"/>
  <c r="G14" i="272"/>
  <c r="O9" i="275"/>
  <c r="F9" i="275"/>
  <c r="K8" i="251"/>
  <c r="F19" i="284"/>
  <c r="F20" i="271"/>
  <c r="O60" i="288"/>
  <c r="I60" i="286"/>
  <c r="I61" i="286" s="1"/>
  <c r="I63" i="286" s="1"/>
  <c r="M17" i="251"/>
  <c r="L17" i="251"/>
  <c r="L16" i="251"/>
  <c r="L15" i="251"/>
  <c r="N15" i="251" s="1"/>
  <c r="F19" i="282"/>
  <c r="I9" i="282"/>
  <c r="H32" i="274"/>
  <c r="I32" i="274" s="1"/>
  <c r="I25" i="309"/>
  <c r="I33" i="309" s="1"/>
  <c r="I19" i="288"/>
  <c r="I34" i="288"/>
  <c r="D28" i="252"/>
  <c r="I10" i="271"/>
  <c r="F28" i="252" s="1"/>
  <c r="I35" i="281"/>
  <c r="I31" i="281"/>
  <c r="I17" i="281"/>
  <c r="F45" i="281"/>
  <c r="F63" i="281" s="1"/>
  <c r="K61" i="281" s="1"/>
  <c r="I10" i="284"/>
  <c r="I37" i="281"/>
  <c r="I34" i="281"/>
  <c r="I59" i="273"/>
  <c r="H17" i="274"/>
  <c r="G17" i="274"/>
  <c r="G31" i="288"/>
  <c r="H31" i="288"/>
  <c r="G17" i="288"/>
  <c r="H17" i="288"/>
  <c r="I32" i="272"/>
  <c r="I45" i="279"/>
  <c r="F59" i="272"/>
  <c r="O11" i="276"/>
  <c r="F11" i="276"/>
  <c r="H32" i="288"/>
  <c r="G32" i="288"/>
  <c r="F59" i="273"/>
  <c r="I14" i="288"/>
  <c r="G14" i="274"/>
  <c r="L10" i="251" s="1"/>
  <c r="H14" i="274"/>
  <c r="G15" i="288"/>
  <c r="H15" i="288"/>
  <c r="F59" i="274"/>
  <c r="O9" i="276"/>
  <c r="F9" i="276"/>
  <c r="G8" i="277"/>
  <c r="H8" i="277"/>
  <c r="H14" i="273"/>
  <c r="G14" i="273"/>
  <c r="L9" i="251" s="1"/>
  <c r="H20" i="288"/>
  <c r="G20" i="288"/>
  <c r="O9" i="277"/>
  <c r="F9" i="277"/>
  <c r="O11" i="277"/>
  <c r="F11" i="277"/>
  <c r="K10" i="252" s="1"/>
  <c r="G8" i="276"/>
  <c r="H8" i="276"/>
  <c r="G17" i="273"/>
  <c r="H17" i="273"/>
  <c r="I17" i="273" s="1"/>
  <c r="G27" i="251"/>
  <c r="H7" i="224"/>
  <c r="H8" i="224"/>
  <c r="G26" i="251" s="1"/>
  <c r="H9" i="224"/>
  <c r="H10" i="224"/>
  <c r="H11" i="224"/>
  <c r="H13" i="224"/>
  <c r="H12" i="224"/>
  <c r="E11" i="224"/>
  <c r="E10" i="224"/>
  <c r="E9" i="224"/>
  <c r="E8" i="224"/>
  <c r="E7" i="224"/>
  <c r="D42" i="269"/>
  <c r="F42" i="269" s="1"/>
  <c r="D41" i="269"/>
  <c r="F41" i="269" s="1"/>
  <c r="G41" i="269" s="1"/>
  <c r="D40" i="269"/>
  <c r="F40" i="269" s="1"/>
  <c r="D36" i="269"/>
  <c r="D35" i="269"/>
  <c r="D34" i="269"/>
  <c r="O40" i="269"/>
  <c r="F34" i="269"/>
  <c r="G34" i="269" s="1"/>
  <c r="O36" i="269"/>
  <c r="O35" i="269"/>
  <c r="O34" i="269"/>
  <c r="D27" i="269"/>
  <c r="F27" i="269" s="1"/>
  <c r="H27" i="269" s="1"/>
  <c r="E21" i="269"/>
  <c r="O21" i="269" s="1"/>
  <c r="E18" i="269"/>
  <c r="O18" i="269" s="1"/>
  <c r="O17" i="269"/>
  <c r="O60" i="269"/>
  <c r="E59" i="269"/>
  <c r="O59" i="269" s="1"/>
  <c r="D59" i="269"/>
  <c r="F59" i="269" s="1"/>
  <c r="O58" i="269"/>
  <c r="D58" i="269"/>
  <c r="E57" i="269"/>
  <c r="O57" i="269" s="1"/>
  <c r="D57" i="269"/>
  <c r="E56" i="269"/>
  <c r="O56" i="269" s="1"/>
  <c r="D56" i="269"/>
  <c r="O55" i="269"/>
  <c r="O54" i="269"/>
  <c r="D54" i="269"/>
  <c r="F54" i="269" s="1"/>
  <c r="E52" i="269"/>
  <c r="F52" i="269" s="1"/>
  <c r="O51" i="269"/>
  <c r="O50" i="269"/>
  <c r="O49" i="269"/>
  <c r="O48" i="269"/>
  <c r="O47" i="269"/>
  <c r="O46" i="269"/>
  <c r="O45" i="269"/>
  <c r="O44" i="269"/>
  <c r="O43" i="269"/>
  <c r="O42" i="269"/>
  <c r="O41" i="269"/>
  <c r="O39" i="269"/>
  <c r="D39" i="269"/>
  <c r="O38" i="269"/>
  <c r="D38" i="269"/>
  <c r="F38" i="269" s="1"/>
  <c r="O37" i="269"/>
  <c r="D33" i="269"/>
  <c r="D32" i="269"/>
  <c r="O31" i="269"/>
  <c r="D26" i="269"/>
  <c r="F26" i="269" s="1"/>
  <c r="H26" i="269" s="1"/>
  <c r="O25" i="269"/>
  <c r="E24" i="269"/>
  <c r="O24" i="269" s="1"/>
  <c r="D24" i="269"/>
  <c r="O23" i="269"/>
  <c r="D23" i="269"/>
  <c r="F23" i="269" s="1"/>
  <c r="O22" i="269"/>
  <c r="D21" i="269"/>
  <c r="O20" i="269"/>
  <c r="D20" i="269"/>
  <c r="O19" i="269"/>
  <c r="D18" i="269"/>
  <c r="D17" i="269"/>
  <c r="F17" i="269" s="1"/>
  <c r="D16" i="269"/>
  <c r="E32" i="269"/>
  <c r="D15" i="269"/>
  <c r="O14" i="269"/>
  <c r="O13" i="269"/>
  <c r="O12" i="269"/>
  <c r="D12" i="269"/>
  <c r="F12" i="269" s="1"/>
  <c r="O11" i="269"/>
  <c r="D11" i="269"/>
  <c r="O9" i="269"/>
  <c r="L9" i="269"/>
  <c r="L8" i="269"/>
  <c r="E8" i="269"/>
  <c r="O8" i="269" s="1"/>
  <c r="D8" i="269"/>
  <c r="O7" i="269"/>
  <c r="L7" i="269"/>
  <c r="O6" i="269"/>
  <c r="O59" i="268"/>
  <c r="E58" i="268"/>
  <c r="O58" i="268" s="1"/>
  <c r="D58" i="268"/>
  <c r="O57" i="268"/>
  <c r="D57" i="268"/>
  <c r="E56" i="268"/>
  <c r="O56" i="268" s="1"/>
  <c r="D56" i="268"/>
  <c r="F56" i="268" s="1"/>
  <c r="E55" i="268"/>
  <c r="O55" i="268" s="1"/>
  <c r="D55" i="268"/>
  <c r="O54" i="268"/>
  <c r="O53" i="268"/>
  <c r="D53" i="268"/>
  <c r="F53" i="268" s="1"/>
  <c r="F51" i="268"/>
  <c r="O50" i="268"/>
  <c r="O49" i="268"/>
  <c r="O48" i="268"/>
  <c r="O47" i="268"/>
  <c r="O46" i="268"/>
  <c r="O45" i="268"/>
  <c r="O44" i="268"/>
  <c r="O43" i="268"/>
  <c r="O42" i="268"/>
  <c r="O41" i="268"/>
  <c r="O40" i="268"/>
  <c r="O39" i="268"/>
  <c r="D38" i="268"/>
  <c r="O37" i="268"/>
  <c r="E38" i="268"/>
  <c r="O38" i="268" s="1"/>
  <c r="D37" i="268"/>
  <c r="F37" i="268" s="1"/>
  <c r="O36" i="268"/>
  <c r="O35" i="268"/>
  <c r="O34" i="268"/>
  <c r="O33" i="268"/>
  <c r="D32" i="268"/>
  <c r="D31" i="268"/>
  <c r="O30" i="268"/>
  <c r="O29" i="268"/>
  <c r="O28" i="268"/>
  <c r="O27" i="268"/>
  <c r="O26" i="268"/>
  <c r="O25" i="268"/>
  <c r="D25" i="268"/>
  <c r="O24" i="268"/>
  <c r="D23" i="268"/>
  <c r="O22" i="268"/>
  <c r="E23" i="268"/>
  <c r="O23" i="268" s="1"/>
  <c r="D22" i="268"/>
  <c r="F22" i="268" s="1"/>
  <c r="O21" i="268"/>
  <c r="O20" i="268"/>
  <c r="D20" i="268"/>
  <c r="O19" i="268"/>
  <c r="D19" i="268"/>
  <c r="O18" i="268"/>
  <c r="O17" i="268"/>
  <c r="D17" i="268"/>
  <c r="O16" i="268"/>
  <c r="D16" i="268"/>
  <c r="D15" i="268"/>
  <c r="D14" i="268"/>
  <c r="F14" i="268" s="1"/>
  <c r="O13" i="268"/>
  <c r="O12" i="268"/>
  <c r="O11" i="268"/>
  <c r="D11" i="268"/>
  <c r="F11" i="268" s="1"/>
  <c r="O10" i="268"/>
  <c r="D10" i="268"/>
  <c r="F10" i="268" s="1"/>
  <c r="O9" i="268"/>
  <c r="L9" i="268"/>
  <c r="L8" i="268"/>
  <c r="E8" i="268"/>
  <c r="O8" i="268" s="1"/>
  <c r="D8" i="268"/>
  <c r="O7" i="268"/>
  <c r="L7" i="268"/>
  <c r="O6" i="268"/>
  <c r="O54" i="222"/>
  <c r="O55" i="222"/>
  <c r="O58" i="222"/>
  <c r="D58" i="222"/>
  <c r="D54" i="222"/>
  <c r="F54" i="222" s="1"/>
  <c r="H54" i="222" s="1"/>
  <c r="O17" i="222"/>
  <c r="O18" i="222"/>
  <c r="O19" i="222"/>
  <c r="O20" i="222"/>
  <c r="O21" i="222"/>
  <c r="O22" i="222"/>
  <c r="O25" i="222"/>
  <c r="O26" i="222"/>
  <c r="O27" i="222"/>
  <c r="O28" i="222"/>
  <c r="O29" i="222"/>
  <c r="O30" i="222"/>
  <c r="O34" i="222"/>
  <c r="O35" i="222"/>
  <c r="O36" i="222"/>
  <c r="O37" i="222"/>
  <c r="O40" i="222"/>
  <c r="O41" i="222"/>
  <c r="O42" i="222"/>
  <c r="O43" i="222"/>
  <c r="D21" i="222"/>
  <c r="D20" i="222"/>
  <c r="D18" i="222"/>
  <c r="D17" i="222"/>
  <c r="G13" i="251"/>
  <c r="N38" i="251" l="1"/>
  <c r="I49" i="308"/>
  <c r="I51" i="308" s="1"/>
  <c r="I19" i="284"/>
  <c r="I49" i="307"/>
  <c r="I51" i="307" s="1"/>
  <c r="O37" i="251"/>
  <c r="Q37" i="251" s="1"/>
  <c r="I15" i="288"/>
  <c r="L31" i="251"/>
  <c r="I31" i="288"/>
  <c r="F45" i="280"/>
  <c r="F63" i="280" s="1"/>
  <c r="K61" i="280" s="1"/>
  <c r="M10" i="251"/>
  <c r="N10" i="251" s="1"/>
  <c r="O13" i="277"/>
  <c r="I17" i="274"/>
  <c r="K49" i="251"/>
  <c r="E22" i="250" s="1"/>
  <c r="M9" i="251"/>
  <c r="N9" i="251" s="1"/>
  <c r="O13" i="276"/>
  <c r="I8" i="276"/>
  <c r="E19" i="250"/>
  <c r="F35" i="272"/>
  <c r="F60" i="272" s="1"/>
  <c r="K60" i="272" s="1"/>
  <c r="I59" i="272"/>
  <c r="O16" i="251"/>
  <c r="Q16" i="251" s="1"/>
  <c r="I63" i="280"/>
  <c r="I65" i="280" s="1"/>
  <c r="M31" i="251"/>
  <c r="F23" i="268"/>
  <c r="H23" i="268" s="1"/>
  <c r="I32" i="288"/>
  <c r="I17" i="272"/>
  <c r="M16" i="251"/>
  <c r="N16" i="251" s="1"/>
  <c r="I19" i="282"/>
  <c r="O15" i="252"/>
  <c r="Q15" i="252" s="1"/>
  <c r="O38" i="251"/>
  <c r="Q38" i="251" s="1"/>
  <c r="O13" i="275"/>
  <c r="I8" i="275"/>
  <c r="O36" i="251"/>
  <c r="Q36" i="251" s="1"/>
  <c r="N17" i="252"/>
  <c r="I10" i="269"/>
  <c r="O17" i="252"/>
  <c r="Q17" i="252" s="1"/>
  <c r="O29" i="251"/>
  <c r="Q29" i="251" s="1"/>
  <c r="F35" i="273"/>
  <c r="F60" i="273" s="1"/>
  <c r="K60" i="273" s="1"/>
  <c r="K8" i="252"/>
  <c r="K9" i="252"/>
  <c r="I8" i="277"/>
  <c r="I14" i="274"/>
  <c r="F35" i="274"/>
  <c r="F60" i="274" s="1"/>
  <c r="K60" i="274" s="1"/>
  <c r="M8" i="251"/>
  <c r="I45" i="281"/>
  <c r="I63" i="281" s="1"/>
  <c r="I65" i="281" s="1"/>
  <c r="I63" i="279"/>
  <c r="I65" i="279" s="1"/>
  <c r="O15" i="251"/>
  <c r="Q15" i="251" s="1"/>
  <c r="I51" i="328"/>
  <c r="I53" i="328" s="1"/>
  <c r="O45" i="251"/>
  <c r="F49" i="309"/>
  <c r="K49" i="309" s="1"/>
  <c r="I49" i="309"/>
  <c r="I51" i="309" s="1"/>
  <c r="I14" i="272"/>
  <c r="L8" i="251"/>
  <c r="H11" i="275"/>
  <c r="G11" i="275"/>
  <c r="K46" i="251"/>
  <c r="K47" i="251" s="1"/>
  <c r="G9" i="275"/>
  <c r="H9" i="275"/>
  <c r="N24" i="251"/>
  <c r="I20" i="288"/>
  <c r="O52" i="269"/>
  <c r="O53" i="269"/>
  <c r="N17" i="251"/>
  <c r="F55" i="268"/>
  <c r="H55" i="268" s="1"/>
  <c r="F8" i="268"/>
  <c r="G8" i="268" s="1"/>
  <c r="F18" i="269"/>
  <c r="I17" i="288"/>
  <c r="F35" i="269"/>
  <c r="H35" i="269" s="1"/>
  <c r="F36" i="269"/>
  <c r="G36" i="269" s="1"/>
  <c r="F8" i="269"/>
  <c r="F56" i="269"/>
  <c r="G56" i="269" s="1"/>
  <c r="F20" i="269"/>
  <c r="G20" i="269" s="1"/>
  <c r="F58" i="268"/>
  <c r="H58" i="268" s="1"/>
  <c r="F21" i="269"/>
  <c r="G21" i="269" s="1"/>
  <c r="I20" i="271"/>
  <c r="F43" i="288"/>
  <c r="F61" i="288" s="1"/>
  <c r="K61" i="288" s="1"/>
  <c r="G9" i="276"/>
  <c r="H9" i="276"/>
  <c r="G9" i="277"/>
  <c r="H9" i="277"/>
  <c r="G11" i="276"/>
  <c r="H11" i="276"/>
  <c r="G11" i="277"/>
  <c r="H11" i="277"/>
  <c r="I14" i="273"/>
  <c r="I35" i="273" s="1"/>
  <c r="H41" i="269"/>
  <c r="I41" i="269" s="1"/>
  <c r="H34" i="269"/>
  <c r="I34" i="269" s="1"/>
  <c r="G40" i="269"/>
  <c r="G42" i="269"/>
  <c r="H40" i="269"/>
  <c r="H42" i="269"/>
  <c r="G26" i="269"/>
  <c r="I26" i="269" s="1"/>
  <c r="G27" i="269"/>
  <c r="I27" i="269" s="1"/>
  <c r="G17" i="269"/>
  <c r="H17" i="269"/>
  <c r="H38" i="269"/>
  <c r="G38" i="269"/>
  <c r="H59" i="269"/>
  <c r="G59" i="269"/>
  <c r="H52" i="269"/>
  <c r="G52" i="269"/>
  <c r="F32" i="269"/>
  <c r="O32" i="269"/>
  <c r="H54" i="269"/>
  <c r="G54" i="269"/>
  <c r="H23" i="269"/>
  <c r="G23" i="269"/>
  <c r="F11" i="269"/>
  <c r="G12" i="269"/>
  <c r="F15" i="269"/>
  <c r="F24" i="269"/>
  <c r="F39" i="269"/>
  <c r="F57" i="269"/>
  <c r="H12" i="269"/>
  <c r="F53" i="269"/>
  <c r="O15" i="269"/>
  <c r="E33" i="269"/>
  <c r="E16" i="269"/>
  <c r="E32" i="268"/>
  <c r="O14" i="268"/>
  <c r="E31" i="268"/>
  <c r="O31" i="268" s="1"/>
  <c r="E15" i="268"/>
  <c r="O15" i="268" s="1"/>
  <c r="G51" i="268"/>
  <c r="H51" i="268"/>
  <c r="H53" i="268"/>
  <c r="G53" i="268"/>
  <c r="H11" i="268"/>
  <c r="G11" i="268"/>
  <c r="I11" i="268" s="1"/>
  <c r="F38" i="268"/>
  <c r="H10" i="268"/>
  <c r="G10" i="268"/>
  <c r="H56" i="268"/>
  <c r="G56" i="268"/>
  <c r="H14" i="268"/>
  <c r="G14" i="268"/>
  <c r="O51" i="268"/>
  <c r="G22" i="268"/>
  <c r="G37" i="268"/>
  <c r="H22" i="268"/>
  <c r="H37" i="268"/>
  <c r="G54" i="222"/>
  <c r="O11" i="265"/>
  <c r="O12" i="265"/>
  <c r="O13" i="265"/>
  <c r="O17" i="265"/>
  <c r="O18" i="265"/>
  <c r="O11" i="264"/>
  <c r="O12" i="264"/>
  <c r="O13" i="264"/>
  <c r="O14" i="264"/>
  <c r="O15" i="264"/>
  <c r="O16" i="264"/>
  <c r="O17" i="264"/>
  <c r="O18" i="264"/>
  <c r="O10" i="264"/>
  <c r="O15" i="265"/>
  <c r="O11" i="210"/>
  <c r="O12" i="210"/>
  <c r="O17" i="210"/>
  <c r="O18" i="210"/>
  <c r="O19" i="210"/>
  <c r="O9" i="264"/>
  <c r="O8" i="264"/>
  <c r="O9" i="265"/>
  <c r="D18" i="265"/>
  <c r="F18" i="265" s="1"/>
  <c r="D17" i="265"/>
  <c r="F17" i="265" s="1"/>
  <c r="H17" i="265" s="1"/>
  <c r="O16" i="265"/>
  <c r="D16" i="265"/>
  <c r="F16" i="265" s="1"/>
  <c r="D15" i="265"/>
  <c r="D12" i="265"/>
  <c r="F12" i="265" s="1"/>
  <c r="H12" i="265" s="1"/>
  <c r="D11" i="265"/>
  <c r="F11" i="265" s="1"/>
  <c r="H11" i="265" s="1"/>
  <c r="O10" i="265"/>
  <c r="D10" i="265"/>
  <c r="F10" i="265" s="1"/>
  <c r="D9" i="265"/>
  <c r="O8" i="265"/>
  <c r="D8" i="265"/>
  <c r="F8" i="265" s="1"/>
  <c r="D17" i="264"/>
  <c r="F17" i="264" s="1"/>
  <c r="D16" i="264"/>
  <c r="F16" i="264" s="1"/>
  <c r="D15" i="264"/>
  <c r="F15" i="264" s="1"/>
  <c r="F14" i="264"/>
  <c r="D14" i="264"/>
  <c r="D12" i="264"/>
  <c r="F12" i="264" s="1"/>
  <c r="G12" i="264" s="1"/>
  <c r="D11" i="264"/>
  <c r="F11" i="264" s="1"/>
  <c r="D10" i="264"/>
  <c r="F10" i="264" s="1"/>
  <c r="D9" i="264"/>
  <c r="D8" i="264"/>
  <c r="E8" i="210"/>
  <c r="D18" i="210"/>
  <c r="F18" i="210" s="1"/>
  <c r="H18" i="210" s="1"/>
  <c r="D17" i="210"/>
  <c r="F17" i="210" s="1"/>
  <c r="N19" i="263"/>
  <c r="N20" i="263"/>
  <c r="N22" i="263"/>
  <c r="N23" i="263"/>
  <c r="N25" i="263"/>
  <c r="N26" i="263"/>
  <c r="N27" i="263"/>
  <c r="N28" i="263"/>
  <c r="N29" i="263"/>
  <c r="N30" i="263"/>
  <c r="N31" i="263"/>
  <c r="N38" i="263"/>
  <c r="N39" i="263"/>
  <c r="N40" i="263"/>
  <c r="N42" i="263"/>
  <c r="N43" i="263"/>
  <c r="N44" i="263"/>
  <c r="N46" i="263"/>
  <c r="N47" i="263"/>
  <c r="N48" i="263"/>
  <c r="N49" i="263"/>
  <c r="N50" i="263"/>
  <c r="N51" i="263"/>
  <c r="N52" i="263"/>
  <c r="N53" i="263"/>
  <c r="N55" i="263"/>
  <c r="N56" i="263"/>
  <c r="N57" i="263"/>
  <c r="D12" i="210"/>
  <c r="F12" i="210" s="1"/>
  <c r="H12" i="210" s="1"/>
  <c r="D11" i="210"/>
  <c r="F11" i="210" s="1"/>
  <c r="N14" i="263"/>
  <c r="N60" i="263"/>
  <c r="N54" i="262"/>
  <c r="N59" i="262"/>
  <c r="N24" i="262"/>
  <c r="N25" i="262"/>
  <c r="N26" i="262"/>
  <c r="N27" i="262"/>
  <c r="N28" i="262"/>
  <c r="N29" i="262"/>
  <c r="N30" i="262"/>
  <c r="N33" i="262"/>
  <c r="N34" i="262"/>
  <c r="N35" i="262"/>
  <c r="N37" i="262"/>
  <c r="N38" i="262"/>
  <c r="N40" i="262"/>
  <c r="N41" i="262"/>
  <c r="N42" i="262"/>
  <c r="N9" i="262"/>
  <c r="N10" i="262"/>
  <c r="N11" i="262"/>
  <c r="N12" i="262"/>
  <c r="N13" i="262"/>
  <c r="N14" i="262"/>
  <c r="N16" i="262"/>
  <c r="N17" i="262"/>
  <c r="N18" i="262"/>
  <c r="N19" i="262"/>
  <c r="N20" i="262"/>
  <c r="N41" i="209"/>
  <c r="N42" i="209"/>
  <c r="N43" i="209"/>
  <c r="N34" i="209"/>
  <c r="N35" i="209"/>
  <c r="N36" i="209"/>
  <c r="N25" i="209"/>
  <c r="N26" i="209"/>
  <c r="N27" i="209"/>
  <c r="N28" i="209"/>
  <c r="N29" i="209"/>
  <c r="N30" i="209"/>
  <c r="N31" i="209"/>
  <c r="N17" i="209"/>
  <c r="N18" i="209"/>
  <c r="N19" i="209"/>
  <c r="N20" i="209"/>
  <c r="N21" i="209"/>
  <c r="N60" i="209"/>
  <c r="F44" i="263"/>
  <c r="F43" i="263"/>
  <c r="H43" i="263" s="1"/>
  <c r="F42" i="263"/>
  <c r="N21" i="263"/>
  <c r="E61" i="263"/>
  <c r="D61" i="263"/>
  <c r="D60" i="263"/>
  <c r="E59" i="263"/>
  <c r="N59" i="263" s="1"/>
  <c r="D59" i="263"/>
  <c r="N58" i="263"/>
  <c r="D58" i="263"/>
  <c r="D56" i="263"/>
  <c r="D55" i="263"/>
  <c r="E54" i="263"/>
  <c r="N54" i="263" s="1"/>
  <c r="D54" i="263"/>
  <c r="D45" i="263"/>
  <c r="D41" i="263"/>
  <c r="D40" i="263"/>
  <c r="D38" i="263"/>
  <c r="D33" i="263"/>
  <c r="D32" i="263"/>
  <c r="D24" i="263"/>
  <c r="D23" i="263"/>
  <c r="F23" i="263" s="1"/>
  <c r="H23" i="263" s="1"/>
  <c r="D21" i="263"/>
  <c r="D20" i="263"/>
  <c r="F20" i="263" s="1"/>
  <c r="D18" i="263"/>
  <c r="D17" i="263"/>
  <c r="F35" i="263"/>
  <c r="D16" i="263"/>
  <c r="D15" i="263"/>
  <c r="N13" i="263"/>
  <c r="N12" i="263"/>
  <c r="D12" i="263"/>
  <c r="N11" i="263"/>
  <c r="D11" i="263"/>
  <c r="F11" i="263" s="1"/>
  <c r="N9" i="263"/>
  <c r="L9" i="263"/>
  <c r="L8" i="263"/>
  <c r="I10" i="263" s="1"/>
  <c r="N8" i="263"/>
  <c r="D8" i="263"/>
  <c r="N7" i="263"/>
  <c r="L7" i="263"/>
  <c r="N6" i="263"/>
  <c r="G55" i="268" l="1"/>
  <c r="I10" i="268"/>
  <c r="O19" i="264"/>
  <c r="N31" i="251"/>
  <c r="I55" i="268"/>
  <c r="I37" i="268"/>
  <c r="I14" i="268"/>
  <c r="G23" i="268"/>
  <c r="I22" i="268"/>
  <c r="M46" i="251"/>
  <c r="M47" i="251" s="1"/>
  <c r="I11" i="277"/>
  <c r="I35" i="274"/>
  <c r="O10" i="251" s="1"/>
  <c r="Q10" i="251" s="1"/>
  <c r="I9" i="275"/>
  <c r="I11" i="276"/>
  <c r="I9" i="276"/>
  <c r="I13" i="276" s="1"/>
  <c r="O9" i="252" s="1"/>
  <c r="Q9" i="252" s="1"/>
  <c r="I35" i="272"/>
  <c r="O8" i="251" s="1"/>
  <c r="Q8" i="251" s="1"/>
  <c r="N8" i="251"/>
  <c r="M10" i="252"/>
  <c r="L10" i="252"/>
  <c r="G15" i="264"/>
  <c r="H15" i="264"/>
  <c r="I9" i="277"/>
  <c r="I56" i="268"/>
  <c r="I23" i="269"/>
  <c r="I60" i="273"/>
  <c r="I62" i="273" s="1"/>
  <c r="O9" i="251"/>
  <c r="Q9" i="251" s="1"/>
  <c r="H8" i="268"/>
  <c r="G58" i="268"/>
  <c r="F13" i="277"/>
  <c r="L9" i="252"/>
  <c r="I11" i="275"/>
  <c r="E20" i="250"/>
  <c r="O17" i="251"/>
  <c r="Q17" i="251" s="1"/>
  <c r="F61" i="263"/>
  <c r="H61" i="263" s="1"/>
  <c r="L46" i="251"/>
  <c r="L47" i="251" s="1"/>
  <c r="L8" i="252"/>
  <c r="F13" i="275"/>
  <c r="M8" i="252"/>
  <c r="Q24" i="251"/>
  <c r="I43" i="288"/>
  <c r="I54" i="269"/>
  <c r="E23" i="250"/>
  <c r="K50" i="251"/>
  <c r="H20" i="269"/>
  <c r="I20" i="269" s="1"/>
  <c r="I42" i="269"/>
  <c r="I40" i="269"/>
  <c r="I38" i="269"/>
  <c r="M9" i="252"/>
  <c r="K46" i="252"/>
  <c r="K47" i="252" s="1"/>
  <c r="O19" i="265"/>
  <c r="O20" i="265" s="1"/>
  <c r="I8" i="268"/>
  <c r="H8" i="269"/>
  <c r="G8" i="269"/>
  <c r="H36" i="269"/>
  <c r="I36" i="269" s="1"/>
  <c r="H56" i="269"/>
  <c r="I56" i="269"/>
  <c r="I17" i="269"/>
  <c r="G35" i="269"/>
  <c r="I35" i="269" s="1"/>
  <c r="H18" i="269"/>
  <c r="G18" i="269"/>
  <c r="I59" i="269"/>
  <c r="H21" i="269"/>
  <c r="I21" i="269" s="1"/>
  <c r="I58" i="268"/>
  <c r="F59" i="263"/>
  <c r="G59" i="263" s="1"/>
  <c r="N35" i="263"/>
  <c r="N37" i="263"/>
  <c r="F13" i="276"/>
  <c r="I12" i="269"/>
  <c r="I23" i="268"/>
  <c r="I53" i="268"/>
  <c r="H39" i="269"/>
  <c r="G39" i="269"/>
  <c r="H32" i="269"/>
  <c r="G32" i="269"/>
  <c r="H15" i="269"/>
  <c r="G15" i="269"/>
  <c r="I52" i="269"/>
  <c r="H24" i="269"/>
  <c r="G24" i="269"/>
  <c r="O16" i="269"/>
  <c r="F16" i="269"/>
  <c r="H11" i="269"/>
  <c r="G11" i="269"/>
  <c r="H53" i="269"/>
  <c r="G53" i="269"/>
  <c r="F33" i="269"/>
  <c r="O33" i="269"/>
  <c r="H57" i="269"/>
  <c r="G57" i="269"/>
  <c r="F31" i="268"/>
  <c r="F15" i="268"/>
  <c r="F32" i="268"/>
  <c r="O32" i="268"/>
  <c r="O52" i="268"/>
  <c r="F52" i="268"/>
  <c r="I51" i="268"/>
  <c r="H38" i="268"/>
  <c r="G38" i="268"/>
  <c r="F15" i="265"/>
  <c r="G15" i="265" s="1"/>
  <c r="F8" i="264"/>
  <c r="H8" i="264" s="1"/>
  <c r="F9" i="265"/>
  <c r="H9" i="265" s="1"/>
  <c r="H8" i="265"/>
  <c r="G8" i="265"/>
  <c r="G16" i="265"/>
  <c r="H16" i="265"/>
  <c r="G10" i="265"/>
  <c r="H10" i="265"/>
  <c r="G18" i="265"/>
  <c r="H18" i="265"/>
  <c r="G11" i="265"/>
  <c r="I11" i="265" s="1"/>
  <c r="G12" i="265"/>
  <c r="I12" i="265" s="1"/>
  <c r="G17" i="265"/>
  <c r="I17" i="265" s="1"/>
  <c r="H16" i="264"/>
  <c r="G16" i="264"/>
  <c r="H10" i="264"/>
  <c r="G10" i="264"/>
  <c r="H11" i="264"/>
  <c r="G11" i="264"/>
  <c r="I11" i="264" s="1"/>
  <c r="H17" i="264"/>
  <c r="G17" i="264"/>
  <c r="I17" i="264" s="1"/>
  <c r="F9" i="264"/>
  <c r="B13" i="252" s="1"/>
  <c r="G14" i="264"/>
  <c r="H12" i="264"/>
  <c r="I12" i="264" s="1"/>
  <c r="H14" i="264"/>
  <c r="G17" i="210"/>
  <c r="H17" i="210"/>
  <c r="I17" i="210" s="1"/>
  <c r="G18" i="210"/>
  <c r="I18" i="210" s="1"/>
  <c r="G11" i="210"/>
  <c r="H11" i="210"/>
  <c r="F8" i="263"/>
  <c r="G8" i="263" s="1"/>
  <c r="F56" i="263"/>
  <c r="H56" i="263" s="1"/>
  <c r="N15" i="263"/>
  <c r="F58" i="263"/>
  <c r="H58" i="263" s="1"/>
  <c r="F54" i="263"/>
  <c r="H54" i="263" s="1"/>
  <c r="F55" i="263"/>
  <c r="G55" i="263" s="1"/>
  <c r="F40" i="263"/>
  <c r="H40" i="263" s="1"/>
  <c r="F21" i="263"/>
  <c r="H21" i="263" s="1"/>
  <c r="E41" i="263"/>
  <c r="E24" i="263"/>
  <c r="N24" i="263" s="1"/>
  <c r="G12" i="210"/>
  <c r="I12" i="210" s="1"/>
  <c r="G43" i="263"/>
  <c r="I43" i="263" s="1"/>
  <c r="G42" i="263"/>
  <c r="G44" i="263"/>
  <c r="H42" i="263"/>
  <c r="H44" i="263"/>
  <c r="G35" i="263"/>
  <c r="H35" i="263"/>
  <c r="G20" i="263"/>
  <c r="H20" i="263"/>
  <c r="H11" i="263"/>
  <c r="G11" i="263"/>
  <c r="F12" i="263"/>
  <c r="G23" i="263"/>
  <c r="I23" i="263" s="1"/>
  <c r="E60" i="262"/>
  <c r="D60" i="262"/>
  <c r="D59" i="262"/>
  <c r="E58" i="262"/>
  <c r="N58" i="262" s="1"/>
  <c r="D58" i="262"/>
  <c r="F58" i="262" s="1"/>
  <c r="E57" i="262"/>
  <c r="N57" i="262" s="1"/>
  <c r="D57" i="262"/>
  <c r="N56" i="262"/>
  <c r="N55" i="262"/>
  <c r="D55" i="262"/>
  <c r="F55" i="262" s="1"/>
  <c r="D54" i="262"/>
  <c r="F54" i="262" s="1"/>
  <c r="N53" i="262"/>
  <c r="D53" i="262"/>
  <c r="F53" i="262" s="1"/>
  <c r="G53" i="262" s="1"/>
  <c r="N52" i="262"/>
  <c r="N51" i="262"/>
  <c r="N50" i="262"/>
  <c r="N49" i="262"/>
  <c r="N48" i="262"/>
  <c r="N47" i="262"/>
  <c r="N46" i="262"/>
  <c r="N45" i="262"/>
  <c r="D44" i="262"/>
  <c r="D39" i="262"/>
  <c r="E39" i="262"/>
  <c r="N39" i="262" s="1"/>
  <c r="D38" i="262"/>
  <c r="D36" i="262"/>
  <c r="D32" i="262"/>
  <c r="D31" i="262"/>
  <c r="E23" i="262"/>
  <c r="N23" i="262" s="1"/>
  <c r="D23" i="262"/>
  <c r="N22" i="262"/>
  <c r="D22" i="262"/>
  <c r="F22" i="262" s="1"/>
  <c r="N21" i="262"/>
  <c r="D20" i="262"/>
  <c r="D19" i="262"/>
  <c r="D17" i="262"/>
  <c r="D16" i="262"/>
  <c r="D15" i="262"/>
  <c r="D14" i="262"/>
  <c r="F14" i="262" s="1"/>
  <c r="D11" i="262"/>
  <c r="F11" i="262" s="1"/>
  <c r="D10" i="262"/>
  <c r="F10" i="262" s="1"/>
  <c r="L9" i="262"/>
  <c r="L8" i="262"/>
  <c r="E8" i="262"/>
  <c r="N8" i="262" s="1"/>
  <c r="D8" i="262"/>
  <c r="N7" i="262"/>
  <c r="L7" i="262"/>
  <c r="N6" i="262"/>
  <c r="D55" i="209"/>
  <c r="D54" i="209"/>
  <c r="D60" i="209"/>
  <c r="F60" i="209" s="1"/>
  <c r="N56" i="209"/>
  <c r="D56" i="209"/>
  <c r="D21" i="209"/>
  <c r="F21" i="209" s="1"/>
  <c r="D20" i="209"/>
  <c r="F20" i="209" s="1"/>
  <c r="D18" i="209"/>
  <c r="F18" i="209" s="1"/>
  <c r="D17" i="209"/>
  <c r="F17" i="209" s="1"/>
  <c r="G13" i="261"/>
  <c r="G12" i="261"/>
  <c r="H12" i="261" s="1"/>
  <c r="H11" i="261"/>
  <c r="E11" i="261"/>
  <c r="E14" i="261" s="1"/>
  <c r="E10" i="261"/>
  <c r="E9" i="261"/>
  <c r="E8" i="261"/>
  <c r="H7" i="261"/>
  <c r="G12" i="251" s="1"/>
  <c r="E7" i="261"/>
  <c r="I39" i="269" l="1"/>
  <c r="B28" i="251"/>
  <c r="I38" i="268"/>
  <c r="I14" i="264"/>
  <c r="G61" i="263"/>
  <c r="G60" i="209"/>
  <c r="H60" i="209"/>
  <c r="H21" i="209"/>
  <c r="G21" i="209"/>
  <c r="I21" i="209" s="1"/>
  <c r="G20" i="209"/>
  <c r="I20" i="209" s="1"/>
  <c r="H20" i="209"/>
  <c r="G18" i="209"/>
  <c r="I18" i="209"/>
  <c r="H18" i="209"/>
  <c r="H17" i="209"/>
  <c r="G17" i="209"/>
  <c r="I17" i="209" s="1"/>
  <c r="I60" i="274"/>
  <c r="I62" i="274" s="1"/>
  <c r="N46" i="251"/>
  <c r="N47" i="251" s="1"/>
  <c r="I18" i="269"/>
  <c r="B27" i="251"/>
  <c r="I13" i="277"/>
  <c r="O10" i="252" s="1"/>
  <c r="Q10" i="252" s="1"/>
  <c r="I13" i="275"/>
  <c r="O8" i="252" s="1"/>
  <c r="Q8" i="252" s="1"/>
  <c r="N10" i="252"/>
  <c r="N9" i="252"/>
  <c r="I60" i="272"/>
  <c r="I62" i="272" s="1"/>
  <c r="N8" i="252"/>
  <c r="I57" i="269"/>
  <c r="G8" i="264"/>
  <c r="I10" i="264"/>
  <c r="M46" i="252"/>
  <c r="M47" i="252" s="1"/>
  <c r="F57" i="262"/>
  <c r="G57" i="262" s="1"/>
  <c r="I53" i="269"/>
  <c r="I15" i="264"/>
  <c r="I61" i="288"/>
  <c r="I63" i="288" s="1"/>
  <c r="O31" i="251"/>
  <c r="I8" i="265"/>
  <c r="I24" i="269"/>
  <c r="H13" i="261"/>
  <c r="H16" i="261" s="1"/>
  <c r="G54" i="263"/>
  <c r="I54" i="263" s="1"/>
  <c r="I15" i="269"/>
  <c r="B14" i="252"/>
  <c r="I18" i="265"/>
  <c r="I16" i="265"/>
  <c r="G56" i="263"/>
  <c r="I56" i="263" s="1"/>
  <c r="H55" i="263"/>
  <c r="I55" i="263" s="1"/>
  <c r="F41" i="263"/>
  <c r="G41" i="263" s="1"/>
  <c r="N41" i="263"/>
  <c r="F61" i="269"/>
  <c r="I32" i="269"/>
  <c r="I8" i="269"/>
  <c r="H8" i="263"/>
  <c r="I8" i="263" s="1"/>
  <c r="H59" i="263"/>
  <c r="I59" i="263" s="1"/>
  <c r="G58" i="263"/>
  <c r="F8" i="262"/>
  <c r="H8" i="262" s="1"/>
  <c r="F36" i="263"/>
  <c r="N36" i="263"/>
  <c r="F18" i="263"/>
  <c r="H18" i="263" s="1"/>
  <c r="N18" i="263"/>
  <c r="F15" i="263"/>
  <c r="H15" i="263" s="1"/>
  <c r="F17" i="263"/>
  <c r="N17" i="263"/>
  <c r="E16" i="263"/>
  <c r="N16" i="263" s="1"/>
  <c r="E33" i="263"/>
  <c r="E32" i="263"/>
  <c r="F34" i="263"/>
  <c r="G34" i="263" s="1"/>
  <c r="N34" i="263"/>
  <c r="I10" i="265"/>
  <c r="I11" i="269"/>
  <c r="G33" i="269"/>
  <c r="H33" i="269"/>
  <c r="H16" i="269"/>
  <c r="G16" i="269"/>
  <c r="O60" i="268"/>
  <c r="H32" i="268"/>
  <c r="G32" i="268"/>
  <c r="H52" i="268"/>
  <c r="G52" i="268"/>
  <c r="F60" i="268" s="1"/>
  <c r="H15" i="268"/>
  <c r="G15" i="268"/>
  <c r="H31" i="268"/>
  <c r="G31" i="268"/>
  <c r="I31" i="268" s="1"/>
  <c r="H15" i="265"/>
  <c r="D14" i="252" s="1"/>
  <c r="I8" i="264"/>
  <c r="G9" i="265"/>
  <c r="I9" i="265" s="1"/>
  <c r="I16" i="264"/>
  <c r="H9" i="264"/>
  <c r="D13" i="252" s="1"/>
  <c r="G9" i="264"/>
  <c r="C13" i="252" s="1"/>
  <c r="I19" i="210"/>
  <c r="I11" i="210"/>
  <c r="H41" i="263"/>
  <c r="I20" i="263"/>
  <c r="I44" i="263"/>
  <c r="G40" i="263"/>
  <c r="I40" i="263" s="1"/>
  <c r="I42" i="263"/>
  <c r="E45" i="263"/>
  <c r="N45" i="263" s="1"/>
  <c r="F24" i="263"/>
  <c r="I35" i="263"/>
  <c r="I61" i="263"/>
  <c r="G21" i="263"/>
  <c r="I21" i="263" s="1"/>
  <c r="F60" i="262"/>
  <c r="H60" i="262" s="1"/>
  <c r="I11" i="263"/>
  <c r="F23" i="262"/>
  <c r="H23" i="262" s="1"/>
  <c r="H12" i="263"/>
  <c r="G12" i="263"/>
  <c r="H10" i="262"/>
  <c r="G10" i="262"/>
  <c r="I10" i="262" s="1"/>
  <c r="G11" i="262"/>
  <c r="H11" i="262"/>
  <c r="H58" i="262"/>
  <c r="G58" i="262"/>
  <c r="G55" i="262"/>
  <c r="H55" i="262"/>
  <c r="I55" i="262"/>
  <c r="H22" i="262"/>
  <c r="G22" i="262"/>
  <c r="E32" i="262"/>
  <c r="N32" i="262" s="1"/>
  <c r="E15" i="262"/>
  <c r="N15" i="262" s="1"/>
  <c r="E31" i="262"/>
  <c r="N31" i="262" s="1"/>
  <c r="H57" i="262"/>
  <c r="G14" i="262"/>
  <c r="H14" i="262"/>
  <c r="H54" i="262"/>
  <c r="I54" i="262" s="1"/>
  <c r="G54" i="262"/>
  <c r="E44" i="262"/>
  <c r="N44" i="262" s="1"/>
  <c r="F39" i="262"/>
  <c r="F38" i="262"/>
  <c r="H53" i="262"/>
  <c r="F56" i="209"/>
  <c r="H56" i="209" s="1"/>
  <c r="I61" i="269" l="1"/>
  <c r="D27" i="251"/>
  <c r="I57" i="262"/>
  <c r="I22" i="262"/>
  <c r="I60" i="209"/>
  <c r="E4" i="250"/>
  <c r="E15" i="250" s="1"/>
  <c r="I32" i="268"/>
  <c r="I14" i="262"/>
  <c r="F63" i="263"/>
  <c r="G60" i="262"/>
  <c r="I60" i="262" s="1"/>
  <c r="F16" i="263"/>
  <c r="G16" i="263" s="1"/>
  <c r="C28" i="251"/>
  <c r="I11" i="262"/>
  <c r="F19" i="264"/>
  <c r="I15" i="268"/>
  <c r="C27" i="251"/>
  <c r="F43" i="268"/>
  <c r="Q31" i="251"/>
  <c r="O46" i="251"/>
  <c r="G14" i="251"/>
  <c r="H14" i="261"/>
  <c r="G56" i="209"/>
  <c r="C14" i="252"/>
  <c r="I58" i="263"/>
  <c r="I63" i="263" s="1"/>
  <c r="I15" i="265"/>
  <c r="I20" i="265" s="1"/>
  <c r="F14" i="252"/>
  <c r="L46" i="252"/>
  <c r="L47" i="252" s="1"/>
  <c r="N46" i="252"/>
  <c r="N47" i="252" s="1"/>
  <c r="O46" i="252"/>
  <c r="I16" i="269"/>
  <c r="F44" i="269"/>
  <c r="F62" i="269" s="1"/>
  <c r="K62" i="269" s="1"/>
  <c r="D28" i="251"/>
  <c r="I33" i="269"/>
  <c r="H34" i="263"/>
  <c r="I34" i="263" s="1"/>
  <c r="G8" i="262"/>
  <c r="I8" i="262" s="1"/>
  <c r="I58" i="262"/>
  <c r="G18" i="263"/>
  <c r="I18" i="263" s="1"/>
  <c r="G17" i="263"/>
  <c r="H17" i="263"/>
  <c r="N32" i="263"/>
  <c r="F32" i="263"/>
  <c r="N33" i="263"/>
  <c r="F33" i="263"/>
  <c r="G15" i="263"/>
  <c r="I15" i="263" s="1"/>
  <c r="H36" i="263"/>
  <c r="G36" i="263"/>
  <c r="I36" i="263" s="1"/>
  <c r="I52" i="268"/>
  <c r="I60" i="268" s="1"/>
  <c r="F20" i="265"/>
  <c r="I9" i="264"/>
  <c r="I19" i="264" s="1"/>
  <c r="I41" i="263"/>
  <c r="G24" i="263"/>
  <c r="H24" i="263"/>
  <c r="F45" i="263"/>
  <c r="G23" i="262"/>
  <c r="I23" i="262" s="1"/>
  <c r="F31" i="262"/>
  <c r="H31" i="262" s="1"/>
  <c r="I12" i="263"/>
  <c r="F38" i="263"/>
  <c r="E36" i="262"/>
  <c r="N36" i="262" s="1"/>
  <c r="N60" i="262" s="1"/>
  <c r="H38" i="262"/>
  <c r="G38" i="262"/>
  <c r="F32" i="262"/>
  <c r="H39" i="262"/>
  <c r="G39" i="262"/>
  <c r="I39" i="262" s="1"/>
  <c r="F15" i="262"/>
  <c r="I53" i="262"/>
  <c r="F44" i="262"/>
  <c r="H16" i="263" l="1"/>
  <c r="I16" i="263" s="1"/>
  <c r="F62" i="262"/>
  <c r="I43" i="268"/>
  <c r="I61" i="268" s="1"/>
  <c r="B14" i="251"/>
  <c r="F13" i="252"/>
  <c r="O47" i="251"/>
  <c r="E6" i="250"/>
  <c r="E7" i="250"/>
  <c r="O47" i="252"/>
  <c r="E5" i="250"/>
  <c r="I44" i="269"/>
  <c r="I62" i="269" s="1"/>
  <c r="Q46" i="252"/>
  <c r="Q47" i="252" s="1"/>
  <c r="I62" i="262"/>
  <c r="I17" i="263"/>
  <c r="H32" i="263"/>
  <c r="G32" i="263"/>
  <c r="H33" i="263"/>
  <c r="G33" i="263"/>
  <c r="I33" i="263" s="1"/>
  <c r="N61" i="263"/>
  <c r="F61" i="268"/>
  <c r="K61" i="268" s="1"/>
  <c r="I24" i="263"/>
  <c r="H45" i="263"/>
  <c r="G45" i="263"/>
  <c r="I38" i="262"/>
  <c r="G31" i="262"/>
  <c r="I31" i="262" s="1"/>
  <c r="H38" i="263"/>
  <c r="G38" i="263"/>
  <c r="F36" i="262"/>
  <c r="B13" i="251" s="1"/>
  <c r="G44" i="262"/>
  <c r="H44" i="262"/>
  <c r="H32" i="262"/>
  <c r="G32" i="262"/>
  <c r="G15" i="262"/>
  <c r="H15" i="262"/>
  <c r="E44" i="246"/>
  <c r="L21" i="246"/>
  <c r="L20" i="246"/>
  <c r="L20" i="245"/>
  <c r="L19" i="245"/>
  <c r="L21" i="241"/>
  <c r="L20" i="241"/>
  <c r="L18" i="246"/>
  <c r="L17" i="245"/>
  <c r="F27" i="251" l="1"/>
  <c r="F28" i="251"/>
  <c r="I44" i="262"/>
  <c r="I45" i="263"/>
  <c r="I32" i="263"/>
  <c r="D14" i="251"/>
  <c r="I38" i="263"/>
  <c r="C14" i="251"/>
  <c r="F46" i="263"/>
  <c r="I32" i="262"/>
  <c r="I15" i="262"/>
  <c r="H36" i="262"/>
  <c r="D13" i="251" s="1"/>
  <c r="G36" i="262"/>
  <c r="F45" i="262" s="1"/>
  <c r="F63" i="262" s="1"/>
  <c r="K61" i="262" s="1"/>
  <c r="E11" i="241"/>
  <c r="L18" i="241"/>
  <c r="O12" i="259"/>
  <c r="L15" i="232"/>
  <c r="E10" i="232" s="1"/>
  <c r="F10" i="232" s="1"/>
  <c r="L14" i="233"/>
  <c r="L13" i="233" s="1"/>
  <c r="G13" i="236"/>
  <c r="G12" i="236"/>
  <c r="E8" i="229"/>
  <c r="L15" i="238"/>
  <c r="E10" i="238" s="1"/>
  <c r="F10" i="238" s="1"/>
  <c r="L14" i="237"/>
  <c r="L13" i="237" s="1"/>
  <c r="E45" i="237" s="1"/>
  <c r="E12" i="228"/>
  <c r="N12" i="228" s="1"/>
  <c r="E12" i="222"/>
  <c r="H16" i="260"/>
  <c r="F16" i="260"/>
  <c r="F15" i="260"/>
  <c r="H13" i="260"/>
  <c r="H12" i="260"/>
  <c r="H11" i="260"/>
  <c r="E11" i="260"/>
  <c r="E17" i="260" s="1"/>
  <c r="E10" i="260"/>
  <c r="E9" i="260"/>
  <c r="E8" i="260"/>
  <c r="H7" i="260"/>
  <c r="G33" i="251" s="1"/>
  <c r="E7" i="260"/>
  <c r="O14" i="259"/>
  <c r="D14" i="259"/>
  <c r="O13" i="259"/>
  <c r="D13" i="259"/>
  <c r="D12" i="259"/>
  <c r="F12" i="259" s="1"/>
  <c r="O10" i="259"/>
  <c r="O9" i="259"/>
  <c r="D9" i="259"/>
  <c r="F9" i="259" s="1"/>
  <c r="E8" i="259"/>
  <c r="O8" i="259" s="1"/>
  <c r="D8" i="259"/>
  <c r="E13" i="258"/>
  <c r="O13" i="258" s="1"/>
  <c r="D13" i="258"/>
  <c r="O12" i="258"/>
  <c r="D12" i="258"/>
  <c r="F12" i="258" s="1"/>
  <c r="O11" i="258"/>
  <c r="D11" i="258"/>
  <c r="F11" i="258" s="1"/>
  <c r="O10" i="258"/>
  <c r="O9" i="258"/>
  <c r="D9" i="258"/>
  <c r="F9" i="258" s="1"/>
  <c r="E8" i="258"/>
  <c r="O8" i="258" s="1"/>
  <c r="D8" i="258"/>
  <c r="E14" i="257"/>
  <c r="O14" i="257" s="1"/>
  <c r="D14" i="257"/>
  <c r="O13" i="257"/>
  <c r="D13" i="257"/>
  <c r="F13" i="257" s="1"/>
  <c r="O12" i="257"/>
  <c r="D12" i="257"/>
  <c r="F12" i="257" s="1"/>
  <c r="O10" i="257"/>
  <c r="O9" i="257"/>
  <c r="D9" i="257"/>
  <c r="F9" i="257" s="1"/>
  <c r="E8" i="257"/>
  <c r="O8" i="257" s="1"/>
  <c r="D8" i="257"/>
  <c r="E47" i="256"/>
  <c r="O47" i="256" s="1"/>
  <c r="D47" i="256"/>
  <c r="D46" i="256"/>
  <c r="D45" i="256"/>
  <c r="D43" i="256"/>
  <c r="E42" i="256"/>
  <c r="O42" i="256" s="1"/>
  <c r="D42" i="256"/>
  <c r="E31" i="256"/>
  <c r="O31" i="256" s="1"/>
  <c r="D20" i="256"/>
  <c r="D18" i="256"/>
  <c r="E18" i="256"/>
  <c r="O18" i="256" s="1"/>
  <c r="D17" i="256"/>
  <c r="F17" i="256" s="1"/>
  <c r="D15" i="256"/>
  <c r="E26" i="256"/>
  <c r="O26" i="256" s="1"/>
  <c r="D14" i="256"/>
  <c r="D11" i="256"/>
  <c r="F11" i="256" s="1"/>
  <c r="L9" i="256"/>
  <c r="L8" i="256"/>
  <c r="E8" i="256"/>
  <c r="O8" i="256" s="1"/>
  <c r="D8" i="256"/>
  <c r="L7" i="256"/>
  <c r="O47" i="255"/>
  <c r="E46" i="255"/>
  <c r="O46" i="255" s="1"/>
  <c r="D46" i="255"/>
  <c r="E45" i="255"/>
  <c r="O45" i="255" s="1"/>
  <c r="D45" i="255"/>
  <c r="E44" i="255"/>
  <c r="O44" i="255" s="1"/>
  <c r="D44" i="255"/>
  <c r="F44" i="255" s="1"/>
  <c r="O43" i="255"/>
  <c r="D42" i="255"/>
  <c r="F42" i="255" s="1"/>
  <c r="E41" i="255"/>
  <c r="O42" i="255" s="1"/>
  <c r="D41" i="255"/>
  <c r="F41" i="255" s="1"/>
  <c r="O40" i="255"/>
  <c r="O39" i="255"/>
  <c r="O38" i="255"/>
  <c r="O37" i="255"/>
  <c r="O36" i="255"/>
  <c r="O35" i="255"/>
  <c r="O34" i="255"/>
  <c r="O33" i="255"/>
  <c r="O32" i="255"/>
  <c r="D32" i="255"/>
  <c r="F32" i="255" s="1"/>
  <c r="H32" i="255" s="1"/>
  <c r="O31" i="255"/>
  <c r="F31" i="255"/>
  <c r="H31" i="255" s="1"/>
  <c r="O30" i="255"/>
  <c r="F30" i="255"/>
  <c r="H30" i="255" s="1"/>
  <c r="O29" i="255"/>
  <c r="F29" i="255"/>
  <c r="H29" i="255" s="1"/>
  <c r="O28" i="255"/>
  <c r="O27" i="255"/>
  <c r="F27" i="255"/>
  <c r="H27" i="255" s="1"/>
  <c r="O26" i="255"/>
  <c r="F26" i="255"/>
  <c r="H26" i="255" s="1"/>
  <c r="O25" i="255"/>
  <c r="F25" i="255"/>
  <c r="H25" i="255" s="1"/>
  <c r="O24" i="255"/>
  <c r="F24" i="255"/>
  <c r="H24" i="255" s="1"/>
  <c r="O23" i="255"/>
  <c r="O22" i="255"/>
  <c r="O21" i="255"/>
  <c r="O20" i="255"/>
  <c r="O19" i="255"/>
  <c r="D19" i="255"/>
  <c r="F19" i="255" s="1"/>
  <c r="O18" i="255"/>
  <c r="E17" i="255"/>
  <c r="O17" i="255" s="1"/>
  <c r="D17" i="255"/>
  <c r="F17" i="255" s="1"/>
  <c r="H17" i="255" s="1"/>
  <c r="O16" i="255"/>
  <c r="D16" i="255"/>
  <c r="F16" i="255" s="1"/>
  <c r="H16" i="255" s="1"/>
  <c r="O15" i="255"/>
  <c r="E14" i="255"/>
  <c r="O14" i="255" s="1"/>
  <c r="D14" i="255"/>
  <c r="F14" i="255" s="1"/>
  <c r="H14" i="255" s="1"/>
  <c r="O13" i="255"/>
  <c r="D13" i="255"/>
  <c r="F13" i="255" s="1"/>
  <c r="H13" i="255" s="1"/>
  <c r="O12" i="255"/>
  <c r="O11" i="255"/>
  <c r="O10" i="255"/>
  <c r="D10" i="255"/>
  <c r="F10" i="255" s="1"/>
  <c r="H10" i="255" s="1"/>
  <c r="O9" i="255"/>
  <c r="L9" i="255"/>
  <c r="L8" i="255"/>
  <c r="E8" i="255"/>
  <c r="O8" i="255" s="1"/>
  <c r="D8" i="255"/>
  <c r="O7" i="255"/>
  <c r="L7" i="255"/>
  <c r="O6" i="255"/>
  <c r="O48" i="254"/>
  <c r="E47" i="254"/>
  <c r="O47" i="254" s="1"/>
  <c r="D47" i="254"/>
  <c r="E46" i="254"/>
  <c r="O46" i="254" s="1"/>
  <c r="D46" i="254"/>
  <c r="E45" i="254"/>
  <c r="O45" i="254" s="1"/>
  <c r="D45" i="254"/>
  <c r="F45" i="254" s="1"/>
  <c r="O44" i="254"/>
  <c r="D43" i="254"/>
  <c r="E42" i="254"/>
  <c r="O42" i="254" s="1"/>
  <c r="D42" i="254"/>
  <c r="O41" i="254"/>
  <c r="O40" i="254"/>
  <c r="O39" i="254"/>
  <c r="O38" i="254"/>
  <c r="O37" i="254"/>
  <c r="O36" i="254"/>
  <c r="O35" i="254"/>
  <c r="O34" i="254"/>
  <c r="O33" i="254"/>
  <c r="F33" i="254"/>
  <c r="O32" i="254"/>
  <c r="F32" i="254"/>
  <c r="G32" i="254" s="1"/>
  <c r="O31" i="254"/>
  <c r="F31" i="254"/>
  <c r="G31" i="254" s="1"/>
  <c r="O30" i="254"/>
  <c r="F30" i="254"/>
  <c r="G30" i="254" s="1"/>
  <c r="O29" i="254"/>
  <c r="O28" i="254"/>
  <c r="F28" i="254"/>
  <c r="G28" i="254" s="1"/>
  <c r="O27" i="254"/>
  <c r="F27" i="254"/>
  <c r="G27" i="254" s="1"/>
  <c r="O26" i="254"/>
  <c r="F26" i="254"/>
  <c r="H26" i="254" s="1"/>
  <c r="O25" i="254"/>
  <c r="F25" i="254"/>
  <c r="H25" i="254" s="1"/>
  <c r="O24" i="254"/>
  <c r="O23" i="254"/>
  <c r="O22" i="254"/>
  <c r="O21" i="254"/>
  <c r="O20" i="254"/>
  <c r="D20" i="254"/>
  <c r="F20" i="254" s="1"/>
  <c r="O19" i="254"/>
  <c r="E18" i="254"/>
  <c r="O18" i="254" s="1"/>
  <c r="D18" i="254"/>
  <c r="O17" i="254"/>
  <c r="D17" i="254"/>
  <c r="F17" i="254" s="1"/>
  <c r="O16" i="254"/>
  <c r="E15" i="254"/>
  <c r="O15" i="254" s="1"/>
  <c r="D15" i="254"/>
  <c r="O14" i="254"/>
  <c r="D14" i="254"/>
  <c r="F14" i="254" s="1"/>
  <c r="O13" i="254"/>
  <c r="O12" i="254"/>
  <c r="E11" i="254"/>
  <c r="O11" i="254" s="1"/>
  <c r="D11" i="254"/>
  <c r="O9" i="254"/>
  <c r="L9" i="254"/>
  <c r="L8" i="254"/>
  <c r="I10" i="254" s="1"/>
  <c r="E8" i="254"/>
  <c r="D8" i="254"/>
  <c r="O7" i="254"/>
  <c r="L7" i="254"/>
  <c r="O6" i="254"/>
  <c r="D8" i="229"/>
  <c r="D12" i="228"/>
  <c r="O8" i="223"/>
  <c r="O8" i="210"/>
  <c r="D8" i="223"/>
  <c r="F8" i="223" s="1"/>
  <c r="G8" i="223" s="1"/>
  <c r="D11" i="222"/>
  <c r="D8" i="210"/>
  <c r="F8" i="210" s="1"/>
  <c r="E12" i="209"/>
  <c r="N12" i="209" s="1"/>
  <c r="D12" i="209"/>
  <c r="L9" i="232"/>
  <c r="L8" i="232"/>
  <c r="L7" i="232"/>
  <c r="L9" i="233"/>
  <c r="L8" i="233"/>
  <c r="L7" i="233"/>
  <c r="L9" i="225"/>
  <c r="L8" i="225"/>
  <c r="I10" i="225" s="1"/>
  <c r="L7" i="225"/>
  <c r="L9" i="222"/>
  <c r="L8" i="222"/>
  <c r="I10" i="222" s="1"/>
  <c r="L7" i="222"/>
  <c r="L9" i="238"/>
  <c r="L8" i="238"/>
  <c r="L7" i="238"/>
  <c r="L9" i="237"/>
  <c r="L8" i="237"/>
  <c r="L7" i="237"/>
  <c r="L9" i="228"/>
  <c r="L8" i="228"/>
  <c r="L7" i="228"/>
  <c r="L9" i="209"/>
  <c r="L8" i="209"/>
  <c r="L7" i="209"/>
  <c r="L9" i="246"/>
  <c r="L8" i="246"/>
  <c r="I10" i="246" s="1"/>
  <c r="L7" i="246"/>
  <c r="L9" i="245"/>
  <c r="L8" i="245"/>
  <c r="L7" i="245"/>
  <c r="L9" i="241"/>
  <c r="L8" i="241"/>
  <c r="L7" i="241"/>
  <c r="G26" i="255" l="1"/>
  <c r="G31" i="255"/>
  <c r="F12" i="228"/>
  <c r="G12" i="228" s="1"/>
  <c r="I46" i="263"/>
  <c r="I64" i="263" s="1"/>
  <c r="I66" i="263" s="1"/>
  <c r="H19" i="255"/>
  <c r="G19" i="255"/>
  <c r="H11" i="258"/>
  <c r="G11" i="258"/>
  <c r="I11" i="258" s="1"/>
  <c r="I10" i="228"/>
  <c r="G27" i="255"/>
  <c r="F14" i="257"/>
  <c r="I10" i="209"/>
  <c r="G26" i="254"/>
  <c r="C13" i="251"/>
  <c r="G30" i="255"/>
  <c r="I30" i="255" s="1"/>
  <c r="G10" i="238"/>
  <c r="H10" i="238"/>
  <c r="H10" i="232"/>
  <c r="G10" i="232"/>
  <c r="H17" i="256"/>
  <c r="I10" i="256"/>
  <c r="H32" i="254"/>
  <c r="O14" i="258"/>
  <c r="F18" i="254"/>
  <c r="G18" i="254" s="1"/>
  <c r="F15" i="254"/>
  <c r="H15" i="254" s="1"/>
  <c r="F8" i="258"/>
  <c r="F13" i="258"/>
  <c r="G13" i="258" s="1"/>
  <c r="F8" i="259"/>
  <c r="F14" i="259"/>
  <c r="H14" i="259" s="1"/>
  <c r="O15" i="257"/>
  <c r="H12" i="332"/>
  <c r="H22" i="332"/>
  <c r="H13" i="332"/>
  <c r="H19" i="332"/>
  <c r="P45" i="251" s="1"/>
  <c r="H8" i="332"/>
  <c r="H7" i="332"/>
  <c r="P43" i="251" s="1"/>
  <c r="L14" i="232"/>
  <c r="I32" i="254"/>
  <c r="F8" i="254"/>
  <c r="G8" i="254" s="1"/>
  <c r="G25" i="254"/>
  <c r="I25" i="254" s="1"/>
  <c r="F8" i="257"/>
  <c r="I26" i="254"/>
  <c r="H28" i="254"/>
  <c r="I28" i="254" s="1"/>
  <c r="F13" i="259"/>
  <c r="H13" i="259" s="1"/>
  <c r="H8" i="223"/>
  <c r="E11" i="238"/>
  <c r="N11" i="238" s="1"/>
  <c r="L14" i="238"/>
  <c r="E49" i="238" s="1"/>
  <c r="I10" i="241"/>
  <c r="F64" i="263"/>
  <c r="K62" i="263" s="1"/>
  <c r="F46" i="255"/>
  <c r="H46" i="255" s="1"/>
  <c r="F45" i="256"/>
  <c r="H45" i="256" s="1"/>
  <c r="F45" i="255"/>
  <c r="F47" i="256"/>
  <c r="H47" i="256" s="1"/>
  <c r="F8" i="255"/>
  <c r="F8" i="256"/>
  <c r="F46" i="256"/>
  <c r="H46" i="256" s="1"/>
  <c r="O8" i="254"/>
  <c r="F46" i="254"/>
  <c r="G46" i="254" s="1"/>
  <c r="F47" i="254"/>
  <c r="G47" i="254" s="1"/>
  <c r="I54" i="222"/>
  <c r="F11" i="222"/>
  <c r="G11" i="222" s="1"/>
  <c r="O11" i="222"/>
  <c r="I36" i="262"/>
  <c r="I45" i="262" s="1"/>
  <c r="I56" i="209"/>
  <c r="G12" i="259"/>
  <c r="F8" i="229"/>
  <c r="G8" i="229" s="1"/>
  <c r="F12" i="209"/>
  <c r="H12" i="209" s="1"/>
  <c r="O43" i="254"/>
  <c r="F11" i="254"/>
  <c r="G11" i="254" s="1"/>
  <c r="F42" i="254"/>
  <c r="F43" i="256"/>
  <c r="H43" i="256" s="1"/>
  <c r="F20" i="256"/>
  <c r="H20" i="256" s="1"/>
  <c r="H15" i="260"/>
  <c r="H17" i="260" s="1"/>
  <c r="F42" i="256"/>
  <c r="H42" i="256" s="1"/>
  <c r="H44" i="255"/>
  <c r="G44" i="255"/>
  <c r="G17" i="254"/>
  <c r="H17" i="254"/>
  <c r="H13" i="257"/>
  <c r="G13" i="257"/>
  <c r="F18" i="256"/>
  <c r="G41" i="255"/>
  <c r="H41" i="255"/>
  <c r="G9" i="257"/>
  <c r="H9" i="257"/>
  <c r="H33" i="254"/>
  <c r="G33" i="254"/>
  <c r="F31" i="256"/>
  <c r="H9" i="259"/>
  <c r="G9" i="259"/>
  <c r="G11" i="256"/>
  <c r="H11" i="256"/>
  <c r="G14" i="254"/>
  <c r="H14" i="254"/>
  <c r="H45" i="255"/>
  <c r="G45" i="255"/>
  <c r="H42" i="255"/>
  <c r="G42" i="255"/>
  <c r="F26" i="256"/>
  <c r="H20" i="254"/>
  <c r="G20" i="254"/>
  <c r="G45" i="254"/>
  <c r="H45" i="254"/>
  <c r="F32" i="256"/>
  <c r="G12" i="257"/>
  <c r="H12" i="257"/>
  <c r="O15" i="259"/>
  <c r="H30" i="254"/>
  <c r="I30" i="254" s="1"/>
  <c r="G10" i="255"/>
  <c r="I10" i="255" s="1"/>
  <c r="G13" i="255"/>
  <c r="I13" i="255" s="1"/>
  <c r="G14" i="255"/>
  <c r="I14" i="255" s="1"/>
  <c r="G16" i="255"/>
  <c r="I16" i="255" s="1"/>
  <c r="G17" i="255"/>
  <c r="I17" i="255" s="1"/>
  <c r="G24" i="255"/>
  <c r="G17" i="256"/>
  <c r="E25" i="256"/>
  <c r="O25" i="256" s="1"/>
  <c r="F30" i="256"/>
  <c r="G12" i="258"/>
  <c r="I19" i="255"/>
  <c r="I27" i="255"/>
  <c r="I31" i="255"/>
  <c r="O41" i="255"/>
  <c r="O48" i="255" s="1"/>
  <c r="H12" i="258"/>
  <c r="I24" i="255"/>
  <c r="G46" i="255"/>
  <c r="I46" i="255" s="1"/>
  <c r="G14" i="257"/>
  <c r="G9" i="258"/>
  <c r="I26" i="255"/>
  <c r="H14" i="257"/>
  <c r="H9" i="258"/>
  <c r="H27" i="254"/>
  <c r="I27" i="254" s="1"/>
  <c r="H31" i="254"/>
  <c r="I31" i="254" s="1"/>
  <c r="G25" i="255"/>
  <c r="I25" i="255" s="1"/>
  <c r="G29" i="255"/>
  <c r="I29" i="255" s="1"/>
  <c r="G32" i="255"/>
  <c r="I32" i="255" s="1"/>
  <c r="E14" i="256"/>
  <c r="H12" i="228"/>
  <c r="I12" i="228" s="1"/>
  <c r="G8" i="210"/>
  <c r="H8" i="210"/>
  <c r="E43" i="237"/>
  <c r="O58" i="241"/>
  <c r="O7" i="222"/>
  <c r="O9" i="222"/>
  <c r="O12" i="222"/>
  <c r="O13" i="222"/>
  <c r="O14" i="222"/>
  <c r="O31" i="222"/>
  <c r="O44" i="222"/>
  <c r="O45" i="222"/>
  <c r="O46" i="222"/>
  <c r="O47" i="222"/>
  <c r="O48" i="222"/>
  <c r="O49" i="222"/>
  <c r="O50" i="222"/>
  <c r="O51" i="222"/>
  <c r="O60" i="222"/>
  <c r="N7" i="238"/>
  <c r="N9" i="238"/>
  <c r="N12" i="238"/>
  <c r="N13" i="238"/>
  <c r="N16" i="238"/>
  <c r="N19" i="238"/>
  <c r="N21" i="238"/>
  <c r="N23" i="238"/>
  <c r="N24" i="238"/>
  <c r="N25" i="238"/>
  <c r="N26" i="238"/>
  <c r="N27" i="238"/>
  <c r="N31" i="238"/>
  <c r="N32" i="238"/>
  <c r="N36" i="238"/>
  <c r="N38" i="238"/>
  <c r="N39" i="238"/>
  <c r="N40" i="238"/>
  <c r="N41" i="238"/>
  <c r="N42" i="238"/>
  <c r="N43" i="238"/>
  <c r="N44" i="238"/>
  <c r="N45" i="238"/>
  <c r="N48" i="238"/>
  <c r="D37" i="238"/>
  <c r="D20" i="238"/>
  <c r="D19" i="238"/>
  <c r="F19" i="238" s="1"/>
  <c r="G19" i="238" s="1"/>
  <c r="N7" i="228"/>
  <c r="N9" i="228"/>
  <c r="N13" i="228"/>
  <c r="N14" i="228"/>
  <c r="N15" i="228"/>
  <c r="N17" i="228"/>
  <c r="N18" i="228"/>
  <c r="N20" i="228"/>
  <c r="N21" i="228"/>
  <c r="N22" i="228"/>
  <c r="N23" i="228"/>
  <c r="N24" i="228"/>
  <c r="N25" i="228"/>
  <c r="N26" i="228"/>
  <c r="N27" i="228"/>
  <c r="N28" i="228"/>
  <c r="N29" i="228"/>
  <c r="N30" i="228"/>
  <c r="N31" i="228"/>
  <c r="N32" i="228"/>
  <c r="N33" i="228"/>
  <c r="N34" i="228"/>
  <c r="N35" i="228"/>
  <c r="N36" i="228"/>
  <c r="N39" i="228"/>
  <c r="N40" i="228"/>
  <c r="N41" i="228"/>
  <c r="N42" i="228"/>
  <c r="N43" i="228"/>
  <c r="N44" i="228"/>
  <c r="N45" i="228"/>
  <c r="N46" i="228"/>
  <c r="N47" i="228"/>
  <c r="N50" i="228"/>
  <c r="N7" i="237"/>
  <c r="N9" i="237"/>
  <c r="N10" i="237"/>
  <c r="N11" i="237"/>
  <c r="N12" i="237"/>
  <c r="N13" i="237"/>
  <c r="N15" i="237"/>
  <c r="N16" i="237"/>
  <c r="N18" i="237"/>
  <c r="N19" i="237"/>
  <c r="N20" i="237"/>
  <c r="N21" i="237"/>
  <c r="N22" i="237"/>
  <c r="N23" i="237"/>
  <c r="N24" i="237"/>
  <c r="N25" i="237"/>
  <c r="N26" i="237"/>
  <c r="N27" i="237"/>
  <c r="N28" i="237"/>
  <c r="N29" i="237"/>
  <c r="N30" i="237"/>
  <c r="N33" i="237"/>
  <c r="N34" i="237"/>
  <c r="N35" i="237"/>
  <c r="N36" i="237"/>
  <c r="N37" i="237"/>
  <c r="N38" i="237"/>
  <c r="N39" i="237"/>
  <c r="N40" i="237"/>
  <c r="N41" i="237"/>
  <c r="N42" i="237"/>
  <c r="N44" i="237"/>
  <c r="N48" i="237"/>
  <c r="N49" i="237"/>
  <c r="N50" i="237"/>
  <c r="N51" i="237"/>
  <c r="B34" i="252" l="1"/>
  <c r="I12" i="258"/>
  <c r="H8" i="258"/>
  <c r="I42" i="255"/>
  <c r="H8" i="254"/>
  <c r="I10" i="232"/>
  <c r="G15" i="254"/>
  <c r="I41" i="255"/>
  <c r="G35" i="251"/>
  <c r="H19" i="260"/>
  <c r="F14" i="251"/>
  <c r="H8" i="257"/>
  <c r="D33" i="252" s="1"/>
  <c r="B33" i="252"/>
  <c r="G8" i="255"/>
  <c r="C34" i="251" s="1"/>
  <c r="B34" i="251"/>
  <c r="P44" i="251"/>
  <c r="Q44" i="251" s="1"/>
  <c r="I9" i="258"/>
  <c r="I13" i="257"/>
  <c r="B35" i="252"/>
  <c r="G8" i="258"/>
  <c r="C34" i="252" s="1"/>
  <c r="O49" i="254"/>
  <c r="I10" i="238"/>
  <c r="Q45" i="251"/>
  <c r="H42" i="254"/>
  <c r="I17" i="256"/>
  <c r="F14" i="256"/>
  <c r="H14" i="256" s="1"/>
  <c r="O14" i="256"/>
  <c r="G13" i="259"/>
  <c r="I13" i="259" s="1"/>
  <c r="H13" i="258"/>
  <c r="I13" i="258" s="1"/>
  <c r="G20" i="256"/>
  <c r="I20" i="256" s="1"/>
  <c r="G43" i="256"/>
  <c r="I43" i="256" s="1"/>
  <c r="H8" i="256"/>
  <c r="H18" i="254"/>
  <c r="I18" i="254" s="1"/>
  <c r="H46" i="254"/>
  <c r="I46" i="254" s="1"/>
  <c r="I15" i="254"/>
  <c r="G14" i="259"/>
  <c r="I14" i="259" s="1"/>
  <c r="I33" i="254"/>
  <c r="G42" i="254"/>
  <c r="I17" i="254"/>
  <c r="G8" i="259"/>
  <c r="H8" i="259"/>
  <c r="G8" i="257"/>
  <c r="I9" i="259"/>
  <c r="G45" i="256"/>
  <c r="I45" i="256" s="1"/>
  <c r="I11" i="256"/>
  <c r="I9" i="257"/>
  <c r="I12" i="257"/>
  <c r="H28" i="332"/>
  <c r="H26" i="332"/>
  <c r="H12" i="259"/>
  <c r="I12" i="259" s="1"/>
  <c r="H11" i="254"/>
  <c r="I11" i="254" s="1"/>
  <c r="I14" i="254"/>
  <c r="H47" i="254"/>
  <c r="I47" i="254" s="1"/>
  <c r="I14" i="257"/>
  <c r="I20" i="254"/>
  <c r="I8" i="223"/>
  <c r="H8" i="229"/>
  <c r="I8" i="229" s="1"/>
  <c r="G42" i="256"/>
  <c r="I42" i="256" s="1"/>
  <c r="I44" i="255"/>
  <c r="I45" i="254"/>
  <c r="G47" i="256"/>
  <c r="I47" i="256" s="1"/>
  <c r="H8" i="255"/>
  <c r="F48" i="255"/>
  <c r="G46" i="256"/>
  <c r="I46" i="256" s="1"/>
  <c r="G8" i="256"/>
  <c r="I8" i="256" s="1"/>
  <c r="I45" i="255"/>
  <c r="I63" i="262"/>
  <c r="I65" i="262" s="1"/>
  <c r="F13" i="251"/>
  <c r="H11" i="222"/>
  <c r="I11" i="222" s="1"/>
  <c r="I8" i="210"/>
  <c r="G12" i="209"/>
  <c r="I12" i="209" s="1"/>
  <c r="F43" i="254"/>
  <c r="B33" i="251" s="1"/>
  <c r="H26" i="256"/>
  <c r="G26" i="256"/>
  <c r="F25" i="256"/>
  <c r="H32" i="256"/>
  <c r="G32" i="256"/>
  <c r="H31" i="256"/>
  <c r="G31" i="256"/>
  <c r="E15" i="256"/>
  <c r="O15" i="256" s="1"/>
  <c r="H30" i="256"/>
  <c r="G30" i="256"/>
  <c r="I8" i="254"/>
  <c r="H18" i="256"/>
  <c r="G18" i="256"/>
  <c r="E20" i="238"/>
  <c r="H19" i="238"/>
  <c r="I19" i="238" s="1"/>
  <c r="I8" i="258" l="1"/>
  <c r="F34" i="252" s="1"/>
  <c r="H34" i="252" s="1"/>
  <c r="O49" i="256"/>
  <c r="O50" i="256" s="1"/>
  <c r="G14" i="256"/>
  <c r="I48" i="255"/>
  <c r="D34" i="252"/>
  <c r="E34" i="252" s="1"/>
  <c r="D35" i="252"/>
  <c r="F33" i="255"/>
  <c r="F49" i="255" s="1"/>
  <c r="K49" i="255" s="1"/>
  <c r="D34" i="251"/>
  <c r="E34" i="251" s="1"/>
  <c r="I8" i="259"/>
  <c r="F35" i="252" s="1"/>
  <c r="H35" i="252" s="1"/>
  <c r="C35" i="252"/>
  <c r="I8" i="255"/>
  <c r="I33" i="255" s="1"/>
  <c r="I8" i="257"/>
  <c r="F33" i="252" s="1"/>
  <c r="H33" i="252" s="1"/>
  <c r="C33" i="252"/>
  <c r="E33" i="252" s="1"/>
  <c r="I42" i="254"/>
  <c r="I30" i="256"/>
  <c r="F15" i="259"/>
  <c r="F14" i="258"/>
  <c r="I31" i="256"/>
  <c r="I32" i="256"/>
  <c r="F15" i="257"/>
  <c r="I49" i="256"/>
  <c r="F49" i="256"/>
  <c r="Q43" i="251"/>
  <c r="Q46" i="251" s="1"/>
  <c r="P46" i="251"/>
  <c r="F34" i="254"/>
  <c r="I34" i="254"/>
  <c r="I18" i="256"/>
  <c r="E37" i="238"/>
  <c r="N20" i="238"/>
  <c r="H43" i="254"/>
  <c r="D33" i="251" s="1"/>
  <c r="G43" i="254"/>
  <c r="C33" i="251" s="1"/>
  <c r="I26" i="256"/>
  <c r="H25" i="256"/>
  <c r="G25" i="256"/>
  <c r="I14" i="256"/>
  <c r="F15" i="256"/>
  <c r="F20" i="238"/>
  <c r="F34" i="251" l="1"/>
  <c r="H34" i="251" s="1"/>
  <c r="E35" i="252"/>
  <c r="I14" i="258"/>
  <c r="I49" i="255"/>
  <c r="I51" i="255" s="1"/>
  <c r="E33" i="251"/>
  <c r="I15" i="257"/>
  <c r="I15" i="259"/>
  <c r="P47" i="251"/>
  <c r="E8" i="250"/>
  <c r="E10" i="250"/>
  <c r="Q47" i="251"/>
  <c r="E11" i="250" s="1"/>
  <c r="I25" i="256"/>
  <c r="F37" i="238"/>
  <c r="N37" i="238"/>
  <c r="I43" i="254"/>
  <c r="I49" i="254" s="1"/>
  <c r="F49" i="254"/>
  <c r="F50" i="254" s="1"/>
  <c r="K50" i="254" s="1"/>
  <c r="F27" i="256"/>
  <c r="B35" i="251" s="1"/>
  <c r="G15" i="256"/>
  <c r="H15" i="256"/>
  <c r="G20" i="238"/>
  <c r="H20" i="238"/>
  <c r="I50" i="254" l="1"/>
  <c r="I52" i="254" s="1"/>
  <c r="F33" i="251"/>
  <c r="H33" i="251" s="1"/>
  <c r="G37" i="238"/>
  <c r="H37" i="238"/>
  <c r="I15" i="256"/>
  <c r="G27" i="256"/>
  <c r="C35" i="251" s="1"/>
  <c r="H27" i="256"/>
  <c r="D35" i="251" s="1"/>
  <c r="I20" i="238"/>
  <c r="E35" i="251" l="1"/>
  <c r="F34" i="256"/>
  <c r="F50" i="256" s="1"/>
  <c r="K50" i="256" s="1"/>
  <c r="I27" i="256"/>
  <c r="I34" i="256" s="1"/>
  <c r="F35" i="251" s="1"/>
  <c r="H35" i="251" s="1"/>
  <c r="I37" i="238"/>
  <c r="N7" i="209"/>
  <c r="N9" i="209"/>
  <c r="N13" i="209"/>
  <c r="N14" i="209"/>
  <c r="N22" i="209"/>
  <c r="N38" i="209"/>
  <c r="N46" i="209"/>
  <c r="N47" i="209"/>
  <c r="N48" i="209"/>
  <c r="N49" i="209"/>
  <c r="N50" i="209"/>
  <c r="N51" i="209"/>
  <c r="N52" i="209"/>
  <c r="N53" i="209"/>
  <c r="N57" i="209"/>
  <c r="D45" i="209"/>
  <c r="D37" i="209"/>
  <c r="O7" i="246"/>
  <c r="O9" i="246"/>
  <c r="O11" i="246"/>
  <c r="O12" i="246"/>
  <c r="O13" i="246"/>
  <c r="O16" i="246"/>
  <c r="O21" i="246"/>
  <c r="O22" i="246"/>
  <c r="O23" i="246"/>
  <c r="O24" i="246"/>
  <c r="O25" i="246"/>
  <c r="O26" i="246"/>
  <c r="O27" i="246"/>
  <c r="O28" i="246"/>
  <c r="O29" i="246"/>
  <c r="O31" i="246"/>
  <c r="O32" i="246"/>
  <c r="O36" i="246"/>
  <c r="O37" i="246"/>
  <c r="O38" i="246"/>
  <c r="O39" i="246"/>
  <c r="O40" i="246"/>
  <c r="O41" i="246"/>
  <c r="O42" i="246"/>
  <c r="O43" i="246"/>
  <c r="O44" i="246"/>
  <c r="O45" i="246"/>
  <c r="O46" i="246"/>
  <c r="O48" i="246"/>
  <c r="O49" i="246"/>
  <c r="O50" i="246"/>
  <c r="O51" i="246"/>
  <c r="O52" i="246"/>
  <c r="O53" i="246"/>
  <c r="O54" i="246"/>
  <c r="O55" i="246"/>
  <c r="O7" i="245"/>
  <c r="O9" i="245"/>
  <c r="O10" i="245"/>
  <c r="O11" i="245"/>
  <c r="O12" i="245"/>
  <c r="O15" i="245"/>
  <c r="O20" i="245"/>
  <c r="O21" i="245"/>
  <c r="O22" i="245"/>
  <c r="O23" i="245"/>
  <c r="O24" i="245"/>
  <c r="O25" i="245"/>
  <c r="O26" i="245"/>
  <c r="O27" i="245"/>
  <c r="O28" i="245"/>
  <c r="O30" i="245"/>
  <c r="O31" i="245"/>
  <c r="O35" i="245"/>
  <c r="O36" i="245"/>
  <c r="O37" i="245"/>
  <c r="O38" i="245"/>
  <c r="O39" i="245"/>
  <c r="O40" i="245"/>
  <c r="O41" i="245"/>
  <c r="O42" i="245"/>
  <c r="O43" i="245"/>
  <c r="O44" i="245"/>
  <c r="O45" i="245"/>
  <c r="O47" i="245"/>
  <c r="O48" i="245"/>
  <c r="O49" i="245"/>
  <c r="O50" i="245"/>
  <c r="O51" i="245"/>
  <c r="O52" i="245"/>
  <c r="O53" i="245"/>
  <c r="O54" i="245"/>
  <c r="O55" i="241"/>
  <c r="O54" i="241"/>
  <c r="O53" i="241"/>
  <c r="O52" i="241"/>
  <c r="O51" i="241"/>
  <c r="O50" i="241"/>
  <c r="O49" i="241"/>
  <c r="O48" i="241"/>
  <c r="O46" i="241"/>
  <c r="O45" i="241"/>
  <c r="O44" i="241"/>
  <c r="O43" i="241"/>
  <c r="O42" i="241"/>
  <c r="O41" i="241"/>
  <c r="O40" i="241"/>
  <c r="O39" i="241"/>
  <c r="O38" i="241"/>
  <c r="O37" i="241"/>
  <c r="O36" i="241"/>
  <c r="O32" i="241"/>
  <c r="O31" i="241"/>
  <c r="O29" i="241"/>
  <c r="O28" i="241"/>
  <c r="O27" i="241"/>
  <c r="O26" i="241"/>
  <c r="O25" i="241"/>
  <c r="O24" i="241"/>
  <c r="O23" i="241"/>
  <c r="O22" i="241"/>
  <c r="O21" i="241"/>
  <c r="O17" i="241"/>
  <c r="O16" i="241"/>
  <c r="O15" i="241"/>
  <c r="O14" i="241"/>
  <c r="O13" i="241"/>
  <c r="O12" i="241"/>
  <c r="O11" i="241"/>
  <c r="O9" i="241"/>
  <c r="D20" i="246"/>
  <c r="O19" i="246"/>
  <c r="D19" i="246"/>
  <c r="D19" i="245"/>
  <c r="D18" i="245"/>
  <c r="D20" i="241"/>
  <c r="D19" i="241"/>
  <c r="I50" i="256" l="1"/>
  <c r="I52" i="256" s="1"/>
  <c r="F19" i="246"/>
  <c r="G19" i="246" s="1"/>
  <c r="E20" i="246"/>
  <c r="E19" i="245"/>
  <c r="O19" i="245" s="1"/>
  <c r="O18" i="245"/>
  <c r="F19" i="245"/>
  <c r="G19" i="245" s="1"/>
  <c r="F18" i="245"/>
  <c r="H18" i="245" s="1"/>
  <c r="F19" i="241"/>
  <c r="H19" i="241" s="1"/>
  <c r="E20" i="241"/>
  <c r="O19" i="241"/>
  <c r="O9" i="234"/>
  <c r="O10" i="234"/>
  <c r="O12" i="234"/>
  <c r="O13" i="234"/>
  <c r="O14" i="234"/>
  <c r="O8" i="234"/>
  <c r="O9" i="235"/>
  <c r="O10" i="235"/>
  <c r="O11" i="235"/>
  <c r="O12" i="235"/>
  <c r="O9" i="226"/>
  <c r="O10" i="226"/>
  <c r="O12" i="226"/>
  <c r="O13" i="226"/>
  <c r="N7" i="232"/>
  <c r="N9" i="232"/>
  <c r="N11" i="232"/>
  <c r="N12" i="232"/>
  <c r="N13" i="232"/>
  <c r="N16" i="232"/>
  <c r="N19" i="232"/>
  <c r="N21" i="232"/>
  <c r="N22" i="232"/>
  <c r="N23" i="232"/>
  <c r="N24" i="232"/>
  <c r="N29" i="232"/>
  <c r="N30" i="232"/>
  <c r="N35" i="232"/>
  <c r="N36" i="232"/>
  <c r="N37" i="232"/>
  <c r="N38" i="232"/>
  <c r="N39" i="232"/>
  <c r="N40" i="232"/>
  <c r="N41" i="232"/>
  <c r="N42" i="232"/>
  <c r="N43" i="232"/>
  <c r="N46" i="232"/>
  <c r="N50" i="232"/>
  <c r="N6" i="232"/>
  <c r="O7" i="233"/>
  <c r="O9" i="233"/>
  <c r="O10" i="233"/>
  <c r="O11" i="233"/>
  <c r="O12" i="233"/>
  <c r="O13" i="233"/>
  <c r="O15" i="233"/>
  <c r="O16" i="233"/>
  <c r="O18" i="233"/>
  <c r="O19" i="233"/>
  <c r="O20" i="233"/>
  <c r="O21" i="233"/>
  <c r="O22" i="233"/>
  <c r="O23" i="233"/>
  <c r="O24" i="233"/>
  <c r="O25" i="233"/>
  <c r="O26" i="233"/>
  <c r="O27" i="233"/>
  <c r="O28" i="233"/>
  <c r="O29" i="233"/>
  <c r="O30" i="233"/>
  <c r="O31" i="233"/>
  <c r="O32" i="233"/>
  <c r="O33" i="233"/>
  <c r="O34" i="233"/>
  <c r="O35" i="233"/>
  <c r="O36" i="233"/>
  <c r="O37" i="233"/>
  <c r="O38" i="233"/>
  <c r="O39" i="233"/>
  <c r="O40" i="233"/>
  <c r="O43" i="233"/>
  <c r="O47" i="233"/>
  <c r="O6" i="233"/>
  <c r="O7" i="225"/>
  <c r="O9" i="225"/>
  <c r="O12" i="225"/>
  <c r="O13" i="225"/>
  <c r="O14" i="225"/>
  <c r="O16" i="225"/>
  <c r="O17" i="225"/>
  <c r="O19" i="225"/>
  <c r="O20" i="225"/>
  <c r="O21" i="225"/>
  <c r="O22" i="225"/>
  <c r="O23" i="225"/>
  <c r="O24" i="225"/>
  <c r="O25" i="225"/>
  <c r="O26" i="225"/>
  <c r="O27" i="225"/>
  <c r="O28" i="225"/>
  <c r="O29" i="225"/>
  <c r="O30" i="225"/>
  <c r="O31" i="225"/>
  <c r="O32" i="225"/>
  <c r="O33" i="225"/>
  <c r="O34" i="225"/>
  <c r="O35" i="225"/>
  <c r="O36" i="225"/>
  <c r="O37" i="225"/>
  <c r="O38" i="225"/>
  <c r="O39" i="225"/>
  <c r="O40" i="225"/>
  <c r="O41" i="225"/>
  <c r="O44" i="225"/>
  <c r="O48" i="225"/>
  <c r="O6" i="225"/>
  <c r="O10" i="223"/>
  <c r="O6" i="222"/>
  <c r="O10" i="210"/>
  <c r="O13" i="210"/>
  <c r="O15" i="210"/>
  <c r="O16" i="210"/>
  <c r="N6" i="209"/>
  <c r="N9" i="240"/>
  <c r="N10" i="240"/>
  <c r="N12" i="240"/>
  <c r="N13" i="240"/>
  <c r="N9" i="239"/>
  <c r="N10" i="239"/>
  <c r="N11" i="239"/>
  <c r="N12" i="239"/>
  <c r="N9" i="229"/>
  <c r="N10" i="229"/>
  <c r="N11" i="229"/>
  <c r="N13" i="229"/>
  <c r="N14" i="229"/>
  <c r="N15" i="229"/>
  <c r="N16" i="229"/>
  <c r="N17" i="229"/>
  <c r="N6" i="238"/>
  <c r="N6" i="237"/>
  <c r="N6" i="228"/>
  <c r="O10" i="249"/>
  <c r="O13" i="249"/>
  <c r="O10" i="248"/>
  <c r="O12" i="248"/>
  <c r="O9" i="247"/>
  <c r="O10" i="247"/>
  <c r="O12" i="247"/>
  <c r="O13" i="247"/>
  <c r="O8" i="247"/>
  <c r="C14" i="247"/>
  <c r="H19" i="246" l="1"/>
  <c r="I19" i="246" s="1"/>
  <c r="O14" i="247"/>
  <c r="O15" i="234"/>
  <c r="E32" i="245"/>
  <c r="O32" i="245" s="1"/>
  <c r="E33" i="245"/>
  <c r="O33" i="245" s="1"/>
  <c r="O20" i="246"/>
  <c r="O34" i="246"/>
  <c r="F20" i="246"/>
  <c r="O33" i="246"/>
  <c r="H19" i="245"/>
  <c r="I19" i="245" s="1"/>
  <c r="G18" i="245"/>
  <c r="I18" i="245" s="1"/>
  <c r="G19" i="241"/>
  <c r="I19" i="241" s="1"/>
  <c r="F20" i="241"/>
  <c r="O20" i="241"/>
  <c r="E34" i="241"/>
  <c r="O34" i="241" s="1"/>
  <c r="E33" i="241"/>
  <c r="O33" i="241" s="1"/>
  <c r="O6" i="246"/>
  <c r="O6" i="245"/>
  <c r="H20" i="246" l="1"/>
  <c r="G20" i="246"/>
  <c r="H20" i="241"/>
  <c r="G20" i="241"/>
  <c r="D28" i="232"/>
  <c r="N33" i="232"/>
  <c r="N34" i="232"/>
  <c r="H18" i="227"/>
  <c r="I20" i="246" l="1"/>
  <c r="F34" i="232"/>
  <c r="G34" i="232" s="1"/>
  <c r="I20" i="241"/>
  <c r="H19" i="227"/>
  <c r="G20" i="251"/>
  <c r="G41" i="251"/>
  <c r="H34" i="232" l="1"/>
  <c r="I34" i="232" s="1"/>
  <c r="B9" i="250" l="1"/>
  <c r="H11" i="244"/>
  <c r="D13" i="249" l="1"/>
  <c r="F13" i="249" s="1"/>
  <c r="D12" i="249"/>
  <c r="D9" i="249"/>
  <c r="D8" i="249"/>
  <c r="D12" i="248"/>
  <c r="F12" i="248" s="1"/>
  <c r="D11" i="248"/>
  <c r="D9" i="248"/>
  <c r="D8" i="248"/>
  <c r="D13" i="247"/>
  <c r="F13" i="247" s="1"/>
  <c r="D12" i="247"/>
  <c r="D9" i="247"/>
  <c r="F9" i="247" s="1"/>
  <c r="D8" i="247"/>
  <c r="D45" i="245"/>
  <c r="F45" i="245" s="1"/>
  <c r="D46" i="246"/>
  <c r="F46" i="246" s="1"/>
  <c r="D46" i="241"/>
  <c r="F46" i="241" s="1"/>
  <c r="H46" i="241" s="1"/>
  <c r="D52" i="245"/>
  <c r="F52" i="245" s="1"/>
  <c r="D53" i="246"/>
  <c r="F53" i="246" s="1"/>
  <c r="D53" i="241"/>
  <c r="F53" i="241" s="1"/>
  <c r="O34" i="245"/>
  <c r="O35" i="246"/>
  <c r="O35" i="241"/>
  <c r="D34" i="245"/>
  <c r="D35" i="246"/>
  <c r="D35" i="241"/>
  <c r="D29" i="245"/>
  <c r="D30" i="246"/>
  <c r="D30" i="241"/>
  <c r="O17" i="246"/>
  <c r="L16" i="245"/>
  <c r="O13" i="245" s="1"/>
  <c r="L17" i="246"/>
  <c r="O14" i="246" s="1"/>
  <c r="L17" i="241"/>
  <c r="L15" i="245"/>
  <c r="L16" i="246"/>
  <c r="L16" i="241"/>
  <c r="O16" i="245"/>
  <c r="L13" i="246"/>
  <c r="O30" i="246" s="1"/>
  <c r="L12" i="245"/>
  <c r="O29" i="245" s="1"/>
  <c r="L13" i="241"/>
  <c r="O30" i="241" s="1"/>
  <c r="F8" i="249" l="1"/>
  <c r="F34" i="245"/>
  <c r="F35" i="241"/>
  <c r="H35" i="241" s="1"/>
  <c r="F35" i="246"/>
  <c r="G35" i="246" s="1"/>
  <c r="F8" i="248"/>
  <c r="E12" i="249"/>
  <c r="O12" i="249" s="1"/>
  <c r="O8" i="249"/>
  <c r="G13" i="249"/>
  <c r="H13" i="249"/>
  <c r="G12" i="248"/>
  <c r="H12" i="248"/>
  <c r="F12" i="247"/>
  <c r="H12" i="247" s="1"/>
  <c r="F8" i="247"/>
  <c r="B5" i="252" s="1"/>
  <c r="G13" i="247"/>
  <c r="H13" i="247"/>
  <c r="G9" i="247"/>
  <c r="H9" i="247"/>
  <c r="H46" i="246"/>
  <c r="G46" i="246"/>
  <c r="I46" i="246" s="1"/>
  <c r="H45" i="245"/>
  <c r="G45" i="245"/>
  <c r="G46" i="241"/>
  <c r="I46" i="241" s="1"/>
  <c r="G53" i="241"/>
  <c r="H53" i="241"/>
  <c r="H53" i="246"/>
  <c r="G53" i="246"/>
  <c r="H52" i="245"/>
  <c r="G52" i="245"/>
  <c r="O57" i="245"/>
  <c r="E58" i="246"/>
  <c r="O58" i="246" s="1"/>
  <c r="H34" i="245"/>
  <c r="G34" i="245"/>
  <c r="I34" i="245" l="1"/>
  <c r="G35" i="241"/>
  <c r="I35" i="241" s="1"/>
  <c r="H8" i="249"/>
  <c r="G8" i="247"/>
  <c r="H8" i="247"/>
  <c r="D5" i="252" s="1"/>
  <c r="I53" i="241"/>
  <c r="I13" i="249"/>
  <c r="I12" i="248"/>
  <c r="F12" i="249"/>
  <c r="H12" i="249" s="1"/>
  <c r="G8" i="249"/>
  <c r="H35" i="246"/>
  <c r="I35" i="246" s="1"/>
  <c r="O8" i="248"/>
  <c r="I52" i="245"/>
  <c r="I45" i="245"/>
  <c r="G12" i="247"/>
  <c r="I12" i="247" s="1"/>
  <c r="G8" i="248"/>
  <c r="H8" i="248"/>
  <c r="I9" i="247"/>
  <c r="I13" i="247"/>
  <c r="I53" i="246"/>
  <c r="I8" i="249" l="1"/>
  <c r="I8" i="247"/>
  <c r="I14" i="247" s="1"/>
  <c r="F5" i="252" s="1"/>
  <c r="C5" i="252"/>
  <c r="E5" i="252" s="1"/>
  <c r="G12" i="249"/>
  <c r="I12" i="249" s="1"/>
  <c r="O11" i="248"/>
  <c r="F11" i="248"/>
  <c r="F14" i="247"/>
  <c r="I8" i="248"/>
  <c r="H5" i="252" l="1"/>
  <c r="G11" i="248"/>
  <c r="H11" i="248"/>
  <c r="D54" i="246"/>
  <c r="F54" i="246" s="1"/>
  <c r="D53" i="245"/>
  <c r="F53" i="245" s="1"/>
  <c r="D54" i="241"/>
  <c r="F54" i="241" s="1"/>
  <c r="H10" i="244"/>
  <c r="H9" i="244"/>
  <c r="H8" i="244"/>
  <c r="D58" i="246"/>
  <c r="F58" i="246" s="1"/>
  <c r="O57" i="246"/>
  <c r="D57" i="246"/>
  <c r="E56" i="246"/>
  <c r="O56" i="246" s="1"/>
  <c r="D52" i="246"/>
  <c r="F52" i="246" s="1"/>
  <c r="D50" i="246"/>
  <c r="F50" i="246" s="1"/>
  <c r="D49" i="246"/>
  <c r="F49" i="246" s="1"/>
  <c r="O47" i="246"/>
  <c r="D47" i="246"/>
  <c r="D45" i="246"/>
  <c r="F45" i="246" s="1"/>
  <c r="D44" i="246"/>
  <c r="F44" i="246" s="1"/>
  <c r="F34" i="246"/>
  <c r="H34" i="246" s="1"/>
  <c r="F33" i="246"/>
  <c r="F32" i="246"/>
  <c r="G32" i="246" s="1"/>
  <c r="F30" i="246"/>
  <c r="F29" i="246"/>
  <c r="H29" i="246" s="1"/>
  <c r="F28" i="246"/>
  <c r="G28" i="246" s="1"/>
  <c r="F27" i="246"/>
  <c r="H27" i="246" s="1"/>
  <c r="D22" i="246"/>
  <c r="F22" i="246" s="1"/>
  <c r="E18" i="246"/>
  <c r="O18" i="246" s="1"/>
  <c r="D18" i="246"/>
  <c r="D17" i="246"/>
  <c r="F17" i="246" s="1"/>
  <c r="H17" i="246" s="1"/>
  <c r="E15" i="246"/>
  <c r="O15" i="246" s="1"/>
  <c r="D15" i="246"/>
  <c r="F14" i="246"/>
  <c r="D11" i="246"/>
  <c r="F11" i="246" s="1"/>
  <c r="H11" i="246" s="1"/>
  <c r="E8" i="246"/>
  <c r="O8" i="246" s="1"/>
  <c r="D8" i="246"/>
  <c r="D57" i="245"/>
  <c r="F57" i="245" s="1"/>
  <c r="H57" i="245" s="1"/>
  <c r="O56" i="245"/>
  <c r="D56" i="245"/>
  <c r="O55" i="245"/>
  <c r="D55" i="245"/>
  <c r="D51" i="245"/>
  <c r="F51" i="245" s="1"/>
  <c r="G51" i="245" s="1"/>
  <c r="D49" i="245"/>
  <c r="F49" i="245" s="1"/>
  <c r="D48" i="245"/>
  <c r="F48" i="245" s="1"/>
  <c r="E46" i="245"/>
  <c r="O46" i="245" s="1"/>
  <c r="D46" i="245"/>
  <c r="D44" i="245"/>
  <c r="F44" i="245" s="1"/>
  <c r="D43" i="245"/>
  <c r="F43" i="245" s="1"/>
  <c r="F33" i="245"/>
  <c r="F32" i="245"/>
  <c r="H32" i="245" s="1"/>
  <c r="F31" i="245"/>
  <c r="F29" i="245"/>
  <c r="H29" i="245" s="1"/>
  <c r="F28" i="245"/>
  <c r="F27" i="245"/>
  <c r="H27" i="245" s="1"/>
  <c r="F26" i="245"/>
  <c r="D21" i="245"/>
  <c r="F21" i="245" s="1"/>
  <c r="E17" i="245"/>
  <c r="O17" i="245" s="1"/>
  <c r="D17" i="245"/>
  <c r="D16" i="245"/>
  <c r="F16" i="245" s="1"/>
  <c r="E14" i="245"/>
  <c r="O14" i="245" s="1"/>
  <c r="D14" i="245"/>
  <c r="D13" i="245"/>
  <c r="F13" i="245" s="1"/>
  <c r="D10" i="245"/>
  <c r="F10" i="245" s="1"/>
  <c r="O8" i="245"/>
  <c r="D8" i="245"/>
  <c r="D52" i="241"/>
  <c r="F52" i="241" s="1"/>
  <c r="H13" i="244"/>
  <c r="H12" i="244"/>
  <c r="E8" i="244"/>
  <c r="H7" i="244"/>
  <c r="G5" i="251" s="1"/>
  <c r="E7" i="244"/>
  <c r="D50" i="241"/>
  <c r="F50" i="241" s="1"/>
  <c r="H16" i="244" l="1"/>
  <c r="G7" i="251"/>
  <c r="O59" i="246"/>
  <c r="F46" i="245"/>
  <c r="H46" i="245" s="1"/>
  <c r="F17" i="245"/>
  <c r="H17" i="245" s="1"/>
  <c r="O58" i="245"/>
  <c r="I11" i="248"/>
  <c r="F57" i="246"/>
  <c r="G57" i="246" s="1"/>
  <c r="G6" i="251"/>
  <c r="H14" i="244"/>
  <c r="F15" i="246"/>
  <c r="H15" i="246" s="1"/>
  <c r="F56" i="245"/>
  <c r="G56" i="245" s="1"/>
  <c r="F55" i="245"/>
  <c r="H55" i="245" s="1"/>
  <c r="H32" i="246"/>
  <c r="F56" i="246"/>
  <c r="G56" i="246" s="1"/>
  <c r="I32" i="246"/>
  <c r="H51" i="245"/>
  <c r="I51" i="245" s="1"/>
  <c r="F18" i="246"/>
  <c r="G18" i="246" s="1"/>
  <c r="G29" i="246"/>
  <c r="I29" i="246" s="1"/>
  <c r="G34" i="246"/>
  <c r="I34" i="246" s="1"/>
  <c r="G27" i="246"/>
  <c r="I27" i="246" s="1"/>
  <c r="F8" i="245"/>
  <c r="H8" i="245" s="1"/>
  <c r="F47" i="246"/>
  <c r="G47" i="246" s="1"/>
  <c r="F14" i="245"/>
  <c r="H14" i="245" s="1"/>
  <c r="F8" i="246"/>
  <c r="H8" i="246" s="1"/>
  <c r="H54" i="246"/>
  <c r="G54" i="246"/>
  <c r="H53" i="245"/>
  <c r="G53" i="245"/>
  <c r="H54" i="241"/>
  <c r="G54" i="241"/>
  <c r="G11" i="246"/>
  <c r="I11" i="246" s="1"/>
  <c r="H14" i="246"/>
  <c r="G14" i="246"/>
  <c r="H44" i="246"/>
  <c r="G44" i="246"/>
  <c r="G22" i="246"/>
  <c r="H22" i="246"/>
  <c r="H52" i="246"/>
  <c r="G52" i="246"/>
  <c r="H49" i="246"/>
  <c r="G49" i="246"/>
  <c r="G58" i="246"/>
  <c r="H58" i="246"/>
  <c r="G17" i="246"/>
  <c r="I17" i="246" s="1"/>
  <c r="G45" i="246"/>
  <c r="G50" i="246"/>
  <c r="G30" i="246"/>
  <c r="H45" i="246"/>
  <c r="H50" i="246"/>
  <c r="H28" i="246"/>
  <c r="I28" i="246" s="1"/>
  <c r="H30" i="246"/>
  <c r="H33" i="246"/>
  <c r="G33" i="246"/>
  <c r="H44" i="245"/>
  <c r="G44" i="245"/>
  <c r="H16" i="245"/>
  <c r="G16" i="245"/>
  <c r="H48" i="245"/>
  <c r="G48" i="245"/>
  <c r="H10" i="245"/>
  <c r="G10" i="245"/>
  <c r="H49" i="245"/>
  <c r="G49" i="245"/>
  <c r="G13" i="245"/>
  <c r="H13" i="245"/>
  <c r="H21" i="245"/>
  <c r="G21" i="245"/>
  <c r="I21" i="245" s="1"/>
  <c r="H43" i="245"/>
  <c r="G43" i="245"/>
  <c r="G17" i="245"/>
  <c r="G46" i="245"/>
  <c r="G57" i="245"/>
  <c r="I57" i="245" s="1"/>
  <c r="G26" i="245"/>
  <c r="G28" i="245"/>
  <c r="I28" i="245" s="1"/>
  <c r="G31" i="245"/>
  <c r="I31" i="245" s="1"/>
  <c r="G33" i="245"/>
  <c r="H26" i="245"/>
  <c r="H28" i="245"/>
  <c r="H31" i="245"/>
  <c r="H33" i="245"/>
  <c r="G27" i="245"/>
  <c r="I27" i="245" s="1"/>
  <c r="G29" i="245"/>
  <c r="I29" i="245" s="1"/>
  <c r="G32" i="245"/>
  <c r="I32" i="245" s="1"/>
  <c r="H52" i="241"/>
  <c r="G52" i="241"/>
  <c r="E14" i="244"/>
  <c r="G50" i="241"/>
  <c r="H50" i="241"/>
  <c r="D49" i="241"/>
  <c r="F49" i="241" s="1"/>
  <c r="D45" i="241"/>
  <c r="F45" i="241" s="1"/>
  <c r="I46" i="245" l="1"/>
  <c r="G15" i="246"/>
  <c r="C7" i="251" s="1"/>
  <c r="G8" i="246"/>
  <c r="H57" i="246"/>
  <c r="I52" i="246"/>
  <c r="B7" i="251"/>
  <c r="I33" i="246"/>
  <c r="O9" i="248"/>
  <c r="O13" i="248" s="1"/>
  <c r="F9" i="248"/>
  <c r="B6" i="252" s="1"/>
  <c r="F9" i="249"/>
  <c r="B7" i="252" s="1"/>
  <c r="O9" i="249"/>
  <c r="O14" i="249" s="1"/>
  <c r="I22" i="246"/>
  <c r="B6" i="251"/>
  <c r="H56" i="245"/>
  <c r="I56" i="245" s="1"/>
  <c r="I44" i="246"/>
  <c r="H56" i="246"/>
  <c r="I56" i="246" s="1"/>
  <c r="I26" i="245"/>
  <c r="I52" i="241"/>
  <c r="I14" i="246"/>
  <c r="G55" i="245"/>
  <c r="I55" i="245" s="1"/>
  <c r="I54" i="241"/>
  <c r="I8" i="246"/>
  <c r="I43" i="245"/>
  <c r="I49" i="245"/>
  <c r="I30" i="246"/>
  <c r="H18" i="246"/>
  <c r="I18" i="246" s="1"/>
  <c r="I50" i="246"/>
  <c r="I33" i="245"/>
  <c r="I48" i="245"/>
  <c r="I58" i="246"/>
  <c r="I54" i="246"/>
  <c r="I44" i="245"/>
  <c r="G8" i="245"/>
  <c r="I8" i="245" s="1"/>
  <c r="H47" i="246"/>
  <c r="I47" i="246" s="1"/>
  <c r="I49" i="246"/>
  <c r="I13" i="245"/>
  <c r="G14" i="245"/>
  <c r="I17" i="245"/>
  <c r="I16" i="245"/>
  <c r="I57" i="246"/>
  <c r="I53" i="245"/>
  <c r="I10" i="245"/>
  <c r="I45" i="246"/>
  <c r="I50" i="241"/>
  <c r="H49" i="241"/>
  <c r="G49" i="241"/>
  <c r="H45" i="241"/>
  <c r="G45" i="241"/>
  <c r="F36" i="246" l="1"/>
  <c r="I15" i="246"/>
  <c r="I36" i="246" s="1"/>
  <c r="H9" i="249"/>
  <c r="D7" i="252" s="1"/>
  <c r="G9" i="249"/>
  <c r="C7" i="252" s="1"/>
  <c r="H9" i="248"/>
  <c r="D6" i="252" s="1"/>
  <c r="G9" i="248"/>
  <c r="C6" i="252" s="1"/>
  <c r="F13" i="248"/>
  <c r="F59" i="245"/>
  <c r="C6" i="251"/>
  <c r="D6" i="251"/>
  <c r="D7" i="251"/>
  <c r="E7" i="251" s="1"/>
  <c r="I49" i="241"/>
  <c r="F60" i="246"/>
  <c r="I59" i="245"/>
  <c r="F35" i="245"/>
  <c r="I45" i="241"/>
  <c r="I60" i="246"/>
  <c r="I14" i="245"/>
  <c r="I35" i="245" s="1"/>
  <c r="F61" i="246" l="1"/>
  <c r="K61" i="246" s="1"/>
  <c r="F6" i="251"/>
  <c r="H6" i="251" s="1"/>
  <c r="F7" i="251"/>
  <c r="F14" i="249"/>
  <c r="I9" i="248"/>
  <c r="I13" i="248" s="1"/>
  <c r="F6" i="252" s="1"/>
  <c r="I9" i="249"/>
  <c r="I14" i="249" s="1"/>
  <c r="F7" i="252" s="1"/>
  <c r="E7" i="252"/>
  <c r="E6" i="251"/>
  <c r="F60" i="245"/>
  <c r="K60" i="245" s="1"/>
  <c r="I61" i="246"/>
  <c r="I63" i="246" s="1"/>
  <c r="I60" i="245"/>
  <c r="I62" i="245" s="1"/>
  <c r="E6" i="252" l="1"/>
  <c r="H7" i="252"/>
  <c r="H6" i="252"/>
  <c r="H7" i="251"/>
  <c r="D58" i="241"/>
  <c r="F58" i="241" s="1"/>
  <c r="O57" i="241"/>
  <c r="D57" i="241"/>
  <c r="O56" i="241"/>
  <c r="D56" i="241"/>
  <c r="D47" i="241"/>
  <c r="E47" i="241"/>
  <c r="O47" i="241" s="1"/>
  <c r="D44" i="241"/>
  <c r="F44" i="241" s="1"/>
  <c r="F34" i="241"/>
  <c r="H34" i="241" s="1"/>
  <c r="F33" i="241"/>
  <c r="F32" i="241"/>
  <c r="H32" i="241" s="1"/>
  <c r="F30" i="241"/>
  <c r="F29" i="241"/>
  <c r="H29" i="241" s="1"/>
  <c r="F28" i="241"/>
  <c r="F27" i="241"/>
  <c r="H27" i="241" s="1"/>
  <c r="D22" i="241"/>
  <c r="F22" i="241" s="1"/>
  <c r="E18" i="241"/>
  <c r="O18" i="241" s="1"/>
  <c r="D18" i="241"/>
  <c r="D17" i="241"/>
  <c r="F17" i="241" s="1"/>
  <c r="D15" i="241"/>
  <c r="F15" i="241" s="1"/>
  <c r="D14" i="241"/>
  <c r="F14" i="241" s="1"/>
  <c r="D11" i="241"/>
  <c r="F11" i="241" s="1"/>
  <c r="G11" i="241" s="1"/>
  <c r="E8" i="241"/>
  <c r="O8" i="241" s="1"/>
  <c r="E37" i="228"/>
  <c r="N37" i="228" s="1"/>
  <c r="D16" i="229"/>
  <c r="F16" i="229" s="1"/>
  <c r="D15" i="229"/>
  <c r="F15" i="229" s="1"/>
  <c r="G15" i="229" s="1"/>
  <c r="F35" i="228"/>
  <c r="G35" i="228" s="1"/>
  <c r="F34" i="228"/>
  <c r="D14" i="229"/>
  <c r="F14" i="229" s="1"/>
  <c r="D13" i="229"/>
  <c r="F33" i="228"/>
  <c r="G33" i="228" s="1"/>
  <c r="E14" i="240"/>
  <c r="D14" i="240"/>
  <c r="D13" i="240"/>
  <c r="F13" i="240" s="1"/>
  <c r="D12" i="240"/>
  <c r="F12" i="240" s="1"/>
  <c r="H12" i="240" s="1"/>
  <c r="D9" i="240"/>
  <c r="F9" i="240" s="1"/>
  <c r="H9" i="240" s="1"/>
  <c r="D8" i="240"/>
  <c r="N13" i="239"/>
  <c r="D13" i="239"/>
  <c r="D12" i="239"/>
  <c r="F12" i="239" s="1"/>
  <c r="D11" i="239"/>
  <c r="F11" i="239" s="1"/>
  <c r="D9" i="239"/>
  <c r="F9" i="239" s="1"/>
  <c r="G9" i="239" s="1"/>
  <c r="D8" i="239"/>
  <c r="E51" i="238"/>
  <c r="D51" i="238"/>
  <c r="E50" i="238"/>
  <c r="D50" i="238"/>
  <c r="D49" i="238"/>
  <c r="D47" i="238"/>
  <c r="E46" i="238"/>
  <c r="N46" i="238" s="1"/>
  <c r="D46" i="238"/>
  <c r="N33" i="238"/>
  <c r="N22" i="238"/>
  <c r="D18" i="238"/>
  <c r="N17" i="238"/>
  <c r="D17" i="238"/>
  <c r="D15" i="238"/>
  <c r="N30" i="238"/>
  <c r="D14" i="238"/>
  <c r="D11" i="238"/>
  <c r="F11" i="238" s="1"/>
  <c r="E8" i="238"/>
  <c r="N8" i="238" s="1"/>
  <c r="D8" i="238"/>
  <c r="E47" i="237"/>
  <c r="N47" i="237" s="1"/>
  <c r="D47" i="237"/>
  <c r="E46" i="237"/>
  <c r="N46" i="237" s="1"/>
  <c r="D46" i="237"/>
  <c r="N45" i="237"/>
  <c r="D45" i="237"/>
  <c r="D43" i="237"/>
  <c r="N43" i="237"/>
  <c r="D42" i="237"/>
  <c r="F42" i="237" s="1"/>
  <c r="D33" i="237"/>
  <c r="F33" i="237" s="1"/>
  <c r="E31" i="237"/>
  <c r="N31" i="237" s="1"/>
  <c r="D17" i="237"/>
  <c r="D16" i="237"/>
  <c r="D14" i="237"/>
  <c r="F25" i="237"/>
  <c r="D13" i="237"/>
  <c r="D10" i="237"/>
  <c r="E8" i="237"/>
  <c r="N8" i="237" s="1"/>
  <c r="D8" i="237"/>
  <c r="E11" i="209"/>
  <c r="N11" i="209" s="1"/>
  <c r="H13" i="236"/>
  <c r="H12" i="236"/>
  <c r="H11" i="236"/>
  <c r="E11" i="236"/>
  <c r="E14" i="236" s="1"/>
  <c r="E10" i="236"/>
  <c r="E9" i="236"/>
  <c r="E8" i="236"/>
  <c r="H7" i="236"/>
  <c r="G19" i="251" s="1"/>
  <c r="E7" i="236"/>
  <c r="H16" i="227"/>
  <c r="H15" i="227"/>
  <c r="O59" i="241" l="1"/>
  <c r="F46" i="237"/>
  <c r="G21" i="251"/>
  <c r="F8" i="238"/>
  <c r="H8" i="238" s="1"/>
  <c r="F51" i="238"/>
  <c r="H51" i="238" s="1"/>
  <c r="F14" i="240"/>
  <c r="H14" i="240" s="1"/>
  <c r="N14" i="240"/>
  <c r="F47" i="237"/>
  <c r="H47" i="237" s="1"/>
  <c r="F50" i="238"/>
  <c r="G50" i="238" s="1"/>
  <c r="N34" i="238"/>
  <c r="F30" i="238"/>
  <c r="H30" i="238" s="1"/>
  <c r="F17" i="238"/>
  <c r="G17" i="238" s="1"/>
  <c r="N47" i="238"/>
  <c r="F49" i="238"/>
  <c r="H49" i="238" s="1"/>
  <c r="F18" i="241"/>
  <c r="G18" i="241" s="1"/>
  <c r="H15" i="229"/>
  <c r="I15" i="229" s="1"/>
  <c r="F57" i="241"/>
  <c r="G57" i="241" s="1"/>
  <c r="G32" i="241"/>
  <c r="I32" i="241" s="1"/>
  <c r="G27" i="241"/>
  <c r="I27" i="241" s="1"/>
  <c r="F56" i="241"/>
  <c r="H56" i="241" s="1"/>
  <c r="G29" i="241"/>
  <c r="I29" i="241" s="1"/>
  <c r="G34" i="241"/>
  <c r="I34" i="241" s="1"/>
  <c r="H11" i="241"/>
  <c r="I11" i="241" s="1"/>
  <c r="F8" i="241"/>
  <c r="H8" i="241" s="1"/>
  <c r="G22" i="241"/>
  <c r="H22" i="241"/>
  <c r="F47" i="241"/>
  <c r="G17" i="241"/>
  <c r="H17" i="241"/>
  <c r="G30" i="241"/>
  <c r="H30" i="241"/>
  <c r="H33" i="241"/>
  <c r="G33" i="241"/>
  <c r="H58" i="241"/>
  <c r="G58" i="241"/>
  <c r="H14" i="241"/>
  <c r="G14" i="241"/>
  <c r="I14" i="241" s="1"/>
  <c r="H44" i="241"/>
  <c r="G44" i="241"/>
  <c r="G15" i="241"/>
  <c r="H15" i="241"/>
  <c r="H28" i="241"/>
  <c r="G28" i="241"/>
  <c r="F8" i="237"/>
  <c r="F16" i="237"/>
  <c r="H16" i="237" s="1"/>
  <c r="F43" i="237"/>
  <c r="G43" i="237" s="1"/>
  <c r="E14" i="237"/>
  <c r="N14" i="237" s="1"/>
  <c r="F27" i="237"/>
  <c r="G27" i="237" s="1"/>
  <c r="F45" i="237"/>
  <c r="G45" i="237" s="1"/>
  <c r="G16" i="229"/>
  <c r="H16" i="229"/>
  <c r="H35" i="228"/>
  <c r="I35" i="228" s="1"/>
  <c r="G34" i="228"/>
  <c r="H34" i="228"/>
  <c r="G14" i="229"/>
  <c r="H14" i="229"/>
  <c r="H33" i="228"/>
  <c r="I33" i="228" s="1"/>
  <c r="N29" i="238"/>
  <c r="F46" i="238"/>
  <c r="H46" i="238" s="1"/>
  <c r="F33" i="238"/>
  <c r="G33" i="238" s="1"/>
  <c r="E18" i="238"/>
  <c r="N18" i="238" s="1"/>
  <c r="F10" i="237"/>
  <c r="H10" i="237" s="1"/>
  <c r="E17" i="237"/>
  <c r="N17" i="237" s="1"/>
  <c r="F26" i="237"/>
  <c r="F13" i="239"/>
  <c r="G13" i="239" s="1"/>
  <c r="H13" i="240"/>
  <c r="G13" i="240"/>
  <c r="G12" i="240"/>
  <c r="I12" i="240" s="1"/>
  <c r="G9" i="240"/>
  <c r="I9" i="240" s="1"/>
  <c r="H12" i="239"/>
  <c r="G12" i="239"/>
  <c r="I12" i="239" s="1"/>
  <c r="H11" i="239"/>
  <c r="G11" i="239"/>
  <c r="I11" i="239" s="1"/>
  <c r="H9" i="239"/>
  <c r="I9" i="239" s="1"/>
  <c r="H11" i="238"/>
  <c r="G11" i="238"/>
  <c r="N28" i="238"/>
  <c r="N14" i="238"/>
  <c r="H33" i="237"/>
  <c r="G33" i="237"/>
  <c r="F31" i="237"/>
  <c r="E32" i="237"/>
  <c r="N32" i="237" s="1"/>
  <c r="G25" i="237"/>
  <c r="H25" i="237"/>
  <c r="G42" i="237"/>
  <c r="H42" i="237"/>
  <c r="H46" i="237"/>
  <c r="G46" i="237"/>
  <c r="F30" i="237"/>
  <c r="H16" i="236"/>
  <c r="H14" i="236"/>
  <c r="I33" i="237" l="1"/>
  <c r="G14" i="240"/>
  <c r="I14" i="240" s="1"/>
  <c r="I13" i="240"/>
  <c r="H18" i="241"/>
  <c r="I18" i="241" s="1"/>
  <c r="H45" i="237"/>
  <c r="I45" i="237" s="1"/>
  <c r="G49" i="238"/>
  <c r="I49" i="238" s="1"/>
  <c r="G47" i="237"/>
  <c r="I47" i="237" s="1"/>
  <c r="G51" i="238"/>
  <c r="I51" i="238" s="1"/>
  <c r="H50" i="238"/>
  <c r="I50" i="238" s="1"/>
  <c r="I14" i="229"/>
  <c r="I42" i="237"/>
  <c r="G8" i="238"/>
  <c r="I8" i="238" s="1"/>
  <c r="E35" i="238"/>
  <c r="N35" i="238" s="1"/>
  <c r="F34" i="238"/>
  <c r="G34" i="238" s="1"/>
  <c r="G46" i="238"/>
  <c r="I46" i="238" s="1"/>
  <c r="G30" i="238"/>
  <c r="I30" i="238" s="1"/>
  <c r="H17" i="238"/>
  <c r="I17" i="238" s="1"/>
  <c r="I11" i="238"/>
  <c r="I34" i="228"/>
  <c r="F14" i="237"/>
  <c r="F32" i="237"/>
  <c r="H32" i="237" s="1"/>
  <c r="G8" i="237"/>
  <c r="F17" i="237"/>
  <c r="G17" i="237" s="1"/>
  <c r="F29" i="238"/>
  <c r="H29" i="238" s="1"/>
  <c r="F28" i="238"/>
  <c r="H28" i="238" s="1"/>
  <c r="F18" i="238"/>
  <c r="H18" i="238" s="1"/>
  <c r="E15" i="238"/>
  <c r="N15" i="238" s="1"/>
  <c r="F47" i="238"/>
  <c r="I28" i="241"/>
  <c r="H57" i="241"/>
  <c r="I57" i="241" s="1"/>
  <c r="G56" i="241"/>
  <c r="I56" i="241" s="1"/>
  <c r="I58" i="241"/>
  <c r="G8" i="241"/>
  <c r="I8" i="241" s="1"/>
  <c r="B5" i="251"/>
  <c r="I33" i="241"/>
  <c r="I16" i="229"/>
  <c r="I30" i="241"/>
  <c r="I22" i="241"/>
  <c r="I17" i="241"/>
  <c r="I15" i="241"/>
  <c r="I44" i="241"/>
  <c r="H47" i="241"/>
  <c r="G47" i="241"/>
  <c r="H43" i="237"/>
  <c r="I43" i="237" s="1"/>
  <c r="H27" i="237"/>
  <c r="I27" i="237" s="1"/>
  <c r="I25" i="237"/>
  <c r="G16" i="237"/>
  <c r="I16" i="237" s="1"/>
  <c r="F13" i="237"/>
  <c r="G26" i="237"/>
  <c r="H8" i="237"/>
  <c r="I46" i="237"/>
  <c r="H26" i="237"/>
  <c r="G10" i="237"/>
  <c r="I10" i="237" s="1"/>
  <c r="H13" i="239"/>
  <c r="I13" i="239" s="1"/>
  <c r="H33" i="238"/>
  <c r="I33" i="238" s="1"/>
  <c r="F14" i="238"/>
  <c r="H31" i="237"/>
  <c r="G31" i="237"/>
  <c r="H30" i="237"/>
  <c r="G30" i="237"/>
  <c r="H17" i="237" l="1"/>
  <c r="B20" i="251"/>
  <c r="F35" i="238"/>
  <c r="H35" i="238" s="1"/>
  <c r="I49" i="237"/>
  <c r="I17" i="237"/>
  <c r="F36" i="241"/>
  <c r="H34" i="238"/>
  <c r="I34" i="238" s="1"/>
  <c r="F49" i="237"/>
  <c r="G18" i="238"/>
  <c r="I18" i="238" s="1"/>
  <c r="G29" i="238"/>
  <c r="I29" i="238" s="1"/>
  <c r="G28" i="238"/>
  <c r="I28" i="238" s="1"/>
  <c r="I8" i="237"/>
  <c r="I26" i="237"/>
  <c r="G32" i="237"/>
  <c r="I32" i="237" s="1"/>
  <c r="N52" i="237"/>
  <c r="H14" i="237"/>
  <c r="I14" i="237" s="1"/>
  <c r="G14" i="237"/>
  <c r="F15" i="238"/>
  <c r="N49" i="238"/>
  <c r="N50" i="238" s="1"/>
  <c r="H47" i="238"/>
  <c r="G47" i="238"/>
  <c r="D5" i="251"/>
  <c r="F60" i="241"/>
  <c r="C5" i="251"/>
  <c r="I36" i="241"/>
  <c r="I47" i="241"/>
  <c r="I60" i="241" s="1"/>
  <c r="I31" i="237"/>
  <c r="H13" i="237"/>
  <c r="G13" i="237"/>
  <c r="I13" i="237" s="1"/>
  <c r="G14" i="238"/>
  <c r="H14" i="238"/>
  <c r="I30" i="237"/>
  <c r="G35" i="238" l="1"/>
  <c r="I35" i="238" s="1"/>
  <c r="F5" i="251"/>
  <c r="C20" i="251"/>
  <c r="F34" i="237"/>
  <c r="F50" i="237" s="1"/>
  <c r="K49" i="237" s="1"/>
  <c r="D20" i="251"/>
  <c r="I14" i="238"/>
  <c r="I47" i="238"/>
  <c r="I53" i="238" s="1"/>
  <c r="F53" i="238"/>
  <c r="G15" i="238"/>
  <c r="C21" i="251" s="1"/>
  <c r="H15" i="238"/>
  <c r="B21" i="251"/>
  <c r="I61" i="241"/>
  <c r="I63" i="241" s="1"/>
  <c r="E5" i="251"/>
  <c r="F61" i="241"/>
  <c r="K61" i="241" s="1"/>
  <c r="I34" i="237"/>
  <c r="E20" i="251" l="1"/>
  <c r="I15" i="238"/>
  <c r="I38" i="238" s="1"/>
  <c r="F38" i="238"/>
  <c r="F54" i="238" s="1"/>
  <c r="K50" i="238" s="1"/>
  <c r="I50" i="237"/>
  <c r="I52" i="237" s="1"/>
  <c r="F20" i="251"/>
  <c r="I54" i="238"/>
  <c r="I56" i="238" s="1"/>
  <c r="F21" i="251"/>
  <c r="D21" i="251"/>
  <c r="E21" i="251" s="1"/>
  <c r="H5" i="251"/>
  <c r="E13" i="235"/>
  <c r="O13" i="235" s="1"/>
  <c r="D13" i="235"/>
  <c r="F13" i="235" s="1"/>
  <c r="D12" i="235"/>
  <c r="F12" i="235" s="1"/>
  <c r="D11" i="235"/>
  <c r="F11" i="235" s="1"/>
  <c r="D9" i="235"/>
  <c r="F9" i="235" s="1"/>
  <c r="H9" i="235" s="1"/>
  <c r="E8" i="235"/>
  <c r="O8" i="235" s="1"/>
  <c r="O14" i="235" s="1"/>
  <c r="D8" i="235"/>
  <c r="D14" i="234"/>
  <c r="F14" i="234" s="1"/>
  <c r="D13" i="234"/>
  <c r="F13" i="234" s="1"/>
  <c r="D12" i="234"/>
  <c r="F12" i="234" s="1"/>
  <c r="D9" i="234"/>
  <c r="F9" i="234" s="1"/>
  <c r="D8" i="234"/>
  <c r="F8" i="234" s="1"/>
  <c r="E46" i="233"/>
  <c r="O46" i="233" s="1"/>
  <c r="D46" i="233"/>
  <c r="E45" i="233"/>
  <c r="O45" i="233" s="1"/>
  <c r="D45" i="233"/>
  <c r="E44" i="233"/>
  <c r="O44" i="233" s="1"/>
  <c r="D44" i="233"/>
  <c r="F44" i="233" s="1"/>
  <c r="E42" i="233"/>
  <c r="O42" i="233" s="1"/>
  <c r="D42" i="233"/>
  <c r="O41" i="233"/>
  <c r="D41" i="233"/>
  <c r="F41" i="233" s="1"/>
  <c r="D32" i="233"/>
  <c r="F32" i="233" s="1"/>
  <c r="F31" i="233"/>
  <c r="G31" i="233" s="1"/>
  <c r="F30" i="233"/>
  <c r="H30" i="233" s="1"/>
  <c r="F29" i="233"/>
  <c r="G29" i="233" s="1"/>
  <c r="F27" i="233"/>
  <c r="H27" i="233" s="1"/>
  <c r="F26" i="233"/>
  <c r="G26" i="233" s="1"/>
  <c r="F25" i="233"/>
  <c r="H25" i="233" s="1"/>
  <c r="F24" i="233"/>
  <c r="H24" i="233" s="1"/>
  <c r="D19" i="233"/>
  <c r="F19" i="233" s="1"/>
  <c r="E17" i="233"/>
  <c r="O17" i="233" s="1"/>
  <c r="D17" i="233"/>
  <c r="F17" i="233" s="1"/>
  <c r="D16" i="233"/>
  <c r="F16" i="233" s="1"/>
  <c r="G16" i="233" s="1"/>
  <c r="E14" i="233"/>
  <c r="O14" i="233" s="1"/>
  <c r="D14" i="233"/>
  <c r="F14" i="233" s="1"/>
  <c r="D13" i="233"/>
  <c r="F13" i="233" s="1"/>
  <c r="D10" i="233"/>
  <c r="F10" i="233" s="1"/>
  <c r="E8" i="233"/>
  <c r="D8" i="233"/>
  <c r="D42" i="225"/>
  <c r="D43" i="225"/>
  <c r="E49" i="232"/>
  <c r="N49" i="232" s="1"/>
  <c r="D49" i="232"/>
  <c r="F49" i="232" s="1"/>
  <c r="E48" i="232"/>
  <c r="D48" i="232"/>
  <c r="E47" i="232"/>
  <c r="N47" i="232" s="1"/>
  <c r="D47" i="232"/>
  <c r="D45" i="232"/>
  <c r="E44" i="232"/>
  <c r="D44" i="232"/>
  <c r="D35" i="232"/>
  <c r="F35" i="232" s="1"/>
  <c r="F31" i="232"/>
  <c r="G31" i="232" s="1"/>
  <c r="F29" i="232"/>
  <c r="D20" i="232"/>
  <c r="D18" i="232"/>
  <c r="D17" i="232"/>
  <c r="F17" i="232" s="1"/>
  <c r="D15" i="232"/>
  <c r="D14" i="232"/>
  <c r="D11" i="232"/>
  <c r="F11" i="232" s="1"/>
  <c r="E8" i="232"/>
  <c r="N8" i="232" s="1"/>
  <c r="D8" i="232"/>
  <c r="G24" i="233" l="1"/>
  <c r="I24" i="233" s="1"/>
  <c r="H29" i="233"/>
  <c r="I29" i="233" s="1"/>
  <c r="B42" i="252"/>
  <c r="H26" i="233"/>
  <c r="I26" i="233" s="1"/>
  <c r="H31" i="233"/>
  <c r="I31" i="233" s="1"/>
  <c r="F8" i="232"/>
  <c r="F44" i="232"/>
  <c r="G44" i="232" s="1"/>
  <c r="F8" i="235"/>
  <c r="G8" i="235" s="1"/>
  <c r="F8" i="233"/>
  <c r="O8" i="233"/>
  <c r="F45" i="233"/>
  <c r="H45" i="233" s="1"/>
  <c r="F46" i="233"/>
  <c r="G46" i="233" s="1"/>
  <c r="O48" i="233"/>
  <c r="F42" i="233"/>
  <c r="F25" i="232"/>
  <c r="E32" i="232"/>
  <c r="N32" i="232" s="1"/>
  <c r="N31" i="232"/>
  <c r="F48" i="232"/>
  <c r="H48" i="232" s="1"/>
  <c r="N48" i="232"/>
  <c r="E18" i="232"/>
  <c r="N18" i="232" s="1"/>
  <c r="N17" i="232"/>
  <c r="N45" i="232"/>
  <c r="N44" i="232"/>
  <c r="F20" i="232"/>
  <c r="G20" i="232" s="1"/>
  <c r="N20" i="232"/>
  <c r="F47" i="232"/>
  <c r="G47" i="232" s="1"/>
  <c r="H20" i="251"/>
  <c r="H21" i="251"/>
  <c r="F33" i="232"/>
  <c r="G33" i="232" s="1"/>
  <c r="F45" i="232"/>
  <c r="G45" i="232" s="1"/>
  <c r="H11" i="235"/>
  <c r="G11" i="235"/>
  <c r="I11" i="235" s="1"/>
  <c r="G12" i="235"/>
  <c r="H12" i="235"/>
  <c r="H13" i="235"/>
  <c r="G13" i="235"/>
  <c r="G9" i="235"/>
  <c r="I9" i="235" s="1"/>
  <c r="H8" i="234"/>
  <c r="G8" i="234"/>
  <c r="H9" i="234"/>
  <c r="G9" i="234"/>
  <c r="H13" i="234"/>
  <c r="G13" i="234"/>
  <c r="I13" i="234" s="1"/>
  <c r="G12" i="234"/>
  <c r="H12" i="234"/>
  <c r="H14" i="234"/>
  <c r="G14" i="234"/>
  <c r="H8" i="233"/>
  <c r="G8" i="233"/>
  <c r="H19" i="233"/>
  <c r="G19" i="233"/>
  <c r="H44" i="233"/>
  <c r="G44" i="233"/>
  <c r="G10" i="233"/>
  <c r="H10" i="233"/>
  <c r="G13" i="233"/>
  <c r="I13" i="233" s="1"/>
  <c r="H13" i="233"/>
  <c r="G32" i="233"/>
  <c r="I32" i="233" s="1"/>
  <c r="H32" i="233"/>
  <c r="H14" i="233"/>
  <c r="G14" i="233"/>
  <c r="I14" i="233" s="1"/>
  <c r="G41" i="233"/>
  <c r="H41" i="233"/>
  <c r="G17" i="233"/>
  <c r="H17" i="233"/>
  <c r="H16" i="233"/>
  <c r="I16" i="233"/>
  <c r="G25" i="233"/>
  <c r="I25" i="233" s="1"/>
  <c r="G27" i="233"/>
  <c r="I27" i="233" s="1"/>
  <c r="G30" i="233"/>
  <c r="I30" i="233" s="1"/>
  <c r="H17" i="232"/>
  <c r="G17" i="232"/>
  <c r="H49" i="232"/>
  <c r="G49" i="232"/>
  <c r="I49" i="232" s="1"/>
  <c r="H11" i="232"/>
  <c r="G11" i="232"/>
  <c r="G35" i="232"/>
  <c r="H35" i="232"/>
  <c r="H8" i="232"/>
  <c r="G8" i="232"/>
  <c r="H31" i="232"/>
  <c r="I31" i="232" s="1"/>
  <c r="G29" i="232"/>
  <c r="H29" i="232"/>
  <c r="H7" i="227"/>
  <c r="G40" i="251" s="1"/>
  <c r="I9" i="234" l="1"/>
  <c r="G45" i="233"/>
  <c r="I19" i="233"/>
  <c r="I8" i="233"/>
  <c r="I14" i="234"/>
  <c r="I12" i="235"/>
  <c r="I44" i="233"/>
  <c r="B41" i="251"/>
  <c r="H44" i="232"/>
  <c r="I44" i="232" s="1"/>
  <c r="I12" i="234"/>
  <c r="H47" i="232"/>
  <c r="I47" i="232" s="1"/>
  <c r="C41" i="252"/>
  <c r="I13" i="235"/>
  <c r="H8" i="235"/>
  <c r="D41" i="252" s="1"/>
  <c r="B41" i="252"/>
  <c r="D42" i="252"/>
  <c r="F15" i="234"/>
  <c r="C42" i="252"/>
  <c r="I8" i="234"/>
  <c r="H42" i="233"/>
  <c r="G42" i="233"/>
  <c r="I17" i="233"/>
  <c r="F33" i="233"/>
  <c r="I45" i="233"/>
  <c r="H46" i="233"/>
  <c r="I46" i="233" s="1"/>
  <c r="F18" i="232"/>
  <c r="H18" i="232" s="1"/>
  <c r="F32" i="232"/>
  <c r="H32" i="232" s="1"/>
  <c r="H33" i="232"/>
  <c r="I33" i="232" s="1"/>
  <c r="C41" i="251"/>
  <c r="F26" i="232"/>
  <c r="H26" i="232" s="1"/>
  <c r="N26" i="232"/>
  <c r="I29" i="232"/>
  <c r="H45" i="232"/>
  <c r="I45" i="232" s="1"/>
  <c r="E15" i="232"/>
  <c r="N14" i="232"/>
  <c r="N25" i="232"/>
  <c r="E28" i="232"/>
  <c r="I35" i="232"/>
  <c r="H20" i="232"/>
  <c r="I20" i="232" s="1"/>
  <c r="G48" i="232"/>
  <c r="I48" i="232" s="1"/>
  <c r="G32" i="232"/>
  <c r="I32" i="232" s="1"/>
  <c r="I8" i="232"/>
  <c r="F14" i="232"/>
  <c r="I17" i="232"/>
  <c r="I11" i="232"/>
  <c r="I15" i="234"/>
  <c r="I10" i="233"/>
  <c r="I41" i="233"/>
  <c r="H25" i="232"/>
  <c r="G25" i="232"/>
  <c r="E19" i="229"/>
  <c r="D19" i="229"/>
  <c r="D18" i="229"/>
  <c r="F18" i="229" s="1"/>
  <c r="D17" i="229"/>
  <c r="F17" i="229" s="1"/>
  <c r="D10" i="229"/>
  <c r="F10" i="229" s="1"/>
  <c r="D9" i="229"/>
  <c r="E53" i="228"/>
  <c r="N53" i="228" s="1"/>
  <c r="D53" i="228"/>
  <c r="E52" i="228"/>
  <c r="N52" i="228" s="1"/>
  <c r="D52" i="228"/>
  <c r="N51" i="228"/>
  <c r="D51" i="228"/>
  <c r="D49" i="228"/>
  <c r="E48" i="228"/>
  <c r="N48" i="228" s="1"/>
  <c r="D48" i="228"/>
  <c r="F39" i="228"/>
  <c r="N19" i="228"/>
  <c r="D18" i="228"/>
  <c r="F18" i="228" s="1"/>
  <c r="D16" i="228"/>
  <c r="F29" i="228"/>
  <c r="D15" i="228"/>
  <c r="F15" i="228" s="1"/>
  <c r="E11" i="228"/>
  <c r="N11" i="228" s="1"/>
  <c r="D11" i="228"/>
  <c r="E8" i="228"/>
  <c r="N8" i="228" s="1"/>
  <c r="D8" i="228"/>
  <c r="E11" i="225"/>
  <c r="O11" i="225" s="1"/>
  <c r="H14" i="227"/>
  <c r="E14" i="226"/>
  <c r="O14" i="226" s="1"/>
  <c r="D14" i="226"/>
  <c r="D13" i="226"/>
  <c r="F13" i="226" s="1"/>
  <c r="D12" i="226"/>
  <c r="F12" i="226" s="1"/>
  <c r="H12" i="226" s="1"/>
  <c r="D9" i="226"/>
  <c r="F9" i="226" s="1"/>
  <c r="D8" i="226"/>
  <c r="E47" i="225"/>
  <c r="O47" i="225" s="1"/>
  <c r="D47" i="225"/>
  <c r="E46" i="225"/>
  <c r="O46" i="225" s="1"/>
  <c r="D46" i="225"/>
  <c r="E45" i="225"/>
  <c r="O45" i="225" s="1"/>
  <c r="D45" i="225"/>
  <c r="E42" i="225"/>
  <c r="D33" i="225"/>
  <c r="F33" i="225" s="1"/>
  <c r="F30" i="225"/>
  <c r="F28" i="225"/>
  <c r="D20" i="225"/>
  <c r="D18" i="225"/>
  <c r="E18" i="225"/>
  <c r="O18" i="225" s="1"/>
  <c r="D17" i="225"/>
  <c r="D15" i="225"/>
  <c r="D14" i="225"/>
  <c r="D11" i="225"/>
  <c r="E8" i="225"/>
  <c r="O8" i="225" s="1"/>
  <c r="D8" i="225"/>
  <c r="I33" i="233" l="1"/>
  <c r="F42" i="252"/>
  <c r="H42" i="252" s="1"/>
  <c r="F48" i="233"/>
  <c r="D41" i="251"/>
  <c r="E41" i="251" s="1"/>
  <c r="F49" i="233"/>
  <c r="K49" i="233" s="1"/>
  <c r="E41" i="252"/>
  <c r="I42" i="233"/>
  <c r="E42" i="252"/>
  <c r="G14" i="232"/>
  <c r="F14" i="235"/>
  <c r="I8" i="235"/>
  <c r="G18" i="232"/>
  <c r="I18" i="232" s="1"/>
  <c r="H14" i="232"/>
  <c r="G26" i="232"/>
  <c r="I26" i="232" s="1"/>
  <c r="I48" i="233"/>
  <c r="F41" i="251" s="1"/>
  <c r="I51" i="232"/>
  <c r="F8" i="228"/>
  <c r="H8" i="228" s="1"/>
  <c r="F51" i="232"/>
  <c r="O43" i="225"/>
  <c r="O42" i="225"/>
  <c r="G17" i="229"/>
  <c r="H17" i="229"/>
  <c r="F15" i="232"/>
  <c r="N15" i="232"/>
  <c r="I25" i="232"/>
  <c r="N28" i="232"/>
  <c r="F28" i="232"/>
  <c r="F53" i="228"/>
  <c r="G53" i="228" s="1"/>
  <c r="F19" i="229"/>
  <c r="G19" i="229" s="1"/>
  <c r="N18" i="229"/>
  <c r="F51" i="228"/>
  <c r="G51" i="228" s="1"/>
  <c r="H22" i="227"/>
  <c r="H20" i="227"/>
  <c r="F48" i="228"/>
  <c r="G48" i="228" s="1"/>
  <c r="F52" i="228"/>
  <c r="H52" i="228" s="1"/>
  <c r="F11" i="228"/>
  <c r="G11" i="228" s="1"/>
  <c r="F19" i="228"/>
  <c r="G19" i="228" s="1"/>
  <c r="F8" i="225"/>
  <c r="H8" i="225" s="1"/>
  <c r="G18" i="228"/>
  <c r="H18" i="228"/>
  <c r="F27" i="228"/>
  <c r="H27" i="228" s="1"/>
  <c r="G15" i="228"/>
  <c r="H15" i="228"/>
  <c r="H18" i="229"/>
  <c r="G18" i="229"/>
  <c r="G29" i="228"/>
  <c r="H29" i="228"/>
  <c r="H10" i="229"/>
  <c r="G10" i="229"/>
  <c r="H39" i="228"/>
  <c r="G39" i="228"/>
  <c r="N49" i="228"/>
  <c r="E16" i="228"/>
  <c r="N16" i="228" s="1"/>
  <c r="F14" i="226"/>
  <c r="H14" i="226" s="1"/>
  <c r="F42" i="225"/>
  <c r="G42" i="225" s="1"/>
  <c r="F11" i="225"/>
  <c r="F18" i="225"/>
  <c r="G18" i="225" s="1"/>
  <c r="F47" i="225"/>
  <c r="G47" i="225" s="1"/>
  <c r="F20" i="225"/>
  <c r="H20" i="225" s="1"/>
  <c r="F31" i="225"/>
  <c r="H31" i="225" s="1"/>
  <c r="F46" i="225"/>
  <c r="H46" i="225" s="1"/>
  <c r="F45" i="225"/>
  <c r="G45" i="225" s="1"/>
  <c r="G12" i="226"/>
  <c r="I12" i="226" s="1"/>
  <c r="H30" i="225"/>
  <c r="G30" i="225"/>
  <c r="F43" i="225"/>
  <c r="H43" i="225" s="1"/>
  <c r="F17" i="225"/>
  <c r="H17" i="225" s="1"/>
  <c r="E20" i="227"/>
  <c r="G9" i="226"/>
  <c r="H9" i="226"/>
  <c r="G33" i="225"/>
  <c r="H33" i="225"/>
  <c r="G28" i="225"/>
  <c r="G13" i="226"/>
  <c r="H28" i="225"/>
  <c r="H13" i="226"/>
  <c r="F18" i="224"/>
  <c r="H18" i="224" s="1"/>
  <c r="E15" i="224"/>
  <c r="H15" i="224"/>
  <c r="E16" i="224"/>
  <c r="H16" i="224"/>
  <c r="E17" i="224"/>
  <c r="H17" i="224"/>
  <c r="E18" i="224"/>
  <c r="H53" i="228" l="1"/>
  <c r="H19" i="229"/>
  <c r="I14" i="232"/>
  <c r="I10" i="229"/>
  <c r="G8" i="228"/>
  <c r="G8" i="225"/>
  <c r="I8" i="225" s="1"/>
  <c r="G28" i="251"/>
  <c r="G46" i="251" s="1"/>
  <c r="I17" i="229"/>
  <c r="I14" i="235"/>
  <c r="F41" i="252"/>
  <c r="H41" i="252" s="1"/>
  <c r="H19" i="228"/>
  <c r="I49" i="233"/>
  <c r="I51" i="233" s="1"/>
  <c r="H51" i="228"/>
  <c r="I51" i="228" s="1"/>
  <c r="H41" i="251"/>
  <c r="H19" i="224"/>
  <c r="G11" i="225"/>
  <c r="G28" i="232"/>
  <c r="H28" i="232"/>
  <c r="N27" i="232"/>
  <c r="N51" i="232" s="1"/>
  <c r="N52" i="232" s="1"/>
  <c r="F27" i="232"/>
  <c r="B42" i="251" s="1"/>
  <c r="H15" i="232"/>
  <c r="G15" i="232"/>
  <c r="F49" i="228"/>
  <c r="G49" i="228" s="1"/>
  <c r="I53" i="228"/>
  <c r="F16" i="228"/>
  <c r="H16" i="228" s="1"/>
  <c r="H48" i="228"/>
  <c r="I48" i="228" s="1"/>
  <c r="I18" i="228"/>
  <c r="G52" i="228"/>
  <c r="I52" i="228" s="1"/>
  <c r="I8" i="228"/>
  <c r="I29" i="228"/>
  <c r="I19" i="228"/>
  <c r="I39" i="228"/>
  <c r="E9" i="229"/>
  <c r="F9" i="229" s="1"/>
  <c r="E8" i="240"/>
  <c r="I15" i="228"/>
  <c r="G27" i="228"/>
  <c r="I27" i="228" s="1"/>
  <c r="H11" i="228"/>
  <c r="I11" i="228" s="1"/>
  <c r="H42" i="225"/>
  <c r="I42" i="225" s="1"/>
  <c r="I18" i="229"/>
  <c r="I19" i="229"/>
  <c r="F28" i="228"/>
  <c r="H28" i="228" s="1"/>
  <c r="E38" i="228"/>
  <c r="N38" i="228" s="1"/>
  <c r="F37" i="228"/>
  <c r="G14" i="226"/>
  <c r="I14" i="226" s="1"/>
  <c r="I9" i="226"/>
  <c r="I13" i="226"/>
  <c r="I33" i="225"/>
  <c r="H47" i="225"/>
  <c r="I47" i="225" s="1"/>
  <c r="G20" i="225"/>
  <c r="I20" i="225" s="1"/>
  <c r="H45" i="225"/>
  <c r="I45" i="225" s="1"/>
  <c r="H11" i="225"/>
  <c r="G46" i="225"/>
  <c r="I46" i="225" s="1"/>
  <c r="H18" i="225"/>
  <c r="I18" i="225" s="1"/>
  <c r="F32" i="225"/>
  <c r="H32" i="225" s="1"/>
  <c r="G31" i="225"/>
  <c r="I31" i="225" s="1"/>
  <c r="I28" i="225"/>
  <c r="G43" i="225"/>
  <c r="I43" i="225" s="1"/>
  <c r="I30" i="225"/>
  <c r="G17" i="225"/>
  <c r="I17" i="225" s="1"/>
  <c r="F14" i="225"/>
  <c r="E15" i="225"/>
  <c r="E19" i="224"/>
  <c r="I28" i="232" l="1"/>
  <c r="G47" i="251"/>
  <c r="B8" i="250"/>
  <c r="F15" i="225"/>
  <c r="O15" i="225"/>
  <c r="O49" i="225" s="1"/>
  <c r="G9" i="229"/>
  <c r="C19" i="252" s="1"/>
  <c r="H9" i="229"/>
  <c r="D19" i="252" s="1"/>
  <c r="B19" i="252"/>
  <c r="G16" i="228"/>
  <c r="I16" i="228" s="1"/>
  <c r="I64" i="269"/>
  <c r="I63" i="268"/>
  <c r="I11" i="225"/>
  <c r="H49" i="228"/>
  <c r="I49" i="228" s="1"/>
  <c r="I55" i="228" s="1"/>
  <c r="F55" i="228"/>
  <c r="I15" i="232"/>
  <c r="G27" i="232"/>
  <c r="C42" i="251" s="1"/>
  <c r="H27" i="232"/>
  <c r="D42" i="251" s="1"/>
  <c r="F8" i="240"/>
  <c r="B21" i="252" s="1"/>
  <c r="N8" i="240"/>
  <c r="N15" i="240" s="1"/>
  <c r="N54" i="228"/>
  <c r="N55" i="228" s="1"/>
  <c r="F8" i="239"/>
  <c r="B20" i="252" s="1"/>
  <c r="N8" i="239"/>
  <c r="N14" i="239" s="1"/>
  <c r="N8" i="229"/>
  <c r="N19" i="229" s="1"/>
  <c r="F38" i="228"/>
  <c r="B19" i="251" s="1"/>
  <c r="G28" i="228"/>
  <c r="I28" i="228" s="1"/>
  <c r="H37" i="228"/>
  <c r="G37" i="228"/>
  <c r="G32" i="225"/>
  <c r="I32" i="225" s="1"/>
  <c r="F49" i="225"/>
  <c r="I49" i="225"/>
  <c r="G15" i="225"/>
  <c r="H15" i="225"/>
  <c r="I15" i="225" s="1"/>
  <c r="G14" i="225"/>
  <c r="H14" i="225"/>
  <c r="F25" i="225"/>
  <c r="F27" i="225"/>
  <c r="D15" i="223"/>
  <c r="F15" i="223" s="1"/>
  <c r="D10" i="223"/>
  <c r="F10" i="223" s="1"/>
  <c r="H10" i="223" s="1"/>
  <c r="D9" i="223"/>
  <c r="E59" i="222"/>
  <c r="O59" i="222" s="1"/>
  <c r="D59" i="222"/>
  <c r="E57" i="222"/>
  <c r="O57" i="222" s="1"/>
  <c r="D57" i="222"/>
  <c r="E56" i="222"/>
  <c r="O56" i="222" s="1"/>
  <c r="D56" i="222"/>
  <c r="D39" i="222"/>
  <c r="O38" i="222"/>
  <c r="D38" i="222"/>
  <c r="D33" i="222"/>
  <c r="D32" i="222"/>
  <c r="D24" i="222"/>
  <c r="O23" i="222"/>
  <c r="D23" i="222"/>
  <c r="D16" i="222"/>
  <c r="O15" i="222"/>
  <c r="D15" i="222"/>
  <c r="D12" i="222"/>
  <c r="F12" i="222" s="1"/>
  <c r="E8" i="222"/>
  <c r="O8" i="222" s="1"/>
  <c r="D8" i="222"/>
  <c r="F20" i="229" l="1"/>
  <c r="G8" i="240"/>
  <c r="C21" i="252" s="1"/>
  <c r="I27" i="232"/>
  <c r="I36" i="232" s="1"/>
  <c r="F38" i="222"/>
  <c r="H38" i="222" s="1"/>
  <c r="F56" i="222"/>
  <c r="F59" i="222"/>
  <c r="H59" i="222" s="1"/>
  <c r="F8" i="222"/>
  <c r="E42" i="251"/>
  <c r="H38" i="228"/>
  <c r="D19" i="251" s="1"/>
  <c r="G38" i="228"/>
  <c r="H8" i="240"/>
  <c r="F15" i="222"/>
  <c r="G15" i="222" s="1"/>
  <c r="E39" i="222"/>
  <c r="O39" i="222" s="1"/>
  <c r="E24" i="222"/>
  <c r="O24" i="222" s="1"/>
  <c r="F57" i="222"/>
  <c r="G57" i="222" s="1"/>
  <c r="O52" i="222"/>
  <c r="F36" i="232"/>
  <c r="F52" i="232" s="1"/>
  <c r="K52" i="232" s="1"/>
  <c r="H8" i="239"/>
  <c r="D20" i="252" s="1"/>
  <c r="G8" i="239"/>
  <c r="C20" i="252" s="1"/>
  <c r="C19" i="251"/>
  <c r="I8" i="239"/>
  <c r="F40" i="228"/>
  <c r="F56" i="228" s="1"/>
  <c r="K55" i="228" s="1"/>
  <c r="I37" i="228"/>
  <c r="I14" i="225"/>
  <c r="F26" i="225"/>
  <c r="B40" i="251" s="1"/>
  <c r="E8" i="226"/>
  <c r="O8" i="226" s="1"/>
  <c r="O15" i="226" s="1"/>
  <c r="G27" i="225"/>
  <c r="H27" i="225"/>
  <c r="G25" i="225"/>
  <c r="H25" i="225"/>
  <c r="F52" i="222"/>
  <c r="G52" i="222" s="1"/>
  <c r="F23" i="222"/>
  <c r="H23" i="222" s="1"/>
  <c r="E32" i="222"/>
  <c r="E33" i="222"/>
  <c r="E16" i="222"/>
  <c r="H15" i="223"/>
  <c r="G15" i="223"/>
  <c r="G10" i="223"/>
  <c r="I10" i="223" s="1"/>
  <c r="G12" i="222"/>
  <c r="H12" i="222"/>
  <c r="I38" i="228" l="1"/>
  <c r="I8" i="240"/>
  <c r="F32" i="222"/>
  <c r="H32" i="222" s="1"/>
  <c r="E9" i="270"/>
  <c r="D21" i="252"/>
  <c r="E21" i="252" s="1"/>
  <c r="H8" i="222"/>
  <c r="H56" i="222"/>
  <c r="G56" i="222"/>
  <c r="I56" i="222" s="1"/>
  <c r="I15" i="223"/>
  <c r="G38" i="222"/>
  <c r="I38" i="222" s="1"/>
  <c r="G59" i="222"/>
  <c r="I59" i="222" s="1"/>
  <c r="G8" i="222"/>
  <c r="H52" i="222"/>
  <c r="I52" i="222" s="1"/>
  <c r="I12" i="222"/>
  <c r="E20" i="252"/>
  <c r="H15" i="222"/>
  <c r="I15" i="222" s="1"/>
  <c r="G23" i="222"/>
  <c r="I23" i="222" s="1"/>
  <c r="E19" i="251"/>
  <c r="F15" i="240"/>
  <c r="F14" i="239"/>
  <c r="F24" i="222"/>
  <c r="E9" i="223"/>
  <c r="O32" i="222"/>
  <c r="F39" i="222"/>
  <c r="H57" i="222"/>
  <c r="I57" i="222" s="1"/>
  <c r="F53" i="222"/>
  <c r="O53" i="222"/>
  <c r="F16" i="222"/>
  <c r="H16" i="222" s="1"/>
  <c r="O16" i="222"/>
  <c r="F33" i="222"/>
  <c r="H33" i="222" s="1"/>
  <c r="O33" i="222"/>
  <c r="I52" i="232"/>
  <c r="I54" i="232" s="1"/>
  <c r="F42" i="251"/>
  <c r="I14" i="239"/>
  <c r="F20" i="252"/>
  <c r="I15" i="240"/>
  <c r="F21" i="252"/>
  <c r="I9" i="229"/>
  <c r="E19" i="252"/>
  <c r="I40" i="228"/>
  <c r="F19" i="251" s="1"/>
  <c r="I27" i="225"/>
  <c r="I25" i="225"/>
  <c r="F8" i="226"/>
  <c r="B40" i="252" s="1"/>
  <c r="G26" i="225"/>
  <c r="C40" i="251" s="1"/>
  <c r="H26" i="225"/>
  <c r="D40" i="251" s="1"/>
  <c r="G32" i="222" l="1"/>
  <c r="I32" i="222" s="1"/>
  <c r="E40" i="251"/>
  <c r="F9" i="270"/>
  <c r="O9" i="270"/>
  <c r="O19" i="270" s="1"/>
  <c r="B26" i="251"/>
  <c r="F19" i="252"/>
  <c r="I20" i="229"/>
  <c r="I8" i="222"/>
  <c r="G16" i="222"/>
  <c r="I16" i="222" s="1"/>
  <c r="H39" i="222"/>
  <c r="G39" i="222"/>
  <c r="I39" i="222" s="1"/>
  <c r="G53" i="222"/>
  <c r="H53" i="222"/>
  <c r="G24" i="222"/>
  <c r="H24" i="222"/>
  <c r="D26" i="251" s="1"/>
  <c r="F9" i="223"/>
  <c r="B26" i="252" s="1"/>
  <c r="O9" i="223"/>
  <c r="O20" i="223" s="1"/>
  <c r="G33" i="222"/>
  <c r="I33" i="222" s="1"/>
  <c r="O61" i="222"/>
  <c r="H42" i="251"/>
  <c r="H20" i="252"/>
  <c r="H21" i="252"/>
  <c r="I56" i="228"/>
  <c r="I58" i="228" s="1"/>
  <c r="F34" i="225"/>
  <c r="F50" i="225" s="1"/>
  <c r="K50" i="225" s="1"/>
  <c r="I26" i="225"/>
  <c r="I34" i="225" s="1"/>
  <c r="G8" i="226"/>
  <c r="C40" i="252" s="1"/>
  <c r="H8" i="226"/>
  <c r="D40" i="252" s="1"/>
  <c r="C26" i="251" l="1"/>
  <c r="E26" i="251" s="1"/>
  <c r="E40" i="252"/>
  <c r="F44" i="222"/>
  <c r="B27" i="252"/>
  <c r="G9" i="270"/>
  <c r="H9" i="270"/>
  <c r="D27" i="252" s="1"/>
  <c r="F19" i="270"/>
  <c r="F61" i="222"/>
  <c r="E28" i="251"/>
  <c r="I24" i="222"/>
  <c r="I44" i="222" s="1"/>
  <c r="I53" i="222"/>
  <c r="I61" i="222" s="1"/>
  <c r="H9" i="223"/>
  <c r="D26" i="252" s="1"/>
  <c r="G9" i="223"/>
  <c r="C26" i="252" s="1"/>
  <c r="I50" i="225"/>
  <c r="I52" i="225" s="1"/>
  <c r="F40" i="251"/>
  <c r="H19" i="252"/>
  <c r="H19" i="251"/>
  <c r="I8" i="226"/>
  <c r="F40" i="252" s="1"/>
  <c r="H40" i="252" s="1"/>
  <c r="F26" i="251" l="1"/>
  <c r="I9" i="270"/>
  <c r="C27" i="252"/>
  <c r="F20" i="223"/>
  <c r="F62" i="222"/>
  <c r="K62" i="222" s="1"/>
  <c r="E27" i="251"/>
  <c r="H28" i="251"/>
  <c r="H27" i="251"/>
  <c r="I9" i="223"/>
  <c r="H40" i="251"/>
  <c r="I62" i="222"/>
  <c r="I64" i="222" s="1"/>
  <c r="F15" i="226"/>
  <c r="F26" i="252" l="1"/>
  <c r="I20" i="223"/>
  <c r="F27" i="252"/>
  <c r="I19" i="270"/>
  <c r="E28" i="252"/>
  <c r="E27" i="252"/>
  <c r="E26" i="252"/>
  <c r="H26" i="251"/>
  <c r="I15" i="226"/>
  <c r="H27" i="252" l="1"/>
  <c r="H26" i="252"/>
  <c r="H28" i="252"/>
  <c r="D40" i="209"/>
  <c r="D39" i="209"/>
  <c r="N39" i="209"/>
  <c r="D33" i="209"/>
  <c r="D32" i="209"/>
  <c r="D16" i="210" l="1"/>
  <c r="F16" i="210" s="1"/>
  <c r="D15" i="210"/>
  <c r="F15" i="210" s="1"/>
  <c r="D10" i="210"/>
  <c r="F10" i="210" s="1"/>
  <c r="D9" i="210"/>
  <c r="E61" i="209"/>
  <c r="D61" i="209"/>
  <c r="E59" i="209"/>
  <c r="D59" i="209"/>
  <c r="D58" i="209"/>
  <c r="E54" i="209"/>
  <c r="N54" i="209" s="1"/>
  <c r="D24" i="209"/>
  <c r="N23" i="209"/>
  <c r="D23" i="209"/>
  <c r="D16" i="209"/>
  <c r="D15" i="209"/>
  <c r="D11" i="209"/>
  <c r="F11" i="209" s="1"/>
  <c r="E8" i="209"/>
  <c r="N8" i="209" s="1"/>
  <c r="D8" i="209"/>
  <c r="N59" i="209" l="1"/>
  <c r="E58" i="209"/>
  <c r="N58" i="209" s="1"/>
  <c r="H15" i="210"/>
  <c r="E24" i="209"/>
  <c r="N24" i="209" s="1"/>
  <c r="N55" i="209"/>
  <c r="F54" i="209"/>
  <c r="G10" i="210"/>
  <c r="H10" i="210"/>
  <c r="I10" i="210" s="1"/>
  <c r="G15" i="210"/>
  <c r="F59" i="209"/>
  <c r="H59" i="209" s="1"/>
  <c r="F8" i="209"/>
  <c r="F61" i="209"/>
  <c r="H61" i="209" s="1"/>
  <c r="F58" i="209"/>
  <c r="H58" i="209" s="1"/>
  <c r="F55" i="209"/>
  <c r="G55" i="209" s="1"/>
  <c r="F39" i="209"/>
  <c r="H39" i="209" s="1"/>
  <c r="E40" i="209"/>
  <c r="F23" i="209"/>
  <c r="G23" i="209" s="1"/>
  <c r="H16" i="210"/>
  <c r="G16" i="210"/>
  <c r="H11" i="209"/>
  <c r="G11" i="209"/>
  <c r="N15" i="209"/>
  <c r="I15" i="210" l="1"/>
  <c r="I16" i="210"/>
  <c r="G54" i="209"/>
  <c r="F24" i="209"/>
  <c r="N40" i="209"/>
  <c r="E45" i="209"/>
  <c r="F40" i="209"/>
  <c r="H40" i="209" s="1"/>
  <c r="G8" i="209"/>
  <c r="H8" i="209"/>
  <c r="G59" i="209"/>
  <c r="I59" i="209" s="1"/>
  <c r="E32" i="209"/>
  <c r="N32" i="209" s="1"/>
  <c r="E33" i="209"/>
  <c r="N33" i="209" s="1"/>
  <c r="G39" i="209"/>
  <c r="I39" i="209" s="1"/>
  <c r="G58" i="209"/>
  <c r="I58" i="209" s="1"/>
  <c r="G61" i="209"/>
  <c r="I61" i="209" s="1"/>
  <c r="H55" i="209"/>
  <c r="I55" i="209" s="1"/>
  <c r="I11" i="209"/>
  <c r="H23" i="209"/>
  <c r="I23" i="209" s="1"/>
  <c r="H54" i="209"/>
  <c r="I54" i="209" s="1"/>
  <c r="E16" i="209"/>
  <c r="G24" i="209"/>
  <c r="H24" i="209"/>
  <c r="F15" i="209"/>
  <c r="I8" i="209" l="1"/>
  <c r="G40" i="209"/>
  <c r="I40" i="209" s="1"/>
  <c r="E37" i="209"/>
  <c r="N16" i="209"/>
  <c r="N45" i="209"/>
  <c r="F45" i="209"/>
  <c r="F16" i="209"/>
  <c r="G16" i="209" s="1"/>
  <c r="F63" i="209"/>
  <c r="B19" i="250" s="1"/>
  <c r="I63" i="209"/>
  <c r="I24" i="209"/>
  <c r="F33" i="209"/>
  <c r="G15" i="209"/>
  <c r="H15" i="209"/>
  <c r="H16" i="209" l="1"/>
  <c r="I16" i="209" s="1"/>
  <c r="G45" i="209"/>
  <c r="H45" i="209"/>
  <c r="F37" i="209"/>
  <c r="N37" i="209"/>
  <c r="N61" i="209" s="1"/>
  <c r="I15" i="209"/>
  <c r="F32" i="209"/>
  <c r="E9" i="210"/>
  <c r="O9" i="210" s="1"/>
  <c r="O20" i="210" s="1"/>
  <c r="G33" i="209"/>
  <c r="H33" i="209"/>
  <c r="I45" i="209" l="1"/>
  <c r="B12" i="251"/>
  <c r="B46" i="251" s="1"/>
  <c r="H37" i="209"/>
  <c r="G37" i="209"/>
  <c r="I33" i="209"/>
  <c r="F9" i="210"/>
  <c r="H32" i="209"/>
  <c r="G32" i="209"/>
  <c r="B12" i="252" l="1"/>
  <c r="B46" i="252" s="1"/>
  <c r="C12" i="251"/>
  <c r="C46" i="251" s="1"/>
  <c r="E14" i="251"/>
  <c r="D12" i="251"/>
  <c r="D46" i="251" s="1"/>
  <c r="I37" i="209"/>
  <c r="F46" i="209"/>
  <c r="B20" i="250" s="1"/>
  <c r="B47" i="251"/>
  <c r="H9" i="210"/>
  <c r="D12" i="252" s="1"/>
  <c r="D46" i="252" s="1"/>
  <c r="D47" i="252" s="1"/>
  <c r="G9" i="210"/>
  <c r="C12" i="252" s="1"/>
  <c r="C46" i="252" s="1"/>
  <c r="C47" i="252" s="1"/>
  <c r="I32" i="209"/>
  <c r="F20" i="210" l="1"/>
  <c r="E13" i="251"/>
  <c r="I46" i="209"/>
  <c r="F12" i="251" s="1"/>
  <c r="C47" i="251"/>
  <c r="D47" i="251"/>
  <c r="E12" i="251"/>
  <c r="B47" i="252"/>
  <c r="F64" i="209"/>
  <c r="K62" i="209" s="1"/>
  <c r="I9" i="210"/>
  <c r="F12" i="252" l="1"/>
  <c r="F46" i="252" s="1"/>
  <c r="I20" i="210"/>
  <c r="E46" i="251"/>
  <c r="E47" i="251" s="1"/>
  <c r="E13" i="252"/>
  <c r="E14" i="252"/>
  <c r="I64" i="209"/>
  <c r="I66" i="209" s="1"/>
  <c r="F46" i="251"/>
  <c r="B6" i="250" s="1"/>
  <c r="E12" i="252"/>
  <c r="H14" i="251"/>
  <c r="H13" i="251"/>
  <c r="B7" i="250" l="1"/>
  <c r="F47" i="252"/>
  <c r="E46" i="252"/>
  <c r="B4" i="250"/>
  <c r="B15" i="250" s="1"/>
  <c r="H12" i="252"/>
  <c r="H12" i="251"/>
  <c r="H46" i="251" s="1"/>
  <c r="F47" i="251"/>
  <c r="H14" i="252"/>
  <c r="H13" i="252"/>
  <c r="B10" i="250" l="1"/>
  <c r="H47" i="251"/>
  <c r="B11" i="250" s="1"/>
  <c r="B5" i="250"/>
  <c r="B17" i="250" s="1"/>
  <c r="E47" i="252"/>
  <c r="H46" i="252"/>
  <c r="E17" i="250" l="1"/>
  <c r="H47" i="252"/>
  <c r="O26" i="269"/>
  <c r="O27" i="269"/>
  <c r="O29" i="269"/>
  <c r="O28" i="269"/>
  <c r="O30" i="269"/>
  <c r="O61" i="269" l="1"/>
  <c r="B49" i="251" l="1"/>
  <c r="B22" i="250" s="1"/>
  <c r="B23" i="250" s="1"/>
  <c r="B50" i="251" l="1"/>
</calcChain>
</file>

<file path=xl/sharedStrings.xml><?xml version="1.0" encoding="utf-8"?>
<sst xmlns="http://schemas.openxmlformats.org/spreadsheetml/2006/main" count="5803" uniqueCount="522">
  <si>
    <t>Existing Boilers -- number of boilers with monitor</t>
  </si>
  <si>
    <t>Criteria for Monitor Counts:</t>
  </si>
  <si>
    <t>Also, not limited use</t>
  </si>
  <si>
    <t>BLD</t>
  </si>
  <si>
    <t>DIFF</t>
  </si>
  <si>
    <t>Opacity vs. Bag Leak Detection vs. Wet Scrubber vs. ACI</t>
  </si>
  <si>
    <t>1) Solid or Liquid fuel</t>
  </si>
  <si>
    <t>Opacity</t>
  </si>
  <si>
    <t>Wet Scrubber</t>
  </si>
  <si>
    <t>ACI</t>
  </si>
  <si>
    <t>O2</t>
  </si>
  <si>
    <t>PM CPMS</t>
  </si>
  <si>
    <t>2) Design Capacity &gt;10</t>
  </si>
  <si>
    <t>Small Solid</t>
  </si>
  <si>
    <t>no control costs for small units</t>
  </si>
  <si>
    <t>3a) Bag Leak Detection -TCI &gt;0, HCL Control Selected not "DIFF", FF-TCI &gt;0; or</t>
  </si>
  <si>
    <t>3a) DIFF Monitoring -TCI &gt;0, HCL Control Selected = "DIFF", DIFF TCI &gt;0</t>
  </si>
  <si>
    <t>Large Solid</t>
  </si>
  <si>
    <t>4) EXCLUDE units &gt;=250 that install PM CEMS</t>
  </si>
  <si>
    <t>Small Liquid</t>
  </si>
  <si>
    <t>Large Liquid</t>
  </si>
  <si>
    <t>Small Gas</t>
  </si>
  <si>
    <t>no control costs for gas 1 units</t>
  </si>
  <si>
    <t>Large Gas (Gas 1 - NG only)</t>
  </si>
  <si>
    <t>Large Gas (Gas 1 - Other)</t>
  </si>
  <si>
    <t>3) Opacity -TCI &gt;0</t>
  </si>
  <si>
    <t>Large Gas (Gas 2)</t>
  </si>
  <si>
    <t>4) HCL Control Selected not "Scrubber"</t>
  </si>
  <si>
    <t>5) EXCLUDE units &gt;=250 that install PM CEMS</t>
  </si>
  <si>
    <t>New Boilers -- number of boilers with monitor</t>
  </si>
  <si>
    <t>3) HCL Control Selected = "Scrubber"</t>
  </si>
  <si>
    <t>4) WS Monitoring -TCI &gt;0</t>
  </si>
  <si>
    <t>ARS - agree, new solid units are biomass and therefore will not have PM CEMS.</t>
  </si>
  <si>
    <t>no new liquid units</t>
  </si>
  <si>
    <t>3) FF-TCI = "ACI"</t>
  </si>
  <si>
    <t>4) ACI Carbon Rate (TCI) &gt;0</t>
  </si>
  <si>
    <t>No new process gas units</t>
  </si>
  <si>
    <t>More opacity monitors (~50 more)</t>
  </si>
  <si>
    <t>O2 monitor costs</t>
  </si>
  <si>
    <t>Fewer PM CPMS  (~80 fewer)</t>
  </si>
  <si>
    <t>Initial</t>
  </si>
  <si>
    <t>Annual</t>
  </si>
  <si>
    <t>More ACI for liquid (due to increase in Hg limit)</t>
  </si>
  <si>
    <t>More BLD for liquid (due to increase in Hg limit)</t>
  </si>
  <si>
    <t xml:space="preserve">Note:  the totals, as shown, update automatically </t>
  </si>
  <si>
    <t>Year 1-3</t>
  </si>
  <si>
    <t>Year 4-6</t>
  </si>
  <si>
    <t>Annual Respondent Hours:</t>
  </si>
  <si>
    <t>Industry Sector</t>
  </si>
  <si>
    <t>Number of Facilities</t>
  </si>
  <si>
    <t>Number of Sources</t>
  </si>
  <si>
    <t>Annual Agency Hours:</t>
  </si>
  <si>
    <t>Pipeline and Transportation of Natural Gas Industry Sector:</t>
  </si>
  <si>
    <t>Annual Respondent Labor Cost:</t>
  </si>
  <si>
    <t>Cement and Concrete Product Manufacturing Industry Sector:</t>
  </si>
  <si>
    <t>Annual Agency Labor Cost:</t>
  </si>
  <si>
    <t>Iron and Steel Mills and Ferroalloy Manufacturing Industry Sector:</t>
  </si>
  <si>
    <t>Annual Respondent Non-Labor Cost ($)</t>
  </si>
  <si>
    <t>Glass and Glass Product Manufacturing Industry Sector:</t>
  </si>
  <si>
    <t>Annual Agency Non-Labor Cost ($)</t>
  </si>
  <si>
    <t>Basic Chemical Manufacturing Industry Sector; Petroleum and Coal Products Manufacturing Industry Sector; Pulp, Paper, and Paperboard Mills Industry Sector; Metal Ore Mining; and Non-Indusry Iron and Steel</t>
  </si>
  <si>
    <t>Total Respondent Cost</t>
  </si>
  <si>
    <t>Municipal Waste Combustors</t>
  </si>
  <si>
    <t>Total Annual Respondent Cost</t>
  </si>
  <si>
    <t>No. of  Industry Respondents:</t>
  </si>
  <si>
    <t>No. of Agency Respondents (States):</t>
  </si>
  <si>
    <t>Annual Hours/Industry Respondent:</t>
  </si>
  <si>
    <t>Annual Cost/Industry Respondent:</t>
  </si>
  <si>
    <t>Annual Hours/Agency Respondent:</t>
  </si>
  <si>
    <t>Annual Cost/Agency Respondent:</t>
  </si>
  <si>
    <t>Annual Industry Respondent Recordkeeping Hours:</t>
  </si>
  <si>
    <t>Annual Industry Respondent Reporting Hours:</t>
  </si>
  <si>
    <t>Total No. of Industry Responses</t>
  </si>
  <si>
    <t>Annual No. of Industry Responses</t>
  </si>
  <si>
    <t>Summary of Annual Respondent Burden and Cost by Industry Sector –  Federal Implementation Plan Addressing Regional Ozone Transport for the 2015 Primary Ozone National Ambient Air Quality Standard: Transport Obligations for non-Electric Generating Units</t>
  </si>
  <si>
    <t>YEAR 1-3</t>
  </si>
  <si>
    <t>YEAR 4-6</t>
  </si>
  <si>
    <t>Industry Sector &amp;
Year</t>
  </si>
  <si>
    <t>Technical Hours</t>
  </si>
  <si>
    <t>Managerial Hours</t>
  </si>
  <si>
    <t>Clerical Hours</t>
  </si>
  <si>
    <t>Total Labor Hours</t>
  </si>
  <si>
    <t>Labor Costs</t>
  </si>
  <si>
    <t>Non-Labor (Annualized Capital/Startup Cost + Annual O&amp;M Cost) Costs</t>
  </si>
  <si>
    <t>Total Costs</t>
  </si>
  <si>
    <t>Pipeline Transportation of Natural Gas</t>
  </si>
  <si>
    <t>Year 1</t>
  </si>
  <si>
    <t>Year 2</t>
  </si>
  <si>
    <t>Year 3</t>
  </si>
  <si>
    <t>Year 4</t>
  </si>
  <si>
    <t>Year 5</t>
  </si>
  <si>
    <t>Year 6</t>
  </si>
  <si>
    <t>Cement and Concrete Product Manufacturing</t>
  </si>
  <si>
    <t>Iron and Steel Mills and Ferroalloy Manufacturing</t>
  </si>
  <si>
    <t>Glass and Glass Product Manufacturing</t>
  </si>
  <si>
    <t>Basic Chemical Manufacturing; Petroleum and Coal Products Manufacturing; Metal Ore Mining; Pulp, Paper, and Paperboard Mills, Non-Industry Iron and Steel</t>
  </si>
  <si>
    <t>Basic Chemical Manufacturing; Petroleum and Coal Products Manufacturing; Pulp, Paper, and Paperboard Mills, Non-Industry Iron and Steel</t>
  </si>
  <si>
    <t>Total</t>
  </si>
  <si>
    <t>Average</t>
  </si>
  <si>
    <t>Total No. of Industry Responses Years 1-3</t>
  </si>
  <si>
    <t>Total No. of Industry Responses Years 4-6</t>
  </si>
  <si>
    <t>Annual No. of Industry Responses Years 1-3</t>
  </si>
  <si>
    <t>Annual No. of Industry Responses Years 4-6</t>
  </si>
  <si>
    <t>Summary of Annual Agency Burden and Cost by Industry Sector -  Federal Implementation Plan Addressing Regional Ozone Transport for the 2015 Primary Ozone National Ambient Air Quality Standard: Transport Obligations for non-Electric Generating Units</t>
  </si>
  <si>
    <t>Management Hours</t>
  </si>
  <si>
    <t>Total Hours</t>
  </si>
  <si>
    <t>Non-Labor Costs</t>
  </si>
  <si>
    <t>Basic Chemical Manufacturing; Petroleum and Coal Products Manufacturing; Metal Ore Mining;  Pulp, Paper, and Paperboard Mills, Non-Industry Iron and Steel</t>
  </si>
  <si>
    <t>Pipeline Transportation of Natural Gas-Year 1</t>
  </si>
  <si>
    <t>Year 1, Reciprocating Internal Combustion Engines (RICE)</t>
  </si>
  <si>
    <t xml:space="preserve">Table 1: Year 1, Respondent Burden and Cost – Pipeline Transportation of Natural Gas, RICE </t>
  </si>
  <si>
    <t>Burden Item</t>
  </si>
  <si>
    <t>(A)
Hours per Occurrence</t>
  </si>
  <si>
    <t>(B)
Occurrences/ Respondent/ Year</t>
  </si>
  <si>
    <t>(C)
Hours/ Respondent/ Year 
(A x B)</t>
  </si>
  <si>
    <r>
      <t>(D)
Respondents/
Year</t>
    </r>
    <r>
      <rPr>
        <vertAlign val="superscript"/>
        <sz val="10"/>
        <rFont val="Times New Roman"/>
        <family val="1"/>
      </rPr>
      <t>a</t>
    </r>
  </si>
  <si>
    <t>(E)
Technical Hours/Year 
(C x D)</t>
  </si>
  <si>
    <t>(F) Managerial Hours/Year 
(E x 0.05)</t>
  </si>
  <si>
    <t>(G) 
Clerical Hours/Year 
(E x 0.10)</t>
  </si>
  <si>
    <r>
      <t>(H)
Cost/ Year</t>
    </r>
    <r>
      <rPr>
        <vertAlign val="superscript"/>
        <sz val="10"/>
        <color theme="1"/>
        <rFont val="Times New Roman"/>
        <family val="1"/>
      </rPr>
      <t>b</t>
    </r>
  </si>
  <si>
    <t>No. of Responses</t>
  </si>
  <si>
    <t xml:space="preserve">1. APPLICATIONS </t>
  </si>
  <si>
    <t>NA</t>
  </si>
  <si>
    <t>Labor Rates:</t>
  </si>
  <si>
    <t xml:space="preserve">2. SURVEY AND STUDIES </t>
  </si>
  <si>
    <t>Management</t>
  </si>
  <si>
    <t>These rates are from the United States Department of Labor, Bureau of Labor Statistics, June 2022, “Table 2. Civilian Workers, by Occupational and Industry group.”  The rates are from column 1, “Total Compensation.”  The rates have been increased by 110 percent to account for the benefit packages available to those employed by private industry.  Archived report releases can be accessed from https://www.bls.gov/bls/news-release/ecec.htm#2021;  from homepage, select Economic Releases, Archived News Releases, Employer Costs for Employee Compensation, Select a past year, Select a published report.</t>
  </si>
  <si>
    <t>3.ACQUISITION, INSTALLATION, AND UTILIZATION OF TECHNOLOGY AND SYSTEMS</t>
  </si>
  <si>
    <t>Technical</t>
  </si>
  <si>
    <t>4. REPORT REQUIREMENTS</t>
  </si>
  <si>
    <t>Clerical</t>
  </si>
  <si>
    <t xml:space="preserve">REQUEST FOR CASE-BY-CASE EMISSION LIMITS - Per 52.40(e);  (based on BACT analysis of 2020 NSR ICR) </t>
  </si>
  <si>
    <t>A. Familiarize with regulatory requirement</t>
  </si>
  <si>
    <t>B. Required Activities</t>
  </si>
  <si>
    <t>Number of RICE</t>
  </si>
  <si>
    <r>
      <t xml:space="preserve">New Sources - Annual CPMS Performance Evaluation </t>
    </r>
    <r>
      <rPr>
        <vertAlign val="superscript"/>
        <sz val="10"/>
        <color theme="1"/>
        <rFont val="Times New Roman"/>
        <family val="1"/>
      </rPr>
      <t>c</t>
    </r>
  </si>
  <si>
    <t xml:space="preserve">New </t>
  </si>
  <si>
    <t>Note:  New is assumed to be .84% of existing, per RICE MACT ICR data.</t>
  </si>
  <si>
    <t>Annual CPMS Performance Evaluation</t>
  </si>
  <si>
    <t>Reconstructed/modified</t>
  </si>
  <si>
    <t>Repeat Annual CPMS Performance Evaluation</t>
  </si>
  <si>
    <t>Existing</t>
  </si>
  <si>
    <r>
      <t xml:space="preserve">Existing Sources - Annual CPMS Performance Evaluation and Performance Testing </t>
    </r>
    <r>
      <rPr>
        <vertAlign val="superscript"/>
        <sz val="10"/>
        <color theme="1"/>
        <rFont val="Times New Roman"/>
        <family val="1"/>
      </rPr>
      <t>d</t>
    </r>
  </si>
  <si>
    <t>Assumed New RICE with SCR or NSCR</t>
  </si>
  <si>
    <t>Assumed New RICE with no SCR or NSCR</t>
  </si>
  <si>
    <t>Assumed Existing RICE with SCR or NSCR</t>
  </si>
  <si>
    <r>
      <t>Non EPA-Certified Engine NOx Performance Testing</t>
    </r>
    <r>
      <rPr>
        <vertAlign val="superscript"/>
        <sz val="11"/>
        <color theme="1"/>
        <rFont val="Times New Roman"/>
        <family val="1"/>
      </rPr>
      <t>gh</t>
    </r>
  </si>
  <si>
    <t>Assumed Existing RICE that will need to have controls installed</t>
  </si>
  <si>
    <r>
      <t>Repeat Non EPA-Certified Engine NOx Performance Testing</t>
    </r>
    <r>
      <rPr>
        <vertAlign val="superscript"/>
        <sz val="10"/>
        <color theme="1"/>
        <rFont val="Times New Roman"/>
        <family val="1"/>
      </rPr>
      <t>gh</t>
    </r>
  </si>
  <si>
    <t>Assumed Existing EPA-Certified RICE</t>
  </si>
  <si>
    <t>Estimate of EPA-Certified Engines were determined from 2019 NEI data using the criteria of certification requirements referenced in 40 CFR part 60, subpart JJJJ, § 60.4243(a).  Percentage of certified engines (56%) based on the stated Unit Status Year data available from 2019 NEI dataset for units expecting to be controlled.</t>
  </si>
  <si>
    <r>
      <t xml:space="preserve">New and Existing Sources - Monitoring </t>
    </r>
    <r>
      <rPr>
        <vertAlign val="superscript"/>
        <sz val="10"/>
        <color theme="1"/>
        <rFont val="Times New Roman"/>
        <family val="1"/>
      </rPr>
      <t>e</t>
    </r>
  </si>
  <si>
    <t>Assumed Existing Non EPA-Certified RICE</t>
  </si>
  <si>
    <t>RICE engines required to conduct initial and annual NOx performance testing is based upon an estimated count of non-EPA-Certified Engines per 40 CFR part 60, subpart JJJJ.  An estimated count of EPA-Certified Engines were determined from 2019 NEI data using the criteria of certification requirements referenced in 40 CFR part 60, subpart JJJJ, § 60.4243(a).  Percentage of non-certified engines (44%) based on the stated Unit Status Year data available from 2019 NEI dataset for units expecting to be controlled.</t>
  </si>
  <si>
    <t>Daily Calibration Drift Tests - NOx CEMS</t>
  </si>
  <si>
    <t>C. Create Information (Included in 4B)</t>
  </si>
  <si>
    <t>D. Gather Existing Information (Included in 4E)</t>
  </si>
  <si>
    <t>E. Write Report</t>
  </si>
  <si>
    <t>New Sources</t>
  </si>
  <si>
    <t>Notification of Demonstration of CEMS</t>
  </si>
  <si>
    <t>Notification of Initial Performance Test</t>
  </si>
  <si>
    <t>Report of Performance Test</t>
  </si>
  <si>
    <t>Annual Report Submitted to Administrator of Compliance Statement, SubSection 52.41(d) performance test</t>
  </si>
  <si>
    <t>Existing Sources</t>
  </si>
  <si>
    <t>Notification of Non EPA-Certified Engine Performance Test</t>
  </si>
  <si>
    <t>Report of Non EPA-Certified Engine Performance Test Results via CEDRI or analogous electronic reporting</t>
  </si>
  <si>
    <t>Annual Report submitted via CEDRI or analogous electronic reporting</t>
  </si>
  <si>
    <t>Subtotal for Reporting Requirements</t>
  </si>
  <si>
    <t>5. RECORDKEEPING REQUIREMENTS</t>
  </si>
  <si>
    <t xml:space="preserve">B. Plan Activities </t>
  </si>
  <si>
    <t xml:space="preserve">C. Implement Activities </t>
  </si>
  <si>
    <t xml:space="preserve">D. Record Data </t>
  </si>
  <si>
    <t>E. Time to Transmit or Disclose Information</t>
  </si>
  <si>
    <t>Data Collection</t>
  </si>
  <si>
    <t>Create and Store Engine Maintenance Plan</t>
  </si>
  <si>
    <t>Records of Hours of Operation</t>
  </si>
  <si>
    <t>Records of Engine Maintenance Conducted</t>
  </si>
  <si>
    <t xml:space="preserve">      Engines Anticipated with SCR or NSCR</t>
  </si>
  <si>
    <t xml:space="preserve">    Daily monitoring of catalyst inlet temperature</t>
  </si>
  <si>
    <t xml:space="preserve">    Monthly monitoring of pressure drop across catalyst</t>
  </si>
  <si>
    <t xml:space="preserve">      Engines Anticipated with no SCR or NSCR</t>
  </si>
  <si>
    <t xml:space="preserve">    Prepare CPMS site-specific monitoring plan to address monitoring system design, data collection, and QA/QC.</t>
  </si>
  <si>
    <t xml:space="preserve">    Records of Annual CPMS Performance Evaluation</t>
  </si>
  <si>
    <t xml:space="preserve">    Collect and record the CPMS monitoring parameters.</t>
  </si>
  <si>
    <t>Create and Store Maintenance Plan</t>
  </si>
  <si>
    <t>F. Time to Train Personnel of 1st year Existing Sources</t>
  </si>
  <si>
    <t xml:space="preserve">G. Time for Audits </t>
  </si>
  <si>
    <t>SUM</t>
  </si>
  <si>
    <t>Subtotal for Recordkeeping Requirements</t>
  </si>
  <si>
    <r>
      <t xml:space="preserve">Total Labor Burden and Cost (rounded) </t>
    </r>
    <r>
      <rPr>
        <b/>
        <vertAlign val="superscript"/>
        <sz val="10"/>
        <color rgb="FF000000"/>
        <rFont val="Times New Roman"/>
        <family val="1"/>
      </rPr>
      <t>f</t>
    </r>
  </si>
  <si>
    <t xml:space="preserve">hr/response  </t>
  </si>
  <si>
    <r>
      <t xml:space="preserve">Total Capital and O&amp;M Cost (rounded) </t>
    </r>
    <r>
      <rPr>
        <b/>
        <vertAlign val="superscript"/>
        <sz val="10"/>
        <rFont val="Times New Roman"/>
        <family val="1"/>
      </rPr>
      <t>f</t>
    </r>
  </si>
  <si>
    <r>
      <t xml:space="preserve">Grand TOTAL (rounded) </t>
    </r>
    <r>
      <rPr>
        <b/>
        <vertAlign val="superscript"/>
        <sz val="10"/>
        <rFont val="Times New Roman"/>
        <family val="1"/>
      </rPr>
      <t>f</t>
    </r>
  </si>
  <si>
    <r>
      <t>a</t>
    </r>
    <r>
      <rPr>
        <sz val="10"/>
        <color theme="1"/>
        <rFont val="Times New Roman"/>
        <family val="1"/>
      </rPr>
      <t xml:space="preserve">  We have assumed that there are approximately 2847 RICE units and that 10% of the existing units will have new construction/reconstruction.</t>
    </r>
  </si>
  <si>
    <r>
      <t>b</t>
    </r>
    <r>
      <rPr>
        <sz val="10"/>
        <color theme="1"/>
        <rFont val="Times New Roman"/>
        <family val="1"/>
      </rPr>
      <t xml:space="preserve">  This ICR uses the following labor rates: $161.62 per hour for Executive, Administrative, and Managerial labor; $127.68 per hour for Technical labor, and $64.22 per hour for Clerical labor.  These rates are from the United States Department of Labor, Bureau of Labor Statistics, June 2022, “Table 2. Civilian Workers, by Occupational and Industry group.”  The rates are from column 1, “Total Compensation.”  The rates have been increased by 110 percent to account for the benefit packages available to those employed by private industry.  Archived report releases can be accessed from https://www.bls.gov/bls/news-release/ecec.htm#2021;  from homepage, select Economic Releases, Archived News Releases, Employer Costs for Employee Compensation, Select a past year, Select a published report.</t>
    </r>
  </si>
  <si>
    <r>
      <t>c</t>
    </r>
    <r>
      <rPr>
        <sz val="10"/>
        <color theme="1"/>
        <rFont val="Times New Roman"/>
        <family val="1"/>
      </rPr>
      <t xml:space="preserve">  New RICE CPMS performance evaluation conducted annually. We have assumed that 5 percent of respondents would repeat annual CPMS performance evaluation due to failure.</t>
    </r>
  </si>
  <si>
    <r>
      <t>d</t>
    </r>
    <r>
      <rPr>
        <sz val="10"/>
        <rFont val="Times New Roman"/>
        <family val="1"/>
      </rPr>
      <t xml:space="preserve">  We have assumed that 5 percent of respondents would repeat annual CPMS performance evaluation due to failure.</t>
    </r>
  </si>
  <si>
    <r>
      <t>e</t>
    </r>
    <r>
      <rPr>
        <sz val="10"/>
        <color theme="1"/>
        <rFont val="Times New Roman"/>
        <family val="1"/>
      </rPr>
      <t xml:space="preserve">  Calibration drift checks on the air flow sensor on the NOx CEMS are performed daily. </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</si>
  <si>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</si>
  <si>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g</t>
    </r>
    <r>
      <rPr>
        <sz val="10"/>
        <color theme="1"/>
        <rFont val="Times New Roman"/>
        <family val="1"/>
      </rPr>
      <t xml:space="preserve">  "Hours per Occurrence" based on RICE MACT uploaded to regulations.gov on February 25, 2020.</t>
    </r>
  </si>
  <si>
    <r>
      <rPr>
        <vertAlign val="superscript"/>
        <sz val="10"/>
        <color theme="1"/>
        <rFont val="Times New Roman"/>
        <family val="1"/>
      </rPr>
      <t>h</t>
    </r>
    <r>
      <rPr>
        <sz val="10"/>
        <color theme="1"/>
        <rFont val="Times New Roman"/>
        <family val="1"/>
      </rPr>
      <t xml:space="preserve">  RICE engines required to conduct initial and annual NOx performance testing is based upon an estimated count of non-EPA-Certified Engines per 40 CFR part 60, subpart JJJJ.  An estimated count of EPA-Certified Engines of 1,594 (56% of affected engines) was determined from 2019 NEI data using the criteria of certification requirements referenced in 40 CFR part 60, subpart JJJJ, § 60.4243(a).  An estimated count of non-certified engines of 1,253 (44% of affected engines) was based upon the stated Unit Status Year data available from 2019 NEI dataset for units expecting to be controlled.  The estimated 1,253 non-certified engines was found to be in alignment with EPA's estimated number of engines (2,100) which were determined to be below the 21 tpy threshold of the facility-wide averaging plan's engine analysis as described in EPA's final non-EGU TSD.  This estimate is expected for engines subject to NSPS subpart JJJJ operating at a lower g/hp-hr emissions thresholds.</t>
    </r>
  </si>
  <si>
    <t>Pipeline Transportation of Natural Gas-Year 2</t>
  </si>
  <si>
    <t>Year 2, Reciprocating Internal Combustion Engines (RICE)</t>
  </si>
  <si>
    <t>Table 2: Annual Respondent Burden and Cost – Federal Implementation Plan Addressing Regional Ozone Transport for the 2015 Primary Ozone NAAQS: Transport Obligations for non-EGUs</t>
  </si>
  <si>
    <t>Number of Responses</t>
  </si>
  <si>
    <r>
      <t xml:space="preserve">Existing Sources - Annual CPMS Performance Evaluation </t>
    </r>
    <r>
      <rPr>
        <vertAlign val="superscript"/>
        <sz val="10"/>
        <color theme="1"/>
        <rFont val="Times New Roman"/>
        <family val="1"/>
      </rPr>
      <t>d</t>
    </r>
  </si>
  <si>
    <t xml:space="preserve">    Collect and record the CPMS monitoring parameters</t>
  </si>
  <si>
    <t>F. Time to Train Personnel of New Sources</t>
  </si>
  <si>
    <t>Pipeline Transportation of Natural Gas-Year 3</t>
  </si>
  <si>
    <t>Year 3, Reciprocating Internal Combustion Engines (RICE)</t>
  </si>
  <si>
    <t>Table 3: Annual Respondent Burden and Cost – Federal Implementation Plan Addressing Regional Ozone Transport for the 2015 Primary Ozone NAAQS: Transport Obligations for non-EGUs</t>
  </si>
  <si>
    <t xml:space="preserve">REQUEST FOR EXTENSION OF COMPLIANCE - Per 52.40(d);  (based on BACT analysis of 2020 NSR ICR) </t>
  </si>
  <si>
    <t>Notification of Demonstration of CPMS</t>
  </si>
  <si>
    <t>Year 4, Reciprocating Internal Combustion Engines (RICE)</t>
  </si>
  <si>
    <t>F. Time to Train Personnel of 1st year on CPMS</t>
  </si>
  <si>
    <t>Year 5, Reciprocating Internal Combustion Engines (RICE)</t>
  </si>
  <si>
    <r>
      <t>Non EPA-Certified Engine NOx Performance Testing</t>
    </r>
    <r>
      <rPr>
        <vertAlign val="superscript"/>
        <sz val="12"/>
        <color theme="1"/>
        <rFont val="Times New Roman"/>
        <family val="1"/>
      </rPr>
      <t>g</t>
    </r>
  </si>
  <si>
    <t>Year 6, Reciprocating Internal Combustion Engines (RICE)</t>
  </si>
  <si>
    <t>Table 4: Annual Respondent Burden and Cost – Federal Implementation Plan Addressing Regional Ozone Transport for the 2015 Primary Ozone NAAQS: Transport Obligations for non-EGUs</t>
  </si>
  <si>
    <t>Activity</t>
  </si>
  <si>
    <t>(A)</t>
  </si>
  <si>
    <t>(B)</t>
  </si>
  <si>
    <t>(C)</t>
  </si>
  <si>
    <t>(D)</t>
  </si>
  <si>
    <t>(E)</t>
  </si>
  <si>
    <t>(F)</t>
  </si>
  <si>
    <t>(G)</t>
  </si>
  <si>
    <t>(H)</t>
  </si>
  <si>
    <t>EPA person- hours per occurrence</t>
  </si>
  <si>
    <t>No. of occurrences per plant per year</t>
  </si>
  <si>
    <t>EPA person- hours per plant per year</t>
  </si>
  <si>
    <r>
      <t xml:space="preserve">Plants per year  </t>
    </r>
    <r>
      <rPr>
        <b/>
        <vertAlign val="superscript"/>
        <sz val="12"/>
        <rFont val="Times New Roman"/>
        <family val="1"/>
      </rPr>
      <t>a</t>
    </r>
  </si>
  <si>
    <t>Technical person- hours per year</t>
  </si>
  <si>
    <t>Management person-hours per year</t>
  </si>
  <si>
    <t>Clerical person-hours per year</t>
  </si>
  <si>
    <r>
      <t xml:space="preserve">Cost, $ </t>
    </r>
    <r>
      <rPr>
        <b/>
        <vertAlign val="superscript"/>
        <sz val="12"/>
        <rFont val="Times New Roman"/>
        <family val="1"/>
      </rPr>
      <t>b</t>
    </r>
  </si>
  <si>
    <t>(C=AxB)</t>
  </si>
  <si>
    <t>(E=CxD)</t>
  </si>
  <si>
    <t>(Ex0.05)</t>
  </si>
  <si>
    <t>(Ex0.1)</t>
  </si>
  <si>
    <t>These rates were updated 12/21/21 to match the rates from the Office of Personnel Management (OPM), 2021 General Schedule.</t>
  </si>
  <si>
    <r>
      <t xml:space="preserve">    annual CPMS performance evaluations </t>
    </r>
    <r>
      <rPr>
        <vertAlign val="superscript"/>
        <sz val="10"/>
        <rFont val="Times New Roman"/>
        <family val="1"/>
      </rPr>
      <t>c</t>
    </r>
  </si>
  <si>
    <r>
      <t xml:space="preserve">    Repeat annual CPMS performance evaluations </t>
    </r>
    <r>
      <rPr>
        <vertAlign val="superscript"/>
        <sz val="10"/>
        <rFont val="Times New Roman"/>
        <family val="1"/>
      </rPr>
      <t>d</t>
    </r>
  </si>
  <si>
    <t xml:space="preserve">    Report Review</t>
  </si>
  <si>
    <t xml:space="preserve">Review of REQUEST FOR CASE-BY-CASE EMISSION LIMITS - Per 52.40(d);  (based on BACT analysis of 2020 NSR ICR) </t>
  </si>
  <si>
    <r>
      <t xml:space="preserve">         Notification of annual CPMS performance evaluations </t>
    </r>
    <r>
      <rPr>
        <vertAlign val="superscript"/>
        <sz val="10"/>
        <rFont val="Times New Roman"/>
        <family val="1"/>
      </rPr>
      <t>e</t>
    </r>
  </si>
  <si>
    <r>
      <t xml:space="preserve">         Review of annual reports </t>
    </r>
    <r>
      <rPr>
        <vertAlign val="superscript"/>
        <sz val="10"/>
        <rFont val="Times New Roman"/>
        <family val="1"/>
      </rPr>
      <t>g</t>
    </r>
  </si>
  <si>
    <r>
      <t xml:space="preserve">TOTAL (rounded) </t>
    </r>
    <r>
      <rPr>
        <b/>
        <vertAlign val="superscript"/>
        <sz val="10"/>
        <rFont val="Times New Roman"/>
        <family val="1"/>
      </rPr>
      <t>f</t>
    </r>
  </si>
  <si>
    <t>Sum</t>
  </si>
  <si>
    <t>Assumptions:</t>
  </si>
  <si>
    <r>
      <t>a</t>
    </r>
    <r>
      <rPr>
        <sz val="10"/>
        <rFont val="Times New Roman"/>
        <family val="1"/>
      </rPr>
      <t xml:space="preserve">  We have assumed that there are approximately 2847 affected engines and that 10% of the existing units will be re-constructed or modified. </t>
    </r>
  </si>
  <si>
    <r>
      <t>b</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</si>
  <si>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c</t>
    </r>
    <r>
      <rPr>
        <sz val="10"/>
        <rFont val="Times New Roman"/>
        <family val="1"/>
      </rPr>
      <t xml:space="preserve">  We have assumed that EPA personnel will attend the initial performance tests for facilities that are re-constructed or modified, but will not attend the semi-annual performance tests for existing facilities.</t>
    </r>
  </si>
  <si>
    <r>
      <t>d</t>
    </r>
    <r>
      <rPr>
        <sz val="10"/>
        <rFont val="Times New Roman"/>
        <family val="1"/>
      </rPr>
      <t xml:space="preserve">  We have assumed that 5 percent of respondents would repeat performance test due to failure, but that EPA would not attend repeat performance tests.</t>
    </r>
  </si>
  <si>
    <r>
      <rPr>
        <vertAlign val="superscript"/>
        <sz val="10"/>
        <color theme="1"/>
        <rFont val="Calibri"/>
        <family val="2"/>
        <scheme val="minor"/>
      </rPr>
      <t>e</t>
    </r>
    <r>
      <rPr>
        <sz val="10"/>
        <color theme="1"/>
        <rFont val="Calibri"/>
        <family val="2"/>
        <scheme val="minor"/>
      </rPr>
      <t xml:space="preserve"> Of the 905 Units assumed to need controls installed, 226 units are assumed to not have existing continuous parametric monitoring installed but will install to demonstrate compliance with good neighbor rule.  This is based on the estimate of 2,847 engines are subject to the final rule.  The engine analysis described in the TSD document estimated that 905 engines would need to have controls installed to comply with the final rule. Many of these 905 engines are likely to have continuous parametric monitoring already installed for two main reasons, as follows:
1.	Many engines are likely to have continuous parametric monitoring installed for compliance with NSPS JJJJ and NESHAP ZZZZ; and
2.	Some state NOx RACT rules require affected engines to already have installed continuous parametric monitoring.</t>
    </r>
  </si>
  <si>
    <r>
      <rPr>
        <vertAlign val="superscript"/>
        <sz val="10"/>
        <rFont val="Times New Roman"/>
        <family val="1"/>
      </rPr>
      <t>f</t>
    </r>
    <r>
      <rPr>
        <sz val="10"/>
        <rFont val="Times New Roman"/>
        <family val="1"/>
      </rPr>
      <t xml:space="preserve">  Totals have been rounded to 3 significant figures.  Figures may not add exactly due to rounding.</t>
    </r>
  </si>
  <si>
    <r>
      <rPr>
        <vertAlign val="superscript"/>
        <sz val="10"/>
        <rFont val="Times New Roman"/>
        <family val="1"/>
      </rPr>
      <t>g</t>
    </r>
    <r>
      <rPr>
        <sz val="10"/>
        <rFont val="Times New Roman"/>
        <family val="1"/>
      </rPr>
      <t xml:space="preserve">  646 facilities operate 2847 existing RICE units.</t>
    </r>
  </si>
  <si>
    <t>Table 5: Annual Respondent Burden and Cost – Federal Implementation Plan Addressing Regional Ozone Transport for the 2015 Primary Ozone NAAQS: Transport Obligations for non-EGUs</t>
  </si>
  <si>
    <t>No. of Respones</t>
  </si>
  <si>
    <r>
      <rPr>
        <vertAlign val="superscript"/>
        <sz val="10"/>
        <color theme="1"/>
        <rFont val="Times New Roman"/>
        <family val="1"/>
      </rPr>
      <t>e</t>
    </r>
    <r>
      <rPr>
        <sz val="10"/>
        <color theme="1"/>
        <rFont val="Times New Roman"/>
        <family val="1"/>
      </rPr>
      <t xml:space="preserve"> Of the 905 Units assumed to need controls installed, 226 units are assumed to not have existing continuous parametric monitoring installed but will install to demonstrate compliance with good neighbor rule.  This is based on the estimate of 2,847 engines are subject to the final rule.  The engine analysis described in the TSD document estimated that 905 engines would need to have controls installed to comply with the final rule. Many of these 905 engines are likely to have continuous parametric monitoring already installed for two main reasons, as follows:
1.	Many engines are likely to have continuous parametric monitoring installed for compliance with NSPS JJJJ and NESHAP ZZZZ; and
2.	Some state NOx RACT rules require affected engines to already have installed continuous parametric monitoring.</t>
    </r>
  </si>
  <si>
    <t>Table 6: Annual Respondent Burden and Cost – Federal Implementation Plan Addressing Regional Ozone Transport for the 2015 Primary Ozone NAAQS: Transport Obligations for non-EGUs</t>
  </si>
  <si>
    <t xml:space="preserve">Review of REQUEST FOR EXTENSION OF COMPLIANCE - Per 52.40(c);  (based on BACT analysis of 2020 NSR ICR) </t>
  </si>
  <si>
    <t>Source:  RICE</t>
  </si>
  <si>
    <t>Table 7:  Capital/Startup vs. Operation and Maintenance (O&amp;M) Costs</t>
  </si>
  <si>
    <t>Year</t>
  </si>
  <si>
    <t>Continuous Monitoring Device</t>
  </si>
  <si>
    <t>Capital/Startup Cost for One Respondent</t>
  </si>
  <si>
    <t xml:space="preserve">Number of Respondents </t>
  </si>
  <si>
    <t>Total Capital/Startup Cost,  (B X C)</t>
  </si>
  <si>
    <t>Annual O&amp;M Costs for One Respondent</t>
  </si>
  <si>
    <r>
      <t>Number of Respondents  with O&amp;M</t>
    </r>
    <r>
      <rPr>
        <vertAlign val="superscript"/>
        <sz val="12"/>
        <color rgb="FF000000"/>
        <rFont val="Times New Roman"/>
        <family val="1"/>
      </rPr>
      <t>c</t>
    </r>
  </si>
  <si>
    <t>Total O&amp;M, (E X F)</t>
  </si>
  <si>
    <t>CPMS</t>
  </si>
  <si>
    <r>
      <t>(a) initial</t>
    </r>
    <r>
      <rPr>
        <vertAlign val="superscript"/>
        <sz val="10"/>
        <color theme="1"/>
        <rFont val="Times New Roman"/>
        <family val="1"/>
      </rPr>
      <t>a</t>
    </r>
  </si>
  <si>
    <r>
      <t>(b) annual</t>
    </r>
    <r>
      <rPr>
        <vertAlign val="superscript"/>
        <sz val="10"/>
        <color theme="1"/>
        <rFont val="Times New Roman"/>
        <family val="1"/>
      </rPr>
      <t>b</t>
    </r>
  </si>
  <si>
    <t>Install CPMS</t>
  </si>
  <si>
    <t>TOTAL</t>
  </si>
  <si>
    <t>Total Capital and O&amp;M</t>
  </si>
  <si>
    <t>a  Initial Annual Capital purchase and O&amp;M Cost of $568 (year 2010) was obtained from EC/R, Inc. Memo dated August 8, 2010 and adjusted to a 2022 cost of $781.</t>
  </si>
  <si>
    <t>b  Annual CPMS cost is assumed to be 70% of initial CPMS cost; Annual Capital purchase and O&amp;M Cost of $507 (year 2010) adjusted to a 2022 cost of $697.</t>
  </si>
  <si>
    <t>c Number of Respondents are the number of existing units with no SCR and no NSCR.</t>
  </si>
  <si>
    <r>
      <rPr>
        <vertAlign val="superscript"/>
        <sz val="11"/>
        <color theme="1"/>
        <rFont val="Calibri"/>
        <family val="2"/>
        <scheme val="minor"/>
      </rPr>
      <t>d</t>
    </r>
    <r>
      <rPr>
        <sz val="11"/>
        <color theme="1"/>
        <rFont val="Calibri"/>
        <family val="2"/>
        <scheme val="minor"/>
      </rPr>
      <t xml:space="preserve"> Of the 905 Units assumed to need controls installed, 226 units (25%) are assumed to not have existing continuous parametric monitoring installed but will install to demonstrate compliance with good neighbor rule.  This is based on the estimate of 2,847 engines are subject to the final rule.  The engine analysis described in the TSD document estimated that 905 engines would need to have controls installed to comply with the final rule. Many of these 905 engines are likely to have continuous parametric monitoring already installed for two main reasons, as follows:
1.	Many engines are likely to have continuous parametric monitoring installed for compliance with NSPS JJJJ and NESHAP ZZZZ; and
2.	Some state NOx RACT rules require affected engines to already have installed continuous parametric monitoring.</t>
    </r>
  </si>
  <si>
    <t>CPMS-annual</t>
  </si>
  <si>
    <t>(a) initial</t>
  </si>
  <si>
    <t>(b) annual</t>
  </si>
  <si>
    <t>Cement and Concrete Manufacturing- Year 1</t>
  </si>
  <si>
    <t>Source:  Kilns</t>
  </si>
  <si>
    <t>Table 15: Annual Respondent Burden and Cost – Federal Implementation Plan Addressing Regional Ozone Transport for the 2015 Primary Ozone NAAQS: Transport Obligations for non-EGUs</t>
  </si>
  <si>
    <t>Other EDITS:  change PM to NOx</t>
  </si>
  <si>
    <t>Initial Notification Form of Applicability</t>
  </si>
  <si>
    <r>
      <t xml:space="preserve">New Sources - Testing </t>
    </r>
    <r>
      <rPr>
        <vertAlign val="superscript"/>
        <sz val="10"/>
        <color theme="1"/>
        <rFont val="Times New Roman"/>
        <family val="1"/>
      </rPr>
      <t>c</t>
    </r>
  </si>
  <si>
    <t>Number of kilns</t>
  </si>
  <si>
    <t>Initial NOx Performance Test (kiln)</t>
  </si>
  <si>
    <t>Repeat NOx Performance Test</t>
  </si>
  <si>
    <t>0.7% of existing sources are considered new sources per Title V ICR</t>
  </si>
  <si>
    <t>Initial Performance Evaluation of CPMS</t>
  </si>
  <si>
    <t>Repeat Performance Evaluation of CPMS</t>
  </si>
  <si>
    <r>
      <t xml:space="preserve">Existing Sources - Initial Testing </t>
    </r>
    <r>
      <rPr>
        <vertAlign val="superscript"/>
        <sz val="10"/>
        <color theme="1"/>
        <rFont val="Times New Roman"/>
        <family val="1"/>
      </rPr>
      <t>d</t>
    </r>
  </si>
  <si>
    <r>
      <t xml:space="preserve">Existing Sources - Annual Testing </t>
    </r>
    <r>
      <rPr>
        <vertAlign val="superscript"/>
        <sz val="10"/>
        <color theme="1"/>
        <rFont val="Times New Roman"/>
        <family val="1"/>
      </rPr>
      <t>d</t>
    </r>
  </si>
  <si>
    <t>Annual NOx Performance Test (kiln)</t>
  </si>
  <si>
    <t xml:space="preserve">Repeat NOx Performance Test </t>
  </si>
  <si>
    <t>New Sources- Reporting</t>
  </si>
  <si>
    <t>Report of Performance Test Results via CEDRI or analogous electronic reporting</t>
  </si>
  <si>
    <t>Notification of Initial Performance Evaluation of CPMS</t>
  </si>
  <si>
    <t>Report of Performance Evaluation of CPMS</t>
  </si>
  <si>
    <t>Annual Report via CEDRI or analogous electronic reporting</t>
  </si>
  <si>
    <t>Existing Sources-Reporting</t>
  </si>
  <si>
    <t>Notification of Annual Performance Test</t>
  </si>
  <si>
    <t>Report of Annual Performance Test Results and Annual Report combined via CEDRI or analogous electronic reporting</t>
  </si>
  <si>
    <t>Report of Initial Performance Evaluation of CPMS Test Results</t>
  </si>
  <si>
    <t>Records of Performance Tests</t>
  </si>
  <si>
    <t>Recordkeeping of NOx emission rate, operating days data, CPMS data</t>
  </si>
  <si>
    <t>CPMS Recordkeeping</t>
  </si>
  <si>
    <t>F. Time to Train Personnel</t>
  </si>
  <si>
    <r>
      <t xml:space="preserve">Total Labor Burden and Cost (rounded) </t>
    </r>
    <r>
      <rPr>
        <b/>
        <vertAlign val="superscript"/>
        <sz val="10"/>
        <color rgb="FF000000"/>
        <rFont val="Times New Roman"/>
        <family val="1"/>
      </rPr>
      <t>e</t>
    </r>
  </si>
  <si>
    <r>
      <t xml:space="preserve">Total Capital and O&amp;M Cost (rounded) </t>
    </r>
    <r>
      <rPr>
        <b/>
        <vertAlign val="superscript"/>
        <sz val="10"/>
        <rFont val="Times New Roman"/>
        <family val="1"/>
      </rPr>
      <t>e</t>
    </r>
  </si>
  <si>
    <r>
      <t xml:space="preserve">Grand TOTAL (rounded) </t>
    </r>
    <r>
      <rPr>
        <b/>
        <vertAlign val="superscript"/>
        <sz val="10"/>
        <rFont val="Times New Roman"/>
        <family val="1"/>
      </rPr>
      <t>e</t>
    </r>
  </si>
  <si>
    <r>
      <t>a</t>
    </r>
    <r>
      <rPr>
        <sz val="10"/>
        <color theme="1"/>
        <rFont val="Times New Roman"/>
        <family val="1"/>
      </rPr>
      <t xml:space="preserve">  We have assumed that there are approximately 79 affected kilns and that 10% of the existing units will have new construction/reconstruction.</t>
    </r>
  </si>
  <si>
    <r>
      <t>c</t>
    </r>
    <r>
      <rPr>
        <sz val="10"/>
        <color theme="1"/>
        <rFont val="Times New Roman"/>
        <family val="1"/>
      </rPr>
      <t xml:space="preserve">  New kilns test for NOx. We have assumed that 5 percent of respondents would repeat initial performance test due to failure.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</si>
  <si>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</si>
  <si>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t>Cement and Concrete Manufacturing - Year 2</t>
  </si>
  <si>
    <t>Initial Performance Evaluation of  CPMS</t>
  </si>
  <si>
    <t>Notification of annual Performance Test</t>
  </si>
  <si>
    <t>Report of Annual Performance Test Results via CEDRI or analogous electronic reporting</t>
  </si>
  <si>
    <t>Cement and Concrete Manufacturing-Year 3</t>
  </si>
  <si>
    <t>Report of Initial Performance Evaluation of NOx CEMS or CPMS Test Results</t>
  </si>
  <si>
    <t>Cement and Concrete Manufacturing- Year 4</t>
  </si>
  <si>
    <t>Cement and Concrete Manufacturing - Year 5</t>
  </si>
  <si>
    <t>Cement and Concrete Manufacturing-Year 6</t>
  </si>
  <si>
    <t>Semi-annual NOx Performance Test (kiln)</t>
  </si>
  <si>
    <t>Notification of Initial Performance Evaluation of NOx CEMS or CPMS</t>
  </si>
  <si>
    <t>Cement and Concrete Manufacturing-Year 1</t>
  </si>
  <si>
    <t>Table 16:  Average Annual EPA Burden and Cost -   Federal Implementation Plan Addressing Regional Ozone Transport for the 2015 Primary Ozone NAAQS: Transport Obligations for non-EGUs</t>
  </si>
  <si>
    <r>
      <t xml:space="preserve">    Initial performance tests </t>
    </r>
    <r>
      <rPr>
        <vertAlign val="superscript"/>
        <sz val="10"/>
        <rFont val="Times New Roman"/>
        <family val="1"/>
      </rPr>
      <t>c</t>
    </r>
  </si>
  <si>
    <r>
      <t xml:space="preserve">    Repeat performance test </t>
    </r>
    <r>
      <rPr>
        <vertAlign val="superscript"/>
        <sz val="10"/>
        <rFont val="Times New Roman"/>
        <family val="1"/>
      </rPr>
      <t>d</t>
    </r>
  </si>
  <si>
    <r>
      <t xml:space="preserve">    Initial Performance Evaluation of CPMS </t>
    </r>
    <r>
      <rPr>
        <vertAlign val="superscript"/>
        <sz val="10"/>
        <rFont val="Times New Roman"/>
        <family val="1"/>
      </rPr>
      <t>c</t>
    </r>
  </si>
  <si>
    <r>
      <t xml:space="preserve">    Repeat Performance Evaluation of CPMS </t>
    </r>
    <r>
      <rPr>
        <vertAlign val="superscript"/>
        <sz val="10"/>
        <rFont val="Times New Roman"/>
        <family val="1"/>
      </rPr>
      <t>d</t>
    </r>
  </si>
  <si>
    <r>
      <t xml:space="preserve">         Notification of performance test </t>
    </r>
    <r>
      <rPr>
        <vertAlign val="superscript"/>
        <sz val="10"/>
        <rFont val="Times New Roman"/>
        <family val="1"/>
      </rPr>
      <t>e</t>
    </r>
  </si>
  <si>
    <t xml:space="preserve">         Review performance test results</t>
  </si>
  <si>
    <r>
      <t xml:space="preserve">Notification of Performance Evaluation of CPMS </t>
    </r>
    <r>
      <rPr>
        <vertAlign val="superscript"/>
        <sz val="10"/>
        <rFont val="Times New Roman"/>
        <family val="1"/>
      </rPr>
      <t>e</t>
    </r>
  </si>
  <si>
    <r>
      <t xml:space="preserve">Review test results/CPMS Performance Evaluation Results </t>
    </r>
    <r>
      <rPr>
        <vertAlign val="superscript"/>
        <sz val="10"/>
        <rFont val="Times New Roman"/>
        <family val="1"/>
      </rPr>
      <t>e</t>
    </r>
  </si>
  <si>
    <r>
      <t>a</t>
    </r>
    <r>
      <rPr>
        <sz val="10"/>
        <rFont val="Times New Roman"/>
        <family val="1"/>
      </rPr>
      <t xml:space="preserve">  We have assumed that there are approximately 79 affected kilns and that 0.7% of the existing units will be new per TV ICR.</t>
    </r>
  </si>
  <si>
    <t>Cement and Concrete Manufacturing-Year 2</t>
  </si>
  <si>
    <t>Cement and Concrete Manufacturing-Year 4</t>
  </si>
  <si>
    <t>Cement and Concrete Manufacturing-Year 5</t>
  </si>
  <si>
    <t>Cement and Concrete Manufacturing - Years 1-3</t>
  </si>
  <si>
    <t>Table 14: Capital/Startup vs. Operation and Maintenance (O&amp;M) Costs</t>
  </si>
  <si>
    <t xml:space="preserve">Number of New Respondents </t>
  </si>
  <si>
    <t>Number of Respondents  with O&amp;M</t>
  </si>
  <si>
    <r>
      <t>(a) initial</t>
    </r>
    <r>
      <rPr>
        <vertAlign val="superscript"/>
        <sz val="11"/>
        <color theme="1"/>
        <rFont val="Times New Roman"/>
        <family val="1"/>
      </rPr>
      <t>a</t>
    </r>
  </si>
  <si>
    <t>Cement and Concrete Manufacturing- Years 4-6</t>
  </si>
  <si>
    <t>CPMS- annual</t>
  </si>
  <si>
    <t>Year 1, Sources: Boilers, Furnaces, Coke Ovens, Windbox</t>
  </si>
  <si>
    <t>Table 8: Annual Respondent Burden and Cost – Federal Implementation Plan Addressing Regional Ozone Transport for the 2015 Primary Ozone NAAQS: Transport Obligations for non-EGUs</t>
  </si>
  <si>
    <t>Number of Respones</t>
  </si>
  <si>
    <t>Number of Boilers</t>
  </si>
  <si>
    <t>Note:  Assumed that 40% of Taconite Kilns have no existing low-NOx burners.</t>
  </si>
  <si>
    <t>Sum without CEMS</t>
  </si>
  <si>
    <r>
      <t>a</t>
    </r>
    <r>
      <rPr>
        <sz val="10"/>
        <color theme="1"/>
        <rFont val="Times New Roman"/>
        <family val="1"/>
      </rPr>
      <t xml:space="preserve">  We have assumed that there are approximately 29 affected units and that 10% of the existing units will have new construction/reconstruction.</t>
    </r>
  </si>
  <si>
    <r>
      <t>c</t>
    </r>
    <r>
      <rPr>
        <sz val="10"/>
        <color theme="1"/>
        <rFont val="Times New Roman"/>
        <family val="1"/>
      </rPr>
      <t xml:space="preserve">  New boilers test for NOx. We have assumed that 5 percent of respondents would repeat initial performance test due to failure.</t>
    </r>
  </si>
  <si>
    <r>
      <t>d</t>
    </r>
    <r>
      <rPr>
        <sz val="10"/>
        <rFont val="Times New Roman"/>
        <family val="1"/>
      </rPr>
      <t xml:space="preserve">  The rule requires existing boilers to conduct an initial compliance test within 90 days from the installation of the pollution control equipment used to comply with the NOx emission limits. We have assumed that 5 percent of respondents would repeat annual performance test due to failure.</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</si>
  <si>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</si>
  <si>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t>Year 2, Sources: Boilers, Furnaces, Coke Ovens, Windbox</t>
  </si>
  <si>
    <t>Table 9: Annual Respondent Burden and Cost – Federal Implementation Plan Addressing Regional Ozone Transport for the 2015 Primary Ozone NAAQS: Transport Obligations for non-EGUs</t>
  </si>
  <si>
    <t>Year 3, Sources: Boilers, Furnaces, Coke Ovens, Windbox</t>
  </si>
  <si>
    <t>Table 10: Annual Respondent Burden and Cost – Federal Implementation Plan Addressing Regional Ozone Transport for the 2015 Primary Ozone NAAQS: Transport Obligations for non-EGUs</t>
  </si>
  <si>
    <t>Total no. of Taconite kilns</t>
  </si>
  <si>
    <t>Taconite kilns with existing low-NOx burners (at effective date of rule)</t>
  </si>
  <si>
    <t>Taconite kilns with no existing low-NOx burners (at effective date of rule)</t>
  </si>
  <si>
    <t>Year 4, Sources: Boilers, Furnaces, Coke Ovens, Windbox</t>
  </si>
  <si>
    <t>Initial NOx Performance Test (furnaces)</t>
  </si>
  <si>
    <r>
      <t xml:space="preserve">Existing Sources - Annual Testing </t>
    </r>
    <r>
      <rPr>
        <vertAlign val="superscript"/>
        <sz val="10"/>
        <color theme="1"/>
        <rFont val="Times New Roman"/>
        <family val="1"/>
      </rPr>
      <t>g</t>
    </r>
  </si>
  <si>
    <t>Annual NOx Performance Test (furnaces)</t>
  </si>
  <si>
    <r>
      <t>g</t>
    </r>
    <r>
      <rPr>
        <sz val="10"/>
        <rFont val="Times New Roman"/>
        <family val="1"/>
      </rPr>
      <t xml:space="preserve">  The rule requires existing furnaces re-test annually for NOx.  Existing furnaces are assumed to not have existing CPMS installed. </t>
    </r>
  </si>
  <si>
    <t>Year 5, Sources: Boilers, Furnaces, Coke Ovens, Windbox</t>
  </si>
  <si>
    <t>Year 6, Sources: Boilers, Furnaces, Coke Ovens, Windbox</t>
  </si>
  <si>
    <t>Quarterly Electronic Reports to Administrator</t>
  </si>
  <si>
    <t>Table 11:  Average Annual EPA Burden and Cost - Federal Implementation Plan Addressing Regional Ozone Transport for the 2015 Primary Ozone NAAQS: Transport Obligations for non-EGUs</t>
  </si>
  <si>
    <t>Review of Work Plan for Basic Oxygen Process Furnaces</t>
  </si>
  <si>
    <t>Review Demonstration Report For Taconite Kilns with Existing low-NOx burners</t>
  </si>
  <si>
    <t xml:space="preserve">Review Work Plan For Taconite Kilns with no Existing low-NOx burners </t>
  </si>
  <si>
    <t xml:space="preserve">         Review annual electronic report</t>
  </si>
  <si>
    <r>
      <t>a</t>
    </r>
    <r>
      <rPr>
        <sz val="10"/>
        <rFont val="Times New Roman"/>
        <family val="1"/>
      </rPr>
      <t xml:space="preserve">  We have assumed that there are approximately 29 affected units and that 10% of the existing units will be re-constructed or modified. </t>
    </r>
  </si>
  <si>
    <r>
      <t>c</t>
    </r>
    <r>
      <rPr>
        <sz val="10"/>
        <rFont val="Times New Roman"/>
        <family val="1"/>
      </rPr>
      <t xml:space="preserve">  We have assumed that EPA personnel will attend the initial performance tests for facilities that are re-constructed or modified, but will not attend the annual performance tests for existing facilities.</t>
    </r>
  </si>
  <si>
    <r>
      <rPr>
        <vertAlign val="superscript"/>
        <sz val="10"/>
        <rFont val="Times New Roman"/>
        <family val="1"/>
      </rPr>
      <t>e</t>
    </r>
    <r>
      <rPr>
        <sz val="10"/>
        <rFont val="Times New Roman"/>
        <family val="1"/>
      </rPr>
      <t xml:space="preserve">  Modified, reconstructed, and existing facilities conduct initial testing.</t>
    </r>
  </si>
  <si>
    <t>Table 12:  Average Annual EPA Burden and Cost - Federal Implementation Plan Addressing Regional Ozone Transport for the 2015 Primary Ozone NAAQS: Transport Obligations for non-EGUs</t>
  </si>
  <si>
    <r>
      <t xml:space="preserve">    Repeat Performance Evaluation of CPMS</t>
    </r>
    <r>
      <rPr>
        <vertAlign val="superscript"/>
        <sz val="10"/>
        <rFont val="Times New Roman"/>
        <family val="1"/>
      </rPr>
      <t>d</t>
    </r>
  </si>
  <si>
    <r>
      <t xml:space="preserve">    Notification of Performance Evaluation of CPMS </t>
    </r>
    <r>
      <rPr>
        <vertAlign val="superscript"/>
        <sz val="10"/>
        <rFont val="Times New Roman"/>
        <family val="1"/>
      </rPr>
      <t>e</t>
    </r>
  </si>
  <si>
    <r>
      <t xml:space="preserve">   Review test results/CPMS Performance Evaluation Results </t>
    </r>
    <r>
      <rPr>
        <vertAlign val="superscript"/>
        <sz val="10"/>
        <rFont val="Times New Roman"/>
        <family val="1"/>
      </rPr>
      <t>e</t>
    </r>
  </si>
  <si>
    <t>Table 13:  Average Annual EPA Burden and Cost - Federal Implementation Plan Addressing Regional Ozone Transport for the 2015 Primary Ozone NAAQS: Transport Obligations for non-EGUs</t>
  </si>
  <si>
    <t>Review of Work Plan For Emission Units Not Identified in (d)(a)(i)(2) or (3) [refer to Reg Text.doc]</t>
  </si>
  <si>
    <t>Iron and Steel Mills and Ferroalloy Manufacturing- Years 1-3</t>
  </si>
  <si>
    <t>Source:  Boilers</t>
  </si>
  <si>
    <t>Initial CPMS testing</t>
  </si>
  <si>
    <t>Iron and Steel Mills and Ferroalloy Manufacturing, Years 4-6</t>
  </si>
  <si>
    <t>Glass and Glass Product Manufacturing-Year 1</t>
  </si>
  <si>
    <t>Source:  Furnaces</t>
  </si>
  <si>
    <t>Table 17: Annual Respondent Burden and Cost –  Federal Implementation Plan Addressing Regional Ozone Transport for the 2015 Primary Ozone NAAQS: Transport Obligations for non-EGUs</t>
  </si>
  <si>
    <t>Number of furnaces</t>
  </si>
  <si>
    <t>New Sources-Reporting</t>
  </si>
  <si>
    <t>Report of Performance Tests submitted via CEDRI or analogous electronic reporting</t>
  </si>
  <si>
    <t>Report of Annual Performance Test Results submitted via CEDRI or analogous electronic reporting</t>
  </si>
  <si>
    <r>
      <t>a</t>
    </r>
    <r>
      <rPr>
        <sz val="10"/>
        <color theme="1"/>
        <rFont val="Times New Roman"/>
        <family val="1"/>
      </rPr>
      <t xml:space="preserve">  We have assumed that there are approximately 85 affected furnaces and that 10% of the existing units will have new construction/reconstruction.</t>
    </r>
  </si>
  <si>
    <r>
      <t>c</t>
    </r>
    <r>
      <rPr>
        <sz val="10"/>
        <color theme="1"/>
        <rFont val="Times New Roman"/>
        <family val="1"/>
      </rPr>
      <t xml:space="preserve">  New furnaces test for NOx. We have assumed that 5 percent of respondents would repeat initial performance test due to failure.</t>
    </r>
  </si>
  <si>
    <r>
      <t>d</t>
    </r>
    <r>
      <rPr>
        <sz val="10"/>
        <rFont val="Times New Roman"/>
        <family val="1"/>
      </rPr>
      <t xml:space="preserve">  The rule requires existing furnaces re-test annually for NOx.  Existing furnaces are assumed to not have existing CPMS installed. </t>
    </r>
  </si>
  <si>
    <t>Glass and Glass Product Manufacturing-Year 2</t>
  </si>
  <si>
    <t>Initial Performance Evaluation of NOx CEMS or CPMS</t>
  </si>
  <si>
    <t>Repeat Performance Evaluation of NOx CEMS or CPMS</t>
  </si>
  <si>
    <t>Quarterly Accuracy Assessment</t>
  </si>
  <si>
    <t>Notification of Demonstration of CEMS or CPMS</t>
  </si>
  <si>
    <t>Report of Performance Evaluation of NOx CEMS or CPMS</t>
  </si>
  <si>
    <t>Recordkeeping of NOx emission rate, operating days data, CEMS or CPMS data</t>
  </si>
  <si>
    <t>CEMS or CPMS Recordkeeping</t>
  </si>
  <si>
    <t>Glass and Glass Product Manufacturing-Year 3</t>
  </si>
  <si>
    <t>Glass and Glass Product Manufacturing-Year 4</t>
  </si>
  <si>
    <t>Glass and Glass Product Manufacturing-Year 5</t>
  </si>
  <si>
    <t>Glass and Glass Product Manufacturing-Year 6</t>
  </si>
  <si>
    <t>Table 18:  Average Annual EPA Burden and Cost -   Federal Implementation Plan Addressing Regional Ozone Transport for the 2015 Primary Ozone NAAQS: Transport Obligations for non-EGUs</t>
  </si>
  <si>
    <r>
      <t xml:space="preserve">Notification of Performance Evaluation of CPMS </t>
    </r>
    <r>
      <rPr>
        <vertAlign val="superscript"/>
        <sz val="10"/>
        <rFont val="Times New Roman"/>
        <family val="1"/>
      </rPr>
      <t>f</t>
    </r>
  </si>
  <si>
    <r>
      <t xml:space="preserve">Review test results/CPMS Performance Evaluation Results </t>
    </r>
    <r>
      <rPr>
        <vertAlign val="superscript"/>
        <sz val="10"/>
        <rFont val="Times New Roman"/>
        <family val="1"/>
      </rPr>
      <t>g</t>
    </r>
  </si>
  <si>
    <r>
      <t>a</t>
    </r>
    <r>
      <rPr>
        <sz val="10"/>
        <rFont val="Times New Roman"/>
        <family val="1"/>
      </rPr>
      <t xml:space="preserve">  We have assumed that there are approximately 85 affected furnaces and that 10% of the existing units will be re-constructed or modified. </t>
    </r>
  </si>
  <si>
    <r>
      <rPr>
        <vertAlign val="superscript"/>
        <sz val="10"/>
        <rFont val="Times New Roman"/>
        <family val="1"/>
      </rPr>
      <t>e</t>
    </r>
    <r>
      <rPr>
        <sz val="10"/>
        <rFont val="Times New Roman"/>
        <family val="1"/>
      </rPr>
      <t xml:space="preserve">  Modified or reconstructed facilities conduct initial testing, and existing facilities (kilns) conduct annual testing.</t>
    </r>
  </si>
  <si>
    <r>
      <rPr>
        <vertAlign val="superscript"/>
        <sz val="10"/>
        <rFont val="Times New Roman"/>
        <family val="1"/>
      </rPr>
      <t>f</t>
    </r>
    <r>
      <rPr>
        <sz val="10"/>
        <rFont val="Times New Roman"/>
        <family val="1"/>
      </rPr>
      <t xml:space="preserve">  Modified, reconstructed, and existing facilities conduct initial testing.</t>
    </r>
  </si>
  <si>
    <r>
      <rPr>
        <vertAlign val="superscript"/>
        <sz val="10"/>
        <rFont val="Times New Roman"/>
        <family val="1"/>
      </rPr>
      <t>g</t>
    </r>
    <r>
      <rPr>
        <sz val="10"/>
        <rFont val="Times New Roman"/>
        <family val="1"/>
      </rPr>
      <t xml:space="preserve">  Totals have been rounded to 3 significant figures.  Figures may not add exactly due to rounding.</t>
    </r>
  </si>
  <si>
    <r>
      <t xml:space="preserve">    Repeat Performance Evaluation of NOx CEMS or CPMS </t>
    </r>
    <r>
      <rPr>
        <vertAlign val="superscript"/>
        <sz val="10"/>
        <rFont val="Times New Roman"/>
        <family val="1"/>
      </rPr>
      <t>d</t>
    </r>
  </si>
  <si>
    <t>Glass and Glass Product Manufacturing, Years 1-3</t>
  </si>
  <si>
    <t>Table 19:  Capital/Startup vs. Operation and Maintenance (O&amp;M) Costs</t>
  </si>
  <si>
    <t xml:space="preserve">Capital/Startup Cost for One Respondent </t>
  </si>
  <si>
    <t>Number of New Respondents</t>
  </si>
  <si>
    <r>
      <t xml:space="preserve">Total Capital/Startup Cost </t>
    </r>
    <r>
      <rPr>
        <vertAlign val="superscript"/>
        <sz val="10"/>
        <color rgb="FF000000"/>
        <rFont val="Times New Roman"/>
        <family val="1"/>
      </rPr>
      <t>a</t>
    </r>
    <r>
      <rPr>
        <sz val="10"/>
        <color rgb="FF000000"/>
        <rFont val="Times New Roman"/>
        <family val="1"/>
      </rPr>
      <t xml:space="preserve">
(B X C)</t>
    </r>
  </si>
  <si>
    <t>Number of Respondents with O&amp;M</t>
  </si>
  <si>
    <t>Total O&amp;M
(E X F)</t>
  </si>
  <si>
    <r>
      <t>(a) initial</t>
    </r>
    <r>
      <rPr>
        <vertAlign val="superscript"/>
        <sz val="11"/>
        <color theme="1"/>
        <rFont val="Times New Roman"/>
        <family val="1"/>
      </rPr>
      <t>b</t>
    </r>
  </si>
  <si>
    <r>
      <t>(b) annual</t>
    </r>
    <r>
      <rPr>
        <vertAlign val="superscript"/>
        <sz val="10"/>
        <color theme="1"/>
        <rFont val="Times New Roman"/>
        <family val="1"/>
      </rPr>
      <t>c</t>
    </r>
  </si>
  <si>
    <t>Performance Tests</t>
  </si>
  <si>
    <t>Monitoring Equipment</t>
  </si>
  <si>
    <t>File Cabinets</t>
  </si>
  <si>
    <r>
      <t xml:space="preserve">Inspection of Emission Control Systems </t>
    </r>
    <r>
      <rPr>
        <vertAlign val="superscript"/>
        <sz val="10"/>
        <color rgb="FF000000"/>
        <rFont val="Times New Roman"/>
        <family val="1"/>
      </rPr>
      <t>d</t>
    </r>
  </si>
  <si>
    <r>
      <t xml:space="preserve">Total </t>
    </r>
    <r>
      <rPr>
        <vertAlign val="superscript"/>
        <sz val="10"/>
        <color rgb="FF000000"/>
        <rFont val="Times New Roman"/>
        <family val="1"/>
      </rPr>
      <t>e</t>
    </r>
  </si>
  <si>
    <r>
      <t>a</t>
    </r>
    <r>
      <rPr>
        <sz val="10"/>
        <color rgb="FF000000"/>
        <rFont val="Times New Roman"/>
        <family val="1"/>
      </rPr>
      <t xml:space="preserve"> No new sources are expected and all existing sources have fully implemented capital costs to comply with the current standards. Therefore, no additional capital/start-up costs are expected.</t>
    </r>
  </si>
  <si>
    <r>
      <t>d</t>
    </r>
    <r>
      <rPr>
        <sz val="10"/>
        <color rgb="FF000000"/>
        <rFont val="Times New Roman"/>
        <family val="1"/>
      </rPr>
      <t xml:space="preserve"> We estimate 50 glass manufacturing facilities with 85 affected furnaces. We assume that annual inspections of emission control systems will require 8 hours per inspection at the current labor rate for technical personnel ($127.68/hr) for each of the 61 affected furnaces with a control device ($127.68 x 8 = $1021 (rounded)).</t>
    </r>
  </si>
  <si>
    <r>
      <t>e</t>
    </r>
    <r>
      <rPr>
        <sz val="10"/>
        <color theme="1"/>
        <rFont val="Times New Roman"/>
        <family val="1"/>
      </rPr>
      <t xml:space="preserve"> Totals have been rounded to 3 significant figures. Figures may not add exactly due to rounding.</t>
    </r>
  </si>
  <si>
    <t>Municipal Waste Combustors - Industry Burden</t>
  </si>
  <si>
    <t>Table 20: Annual Respondent Burden and Cost – Federal Implementation Plan Addressing Regional Ozone Transport for the 2015 Primary Ozone NAAQS: Transport Obligations for non-EGUs</t>
  </si>
  <si>
    <t>Number of MWC</t>
  </si>
  <si>
    <t>Initial NOx Performance Test</t>
  </si>
  <si>
    <t>0.0% of existing sources are considered new sources per 2022 Supporting Statement of NSPS Subpart Ea MWC ICR</t>
  </si>
  <si>
    <t>Universe estimate provided per 02/08/2023 Robin Langdon email.</t>
  </si>
  <si>
    <t>Assumed Units with Existing CEMS</t>
  </si>
  <si>
    <t>As described in EPA's final non-EGU TSD doucment, EPA research conducted found 74 units are assumed to already be subject to NSPS (ie.NSPS subpart Eb) and state RACTs are assumed to already have CEMS installed.</t>
  </si>
  <si>
    <t>Assumed Units without Existing CEMS</t>
  </si>
  <si>
    <t>EPA research conducted found 6 MWCs of the 80 affected units do not have existing controls.</t>
  </si>
  <si>
    <r>
      <t>Daily Calibration Drift Tests - NOx CEMS</t>
    </r>
    <r>
      <rPr>
        <vertAlign val="superscript"/>
        <sz val="11"/>
        <color theme="1"/>
        <rFont val="Times New Roman"/>
        <family val="1"/>
      </rPr>
      <t>g</t>
    </r>
  </si>
  <si>
    <t>Report of Performance Tests</t>
  </si>
  <si>
    <t>Submit Annual Electronic Reports via CEDRI or analogous electronic reporting to EPA</t>
  </si>
  <si>
    <t>Report of Initial Performance Test Results</t>
  </si>
  <si>
    <t>Records of 1-hour ave. NOx emissions, 24-hour ave. NOx emissions, excluded NOx emissions data, daily drift tests, quarterly accuracy determination for CEMS, certified and trained staff records, off-site staff records.</t>
  </si>
  <si>
    <r>
      <t>a</t>
    </r>
    <r>
      <rPr>
        <sz val="10"/>
        <color theme="1"/>
        <rFont val="Times New Roman"/>
        <family val="1"/>
      </rPr>
      <t xml:space="preserve">  We have assumed that there are approximately 80 affected municipal waste combustors (MWCs).</t>
    </r>
  </si>
  <si>
    <r>
      <t>c</t>
    </r>
    <r>
      <rPr>
        <sz val="10"/>
        <color theme="1"/>
        <rFont val="Times New Roman"/>
        <family val="1"/>
      </rPr>
      <t xml:space="preserve">  New MWCs test for NOx. We have assumed that 5 percent of respondents would repeat initial performance test due to failure.</t>
    </r>
  </si>
  <si>
    <r>
      <t>d</t>
    </r>
    <r>
      <rPr>
        <sz val="10"/>
        <rFont val="Times New Roman"/>
        <family val="1"/>
      </rPr>
      <t xml:space="preserve">  The rule requires existing MWCs to conduct an initial compliance test within 90 days from the installation of the pollution control equipment used to comply with the NOx emission limits. We have assumed that 5 percent of respondents would repeat annual performance test due to failure.</t>
    </r>
  </si>
  <si>
    <r>
      <t>e</t>
    </r>
    <r>
      <rPr>
        <sz val="10"/>
        <color theme="1"/>
        <rFont val="Times New Roman"/>
        <family val="1"/>
      </rPr>
      <t xml:space="preserve">  Calibration drift checks on the air flow sensor on the NOx CEMS  or CPMS are performed daily. </t>
    </r>
  </si>
  <si>
    <t>Table 21: Annual Respondent Burden and Cost – Federal Implementation Plan Addressing Regional Ozone Transport for the 2015 Primary Ozone NAAQS: Transport Obligations for non-EGUs</t>
  </si>
  <si>
    <r>
      <t>e</t>
    </r>
    <r>
      <rPr>
        <sz val="10"/>
        <color theme="1"/>
        <rFont val="Times New Roman"/>
        <family val="1"/>
      </rPr>
      <t xml:space="preserve">  Calibration drift checks on the air flow sensor on the NOx CEMS or CPMS are performed daily. </t>
    </r>
  </si>
  <si>
    <t>Table 22: Annual Respondent Burden and Cost – Federal Implementation Plan Addressing Regional Ozone Transport for the 2015 Primary Ozone NAAQS: Transport Obligations for non-EGUs</t>
  </si>
  <si>
    <r>
      <t>Daily Calibration Drift Tests - NOx CEMS</t>
    </r>
    <r>
      <rPr>
        <vertAlign val="superscript"/>
        <sz val="11"/>
        <color theme="1"/>
        <rFont val="Times New Roman"/>
        <family val="1"/>
      </rPr>
      <t>h</t>
    </r>
  </si>
  <si>
    <t>Report of Initial Performance Test Results submitted via CEDRI or analogous electronic reporting</t>
  </si>
  <si>
    <r>
      <rPr>
        <vertAlign val="superscript"/>
        <sz val="10"/>
        <color theme="1"/>
        <rFont val="Times New Roman"/>
        <family val="1"/>
      </rPr>
      <t>f</t>
    </r>
    <r>
      <rPr>
        <sz val="10"/>
        <color theme="1"/>
        <rFont val="Times New Roman"/>
        <family val="1"/>
      </rPr>
      <t xml:space="preserve">  10 percent of respondents are assumed to submit a written request to Administrator for an alternative monitoring procedure (instead of use of CEMS).</t>
    </r>
  </si>
  <si>
    <t>Municipal Waste Combustors - Agency Burden</t>
  </si>
  <si>
    <t>Table 23:  Average Annual EPA Burden and Cost - Federal Implementation Plan Addressing Regional Ozone Transport for the 2015 Primary Ozone NAAQS: Transport Obligations for non-EGUs</t>
  </si>
  <si>
    <r>
      <t xml:space="preserve">         Review test results/CEMS Results </t>
    </r>
    <r>
      <rPr>
        <vertAlign val="superscript"/>
        <sz val="10"/>
        <rFont val="Times New Roman"/>
        <family val="1"/>
      </rPr>
      <t>e</t>
    </r>
  </si>
  <si>
    <t>Review Annual Report</t>
  </si>
  <si>
    <t>Table 24:  Average Annual EPA Burden and Cost - Federal Implementation Plan Addressing Regional Ozone Transport for the 2015 Primary Ozone NAAQS: Transport Obligations for non-EGUs</t>
  </si>
  <si>
    <t>Table 25:  Average Annual EPA Burden and Cost - Federal Implementation Plan Addressing Regional Ozone Transport for the 2015 Primary Ozone NAAQS: Transport Obligations for non-EGUs</t>
  </si>
  <si>
    <t>Table 26:  Capital/Startup vs. Operation and Maintenance (O&amp;M) Costs</t>
  </si>
  <si>
    <t>NOx Continuous Emission Monitors</t>
  </si>
  <si>
    <t>Initial CEMS testing</t>
  </si>
  <si>
    <r>
      <t>NOx Continuous Emission Monitors</t>
    </r>
    <r>
      <rPr>
        <vertAlign val="superscript"/>
        <sz val="10"/>
        <color theme="1"/>
        <rFont val="Times New Roman"/>
        <family val="1"/>
      </rPr>
      <t>a</t>
    </r>
  </si>
  <si>
    <r>
      <t>Initial O2 or CO2 Monitors</t>
    </r>
    <r>
      <rPr>
        <vertAlign val="superscript"/>
        <sz val="10"/>
        <color theme="1"/>
        <rFont val="Times New Roman"/>
        <family val="1"/>
      </rPr>
      <t>a</t>
    </r>
  </si>
  <si>
    <r>
      <rPr>
        <vertAlign val="superscript"/>
        <sz val="11"/>
        <color theme="1"/>
        <rFont val="Calibri"/>
        <family val="2"/>
        <scheme val="minor"/>
      </rPr>
      <t>a</t>
    </r>
    <r>
      <rPr>
        <sz val="11"/>
        <color theme="1"/>
        <rFont val="Calibri"/>
        <family val="2"/>
        <scheme val="minor"/>
      </rPr>
      <t>10 percent of 73 units are assumed to need installation of NOx CEMS and need O2 or CO2 monitors installed.</t>
    </r>
  </si>
  <si>
    <t>b Initial annual capital and O&amp;M cost ($116,459) from Portland Cement ICR (2019) and adjusted to 2022 cost.</t>
  </si>
  <si>
    <t>c Annual capital and O&amp;M cost ($42,600) from Boiler 5D MACT ICR (2019 ) and adjusted to 2022 cost.</t>
  </si>
  <si>
    <t>Basic Chemical Manufacturing; Petroleum and Coal Products Manufacturing; Metal Ore Mining; Pulp, Paper, and Paperboard Manufacturing, Non-Industry Iron and Steel</t>
  </si>
  <si>
    <t>Year 1,  Boilers</t>
  </si>
  <si>
    <t>Initial NOx Performance Test (boiler)</t>
  </si>
  <si>
    <t>The rule requires boilers sized less than 250 mmBTU/hr to use CPMS.</t>
  </si>
  <si>
    <t>Daily Calibration Drift Tests - NOx CEMS or CPMS</t>
  </si>
  <si>
    <t>Submit Quarterly Electronic Reports to Administrator of NOx Emission Rates data, Excess Emissions, Missing and Excluded Data, "F" factor, and other CEMS  or CPMS data.</t>
  </si>
  <si>
    <t>Submit Quarterly Electronic Reports to Administrator of NOx Emission Rates data, Excess Emissions, Missing and Excluded Data, "F" factor, and other CEMS or CPMS data.</t>
  </si>
  <si>
    <t>Records of Montly Fuel Use</t>
  </si>
  <si>
    <t>Records of Monthly Fuel Use</t>
  </si>
  <si>
    <r>
      <t>a</t>
    </r>
    <r>
      <rPr>
        <sz val="10"/>
        <color theme="1"/>
        <rFont val="Times New Roman"/>
        <family val="1"/>
      </rPr>
      <t xml:space="preserve">  We have assumed that there are approximately 26 boilers are expected to install controls and that 10% of the existing units will have new construction/reconstruction.</t>
    </r>
  </si>
  <si>
    <t>Year 2,  Boilers</t>
  </si>
  <si>
    <t>Submit Quarterly Electronic Reports to Administrator of NOx Emission Rates data, Excess Emissions, Missing and Excluded Data, "F" factor, and other CEMS data.</t>
  </si>
  <si>
    <t>Year 3,  Boilers</t>
  </si>
  <si>
    <r>
      <t>Submit Written Request to Administrator documenting Initial Performance Test and an Alternative Monitoring Plan (Alternative to CEMS).</t>
    </r>
    <r>
      <rPr>
        <vertAlign val="superscript"/>
        <sz val="10"/>
        <color theme="1"/>
        <rFont val="Times New Roman"/>
        <family val="1"/>
      </rPr>
      <t>f</t>
    </r>
  </si>
  <si>
    <t>Submit Quarterly Electronic Reports to of NOx Emission Rates data, Excess Emissions, Missing and Excluded Data, "F" factor, and other CEMS data.</t>
  </si>
  <si>
    <t>Submit Quarterly Electronic Reports via CEDRI or analogous electronic reporting to EPA of NOx Emission Rates data, Excess Emissions, Missing and Excluded Data, "F" factor, and other CEMS data.</t>
  </si>
  <si>
    <t>Records of Monthly Fuel Use, Average Hourly NOx emission rates, 30-day average NOx emission rates, Excess Emissions data,  Missed monitoring day data, "F" factor, and CEMS monitoring data.</t>
  </si>
  <si>
    <t>Year 4,  Boilers</t>
  </si>
  <si>
    <t>Year 5,  Boilers</t>
  </si>
  <si>
    <t>Year 6,  Boilers</t>
  </si>
  <si>
    <r>
      <t xml:space="preserve">         Review test results </t>
    </r>
    <r>
      <rPr>
        <vertAlign val="superscript"/>
        <sz val="10"/>
        <rFont val="Times New Roman"/>
        <family val="1"/>
      </rPr>
      <t>e</t>
    </r>
  </si>
  <si>
    <t xml:space="preserve">         Review quarterly electronic summary reports of NOx Emission Rates data, Excess Emissions, Missing and Excluded Data, "F" factor, and other CEMS data.</t>
  </si>
  <si>
    <r>
      <t>a</t>
    </r>
    <r>
      <rPr>
        <sz val="10"/>
        <rFont val="Times New Roman"/>
        <family val="1"/>
      </rPr>
      <t xml:space="preserve">  We have assumed that there are approximately 26 boilers are expected to install controls and that 10% of the existing units will be re-constructed or modified. </t>
    </r>
  </si>
  <si>
    <t>Source:  Boilers, Years 1-3</t>
  </si>
  <si>
    <r>
      <t>(a) initial</t>
    </r>
    <r>
      <rPr>
        <vertAlign val="superscript"/>
        <sz val="11"/>
        <color theme="1"/>
        <rFont val="Times New Roman"/>
        <family val="1"/>
      </rPr>
      <t>d</t>
    </r>
  </si>
  <si>
    <r>
      <t>(b) annual</t>
    </r>
    <r>
      <rPr>
        <vertAlign val="superscript"/>
        <sz val="10"/>
        <color theme="1"/>
        <rFont val="Times New Roman"/>
        <family val="1"/>
      </rPr>
      <t>e</t>
    </r>
  </si>
  <si>
    <r>
      <rPr>
        <vertAlign val="superscript"/>
        <sz val="11"/>
        <color theme="1"/>
        <rFont val="Calibri"/>
        <family val="2"/>
        <scheme val="minor"/>
      </rPr>
      <t>a</t>
    </r>
    <r>
      <rPr>
        <sz val="11"/>
        <color theme="1"/>
        <rFont val="Calibri"/>
        <family val="2"/>
        <scheme val="minor"/>
      </rPr>
      <t xml:space="preserve"> 26 of the 208 Units are assumed to not have existing NOx CEMS and O2 or CO2 monitors but will install to demonstrate compliance with good neighbor rule.  This is based on the estimate of 208 boilers are subject to the final rule.  The rule requires boilers sized 250 mmBTU/hr or greater monitor to use a CEMS.  104 boilers are in that size range.  Many of these 104 boilers are likely to have CEMS already installed for three main reasons, as follows:
1.	Any industrial boiler in this size range installed or modified since 1984 would need to install CEMS pursuant to our NSPS at 40 CFR Part 60, Subpart Db;
2.	Some state NOx RACT rules require boilers in this size range to already have installed CEMS, and;
3.	Some of these units were brought into the NOx SIP call as industrial boilers and required to install CEMS for that program.  Although EPA recently allowed states to remove the CEMS monitoring requirement for industrial boilers included in the NOx SIP call, it is estimated that 2 or 3 states have done so.</t>
    </r>
  </si>
  <si>
    <t>b Initial Annual Capital purchase and O&amp;M Cost of $568 (year 2010) was obtained from EC/R, Inc. Memo dated August 8, 2010 and adjusted to a 2022 cost of $781.</t>
  </si>
  <si>
    <t>c Annual CPMS cost is assumed to be 70% of initial CPMS cost; Annual Capital purchase and O&amp;M Cost of $507 (year 2010) adjusted to a 2022 cost of $697.</t>
  </si>
  <si>
    <t>d  Initial Annual Capital purchase and O&amp;M Cost of $568 (year 2010) was obtained from EC/R, Inc. Memo dated August 8, 2010 and adjusted to a 2022 cost of $781.</t>
  </si>
  <si>
    <t>e  Annual CPMS cost is assumed to be 70% of initial CPMS cost; Annual Capital purchase and O&amp;M Cost of $507 (year 2010) adjusted to a 2022 cost of $697.</t>
  </si>
  <si>
    <t>Source:  Boilers, Years 4-6</t>
  </si>
  <si>
    <t>NOx Continuous Emission Monitors - annual</t>
  </si>
  <si>
    <r>
      <t>Annual O2 or CO2 Monitors</t>
    </r>
    <r>
      <rPr>
        <vertAlign val="superscript"/>
        <sz val="10"/>
        <color theme="1"/>
        <rFont val="Times New Roman"/>
        <family val="1"/>
      </rPr>
      <t>a</t>
    </r>
  </si>
  <si>
    <r>
      <t>d</t>
    </r>
    <r>
      <rPr>
        <sz val="10"/>
        <rFont val="Times New Roman"/>
        <family val="1"/>
      </rPr>
      <t xml:space="preserve">  The rule requires existing kilns re-test annually for NOx. </t>
    </r>
  </si>
  <si>
    <r>
      <rPr>
        <vertAlign val="superscript"/>
        <sz val="10"/>
        <color theme="1"/>
        <rFont val="Times New Roman"/>
        <family val="1"/>
      </rPr>
      <t>g</t>
    </r>
    <r>
      <rPr>
        <sz val="10"/>
        <color theme="1"/>
        <rFont val="Times New Roman"/>
        <family val="1"/>
      </rPr>
      <t xml:space="preserve">  As described in EPA's final rule Non-EGU Sectors Technical Support Document, EPA conducted research on existing federal regulations, state RACTs and facility permits.  EPA research found 74 units are assumed to already be subject to NSPS (ie. NSPS subpart Eb) or state RACTs and are assumed to already have CEMS installed.  EPA research found 6 MWCs of the 80 affected units do not have existing controls.</t>
    </r>
  </si>
  <si>
    <r>
      <rPr>
        <vertAlign val="superscript"/>
        <sz val="10"/>
        <color theme="1"/>
        <rFont val="Times New Roman"/>
        <family val="1"/>
      </rPr>
      <t>h</t>
    </r>
    <r>
      <rPr>
        <sz val="10"/>
        <color theme="1"/>
        <rFont val="Times New Roman"/>
        <family val="1"/>
      </rPr>
      <t xml:space="preserve">  As described in EPA's final rule Non-EGU Sectors Technical Support Document, EPA conducted research on existing federal regulations, state RACTs and facility permits.  EPA research found 74 units are assumed to already be subject to NSPS (ie. NSPS subpart Eb) or state RACTs and are assumed to already have CEMS installed.  EPA research found 6 MWCs of the 80 affected units do not have existing controls.</t>
    </r>
  </si>
  <si>
    <t>Number of Affected Units</t>
  </si>
  <si>
    <r>
      <t xml:space="preserve">    Review of Notification of Performance Evaluation of CPMS </t>
    </r>
    <r>
      <rPr>
        <vertAlign val="superscript"/>
        <sz val="10"/>
        <rFont val="Times New Roman"/>
        <family val="1"/>
      </rPr>
      <t>e</t>
    </r>
  </si>
  <si>
    <t>Work Plan For Reheat Furnaces submitted via CEDRI</t>
  </si>
  <si>
    <t>Review of Work Plan For Reheat Furnaces that is submitted via CEDRI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</si>
</sst>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General_)"/>
    <numFmt numFmtId="167" formatCode="0.0"/>
    <numFmt numFmtId="168" formatCode="_(* #,##0_);_(* \(#,##0\);_(* &quot;-&quot;??_);_(@_)"/>
    <numFmt numFmtId="169" formatCode="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10"/>
      <name val="Arial"/>
      <family val="2"/>
    </font>
    <font>
      <sz val="10"/>
      <name val="Times New Roman"/>
      <family val="1"/>
    </font>
    <font>
      <sz val="10"/>
      <name val="Arial"/>
      <family val="2"/>
    </font>
    <font>
      <b/>
      <sz val="12"/>
      <name val="Times New Roman"/>
      <family val="1"/>
    </font>
    <font>
      <sz val="11"/>
      <name val="Calibri"/>
      <family val="2"/>
      <scheme val="minor"/>
    </font>
    <font>
      <sz val="10"/>
      <color rgb="FFFF0000"/>
      <name val="Times New Roman"/>
      <family val="1"/>
    </font>
    <font>
      <b/>
      <sz val="10"/>
      <name val="Times New Roman"/>
      <family val="1"/>
    </font>
    <font>
      <sz val="10"/>
      <color rgb="FF000000"/>
      <name val="Times New Roman"/>
      <family val="1"/>
    </font>
    <font>
      <b/>
      <sz val="10"/>
      <color rgb="FFFF0000"/>
      <name val="Times New Roman"/>
      <family val="1"/>
    </font>
    <font>
      <b/>
      <vertAlign val="superscript"/>
      <sz val="10"/>
      <name val="Times New Roman"/>
      <family val="1"/>
    </font>
    <font>
      <b/>
      <i/>
      <sz val="10"/>
      <name val="Times New Roman"/>
      <family val="1"/>
    </font>
    <font>
      <vertAlign val="superscript"/>
      <sz val="10"/>
      <name val="Times New Roman"/>
      <family val="1"/>
    </font>
    <font>
      <sz val="10"/>
      <color theme="1"/>
      <name val="Times New Roman"/>
      <family val="1"/>
    </font>
    <font>
      <sz val="11"/>
      <color rgb="FF9C0006"/>
      <name val="Calibri"/>
      <family val="2"/>
      <scheme val="minor"/>
    </font>
    <font>
      <sz val="10"/>
      <color theme="1"/>
      <name val="Arial"/>
      <family val="2"/>
    </font>
    <font>
      <b/>
      <sz val="12"/>
      <color theme="1"/>
      <name val="Times New Roman"/>
      <family val="1"/>
    </font>
    <font>
      <b/>
      <sz val="10"/>
      <color theme="1"/>
      <name val="Times New Roman"/>
      <family val="1"/>
    </font>
    <font>
      <vertAlign val="superscript"/>
      <sz val="10"/>
      <color theme="1"/>
      <name val="Times New Roman"/>
      <family val="1"/>
    </font>
    <font>
      <b/>
      <sz val="10"/>
      <color rgb="FF000000"/>
      <name val="Times New Roman"/>
      <family val="1"/>
    </font>
    <font>
      <vertAlign val="superscript"/>
      <sz val="10"/>
      <color rgb="FF000000"/>
      <name val="Times New Roman"/>
      <family val="1"/>
    </font>
    <font>
      <b/>
      <i/>
      <sz val="10"/>
      <color theme="1"/>
      <name val="Times New Roman"/>
      <family val="1"/>
    </font>
    <font>
      <b/>
      <vertAlign val="superscript"/>
      <sz val="10"/>
      <color rgb="FF000000"/>
      <name val="Times New Roman"/>
      <family val="1"/>
    </font>
    <font>
      <i/>
      <sz val="10"/>
      <color theme="1"/>
      <name val="Times New Roman"/>
      <family val="1"/>
    </font>
    <font>
      <i/>
      <u/>
      <sz val="10"/>
      <color theme="1"/>
      <name val="Times New Roman"/>
      <family val="1"/>
    </font>
    <font>
      <b/>
      <vertAlign val="superscript"/>
      <sz val="12"/>
      <name val="Times New Roman"/>
      <family val="1"/>
    </font>
    <font>
      <sz val="11"/>
      <name val="Times New Roman"/>
      <family val="1"/>
    </font>
    <font>
      <vertAlign val="superscript"/>
      <sz val="12"/>
      <name val="Times New Roman"/>
      <family val="1"/>
    </font>
    <font>
      <sz val="8"/>
      <name val="Calibri"/>
      <family val="2"/>
    </font>
    <font>
      <b/>
      <sz val="12"/>
      <color rgb="FF000000"/>
      <name val="Times New Roman"/>
      <family val="1"/>
    </font>
    <font>
      <sz val="8"/>
      <name val="Arial"/>
      <family val="2"/>
    </font>
    <font>
      <b/>
      <sz val="11"/>
      <color theme="1"/>
      <name val="Calibri"/>
      <family val="2"/>
      <scheme val="minor"/>
    </font>
    <font>
      <sz val="11"/>
      <color rgb="FF000000"/>
      <name val="Calibri"/>
      <family val="2"/>
    </font>
    <font>
      <i/>
      <sz val="10"/>
      <name val="Arial"/>
      <family val="2"/>
    </font>
    <font>
      <b/>
      <sz val="12"/>
      <name val="Arial"/>
      <family val="2"/>
    </font>
    <font>
      <vertAlign val="superscript"/>
      <sz val="11"/>
      <color theme="1"/>
      <name val="Times New Roman"/>
      <family val="1"/>
    </font>
    <font>
      <vertAlign val="superscript"/>
      <sz val="11"/>
      <color theme="1"/>
      <name val="Calibri"/>
      <family val="2"/>
      <scheme val="minor"/>
    </font>
    <font>
      <sz val="10"/>
      <color theme="1"/>
      <name val="Calibri"/>
      <family val="2"/>
      <scheme val="minor"/>
    </font>
    <font>
      <vertAlign val="superscript"/>
      <sz val="12"/>
      <color rgb="FF000000"/>
      <name val="Times New Roman"/>
      <family val="1"/>
    </font>
    <font>
      <i/>
      <sz val="11"/>
      <name val="Times New Roman"/>
      <family val="1"/>
    </font>
    <font>
      <sz val="8"/>
      <name val="Arial"/>
      <family val="2"/>
    </font>
    <font>
      <sz val="10"/>
      <name val="Arial"/>
      <family val="2"/>
    </font>
    <font>
      <b/>
      <sz val="14"/>
      <name val="Times New Roman"/>
      <family val="1"/>
    </font>
    <font>
      <sz val="14"/>
      <name val="Arial"/>
      <family val="2"/>
    </font>
    <font>
      <i/>
      <sz val="12"/>
      <name val="Times New Roman"/>
      <family val="1"/>
    </font>
    <font>
      <vertAlign val="superscript"/>
      <sz val="12"/>
      <color theme="1"/>
      <name val="Times New Roman"/>
      <family val="1"/>
    </font>
    <font>
      <vertAlign val="superscript"/>
      <sz val="10"/>
      <color theme="1"/>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style="thin">
        <color indexed="64"/>
      </left>
      <right style="medium">
        <color rgb="FFFFFFFF"/>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s>
  <cellStyleXfs count="23">
    <xf numFmtId="0" fontId="0" fillId="0" borderId="0"/>
    <xf numFmtId="0" fontId="7" fillId="0" borderId="0"/>
    <xf numFmtId="0" fontId="13"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43" fontId="8" fillId="0" borderId="0" applyFont="0" applyFill="0" applyBorder="0" applyAlignment="0" applyProtection="0"/>
    <xf numFmtId="0" fontId="6" fillId="0" borderId="0"/>
    <xf numFmtId="0" fontId="8" fillId="0" borderId="0"/>
    <xf numFmtId="44" fontId="8" fillId="0" borderId="0" applyFont="0" applyFill="0" applyBorder="0" applyAlignment="0" applyProtection="0"/>
    <xf numFmtId="0" fontId="8" fillId="0" borderId="0"/>
    <xf numFmtId="0" fontId="24" fillId="10" borderId="0" applyNumberFormat="0" applyBorder="0" applyAlignment="0" applyProtection="0"/>
    <xf numFmtId="0" fontId="25" fillId="0" borderId="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3" fillId="0" borderId="0"/>
    <xf numFmtId="0" fontId="42" fillId="0" borderId="0"/>
    <xf numFmtId="43" fontId="51" fillId="0" borderId="0" applyFont="0" applyFill="0" applyBorder="0" applyAlignment="0" applyProtection="0"/>
  </cellStyleXfs>
  <cellXfs count="508">
    <xf numFmtId="0" fontId="0" fillId="0" borderId="0" xfId="0"/>
    <xf numFmtId="0" fontId="11" fillId="0" borderId="0" xfId="0" applyFont="1"/>
    <xf numFmtId="0" fontId="11" fillId="0" borderId="0" xfId="0" applyFont="1" applyFill="1"/>
    <xf numFmtId="0" fontId="8" fillId="0" borderId="0" xfId="0" applyFont="1" applyFill="1"/>
    <xf numFmtId="0" fontId="8" fillId="0" borderId="0" xfId="0" applyFont="1"/>
    <xf numFmtId="0" fontId="11" fillId="4" borderId="1" xfId="0" applyFont="1" applyFill="1" applyBorder="1" applyAlignment="1">
      <alignment horizontal="center"/>
    </xf>
    <xf numFmtId="0" fontId="11" fillId="3"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11" fillId="7" borderId="1" xfId="0" applyFont="1" applyFill="1" applyBorder="1" applyAlignment="1">
      <alignment horizontal="center"/>
    </xf>
    <xf numFmtId="0" fontId="11" fillId="9" borderId="1" xfId="2" applyFont="1" applyFill="1" applyBorder="1" applyAlignment="1">
      <alignment horizontal="center"/>
    </xf>
    <xf numFmtId="0" fontId="11" fillId="8" borderId="1" xfId="2" applyFont="1" applyFill="1" applyBorder="1" applyAlignment="1">
      <alignment horizontal="center"/>
    </xf>
    <xf numFmtId="0" fontId="8" fillId="9" borderId="1" xfId="2" applyFont="1" applyFill="1" applyBorder="1" applyAlignment="1">
      <alignment horizontal="center"/>
    </xf>
    <xf numFmtId="0" fontId="8" fillId="4" borderId="1" xfId="2" applyFont="1" applyFill="1" applyBorder="1" applyAlignment="1">
      <alignment horizontal="center"/>
    </xf>
    <xf numFmtId="0" fontId="0" fillId="0" borderId="0" xfId="0" applyFont="1"/>
    <xf numFmtId="0" fontId="0" fillId="2" borderId="1" xfId="0" applyFont="1" applyFill="1" applyBorder="1"/>
    <xf numFmtId="0" fontId="0" fillId="0" borderId="1" xfId="0" applyFont="1" applyFill="1" applyBorder="1"/>
    <xf numFmtId="0" fontId="0" fillId="0" borderId="0" xfId="0" applyFont="1" applyAlignment="1">
      <alignment horizontal="center"/>
    </xf>
    <xf numFmtId="0" fontId="0" fillId="0" borderId="0" xfId="0" applyFont="1" applyFill="1" applyAlignment="1">
      <alignment horizontal="center"/>
    </xf>
    <xf numFmtId="0" fontId="0" fillId="2" borderId="1" xfId="0" applyFont="1" applyFill="1" applyBorder="1" applyAlignment="1">
      <alignment horizontal="center"/>
    </xf>
    <xf numFmtId="0" fontId="8" fillId="4" borderId="1" xfId="7" applyFont="1" applyFill="1" applyBorder="1" applyAlignment="1">
      <alignment horizontal="center"/>
    </xf>
    <xf numFmtId="0" fontId="8" fillId="3" borderId="1" xfId="7" applyFont="1" applyFill="1" applyBorder="1" applyAlignment="1">
      <alignment horizontal="center"/>
    </xf>
    <xf numFmtId="0" fontId="8" fillId="5" borderId="1" xfId="7" applyFont="1" applyFill="1" applyBorder="1" applyAlignment="1">
      <alignment horizontal="center"/>
    </xf>
    <xf numFmtId="0" fontId="8" fillId="6" borderId="1" xfId="7" applyFont="1" applyFill="1" applyBorder="1" applyAlignment="1">
      <alignment horizontal="center"/>
    </xf>
    <xf numFmtId="0" fontId="8" fillId="7" borderId="1" xfId="7" applyFont="1" applyFill="1" applyBorder="1" applyAlignment="1">
      <alignment horizontal="center"/>
    </xf>
    <xf numFmtId="0" fontId="0" fillId="0" borderId="0" xfId="0" applyFont="1" applyFill="1"/>
    <xf numFmtId="0" fontId="15" fillId="0" borderId="0" xfId="1" applyFont="1"/>
    <xf numFmtId="0" fontId="8" fillId="3" borderId="1" xfId="2" applyFont="1" applyFill="1" applyBorder="1" applyAlignment="1">
      <alignment horizontal="center"/>
    </xf>
    <xf numFmtId="0" fontId="8" fillId="5" borderId="1" xfId="2" applyFont="1" applyFill="1" applyBorder="1" applyAlignment="1">
      <alignment horizontal="center"/>
    </xf>
    <xf numFmtId="0" fontId="8" fillId="6" borderId="1" xfId="2" applyFont="1" applyFill="1" applyBorder="1" applyAlignment="1">
      <alignment horizontal="center"/>
    </xf>
    <xf numFmtId="0" fontId="8" fillId="7" borderId="1" xfId="2" applyFont="1" applyFill="1" applyBorder="1" applyAlignment="1">
      <alignment horizontal="center"/>
    </xf>
    <xf numFmtId="0" fontId="8" fillId="8" borderId="1" xfId="2" applyFont="1" applyFill="1" applyBorder="1" applyAlignment="1">
      <alignment horizontal="center"/>
    </xf>
    <xf numFmtId="0" fontId="8" fillId="0" borderId="0" xfId="2" applyFont="1" applyFill="1"/>
    <xf numFmtId="0" fontId="0" fillId="7" borderId="1" xfId="0" applyFont="1" applyFill="1" applyBorder="1"/>
    <xf numFmtId="0" fontId="0" fillId="0" borderId="1" xfId="0" applyFont="1" applyBorder="1"/>
    <xf numFmtId="3" fontId="12" fillId="0" borderId="1" xfId="0" applyNumberFormat="1" applyFont="1" applyFill="1" applyBorder="1" applyAlignment="1">
      <alignment horizontal="center"/>
    </xf>
    <xf numFmtId="0" fontId="12" fillId="0" borderId="0" xfId="0" applyFont="1" applyBorder="1"/>
    <xf numFmtId="3" fontId="12" fillId="0" borderId="3" xfId="0" applyNumberFormat="1" applyFont="1" applyBorder="1" applyAlignment="1">
      <alignment horizontal="center"/>
    </xf>
    <xf numFmtId="165" fontId="12" fillId="0" borderId="3" xfId="0" applyNumberFormat="1" applyFont="1" applyBorder="1" applyAlignment="1">
      <alignment horizontal="center"/>
    </xf>
    <xf numFmtId="165" fontId="12" fillId="0" borderId="1" xfId="0" applyNumberFormat="1" applyFont="1" applyBorder="1" applyAlignment="1">
      <alignment horizontal="center"/>
    </xf>
    <xf numFmtId="0" fontId="18" fillId="0" borderId="0" xfId="0" applyFont="1"/>
    <xf numFmtId="165" fontId="12" fillId="0" borderId="1" xfId="0" applyNumberFormat="1" applyFont="1" applyFill="1" applyBorder="1" applyAlignment="1">
      <alignment horizontal="center"/>
    </xf>
    <xf numFmtId="166" fontId="12" fillId="0" borderId="9" xfId="0" applyNumberFormat="1" applyFont="1" applyBorder="1" applyAlignment="1">
      <alignment horizontal="center" vertical="center" wrapText="1"/>
    </xf>
    <xf numFmtId="166" fontId="12" fillId="0" borderId="3" xfId="0" applyNumberFormat="1" applyFont="1" applyBorder="1" applyAlignment="1">
      <alignment horizontal="center"/>
    </xf>
    <xf numFmtId="166" fontId="12" fillId="0" borderId="1" xfId="0" applyNumberFormat="1" applyFont="1" applyBorder="1" applyAlignment="1">
      <alignment horizontal="center"/>
    </xf>
    <xf numFmtId="3" fontId="12" fillId="0" borderId="6" xfId="0" applyNumberFormat="1" applyFont="1" applyBorder="1" applyAlignment="1">
      <alignment horizontal="center"/>
    </xf>
    <xf numFmtId="165" fontId="12" fillId="0" borderId="6" xfId="0" applyNumberFormat="1" applyFont="1" applyBorder="1" applyAlignment="1">
      <alignment horizontal="center"/>
    </xf>
    <xf numFmtId="166" fontId="12" fillId="0" borderId="10" xfId="0" applyNumberFormat="1" applyFont="1" applyBorder="1" applyAlignment="1">
      <alignment horizontal="center" vertical="center" wrapText="1"/>
    </xf>
    <xf numFmtId="166" fontId="12" fillId="11" borderId="9" xfId="13" applyNumberFormat="1" applyFont="1" applyFill="1" applyBorder="1" applyAlignment="1">
      <alignment horizontal="center" vertical="center" wrapText="1"/>
    </xf>
    <xf numFmtId="166" fontId="12" fillId="11" borderId="10" xfId="13" applyNumberFormat="1" applyFont="1" applyFill="1" applyBorder="1" applyAlignment="1">
      <alignment horizontal="center" vertical="center" wrapText="1"/>
    </xf>
    <xf numFmtId="165" fontId="12" fillId="11" borderId="3" xfId="13" applyNumberFormat="1" applyFont="1" applyFill="1" applyBorder="1" applyAlignment="1">
      <alignment horizontal="center"/>
    </xf>
    <xf numFmtId="165" fontId="12" fillId="11" borderId="6" xfId="13" applyNumberFormat="1" applyFont="1" applyFill="1" applyBorder="1" applyAlignment="1">
      <alignment horizontal="center"/>
    </xf>
    <xf numFmtId="3" fontId="12" fillId="0" borderId="3" xfId="0" applyNumberFormat="1" applyFont="1" applyFill="1" applyBorder="1" applyAlignment="1">
      <alignment horizontal="center"/>
    </xf>
    <xf numFmtId="165" fontId="12" fillId="0" borderId="6" xfId="13" applyNumberFormat="1" applyFont="1" applyFill="1" applyBorder="1" applyAlignment="1">
      <alignment horizontal="center"/>
    </xf>
    <xf numFmtId="0" fontId="12" fillId="0" borderId="0" xfId="14" applyFont="1"/>
    <xf numFmtId="0" fontId="14" fillId="0" borderId="0" xfId="14" applyFont="1"/>
    <xf numFmtId="4" fontId="12" fillId="0" borderId="0" xfId="14" applyNumberFormat="1" applyFont="1"/>
    <xf numFmtId="0" fontId="26" fillId="0" borderId="0" xfId="14" applyFont="1"/>
    <xf numFmtId="0" fontId="12" fillId="0" borderId="1" xfId="15" applyFont="1" applyBorder="1" applyAlignment="1">
      <alignment horizontal="center" vertical="center" wrapText="1"/>
    </xf>
    <xf numFmtId="0" fontId="12" fillId="0" borderId="0" xfId="15" applyFont="1"/>
    <xf numFmtId="0" fontId="17" fillId="0" borderId="1" xfId="15" applyFont="1" applyBorder="1" applyAlignment="1">
      <alignment vertical="center" wrapText="1"/>
    </xf>
    <xf numFmtId="0" fontId="15" fillId="0" borderId="0" xfId="15" applyFont="1"/>
    <xf numFmtId="0" fontId="15" fillId="0" borderId="0" xfId="15" applyFont="1" applyAlignment="1">
      <alignment horizontal="center"/>
    </xf>
    <xf numFmtId="0" fontId="15" fillId="0" borderId="1" xfId="15" applyFont="1" applyBorder="1" applyAlignment="1">
      <alignment vertical="top" wrapText="1" indent="1"/>
    </xf>
    <xf numFmtId="0" fontId="36" fillId="0" borderId="0" xfId="15" applyFont="1"/>
    <xf numFmtId="0" fontId="12" fillId="0" borderId="1" xfId="15" applyFont="1" applyBorder="1" applyAlignment="1">
      <alignment horizontal="left" vertical="center" wrapText="1" indent="1"/>
    </xf>
    <xf numFmtId="0" fontId="12" fillId="0" borderId="1" xfId="15" applyFont="1" applyBorder="1" applyAlignment="1">
      <alignment horizontal="left" vertical="center" wrapText="1"/>
    </xf>
    <xf numFmtId="6" fontId="17" fillId="0" borderId="1" xfId="15" applyNumberFormat="1" applyFont="1" applyBorder="1" applyAlignment="1">
      <alignment vertical="center" wrapText="1"/>
    </xf>
    <xf numFmtId="0" fontId="17" fillId="0" borderId="0" xfId="15" applyFont="1" applyAlignment="1">
      <alignment vertical="center"/>
    </xf>
    <xf numFmtId="4" fontId="15" fillId="0" borderId="0" xfId="15" applyNumberFormat="1" applyFont="1"/>
    <xf numFmtId="0" fontId="38" fillId="0" borderId="0" xfId="15" applyFont="1" applyAlignment="1">
      <alignment vertical="center"/>
    </xf>
    <xf numFmtId="0" fontId="23" fillId="0" borderId="0" xfId="20" applyFont="1"/>
    <xf numFmtId="0" fontId="27" fillId="0" borderId="1" xfId="20" applyFont="1" applyBorder="1" applyAlignment="1">
      <alignment horizontal="center" vertical="center" wrapText="1"/>
    </xf>
    <xf numFmtId="0" fontId="23" fillId="0" borderId="1" xfId="20" applyFont="1" applyBorder="1" applyAlignment="1">
      <alignment horizontal="center" vertical="center" wrapText="1"/>
    </xf>
    <xf numFmtId="0" fontId="12" fillId="0" borderId="1" xfId="20" applyFont="1" applyBorder="1" applyAlignment="1">
      <alignment horizontal="center" vertical="center" wrapText="1"/>
    </xf>
    <xf numFmtId="0" fontId="19" fillId="0" borderId="0" xfId="20" applyFont="1" applyAlignment="1">
      <alignment wrapText="1"/>
    </xf>
    <xf numFmtId="0" fontId="23" fillId="0" borderId="1" xfId="20" applyFont="1" applyBorder="1" applyAlignment="1">
      <alignment vertical="center" wrapText="1"/>
    </xf>
    <xf numFmtId="0" fontId="12" fillId="0" borderId="1" xfId="20" applyFont="1" applyBorder="1" applyAlignment="1">
      <alignment horizontal="right" vertical="center" wrapText="1"/>
    </xf>
    <xf numFmtId="0" fontId="23" fillId="0" borderId="1" xfId="20" applyFont="1" applyBorder="1" applyAlignment="1">
      <alignment horizontal="right" vertical="center" wrapText="1"/>
    </xf>
    <xf numFmtId="0" fontId="12" fillId="0" borderId="1" xfId="20" applyFont="1" applyBorder="1"/>
    <xf numFmtId="0" fontId="12" fillId="0" borderId="0" xfId="20" applyFont="1"/>
    <xf numFmtId="6" fontId="23" fillId="0" borderId="1" xfId="20" applyNumberFormat="1" applyFont="1" applyBorder="1" applyAlignment="1">
      <alignment horizontal="right" vertical="center" wrapText="1"/>
    </xf>
    <xf numFmtId="0" fontId="16" fillId="0" borderId="0" xfId="20" applyFont="1"/>
    <xf numFmtId="0" fontId="23" fillId="0" borderId="1" xfId="20" applyFont="1" applyBorder="1" applyAlignment="1">
      <alignment horizontal="left" vertical="center" indent="1"/>
    </xf>
    <xf numFmtId="8" fontId="23" fillId="0" borderId="1" xfId="20" applyNumberFormat="1" applyFont="1" applyBorder="1" applyAlignment="1">
      <alignment horizontal="right" vertical="center" wrapText="1"/>
    </xf>
    <xf numFmtId="0" fontId="23" fillId="0" borderId="0" xfId="20" applyFont="1" applyAlignment="1">
      <alignment wrapText="1"/>
    </xf>
    <xf numFmtId="0" fontId="23" fillId="0" borderId="1" xfId="20" applyFont="1" applyBorder="1"/>
    <xf numFmtId="0" fontId="33" fillId="0" borderId="1" xfId="20" applyFont="1" applyBorder="1" applyAlignment="1">
      <alignment horizontal="left" vertical="center" indent="1"/>
    </xf>
    <xf numFmtId="0" fontId="12" fillId="0" borderId="1" xfId="20" applyFont="1" applyBorder="1" applyAlignment="1">
      <alignment horizontal="center" vertical="center"/>
    </xf>
    <xf numFmtId="3" fontId="23" fillId="0" borderId="1" xfId="20" applyNumberFormat="1" applyFont="1" applyBorder="1" applyAlignment="1">
      <alignment horizontal="center" vertical="center" wrapText="1"/>
    </xf>
    <xf numFmtId="0" fontId="12" fillId="0" borderId="1" xfId="20" applyFont="1" applyBorder="1" applyAlignment="1">
      <alignment horizontal="left" vertical="center" indent="2"/>
    </xf>
    <xf numFmtId="0" fontId="23" fillId="0" borderId="1" xfId="20" applyFont="1" applyBorder="1" applyAlignment="1">
      <alignment horizontal="left" vertical="center" indent="2"/>
    </xf>
    <xf numFmtId="0" fontId="23" fillId="0" borderId="3" xfId="20" applyFont="1" applyBorder="1" applyAlignment="1">
      <alignment horizontal="center" vertical="center" wrapText="1"/>
    </xf>
    <xf numFmtId="0" fontId="12" fillId="0" borderId="3" xfId="20" applyFont="1" applyBorder="1" applyAlignment="1">
      <alignment horizontal="center" vertical="center" wrapText="1"/>
    </xf>
    <xf numFmtId="0" fontId="12" fillId="0" borderId="3" xfId="20" applyFont="1" applyBorder="1" applyAlignment="1">
      <alignment horizontal="center" vertical="center"/>
    </xf>
    <xf numFmtId="0" fontId="12" fillId="0" borderId="1" xfId="20" applyFont="1" applyBorder="1" applyAlignment="1">
      <alignment horizontal="right" vertical="center"/>
    </xf>
    <xf numFmtId="0" fontId="34" fillId="0" borderId="1" xfId="20" applyFont="1" applyBorder="1" applyAlignment="1">
      <alignment horizontal="left" vertical="center" indent="1"/>
    </xf>
    <xf numFmtId="0" fontId="23" fillId="0" borderId="1" xfId="20" applyFont="1" applyBorder="1" applyAlignment="1">
      <alignment horizontal="left" vertical="center" wrapText="1" indent="2"/>
    </xf>
    <xf numFmtId="0" fontId="31" fillId="0" borderId="1" xfId="20" applyFont="1" applyBorder="1" applyAlignment="1">
      <alignment horizontal="left" vertical="center" wrapText="1"/>
    </xf>
    <xf numFmtId="0" fontId="31" fillId="0" borderId="3" xfId="20" applyFont="1" applyBorder="1" applyAlignment="1">
      <alignment horizontal="right" vertical="center" wrapText="1"/>
    </xf>
    <xf numFmtId="0" fontId="21" fillId="0" borderId="3" xfId="20" applyFont="1" applyBorder="1" applyAlignment="1">
      <alignment horizontal="right" vertical="center" wrapText="1"/>
    </xf>
    <xf numFmtId="0" fontId="21" fillId="0" borderId="3" xfId="20" applyFont="1" applyBorder="1" applyAlignment="1">
      <alignment horizontal="right" vertical="center"/>
    </xf>
    <xf numFmtId="6" fontId="31" fillId="0" borderId="1" xfId="20" applyNumberFormat="1" applyFont="1" applyBorder="1" applyAlignment="1">
      <alignment horizontal="right" vertical="center" wrapText="1"/>
    </xf>
    <xf numFmtId="0" fontId="31" fillId="0" borderId="1" xfId="20" applyFont="1" applyBorder="1" applyAlignment="1">
      <alignment horizontal="right" vertical="center" wrapText="1"/>
    </xf>
    <xf numFmtId="0" fontId="21" fillId="0" borderId="1" xfId="20" applyFont="1" applyBorder="1" applyAlignment="1">
      <alignment horizontal="right" vertical="center" wrapText="1"/>
    </xf>
    <xf numFmtId="0" fontId="21" fillId="0" borderId="1" xfId="20" applyFont="1" applyBorder="1" applyAlignment="1">
      <alignment horizontal="right" vertical="center"/>
    </xf>
    <xf numFmtId="0" fontId="29" fillId="0" borderId="1" xfId="20" applyFont="1" applyBorder="1" applyAlignment="1">
      <alignment vertical="center" wrapText="1"/>
    </xf>
    <xf numFmtId="0" fontId="27" fillId="0" borderId="1" xfId="20" applyFont="1" applyBorder="1" applyAlignment="1">
      <alignment horizontal="right" vertical="center" wrapText="1"/>
    </xf>
    <xf numFmtId="3" fontId="17" fillId="0" borderId="1" xfId="20" applyNumberFormat="1" applyFont="1" applyBorder="1" applyAlignment="1">
      <alignment horizontal="center" vertical="center" wrapText="1"/>
    </xf>
    <xf numFmtId="3" fontId="17" fillId="0" borderId="1" xfId="20" applyNumberFormat="1" applyFont="1" applyBorder="1" applyAlignment="1">
      <alignment horizontal="right" vertical="center" wrapText="1"/>
    </xf>
    <xf numFmtId="6" fontId="27" fillId="0" borderId="1" xfId="20" applyNumberFormat="1" applyFont="1" applyBorder="1" applyAlignment="1">
      <alignment horizontal="right" vertical="center" wrapText="1"/>
    </xf>
    <xf numFmtId="1" fontId="23" fillId="0" borderId="0" xfId="20" applyNumberFormat="1" applyFont="1"/>
    <xf numFmtId="0" fontId="17" fillId="0" borderId="1" xfId="20" applyFont="1" applyBorder="1" applyAlignment="1">
      <alignment vertical="center" wrapText="1"/>
    </xf>
    <xf numFmtId="0" fontId="23" fillId="0" borderId="1" xfId="20" applyFont="1" applyBorder="1" applyAlignment="1">
      <alignment horizontal="left" vertical="center" wrapText="1" indent="1"/>
    </xf>
    <xf numFmtId="0" fontId="23" fillId="0" borderId="1" xfId="20" applyFont="1" applyFill="1" applyBorder="1" applyAlignment="1">
      <alignment horizontal="left" vertical="center" wrapText="1" indent="2"/>
    </xf>
    <xf numFmtId="0" fontId="12" fillId="0" borderId="1" xfId="20" applyFont="1" applyFill="1" applyBorder="1" applyAlignment="1">
      <alignment horizontal="center" vertical="center" wrapText="1"/>
    </xf>
    <xf numFmtId="0" fontId="12" fillId="0" borderId="1" xfId="20" applyFont="1" applyFill="1" applyBorder="1" applyAlignment="1">
      <alignment horizontal="left" vertical="center" wrapText="1"/>
    </xf>
    <xf numFmtId="164" fontId="12" fillId="0" borderId="0" xfId="15" applyNumberFormat="1" applyFont="1" applyFill="1" applyBorder="1" applyAlignment="1">
      <alignment horizontal="center" vertical="center" wrapText="1"/>
    </xf>
    <xf numFmtId="165" fontId="18" fillId="0" borderId="1" xfId="20" applyNumberFormat="1" applyFont="1" applyFill="1" applyBorder="1" applyAlignment="1">
      <alignment vertical="center" wrapText="1"/>
    </xf>
    <xf numFmtId="0" fontId="33" fillId="0" borderId="1" xfId="20" applyFont="1" applyBorder="1" applyAlignment="1">
      <alignment horizontal="left" vertical="center" wrapText="1" indent="1"/>
    </xf>
    <xf numFmtId="166" fontId="12" fillId="0" borderId="10" xfId="0" applyNumberFormat="1" applyFont="1" applyBorder="1" applyAlignment="1">
      <alignment horizontal="left" vertical="top" wrapText="1"/>
    </xf>
    <xf numFmtId="166" fontId="12" fillId="0" borderId="3" xfId="0" applyNumberFormat="1" applyFont="1" applyBorder="1" applyAlignment="1">
      <alignment horizontal="center" wrapText="1"/>
    </xf>
    <xf numFmtId="166" fontId="12" fillId="0" borderId="6" xfId="0" applyNumberFormat="1" applyFont="1" applyBorder="1" applyAlignment="1">
      <alignment horizontal="center" wrapText="1"/>
    </xf>
    <xf numFmtId="166" fontId="12" fillId="0" borderId="3" xfId="0" applyNumberFormat="1" applyFont="1" applyBorder="1" applyAlignment="1">
      <alignment horizontal="left" wrapText="1"/>
    </xf>
    <xf numFmtId="165" fontId="12" fillId="0" borderId="3" xfId="0" applyNumberFormat="1" applyFont="1" applyFill="1" applyBorder="1" applyAlignment="1">
      <alignment horizontal="center"/>
    </xf>
    <xf numFmtId="6" fontId="23" fillId="0" borderId="0" xfId="20" applyNumberFormat="1" applyFont="1"/>
    <xf numFmtId="166" fontId="12" fillId="0" borderId="12" xfId="0" applyNumberFormat="1" applyFont="1" applyBorder="1" applyAlignment="1">
      <alignment horizontal="center" vertical="center" wrapText="1"/>
    </xf>
    <xf numFmtId="0" fontId="18" fillId="0" borderId="7" xfId="0" applyFont="1" applyBorder="1"/>
    <xf numFmtId="0" fontId="18" fillId="0" borderId="13" xfId="0" applyFont="1" applyBorder="1"/>
    <xf numFmtId="0" fontId="12" fillId="11" borderId="13" xfId="13" applyFont="1" applyFill="1" applyBorder="1"/>
    <xf numFmtId="0" fontId="18" fillId="0" borderId="11" xfId="0" applyFont="1" applyBorder="1"/>
    <xf numFmtId="0" fontId="8" fillId="0" borderId="0" xfId="0" applyFont="1" applyAlignment="1">
      <alignment horizontal="right" wrapText="1"/>
    </xf>
    <xf numFmtId="49" fontId="8" fillId="0" borderId="0" xfId="0" applyNumberFormat="1" applyFont="1"/>
    <xf numFmtId="3" fontId="0" fillId="0" borderId="0" xfId="0" applyNumberFormat="1"/>
    <xf numFmtId="165" fontId="0" fillId="0" borderId="0" xfId="0" applyNumberFormat="1"/>
    <xf numFmtId="0" fontId="0" fillId="0" borderId="0" xfId="0" applyAlignment="1">
      <alignment horizontal="right" wrapText="1"/>
    </xf>
    <xf numFmtId="0" fontId="43" fillId="0" borderId="0" xfId="0" applyFont="1" applyAlignment="1">
      <alignment horizontal="left" wrapText="1"/>
    </xf>
    <xf numFmtId="0" fontId="0" fillId="0" borderId="0" xfId="0" applyAlignment="1">
      <alignment horizontal="center"/>
    </xf>
    <xf numFmtId="0" fontId="44" fillId="12" borderId="1" xfId="0" applyFont="1" applyFill="1" applyBorder="1" applyAlignment="1">
      <alignment horizontal="center"/>
    </xf>
    <xf numFmtId="0" fontId="44" fillId="12" borderId="1" xfId="0" applyFont="1" applyFill="1" applyBorder="1" applyAlignment="1">
      <alignment horizontal="center" wrapText="1"/>
    </xf>
    <xf numFmtId="0" fontId="8" fillId="0" borderId="1" xfId="0" applyFont="1" applyFill="1" applyBorder="1" applyAlignment="1">
      <alignment horizontal="left" wrapText="1"/>
    </xf>
    <xf numFmtId="1" fontId="0" fillId="0" borderId="0" xfId="0" applyNumberFormat="1"/>
    <xf numFmtId="3" fontId="31" fillId="0" borderId="1" xfId="20" applyNumberFormat="1" applyFont="1" applyBorder="1" applyAlignment="1">
      <alignment horizontal="center" vertical="center" wrapText="1"/>
    </xf>
    <xf numFmtId="165" fontId="12" fillId="0" borderId="1" xfId="0" applyNumberFormat="1" applyFont="1" applyFill="1" applyBorder="1" applyAlignment="1">
      <alignment horizontal="right"/>
    </xf>
    <xf numFmtId="0" fontId="12" fillId="0" borderId="0" xfId="15" applyFont="1" applyAlignment="1">
      <alignment wrapText="1"/>
    </xf>
    <xf numFmtId="0" fontId="16" fillId="0" borderId="0" xfId="15" applyFont="1" applyAlignment="1">
      <alignment wrapText="1"/>
    </xf>
    <xf numFmtId="0" fontId="12" fillId="0" borderId="0" xfId="14" applyFont="1" applyAlignment="1">
      <alignment wrapText="1"/>
    </xf>
    <xf numFmtId="1" fontId="12" fillId="0" borderId="0" xfId="0" applyNumberFormat="1" applyFont="1" applyBorder="1"/>
    <xf numFmtId="3" fontId="8" fillId="0" borderId="0" xfId="0" applyNumberFormat="1" applyFont="1"/>
    <xf numFmtId="167" fontId="12" fillId="0" borderId="1" xfId="20" applyNumberFormat="1" applyFont="1" applyBorder="1" applyAlignment="1">
      <alignment horizontal="center" vertical="center"/>
    </xf>
    <xf numFmtId="0" fontId="23" fillId="0" borderId="0" xfId="20" applyFont="1" applyFill="1"/>
    <xf numFmtId="165" fontId="12" fillId="0" borderId="3" xfId="13" applyNumberFormat="1" applyFont="1" applyFill="1" applyBorder="1" applyAlignment="1">
      <alignment horizontal="center"/>
    </xf>
    <xf numFmtId="165" fontId="12" fillId="0" borderId="1" xfId="13" applyNumberFormat="1" applyFont="1" applyFill="1" applyBorder="1" applyAlignment="1">
      <alignment horizontal="center"/>
    </xf>
    <xf numFmtId="0" fontId="12" fillId="0" borderId="0" xfId="14" applyNumberFormat="1" applyFont="1" applyAlignment="1"/>
    <xf numFmtId="0" fontId="26" fillId="0" borderId="0" xfId="14" applyNumberFormat="1" applyFont="1" applyAlignment="1"/>
    <xf numFmtId="0" fontId="15" fillId="0" borderId="1" xfId="15" applyFont="1" applyFill="1" applyBorder="1" applyAlignment="1">
      <alignment vertical="top" wrapText="1" indent="1"/>
    </xf>
    <xf numFmtId="0" fontId="15" fillId="0" borderId="0" xfId="15" applyFont="1" applyFill="1"/>
    <xf numFmtId="0" fontId="12" fillId="0" borderId="1" xfId="15" applyFont="1" applyFill="1" applyBorder="1"/>
    <xf numFmtId="164" fontId="12" fillId="0" borderId="1" xfId="15" applyNumberFormat="1" applyFont="1" applyFill="1" applyBorder="1" applyAlignment="1">
      <alignment horizontal="center"/>
    </xf>
    <xf numFmtId="0" fontId="12" fillId="0" borderId="1" xfId="15" applyFont="1" applyFill="1" applyBorder="1" applyAlignment="1">
      <alignment horizontal="center" vertical="center" wrapText="1"/>
    </xf>
    <xf numFmtId="167" fontId="12" fillId="0" borderId="1" xfId="15" applyNumberFormat="1" applyFont="1" applyFill="1" applyBorder="1" applyAlignment="1">
      <alignment horizontal="center" vertical="center" wrapText="1"/>
    </xf>
    <xf numFmtId="8" fontId="12" fillId="0" borderId="1" xfId="15" applyNumberFormat="1" applyFont="1" applyFill="1" applyBorder="1" applyAlignment="1">
      <alignment horizontal="right" vertical="center" wrapText="1" indent="1"/>
    </xf>
    <xf numFmtId="164" fontId="12" fillId="0" borderId="1" xfId="15" applyNumberFormat="1" applyFont="1" applyFill="1" applyBorder="1" applyAlignment="1">
      <alignment horizontal="center" vertical="center" wrapText="1"/>
    </xf>
    <xf numFmtId="1" fontId="12" fillId="0" borderId="1" xfId="15" applyNumberFormat="1" applyFont="1" applyFill="1" applyBorder="1" applyAlignment="1">
      <alignment horizontal="center" vertical="center" wrapText="1"/>
    </xf>
    <xf numFmtId="6" fontId="12" fillId="0" borderId="1" xfId="15" applyNumberFormat="1" applyFont="1" applyFill="1" applyBorder="1" applyAlignment="1">
      <alignment horizontal="right" vertical="center" wrapText="1" indent="1"/>
    </xf>
    <xf numFmtId="0" fontId="12" fillId="0" borderId="1" xfId="15" applyFont="1" applyFill="1" applyBorder="1" applyAlignment="1">
      <alignment horizontal="right" vertical="center" wrapText="1" indent="1"/>
    </xf>
    <xf numFmtId="0" fontId="15" fillId="0" borderId="0" xfId="15" applyFont="1" applyFill="1" applyAlignment="1">
      <alignment horizontal="center"/>
    </xf>
    <xf numFmtId="2" fontId="12" fillId="0" borderId="1" xfId="15" applyNumberFormat="1" applyFont="1" applyFill="1" applyBorder="1" applyAlignment="1">
      <alignment horizontal="center" vertical="center" wrapText="1"/>
    </xf>
    <xf numFmtId="0" fontId="17" fillId="0" borderId="1" xfId="15" applyFont="1" applyFill="1" applyBorder="1" applyAlignment="1">
      <alignment vertical="center" wrapText="1"/>
    </xf>
    <xf numFmtId="3" fontId="17" fillId="0" borderId="1" xfId="15" applyNumberFormat="1" applyFont="1" applyFill="1" applyBorder="1" applyAlignment="1">
      <alignment horizontal="center" vertical="center" wrapText="1"/>
    </xf>
    <xf numFmtId="3" fontId="17" fillId="0" borderId="1" xfId="15" applyNumberFormat="1" applyFont="1" applyFill="1" applyBorder="1" applyAlignment="1">
      <alignment vertical="center" wrapText="1"/>
    </xf>
    <xf numFmtId="6" fontId="17" fillId="0" borderId="1" xfId="15" applyNumberFormat="1" applyFont="1" applyFill="1" applyBorder="1" applyAlignment="1">
      <alignment vertical="center" wrapText="1"/>
    </xf>
    <xf numFmtId="4" fontId="15" fillId="0" borderId="0" xfId="15" applyNumberFormat="1" applyFont="1" applyFill="1"/>
    <xf numFmtId="0" fontId="3" fillId="0" borderId="0" xfId="20" applyFill="1"/>
    <xf numFmtId="0" fontId="3" fillId="0" borderId="0" xfId="20" applyNumberFormat="1" applyFill="1" applyAlignment="1"/>
    <xf numFmtId="0" fontId="39" fillId="0" borderId="17" xfId="20" applyFont="1" applyFill="1" applyBorder="1" applyAlignment="1">
      <alignment vertical="center" wrapText="1"/>
    </xf>
    <xf numFmtId="0" fontId="18" fillId="0" borderId="18" xfId="20" applyFont="1" applyFill="1" applyBorder="1" applyAlignment="1">
      <alignment vertical="center" wrapText="1"/>
    </xf>
    <xf numFmtId="0" fontId="18" fillId="0" borderId="19" xfId="20" applyFont="1" applyFill="1" applyBorder="1" applyAlignment="1">
      <alignment vertical="center" wrapText="1"/>
    </xf>
    <xf numFmtId="0" fontId="18" fillId="0" borderId="17" xfId="20" applyFont="1" applyFill="1" applyBorder="1" applyAlignment="1">
      <alignment horizontal="center" vertical="center" wrapText="1"/>
    </xf>
    <xf numFmtId="0" fontId="18" fillId="0" borderId="18" xfId="20" applyFont="1" applyFill="1" applyBorder="1" applyAlignment="1">
      <alignment horizontal="center" vertical="center" wrapText="1"/>
    </xf>
    <xf numFmtId="0" fontId="18" fillId="0" borderId="19" xfId="20" applyFont="1" applyFill="1" applyBorder="1" applyAlignment="1">
      <alignment horizontal="center" vertical="center" wrapText="1"/>
    </xf>
    <xf numFmtId="0" fontId="18" fillId="0" borderId="1" xfId="20" applyFont="1" applyFill="1" applyBorder="1" applyAlignment="1">
      <alignment vertical="center" wrapText="1"/>
    </xf>
    <xf numFmtId="0" fontId="23" fillId="0" borderId="1" xfId="20" applyFont="1" applyFill="1" applyBorder="1" applyAlignment="1">
      <alignment vertical="center" wrapText="1"/>
    </xf>
    <xf numFmtId="0" fontId="3" fillId="0" borderId="1" xfId="20" applyFill="1" applyBorder="1"/>
    <xf numFmtId="0" fontId="29" fillId="0" borderId="1" xfId="20" applyFont="1" applyFill="1" applyBorder="1" applyAlignment="1">
      <alignment vertical="center" wrapText="1"/>
    </xf>
    <xf numFmtId="165" fontId="3" fillId="0" borderId="0" xfId="20" applyNumberFormat="1" applyFill="1"/>
    <xf numFmtId="0" fontId="3" fillId="0" borderId="0" xfId="20" applyFill="1" applyAlignment="1">
      <alignment horizontal="right"/>
    </xf>
    <xf numFmtId="0" fontId="47" fillId="0" borderId="0" xfId="20" applyFont="1" applyFill="1"/>
    <xf numFmtId="0" fontId="23" fillId="0" borderId="0" xfId="15" applyFont="1" applyFill="1"/>
    <xf numFmtId="0" fontId="27" fillId="0" borderId="1" xfId="20" applyFont="1" applyFill="1" applyBorder="1" applyAlignment="1">
      <alignment horizontal="center" vertical="center" wrapText="1"/>
    </xf>
    <xf numFmtId="0" fontId="23" fillId="0" borderId="1" xfId="20" applyFont="1" applyFill="1" applyBorder="1" applyAlignment="1">
      <alignment horizontal="center" vertical="center" wrapText="1"/>
    </xf>
    <xf numFmtId="0" fontId="19" fillId="0" borderId="0" xfId="20" applyFont="1" applyFill="1" applyAlignment="1">
      <alignment wrapText="1"/>
    </xf>
    <xf numFmtId="0" fontId="12" fillId="0" borderId="1" xfId="20" applyFont="1" applyFill="1" applyBorder="1" applyAlignment="1">
      <alignment horizontal="right" vertical="center" wrapText="1"/>
    </xf>
    <xf numFmtId="0" fontId="23" fillId="0" borderId="1" xfId="20" applyFont="1" applyFill="1" applyBorder="1" applyAlignment="1">
      <alignment horizontal="right" vertical="center" wrapText="1"/>
    </xf>
    <xf numFmtId="0" fontId="12" fillId="0" borderId="1" xfId="20" applyFont="1" applyFill="1" applyBorder="1"/>
    <xf numFmtId="8" fontId="23" fillId="0" borderId="1" xfId="15" applyNumberFormat="1" applyFont="1" applyFill="1" applyBorder="1"/>
    <xf numFmtId="0" fontId="12" fillId="0" borderId="0" xfId="15" applyFont="1" applyFill="1" applyAlignment="1">
      <alignment wrapText="1"/>
    </xf>
    <xf numFmtId="6" fontId="23" fillId="0" borderId="1" xfId="20" applyNumberFormat="1" applyFont="1" applyFill="1" applyBorder="1" applyAlignment="1">
      <alignment horizontal="right" vertical="center" wrapText="1"/>
    </xf>
    <xf numFmtId="0" fontId="16" fillId="0" borderId="0" xfId="15" applyFont="1" applyFill="1"/>
    <xf numFmtId="8" fontId="23" fillId="0" borderId="1" xfId="20" applyNumberFormat="1" applyFont="1" applyFill="1" applyBorder="1" applyAlignment="1">
      <alignment horizontal="right" vertical="center" wrapText="1"/>
    </xf>
    <xf numFmtId="0" fontId="23" fillId="0" borderId="1" xfId="20" applyFont="1" applyFill="1" applyBorder="1"/>
    <xf numFmtId="0" fontId="12" fillId="0" borderId="1" xfId="20" applyFont="1" applyFill="1" applyBorder="1" applyAlignment="1">
      <alignment horizontal="center" vertical="center"/>
    </xf>
    <xf numFmtId="3" fontId="23" fillId="0" borderId="1" xfId="20" applyNumberFormat="1" applyFont="1" applyFill="1" applyBorder="1" applyAlignment="1">
      <alignment horizontal="center" vertical="center" wrapText="1"/>
    </xf>
    <xf numFmtId="0" fontId="16" fillId="0" borderId="0" xfId="20" applyFont="1" applyFill="1"/>
    <xf numFmtId="0" fontId="23" fillId="0" borderId="3" xfId="20" applyFont="1" applyFill="1" applyBorder="1" applyAlignment="1">
      <alignment horizontal="center" vertical="center" wrapText="1"/>
    </xf>
    <xf numFmtId="0" fontId="12" fillId="0" borderId="3" xfId="20" applyFont="1" applyFill="1" applyBorder="1" applyAlignment="1">
      <alignment horizontal="center" vertical="center" wrapText="1"/>
    </xf>
    <xf numFmtId="0" fontId="12" fillId="0" borderId="3" xfId="20" applyFont="1" applyFill="1" applyBorder="1" applyAlignment="1">
      <alignment horizontal="center" vertical="center"/>
    </xf>
    <xf numFmtId="0" fontId="12" fillId="0" borderId="1" xfId="20" applyFont="1" applyFill="1" applyBorder="1" applyAlignment="1">
      <alignment horizontal="right" vertical="center"/>
    </xf>
    <xf numFmtId="0" fontId="31" fillId="0" borderId="1" xfId="20" applyFont="1" applyFill="1" applyBorder="1" applyAlignment="1">
      <alignment horizontal="left" vertical="center" wrapText="1"/>
    </xf>
    <xf numFmtId="0" fontId="31" fillId="0" borderId="3" xfId="20" applyFont="1" applyFill="1" applyBorder="1" applyAlignment="1">
      <alignment horizontal="right" vertical="center" wrapText="1"/>
    </xf>
    <xf numFmtId="0" fontId="21" fillId="0" borderId="3" xfId="20" applyFont="1" applyFill="1" applyBorder="1" applyAlignment="1">
      <alignment horizontal="right" vertical="center" wrapText="1"/>
    </xf>
    <xf numFmtId="0" fontId="21" fillId="0" borderId="3" xfId="20" applyFont="1" applyFill="1" applyBorder="1" applyAlignment="1">
      <alignment horizontal="right" vertical="center"/>
    </xf>
    <xf numFmtId="3" fontId="31" fillId="0" borderId="1" xfId="20" applyNumberFormat="1" applyFont="1" applyFill="1" applyBorder="1" applyAlignment="1">
      <alignment horizontal="center" vertical="center" wrapText="1"/>
    </xf>
    <xf numFmtId="6" fontId="31" fillId="0" borderId="1" xfId="20" applyNumberFormat="1" applyFont="1" applyFill="1" applyBorder="1" applyAlignment="1">
      <alignment horizontal="right" vertical="center" wrapText="1"/>
    </xf>
    <xf numFmtId="0" fontId="31" fillId="0" borderId="1" xfId="20" applyFont="1" applyFill="1" applyBorder="1" applyAlignment="1">
      <alignment horizontal="right" vertical="center" wrapText="1"/>
    </xf>
    <xf numFmtId="0" fontId="21" fillId="0" borderId="1" xfId="20" applyFont="1" applyFill="1" applyBorder="1" applyAlignment="1">
      <alignment horizontal="right" vertical="center" wrapText="1"/>
    </xf>
    <xf numFmtId="0" fontId="21" fillId="0" borderId="1" xfId="20" applyFont="1" applyFill="1" applyBorder="1" applyAlignment="1">
      <alignment horizontal="right" vertical="center"/>
    </xf>
    <xf numFmtId="0" fontId="27" fillId="0" borderId="1" xfId="20" applyFont="1" applyFill="1" applyBorder="1" applyAlignment="1">
      <alignment horizontal="right" vertical="center" wrapText="1"/>
    </xf>
    <xf numFmtId="3" fontId="17" fillId="0" borderId="1" xfId="20" applyNumberFormat="1" applyFont="1" applyFill="1" applyBorder="1" applyAlignment="1">
      <alignment horizontal="center" vertical="center" wrapText="1"/>
    </xf>
    <xf numFmtId="3" fontId="17" fillId="0" borderId="1" xfId="20" applyNumberFormat="1" applyFont="1" applyFill="1" applyBorder="1" applyAlignment="1">
      <alignment horizontal="right" vertical="center" wrapText="1"/>
    </xf>
    <xf numFmtId="6" fontId="27" fillId="0" borderId="1" xfId="20" applyNumberFormat="1" applyFont="1" applyFill="1" applyBorder="1" applyAlignment="1">
      <alignment horizontal="right" vertical="center" wrapText="1"/>
    </xf>
    <xf numFmtId="1" fontId="23" fillId="0" borderId="0" xfId="20" applyNumberFormat="1" applyFont="1" applyFill="1"/>
    <xf numFmtId="0" fontId="17" fillId="0" borderId="1" xfId="20" applyFont="1" applyFill="1" applyBorder="1" applyAlignment="1">
      <alignment vertical="center" wrapText="1"/>
    </xf>
    <xf numFmtId="0" fontId="12" fillId="0" borderId="0" xfId="20" applyFont="1" applyFill="1"/>
    <xf numFmtId="0" fontId="15" fillId="0" borderId="0" xfId="20" applyFont="1" applyFill="1"/>
    <xf numFmtId="0" fontId="15" fillId="0" borderId="0" xfId="20" applyFont="1" applyFill="1" applyAlignment="1">
      <alignment horizontal="center"/>
    </xf>
    <xf numFmtId="0" fontId="36" fillId="0" borderId="0" xfId="20" applyFont="1" applyFill="1"/>
    <xf numFmtId="0" fontId="15" fillId="0" borderId="1" xfId="20" applyFont="1" applyFill="1" applyBorder="1" applyAlignment="1">
      <alignment vertical="top" wrapText="1" indent="1"/>
    </xf>
    <xf numFmtId="0" fontId="12" fillId="0" borderId="1" xfId="20" applyFont="1" applyFill="1" applyBorder="1" applyAlignment="1">
      <alignment horizontal="left" vertical="center" wrapText="1" indent="1"/>
    </xf>
    <xf numFmtId="167" fontId="12" fillId="0" borderId="1" xfId="20" applyNumberFormat="1" applyFont="1" applyFill="1" applyBorder="1" applyAlignment="1">
      <alignment horizontal="center" vertical="center" wrapText="1"/>
    </xf>
    <xf numFmtId="8" fontId="12" fillId="0" borderId="1" xfId="20" applyNumberFormat="1" applyFont="1" applyFill="1" applyBorder="1" applyAlignment="1">
      <alignment horizontal="right" vertical="center" wrapText="1" indent="1"/>
    </xf>
    <xf numFmtId="0" fontId="12" fillId="0" borderId="0" xfId="15" applyFont="1" applyFill="1"/>
    <xf numFmtId="1" fontId="12" fillId="0" borderId="1" xfId="20" applyNumberFormat="1" applyFont="1" applyFill="1" applyBorder="1" applyAlignment="1">
      <alignment horizontal="center" vertical="center" wrapText="1"/>
    </xf>
    <xf numFmtId="6" fontId="12" fillId="0" borderId="1" xfId="20" applyNumberFormat="1" applyFont="1" applyFill="1" applyBorder="1" applyAlignment="1">
      <alignment horizontal="right" vertical="center" wrapText="1" indent="1"/>
    </xf>
    <xf numFmtId="0" fontId="12" fillId="0" borderId="1" xfId="20" applyFont="1" applyFill="1" applyBorder="1" applyAlignment="1">
      <alignment horizontal="right" vertical="center" wrapText="1" indent="1"/>
    </xf>
    <xf numFmtId="2" fontId="12" fillId="0" borderId="1" xfId="20" applyNumberFormat="1" applyFont="1" applyFill="1" applyBorder="1" applyAlignment="1">
      <alignment horizontal="center" vertical="center" wrapText="1"/>
    </xf>
    <xf numFmtId="3" fontId="17" fillId="0" borderId="1" xfId="20" applyNumberFormat="1" applyFont="1" applyFill="1" applyBorder="1" applyAlignment="1">
      <alignment vertical="center" wrapText="1"/>
    </xf>
    <xf numFmtId="6" fontId="17" fillId="0" borderId="1" xfId="20" applyNumberFormat="1" applyFont="1" applyFill="1" applyBorder="1" applyAlignment="1">
      <alignment vertical="center" wrapText="1"/>
    </xf>
    <xf numFmtId="0" fontId="17" fillId="0" borderId="0" xfId="20" applyFont="1" applyFill="1" applyAlignment="1">
      <alignment vertical="center"/>
    </xf>
    <xf numFmtId="4" fontId="15" fillId="0" borderId="0" xfId="20" applyNumberFormat="1" applyFont="1" applyFill="1"/>
    <xf numFmtId="0" fontId="38" fillId="0" borderId="0" xfId="20" applyFont="1" applyFill="1" applyAlignment="1">
      <alignment vertical="center"/>
    </xf>
    <xf numFmtId="0" fontId="23" fillId="0" borderId="0" xfId="19" applyFont="1" applyFill="1"/>
    <xf numFmtId="0" fontId="29" fillId="0" borderId="1" xfId="19" applyFont="1" applyFill="1" applyBorder="1" applyAlignment="1">
      <alignment horizontal="center" vertical="center" wrapText="1"/>
    </xf>
    <xf numFmtId="0" fontId="18" fillId="0" borderId="1" xfId="19" applyFont="1" applyFill="1" applyBorder="1" applyAlignment="1">
      <alignment horizontal="center" vertical="center" wrapText="1"/>
    </xf>
    <xf numFmtId="0" fontId="23" fillId="0" borderId="1" xfId="19" applyFont="1" applyFill="1" applyBorder="1" applyAlignment="1">
      <alignment vertical="center" wrapText="1"/>
    </xf>
    <xf numFmtId="0" fontId="18" fillId="0" borderId="1" xfId="19" applyFont="1" applyFill="1" applyBorder="1" applyAlignment="1">
      <alignment vertical="center" wrapText="1"/>
    </xf>
    <xf numFmtId="6" fontId="18" fillId="0" borderId="1" xfId="19" applyNumberFormat="1" applyFont="1" applyFill="1" applyBorder="1" applyAlignment="1">
      <alignment horizontal="center" vertical="center" wrapText="1"/>
    </xf>
    <xf numFmtId="8" fontId="23" fillId="0" borderId="0" xfId="19" applyNumberFormat="1" applyFont="1" applyFill="1"/>
    <xf numFmtId="164" fontId="16" fillId="0" borderId="0" xfId="19" applyNumberFormat="1" applyFont="1" applyFill="1"/>
    <xf numFmtId="0" fontId="30" fillId="0" borderId="0" xfId="19" applyFont="1" applyFill="1" applyAlignment="1">
      <alignment vertical="center"/>
    </xf>
    <xf numFmtId="0" fontId="28" fillId="0" borderId="0" xfId="19" applyFont="1" applyFill="1" applyAlignment="1">
      <alignment vertical="center"/>
    </xf>
    <xf numFmtId="0" fontId="36" fillId="0" borderId="0" xfId="15" applyFont="1" applyFill="1"/>
    <xf numFmtId="0" fontId="12" fillId="0" borderId="1" xfId="15" applyFont="1" applyFill="1" applyBorder="1" applyAlignment="1">
      <alignment horizontal="left" vertical="center" wrapText="1" indent="1"/>
    </xf>
    <xf numFmtId="0" fontId="12" fillId="0" borderId="1" xfId="15" applyFont="1" applyFill="1" applyBorder="1" applyAlignment="1">
      <alignment horizontal="left" vertical="center" wrapText="1"/>
    </xf>
    <xf numFmtId="0" fontId="17" fillId="0" borderId="0" xfId="15" applyFont="1" applyFill="1" applyAlignment="1">
      <alignment vertical="center"/>
    </xf>
    <xf numFmtId="0" fontId="38" fillId="0" borderId="0" xfId="15" applyFont="1" applyFill="1" applyAlignment="1">
      <alignment vertical="center"/>
    </xf>
    <xf numFmtId="0" fontId="27" fillId="0" borderId="1" xfId="15" applyFont="1" applyFill="1" applyBorder="1" applyAlignment="1">
      <alignment horizontal="center" vertical="center" wrapText="1"/>
    </xf>
    <xf numFmtId="0" fontId="23" fillId="0" borderId="1" xfId="15" applyFont="1" applyFill="1" applyBorder="1" applyAlignment="1">
      <alignment horizontal="center" vertical="center" wrapText="1"/>
    </xf>
    <xf numFmtId="0" fontId="19" fillId="0" borderId="0" xfId="15" applyFont="1" applyFill="1" applyAlignment="1">
      <alignment wrapText="1"/>
    </xf>
    <xf numFmtId="0" fontId="23" fillId="0" borderId="1" xfId="15" applyFont="1" applyFill="1" applyBorder="1" applyAlignment="1">
      <alignment vertical="center" wrapText="1"/>
    </xf>
    <xf numFmtId="0" fontId="12" fillId="0" borderId="1" xfId="15" applyFont="1" applyFill="1" applyBorder="1" applyAlignment="1">
      <alignment horizontal="right" vertical="center" wrapText="1"/>
    </xf>
    <xf numFmtId="0" fontId="23" fillId="0" borderId="1" xfId="15" applyFont="1" applyFill="1" applyBorder="1" applyAlignment="1">
      <alignment horizontal="right" vertical="center" wrapText="1"/>
    </xf>
    <xf numFmtId="6" fontId="23" fillId="0" borderId="1" xfId="15" applyNumberFormat="1" applyFont="1" applyFill="1" applyBorder="1" applyAlignment="1">
      <alignment horizontal="right" vertical="center" wrapText="1"/>
    </xf>
    <xf numFmtId="8" fontId="23" fillId="0" borderId="1" xfId="15" applyNumberFormat="1" applyFont="1" applyFill="1" applyBorder="1" applyAlignment="1">
      <alignment horizontal="right" vertical="center" wrapText="1"/>
    </xf>
    <xf numFmtId="0" fontId="23" fillId="0" borderId="0" xfId="15" applyFont="1" applyFill="1" applyAlignment="1">
      <alignment wrapText="1"/>
    </xf>
    <xf numFmtId="0" fontId="23" fillId="0" borderId="1" xfId="15" applyFont="1" applyFill="1" applyBorder="1"/>
    <xf numFmtId="0" fontId="12" fillId="0" borderId="1" xfId="15" applyFont="1" applyFill="1" applyBorder="1" applyAlignment="1">
      <alignment horizontal="center" vertical="center"/>
    </xf>
    <xf numFmtId="3" fontId="23" fillId="0" borderId="1" xfId="15" applyNumberFormat="1" applyFont="1" applyFill="1" applyBorder="1" applyAlignment="1">
      <alignment horizontal="center" vertical="center" wrapText="1"/>
    </xf>
    <xf numFmtId="0" fontId="12" fillId="0" borderId="1" xfId="15" applyFont="1" applyFill="1" applyBorder="1" applyAlignment="1">
      <alignment horizontal="right" vertical="center"/>
    </xf>
    <xf numFmtId="0" fontId="31" fillId="0" borderId="1" xfId="15" applyFont="1" applyFill="1" applyBorder="1" applyAlignment="1">
      <alignment horizontal="left" vertical="center" wrapText="1"/>
    </xf>
    <xf numFmtId="0" fontId="31" fillId="0" borderId="3" xfId="15" applyFont="1" applyFill="1" applyBorder="1" applyAlignment="1">
      <alignment horizontal="right" vertical="center" wrapText="1"/>
    </xf>
    <xf numFmtId="0" fontId="21" fillId="0" borderId="3" xfId="15" applyFont="1" applyFill="1" applyBorder="1" applyAlignment="1">
      <alignment horizontal="right" vertical="center" wrapText="1"/>
    </xf>
    <xf numFmtId="0" fontId="21" fillId="0" borderId="3" xfId="15" applyFont="1" applyFill="1" applyBorder="1" applyAlignment="1">
      <alignment horizontal="right" vertical="center"/>
    </xf>
    <xf numFmtId="3" fontId="31" fillId="0" borderId="1" xfId="15" applyNumberFormat="1" applyFont="1" applyFill="1" applyBorder="1" applyAlignment="1">
      <alignment horizontal="center" vertical="center" wrapText="1"/>
    </xf>
    <xf numFmtId="6" fontId="31" fillId="0" borderId="1" xfId="15" applyNumberFormat="1" applyFont="1" applyFill="1" applyBorder="1" applyAlignment="1">
      <alignment horizontal="right" vertical="center" wrapText="1"/>
    </xf>
    <xf numFmtId="0" fontId="31" fillId="0" borderId="1" xfId="15" applyFont="1" applyFill="1" applyBorder="1" applyAlignment="1">
      <alignment horizontal="right" vertical="center" wrapText="1"/>
    </xf>
    <xf numFmtId="0" fontId="21" fillId="0" borderId="1" xfId="15" applyFont="1" applyFill="1" applyBorder="1" applyAlignment="1">
      <alignment horizontal="right" vertical="center" wrapText="1"/>
    </xf>
    <xf numFmtId="0" fontId="21" fillId="0" borderId="1" xfId="15" applyFont="1" applyFill="1" applyBorder="1" applyAlignment="1">
      <alignment horizontal="right" vertical="center"/>
    </xf>
    <xf numFmtId="0" fontId="29" fillId="0" borderId="1" xfId="15" applyFont="1" applyFill="1" applyBorder="1" applyAlignment="1">
      <alignment vertical="center" wrapText="1"/>
    </xf>
    <xf numFmtId="0" fontId="27" fillId="0" borderId="1" xfId="15" applyFont="1" applyFill="1" applyBorder="1" applyAlignment="1">
      <alignment horizontal="right" vertical="center" wrapText="1"/>
    </xf>
    <xf numFmtId="3" fontId="17" fillId="0" borderId="1" xfId="15" applyNumberFormat="1" applyFont="1" applyFill="1" applyBorder="1" applyAlignment="1">
      <alignment horizontal="right" vertical="center" wrapText="1"/>
    </xf>
    <xf numFmtId="6" fontId="27" fillId="0" borderId="1" xfId="15" applyNumberFormat="1" applyFont="1" applyFill="1" applyBorder="1" applyAlignment="1">
      <alignment horizontal="right" vertical="center" wrapText="1"/>
    </xf>
    <xf numFmtId="1" fontId="23" fillId="0" borderId="0" xfId="15" applyNumberFormat="1" applyFont="1" applyFill="1"/>
    <xf numFmtId="0" fontId="23" fillId="0" borderId="3" xfId="15" applyFont="1" applyFill="1" applyBorder="1" applyAlignment="1">
      <alignment horizontal="center" vertical="center" wrapText="1"/>
    </xf>
    <xf numFmtId="0" fontId="12" fillId="0" borderId="3" xfId="15" applyFont="1" applyFill="1" applyBorder="1" applyAlignment="1">
      <alignment horizontal="center" vertical="center" wrapText="1"/>
    </xf>
    <xf numFmtId="0" fontId="12" fillId="0" borderId="0" xfId="20" applyFont="1" applyFill="1" applyBorder="1"/>
    <xf numFmtId="0" fontId="33" fillId="0" borderId="0" xfId="20" applyFont="1" applyFill="1" applyAlignment="1">
      <alignment wrapText="1"/>
    </xf>
    <xf numFmtId="0" fontId="33" fillId="0" borderId="0" xfId="20" applyFont="1" applyFill="1"/>
    <xf numFmtId="0" fontId="39" fillId="0" borderId="0" xfId="20" applyFont="1" applyFill="1" applyBorder="1" applyAlignment="1">
      <alignment vertical="center" wrapText="1"/>
    </xf>
    <xf numFmtId="0" fontId="18" fillId="0" borderId="0" xfId="20" applyFont="1" applyFill="1" applyBorder="1" applyAlignment="1">
      <alignment vertical="center" wrapText="1"/>
    </xf>
    <xf numFmtId="0" fontId="18" fillId="0" borderId="20" xfId="20" applyFont="1" applyFill="1" applyBorder="1" applyAlignment="1">
      <alignment horizontal="center" vertical="center" wrapText="1"/>
    </xf>
    <xf numFmtId="0" fontId="3" fillId="0" borderId="0" xfId="20" applyFill="1" applyBorder="1"/>
    <xf numFmtId="0" fontId="18" fillId="0" borderId="0" xfId="20" applyFont="1" applyFill="1" applyBorder="1" applyAlignment="1">
      <alignment horizontal="center" vertical="center" wrapText="1"/>
    </xf>
    <xf numFmtId="169" fontId="23" fillId="0" borderId="1" xfId="20" applyNumberFormat="1" applyFont="1" applyBorder="1" applyAlignment="1">
      <alignment horizontal="center" vertical="center" wrapText="1"/>
    </xf>
    <xf numFmtId="2" fontId="12" fillId="0" borderId="1" xfId="20" applyNumberFormat="1" applyFont="1" applyBorder="1" applyAlignment="1">
      <alignment horizontal="center" vertical="center"/>
    </xf>
    <xf numFmtId="2" fontId="23" fillId="0" borderId="1" xfId="20" applyNumberFormat="1" applyFont="1" applyBorder="1" applyAlignment="1">
      <alignment horizontal="center" vertical="center" wrapText="1"/>
    </xf>
    <xf numFmtId="2" fontId="12" fillId="0" borderId="1" xfId="20" applyNumberFormat="1" applyFont="1" applyBorder="1" applyAlignment="1">
      <alignment horizontal="center" vertical="center" wrapText="1"/>
    </xf>
    <xf numFmtId="0" fontId="23" fillId="0" borderId="1" xfId="20" applyFont="1" applyBorder="1" applyAlignment="1">
      <alignment horizontal="left" vertical="center" wrapText="1"/>
    </xf>
    <xf numFmtId="0" fontId="33" fillId="0" borderId="1" xfId="20" applyFont="1" applyBorder="1" applyAlignment="1">
      <alignment horizontal="left" vertical="center" wrapText="1"/>
    </xf>
    <xf numFmtId="0" fontId="12" fillId="0" borderId="1" xfId="20" applyFont="1" applyBorder="1" applyAlignment="1">
      <alignment horizontal="left" vertical="center" wrapText="1"/>
    </xf>
    <xf numFmtId="0" fontId="34" fillId="0" borderId="1" xfId="20" applyFont="1" applyBorder="1" applyAlignment="1">
      <alignment horizontal="left" vertical="center" wrapText="1"/>
    </xf>
    <xf numFmtId="0" fontId="23" fillId="0" borderId="1" xfId="20" applyFont="1" applyFill="1" applyBorder="1" applyAlignment="1">
      <alignment horizontal="left" vertical="center" wrapText="1"/>
    </xf>
    <xf numFmtId="2" fontId="12" fillId="0" borderId="3" xfId="20" applyNumberFormat="1" applyFont="1" applyBorder="1" applyAlignment="1">
      <alignment horizontal="center" vertical="center"/>
    </xf>
    <xf numFmtId="0" fontId="23" fillId="0" borderId="1" xfId="15" applyFont="1" applyFill="1" applyBorder="1" applyAlignment="1">
      <alignment horizontal="left" vertical="center" wrapText="1"/>
    </xf>
    <xf numFmtId="0" fontId="33" fillId="0" borderId="1" xfId="15" applyFont="1" applyFill="1" applyBorder="1" applyAlignment="1">
      <alignment horizontal="left" vertical="center" wrapText="1"/>
    </xf>
    <xf numFmtId="0" fontId="34" fillId="0" borderId="1" xfId="15" applyFont="1" applyFill="1" applyBorder="1" applyAlignment="1">
      <alignment horizontal="left" vertical="center" wrapText="1"/>
    </xf>
    <xf numFmtId="0" fontId="33" fillId="0" borderId="1" xfId="20" applyFont="1" applyFill="1" applyBorder="1" applyAlignment="1">
      <alignment horizontal="left" vertical="center" wrapText="1"/>
    </xf>
    <xf numFmtId="0" fontId="34" fillId="0" borderId="1" xfId="20" applyFont="1" applyFill="1" applyBorder="1" applyAlignment="1">
      <alignment horizontal="left" vertical="center" wrapText="1"/>
    </xf>
    <xf numFmtId="0" fontId="12" fillId="0" borderId="0" xfId="20" applyFont="1" applyFill="1" applyBorder="1" applyAlignment="1">
      <alignment horizontal="center" vertical="center" wrapText="1"/>
    </xf>
    <xf numFmtId="0" fontId="23" fillId="0" borderId="0" xfId="20" applyFont="1" applyFill="1" applyBorder="1"/>
    <xf numFmtId="0" fontId="41" fillId="0" borderId="0" xfId="20" applyFont="1" applyFill="1" applyAlignment="1">
      <alignment horizontal="right"/>
    </xf>
    <xf numFmtId="8" fontId="23" fillId="0" borderId="0" xfId="15" applyNumberFormat="1" applyFont="1" applyFill="1" applyBorder="1"/>
    <xf numFmtId="0" fontId="12" fillId="0" borderId="0" xfId="15" applyFont="1" applyFill="1" applyBorder="1"/>
    <xf numFmtId="0" fontId="12" fillId="0" borderId="1" xfId="15" applyFont="1" applyFill="1" applyBorder="1" applyAlignment="1">
      <alignment horizontal="center" wrapText="1"/>
    </xf>
    <xf numFmtId="0" fontId="15" fillId="0" borderId="1" xfId="15" applyFont="1" applyFill="1" applyBorder="1" applyAlignment="1">
      <alignment horizontal="center" wrapText="1"/>
    </xf>
    <xf numFmtId="8" fontId="12" fillId="0" borderId="1" xfId="15" applyNumberFormat="1" applyFont="1" applyFill="1" applyBorder="1" applyAlignment="1">
      <alignment horizontal="right" wrapText="1" indent="1"/>
    </xf>
    <xf numFmtId="0" fontId="12" fillId="0" borderId="0" xfId="15" applyFont="1" applyFill="1" applyAlignment="1">
      <alignment vertical="top" wrapText="1"/>
    </xf>
    <xf numFmtId="0" fontId="15" fillId="0" borderId="1" xfId="20" applyFont="1" applyFill="1" applyBorder="1" applyAlignment="1">
      <alignment horizontal="center" vertical="center" wrapText="1"/>
    </xf>
    <xf numFmtId="0" fontId="23" fillId="0" borderId="1" xfId="15" applyFont="1" applyFill="1" applyBorder="1" applyAlignment="1">
      <alignment horizontal="center"/>
    </xf>
    <xf numFmtId="0" fontId="23" fillId="0" borderId="1" xfId="20" applyFont="1" applyFill="1" applyBorder="1" applyAlignment="1">
      <alignment horizontal="center" vertical="center"/>
    </xf>
    <xf numFmtId="1" fontId="23" fillId="0" borderId="1" xfId="20" applyNumberFormat="1" applyFont="1" applyBorder="1" applyAlignment="1">
      <alignment wrapText="1"/>
    </xf>
    <xf numFmtId="1" fontId="23" fillId="0" borderId="1" xfId="20" applyNumberFormat="1" applyFont="1" applyBorder="1"/>
    <xf numFmtId="1" fontId="12" fillId="0" borderId="1" xfId="20" applyNumberFormat="1" applyFont="1" applyBorder="1" applyAlignment="1">
      <alignment horizontal="center" vertical="center"/>
    </xf>
    <xf numFmtId="1" fontId="18" fillId="0" borderId="1" xfId="20" applyNumberFormat="1" applyFont="1" applyFill="1" applyBorder="1" applyAlignment="1">
      <alignment vertical="center" wrapText="1"/>
    </xf>
    <xf numFmtId="0" fontId="12" fillId="0" borderId="1" xfId="20" applyFont="1" applyBorder="1" applyAlignment="1">
      <alignment horizontal="left" vertical="center" wrapText="1" indent="2"/>
    </xf>
    <xf numFmtId="0" fontId="49" fillId="0" borderId="1" xfId="15" applyFont="1" applyFill="1" applyBorder="1" applyAlignment="1">
      <alignment horizontal="left" vertical="center" wrapText="1" indent="1"/>
    </xf>
    <xf numFmtId="165" fontId="12" fillId="0" borderId="6" xfId="0" applyNumberFormat="1" applyFont="1" applyFill="1" applyBorder="1" applyAlignment="1">
      <alignment horizontal="center"/>
    </xf>
    <xf numFmtId="0" fontId="23" fillId="0" borderId="0" xfId="15" applyFont="1" applyFill="1" applyBorder="1"/>
    <xf numFmtId="0" fontId="12" fillId="0" borderId="3" xfId="15" applyFont="1" applyFill="1" applyBorder="1" applyAlignment="1">
      <alignment horizontal="center" vertical="center"/>
    </xf>
    <xf numFmtId="0" fontId="18" fillId="0" borderId="1" xfId="20" applyFont="1" applyBorder="1" applyAlignment="1">
      <alignment vertical="center" wrapText="1"/>
    </xf>
    <xf numFmtId="165" fontId="18" fillId="0" borderId="1" xfId="20" applyNumberFormat="1" applyFont="1" applyBorder="1" applyAlignment="1">
      <alignment vertical="center" wrapText="1"/>
    </xf>
    <xf numFmtId="165" fontId="18" fillId="0" borderId="1" xfId="20" applyNumberFormat="1" applyFont="1" applyBorder="1" applyAlignment="1">
      <alignment horizontal="center" vertical="center" wrapText="1"/>
    </xf>
    <xf numFmtId="0" fontId="26" fillId="0" borderId="0" xfId="15" applyFont="1" applyFill="1" applyAlignment="1">
      <alignment horizontal="center" vertical="center" wrapText="1"/>
    </xf>
    <xf numFmtId="0" fontId="23" fillId="0" borderId="0" xfId="19" applyFont="1" applyFill="1" applyAlignment="1">
      <alignment horizontal="center" vertical="center"/>
    </xf>
    <xf numFmtId="0" fontId="3" fillId="0" borderId="0" xfId="20"/>
    <xf numFmtId="166" fontId="12" fillId="0" borderId="6"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166" fontId="12" fillId="0" borderId="21" xfId="0" applyNumberFormat="1" applyFont="1" applyBorder="1" applyAlignment="1">
      <alignment horizontal="center" vertical="center" wrapText="1"/>
    </xf>
    <xf numFmtId="165" fontId="12" fillId="0" borderId="21"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12" fillId="0" borderId="21" xfId="0" applyNumberFormat="1" applyFont="1" applyBorder="1" applyAlignment="1">
      <alignment horizontal="center" vertical="center" wrapText="1"/>
    </xf>
    <xf numFmtId="0" fontId="12" fillId="0" borderId="1" xfId="0" applyFont="1" applyBorder="1"/>
    <xf numFmtId="168" fontId="12" fillId="0" borderId="0" xfId="22" applyNumberFormat="1" applyFont="1" applyBorder="1"/>
    <xf numFmtId="1" fontId="12" fillId="0" borderId="0" xfId="0" applyNumberFormat="1" applyFont="1" applyBorder="1" applyAlignment="1">
      <alignment horizontal="center" vertical="center" wrapText="1"/>
    </xf>
    <xf numFmtId="0" fontId="23" fillId="0" borderId="1" xfId="15" applyFont="1" applyFill="1" applyBorder="1" applyAlignment="1">
      <alignment horizontal="center" vertical="center"/>
    </xf>
    <xf numFmtId="0" fontId="23" fillId="0" borderId="1" xfId="19" applyFont="1" applyFill="1" applyBorder="1" applyAlignment="1">
      <alignment horizontal="center" vertical="center" wrapText="1"/>
    </xf>
    <xf numFmtId="0" fontId="3" fillId="0" borderId="0" xfId="20" applyAlignment="1">
      <alignment horizontal="center" vertical="center"/>
    </xf>
    <xf numFmtId="0" fontId="26" fillId="0" borderId="0" xfId="15" applyFont="1" applyFill="1" applyAlignment="1">
      <alignment horizontal="center" vertical="top" wrapText="1"/>
    </xf>
    <xf numFmtId="0" fontId="23" fillId="0" borderId="0" xfId="19" applyFont="1" applyFill="1" applyAlignment="1">
      <alignment horizontal="center"/>
    </xf>
    <xf numFmtId="0" fontId="3" fillId="0" borderId="0" xfId="20" applyAlignment="1">
      <alignment horizontal="center"/>
    </xf>
    <xf numFmtId="0" fontId="23" fillId="0" borderId="1" xfId="19" applyFont="1" applyFill="1" applyBorder="1"/>
    <xf numFmtId="0" fontId="15" fillId="0" borderId="1" xfId="20" applyFont="1" applyFill="1" applyBorder="1" applyAlignment="1">
      <alignment horizontal="center" vertical="top" wrapText="1"/>
    </xf>
    <xf numFmtId="0" fontId="23" fillId="0" borderId="1" xfId="20" applyFont="1" applyFill="1" applyBorder="1" applyAlignment="1">
      <alignment horizontal="center"/>
    </xf>
    <xf numFmtId="0" fontId="18" fillId="0" borderId="1" xfId="20" applyFont="1" applyFill="1" applyBorder="1" applyAlignment="1">
      <alignment horizontal="center" vertical="center" wrapText="1"/>
    </xf>
    <xf numFmtId="165" fontId="3" fillId="0" borderId="0" xfId="20" applyNumberFormat="1" applyFill="1" applyAlignment="1">
      <alignment horizontal="center"/>
    </xf>
    <xf numFmtId="0" fontId="3" fillId="0" borderId="0" xfId="20" applyFill="1" applyAlignment="1">
      <alignment horizontal="center"/>
    </xf>
    <xf numFmtId="3" fontId="12" fillId="0" borderId="6" xfId="0" applyNumberFormat="1" applyFont="1" applyFill="1" applyBorder="1" applyAlignment="1">
      <alignment horizontal="center"/>
    </xf>
    <xf numFmtId="0" fontId="12" fillId="0" borderId="0" xfId="0" applyFont="1" applyFill="1" applyBorder="1"/>
    <xf numFmtId="166" fontId="12" fillId="0" borderId="0" xfId="0" applyNumberFormat="1" applyFont="1" applyBorder="1" applyAlignment="1">
      <alignment horizontal="center" vertical="center" wrapText="1"/>
    </xf>
    <xf numFmtId="0" fontId="54" fillId="0" borderId="1" xfId="20" applyFont="1" applyFill="1" applyBorder="1" applyAlignment="1">
      <alignment horizontal="left" vertical="center" wrapText="1" indent="1"/>
    </xf>
    <xf numFmtId="3" fontId="12" fillId="0" borderId="21" xfId="0" applyNumberFormat="1" applyFont="1" applyFill="1" applyBorder="1" applyAlignment="1">
      <alignment horizontal="center"/>
    </xf>
    <xf numFmtId="165" fontId="12" fillId="0" borderId="21" xfId="0" applyNumberFormat="1" applyFont="1" applyFill="1" applyBorder="1" applyAlignment="1">
      <alignment horizontal="center"/>
    </xf>
    <xf numFmtId="0" fontId="12" fillId="0" borderId="0" xfId="20" applyFont="1" applyBorder="1"/>
    <xf numFmtId="0" fontId="54" fillId="0" borderId="1" xfId="15" applyFont="1" applyBorder="1" applyAlignment="1">
      <alignment horizontal="left" vertical="center" wrapText="1" indent="1"/>
    </xf>
    <xf numFmtId="0" fontId="49" fillId="0" borderId="1" xfId="20" applyFont="1" applyFill="1" applyBorder="1" applyAlignment="1">
      <alignment horizontal="left" vertical="center" wrapText="1" indent="1"/>
    </xf>
    <xf numFmtId="0" fontId="54" fillId="0" borderId="1" xfId="15" applyFont="1" applyFill="1" applyBorder="1" applyAlignment="1">
      <alignment horizontal="left" vertical="center" wrapText="1" indent="1"/>
    </xf>
    <xf numFmtId="0" fontId="0" fillId="0" borderId="0" xfId="0" applyFill="1"/>
    <xf numFmtId="0" fontId="12" fillId="11" borderId="1" xfId="20" applyFont="1" applyFill="1" applyBorder="1" applyAlignment="1">
      <alignment horizontal="center" vertical="center" wrapText="1"/>
    </xf>
    <xf numFmtId="0" fontId="23" fillId="11" borderId="1" xfId="20" applyFont="1" applyFill="1" applyBorder="1" applyAlignment="1">
      <alignment vertical="center" wrapText="1"/>
    </xf>
    <xf numFmtId="0" fontId="12" fillId="11" borderId="1" xfId="20" applyFont="1" applyFill="1" applyBorder="1" applyAlignment="1">
      <alignment horizontal="left" vertical="center" wrapText="1"/>
    </xf>
    <xf numFmtId="6" fontId="23" fillId="0" borderId="0" xfId="20" applyNumberFormat="1" applyFont="1" applyFill="1"/>
    <xf numFmtId="3" fontId="12" fillId="0" borderId="1" xfId="0" applyNumberFormat="1" applyFont="1" applyBorder="1" applyAlignment="1">
      <alignment horizontal="center"/>
    </xf>
    <xf numFmtId="165" fontId="12" fillId="11" borderId="1" xfId="13" applyNumberFormat="1" applyFont="1" applyFill="1" applyBorder="1" applyAlignment="1">
      <alignment horizontal="center"/>
    </xf>
    <xf numFmtId="43" fontId="0" fillId="0" borderId="0" xfId="22" applyFont="1"/>
    <xf numFmtId="165" fontId="12" fillId="0" borderId="0" xfId="0" applyNumberFormat="1" applyFont="1" applyBorder="1" applyAlignment="1">
      <alignment horizontal="center"/>
    </xf>
    <xf numFmtId="0" fontId="3" fillId="11" borderId="0" xfId="20" applyFill="1"/>
    <xf numFmtId="0" fontId="18" fillId="11" borderId="1" xfId="20" applyFont="1" applyFill="1" applyBorder="1" applyAlignment="1">
      <alignment vertical="center" wrapText="1"/>
    </xf>
    <xf numFmtId="165" fontId="18" fillId="11" borderId="1" xfId="20" applyNumberFormat="1" applyFont="1" applyFill="1" applyBorder="1" applyAlignment="1">
      <alignment vertical="center" wrapText="1"/>
    </xf>
    <xf numFmtId="165" fontId="12" fillId="11" borderId="1" xfId="0" applyNumberFormat="1" applyFont="1" applyFill="1" applyBorder="1" applyAlignment="1">
      <alignment horizontal="right"/>
    </xf>
    <xf numFmtId="0" fontId="3" fillId="11" borderId="1" xfId="20" applyFill="1" applyBorder="1"/>
    <xf numFmtId="0" fontId="29" fillId="11" borderId="1" xfId="20" applyFont="1" applyFill="1" applyBorder="1" applyAlignment="1">
      <alignment vertical="center" wrapText="1"/>
    </xf>
    <xf numFmtId="165" fontId="3" fillId="11" borderId="0" xfId="20" applyNumberFormat="1" applyFill="1"/>
    <xf numFmtId="0" fontId="41" fillId="11" borderId="0" xfId="20" applyFont="1" applyFill="1" applyAlignment="1">
      <alignment horizontal="right"/>
    </xf>
    <xf numFmtId="0" fontId="15" fillId="11" borderId="0" xfId="20" applyFont="1" applyFill="1"/>
    <xf numFmtId="0" fontId="15" fillId="11" borderId="1" xfId="20" applyFont="1" applyFill="1" applyBorder="1" applyAlignment="1">
      <alignment vertical="top" wrapText="1" indent="1"/>
    </xf>
    <xf numFmtId="0" fontId="12" fillId="11" borderId="1" xfId="20" applyFont="1" applyFill="1" applyBorder="1" applyAlignment="1">
      <alignment horizontal="left" vertical="center" wrapText="1" indent="1"/>
    </xf>
    <xf numFmtId="167" fontId="12" fillId="11" borderId="1" xfId="20" applyNumberFormat="1" applyFont="1" applyFill="1" applyBorder="1" applyAlignment="1">
      <alignment horizontal="center" vertical="center" wrapText="1"/>
    </xf>
    <xf numFmtId="6" fontId="12" fillId="11" borderId="1" xfId="20" applyNumberFormat="1" applyFont="1" applyFill="1" applyBorder="1" applyAlignment="1">
      <alignment horizontal="right" vertical="center" wrapText="1" indent="1"/>
    </xf>
    <xf numFmtId="1" fontId="12" fillId="11" borderId="1" xfId="20" applyNumberFormat="1" applyFont="1" applyFill="1" applyBorder="1" applyAlignment="1">
      <alignment horizontal="center" vertical="center" wrapText="1"/>
    </xf>
    <xf numFmtId="0" fontId="54" fillId="11" borderId="1" xfId="20" applyFont="1" applyFill="1" applyBorder="1" applyAlignment="1">
      <alignment horizontal="left" vertical="center" wrapText="1" indent="1"/>
    </xf>
    <xf numFmtId="2" fontId="12" fillId="11" borderId="1" xfId="20" applyNumberFormat="1" applyFont="1" applyFill="1" applyBorder="1" applyAlignment="1">
      <alignment horizontal="center" vertical="center" wrapText="1"/>
    </xf>
    <xf numFmtId="0" fontId="17" fillId="11" borderId="1" xfId="20" applyFont="1" applyFill="1" applyBorder="1" applyAlignment="1">
      <alignment vertical="center" wrapText="1"/>
    </xf>
    <xf numFmtId="3" fontId="17" fillId="11" borderId="1" xfId="20" applyNumberFormat="1" applyFont="1" applyFill="1" applyBorder="1" applyAlignment="1">
      <alignment horizontal="center" vertical="center" wrapText="1"/>
    </xf>
    <xf numFmtId="3" fontId="17" fillId="11" borderId="1" xfId="20" applyNumberFormat="1" applyFont="1" applyFill="1" applyBorder="1" applyAlignment="1">
      <alignment vertical="center" wrapText="1"/>
    </xf>
    <xf numFmtId="6" fontId="17" fillId="11" borderId="1" xfId="20" applyNumberFormat="1" applyFont="1" applyFill="1" applyBorder="1" applyAlignment="1">
      <alignment vertical="center" wrapText="1"/>
    </xf>
    <xf numFmtId="0" fontId="17" fillId="11" borderId="0" xfId="20" applyFont="1" applyFill="1" applyAlignment="1">
      <alignment vertical="center"/>
    </xf>
    <xf numFmtId="4" fontId="15" fillId="11" borderId="0" xfId="20" applyNumberFormat="1" applyFont="1" applyFill="1"/>
    <xf numFmtId="0" fontId="12" fillId="11" borderId="1" xfId="20" applyFont="1" applyFill="1" applyBorder="1" applyAlignment="1">
      <alignment horizontal="right" vertical="center" wrapText="1" indent="1"/>
    </xf>
    <xf numFmtId="0" fontId="12" fillId="11" borderId="1" xfId="15" applyFont="1" applyFill="1" applyBorder="1" applyAlignment="1">
      <alignment horizontal="center" vertical="center" wrapText="1"/>
    </xf>
    <xf numFmtId="8" fontId="12" fillId="11" borderId="1" xfId="20" applyNumberFormat="1" applyFont="1" applyFill="1" applyBorder="1" applyAlignment="1">
      <alignment horizontal="right" vertical="center" wrapText="1" indent="1"/>
    </xf>
    <xf numFmtId="0" fontId="0" fillId="11" borderId="1" xfId="0" applyFill="1" applyBorder="1" applyAlignment="1">
      <alignment horizontal="center"/>
    </xf>
    <xf numFmtId="1" fontId="0" fillId="0" borderId="0" xfId="0" applyNumberFormat="1" applyFill="1"/>
    <xf numFmtId="3" fontId="0" fillId="0" borderId="0" xfId="0" applyNumberFormat="1" applyFill="1"/>
    <xf numFmtId="3" fontId="8" fillId="0" borderId="0" xfId="0" applyNumberFormat="1" applyFont="1" applyFill="1"/>
    <xf numFmtId="0" fontId="0" fillId="0" borderId="0" xfId="0" applyFill="1" applyAlignment="1">
      <alignment horizontal="center"/>
    </xf>
    <xf numFmtId="166" fontId="12" fillId="0" borderId="1" xfId="0" applyNumberFormat="1" applyFont="1" applyFill="1" applyBorder="1" applyAlignment="1">
      <alignment horizontal="center" wrapText="1"/>
    </xf>
    <xf numFmtId="168" fontId="12" fillId="0" borderId="0" xfId="22" applyNumberFormat="1" applyFont="1" applyFill="1" applyBorder="1"/>
    <xf numFmtId="165" fontId="0" fillId="0" borderId="0" xfId="0" applyNumberFormat="1" applyFill="1"/>
    <xf numFmtId="165" fontId="12" fillId="0" borderId="0" xfId="0" applyNumberFormat="1" applyFont="1" applyBorder="1"/>
    <xf numFmtId="0" fontId="3" fillId="0" borderId="23" xfId="20" applyFill="1" applyBorder="1"/>
    <xf numFmtId="1" fontId="23" fillId="0" borderId="1" xfId="20" applyNumberFormat="1" applyFont="1" applyFill="1" applyBorder="1" applyAlignment="1">
      <alignment horizontal="center" vertical="center" wrapText="1"/>
    </xf>
    <xf numFmtId="0" fontId="23" fillId="0" borderId="1" xfId="20" applyFont="1" applyBorder="1" applyAlignment="1">
      <alignment wrapText="1"/>
    </xf>
    <xf numFmtId="0" fontId="3" fillId="0" borderId="0" xfId="20" applyFill="1" applyAlignment="1">
      <alignment horizontal="right" wrapText="1"/>
    </xf>
    <xf numFmtId="167" fontId="12" fillId="0" borderId="1" xfId="15" applyNumberFormat="1" applyFont="1" applyFill="1" applyBorder="1" applyAlignment="1">
      <alignment horizontal="center" vertical="center"/>
    </xf>
    <xf numFmtId="2" fontId="12" fillId="0" borderId="1" xfId="15" applyNumberFormat="1" applyFont="1" applyFill="1" applyBorder="1" applyAlignment="1">
      <alignment horizontal="center" vertical="center"/>
    </xf>
    <xf numFmtId="8" fontId="12" fillId="0" borderId="1" xfId="15" applyNumberFormat="1" applyFont="1" applyFill="1" applyBorder="1" applyAlignment="1">
      <alignment horizontal="center" vertical="center"/>
    </xf>
    <xf numFmtId="1" fontId="12" fillId="0" borderId="3" xfId="20" applyNumberFormat="1" applyFont="1" applyBorder="1" applyAlignment="1">
      <alignment horizontal="center" vertical="center"/>
    </xf>
    <xf numFmtId="0" fontId="23" fillId="0" borderId="0" xfId="20" applyFont="1" applyFill="1" applyAlignment="1">
      <alignment wrapText="1"/>
    </xf>
    <xf numFmtId="0" fontId="17" fillId="0" borderId="1" xfId="15" applyFont="1" applyBorder="1" applyAlignment="1">
      <alignment horizontal="center" vertical="center" wrapText="1"/>
    </xf>
    <xf numFmtId="0" fontId="22" fillId="0" borderId="0" xfId="15" applyFont="1" applyAlignment="1">
      <alignment horizontal="left" vertical="top"/>
    </xf>
    <xf numFmtId="0" fontId="26" fillId="0" borderId="0" xfId="15" applyFont="1" applyFill="1" applyAlignment="1">
      <alignment horizontal="left" vertical="top" wrapText="1"/>
    </xf>
    <xf numFmtId="0" fontId="17" fillId="0" borderId="1" xfId="15" applyFont="1" applyFill="1" applyBorder="1" applyAlignment="1">
      <alignment horizontal="center" vertical="center" wrapText="1"/>
    </xf>
    <xf numFmtId="3" fontId="27" fillId="0" borderId="1" xfId="20" applyNumberFormat="1" applyFont="1" applyFill="1" applyBorder="1" applyAlignment="1">
      <alignment horizontal="center" vertical="center" wrapText="1"/>
    </xf>
    <xf numFmtId="0" fontId="17" fillId="0" borderId="1" xfId="20" applyFont="1" applyFill="1" applyBorder="1" applyAlignment="1">
      <alignment horizontal="center" vertical="center" wrapText="1"/>
    </xf>
    <xf numFmtId="0" fontId="17" fillId="11" borderId="1" xfId="20" applyFont="1" applyFill="1" applyBorder="1" applyAlignment="1">
      <alignment horizontal="center" vertical="center" wrapText="1"/>
    </xf>
    <xf numFmtId="0" fontId="2" fillId="0" borderId="0" xfId="20" applyFont="1" applyFill="1"/>
    <xf numFmtId="0" fontId="2" fillId="0" borderId="0" xfId="20" applyFont="1"/>
    <xf numFmtId="0" fontId="2" fillId="11" borderId="0" xfId="20" applyFont="1" applyFill="1"/>
    <xf numFmtId="0" fontId="23" fillId="0" borderId="1" xfId="20" applyFont="1" applyFill="1" applyBorder="1" applyAlignment="1">
      <alignment wrapText="1"/>
    </xf>
    <xf numFmtId="0" fontId="11" fillId="0" borderId="22" xfId="0" applyFont="1" applyFill="1" applyBorder="1" applyAlignment="1">
      <alignment horizontal="center" wrapText="1"/>
    </xf>
    <xf numFmtId="0" fontId="11" fillId="0" borderId="22" xfId="0" applyFont="1" applyBorder="1" applyAlignment="1"/>
    <xf numFmtId="0" fontId="14" fillId="0" borderId="5" xfId="0" applyFont="1" applyBorder="1" applyAlignment="1">
      <alignment horizontal="left" vertical="top" wrapText="1"/>
    </xf>
    <xf numFmtId="0" fontId="14" fillId="0" borderId="8" xfId="0" applyFont="1" applyBorder="1" applyAlignment="1">
      <alignment horizontal="center" vertical="center" wrapText="1"/>
    </xf>
    <xf numFmtId="0" fontId="0" fillId="0" borderId="8" xfId="0" applyBorder="1" applyAlignment="1">
      <alignment horizontal="center" vertical="center" wrapText="1"/>
    </xf>
    <xf numFmtId="166" fontId="14" fillId="0" borderId="0" xfId="0" applyNumberFormat="1" applyFont="1" applyAlignment="1">
      <alignment horizontal="left" vertical="top" wrapText="1"/>
    </xf>
    <xf numFmtId="166" fontId="52" fillId="0" borderId="5" xfId="0" applyNumberFormat="1" applyFont="1" applyBorder="1" applyAlignment="1">
      <alignment horizontal="center" vertical="center" wrapText="1"/>
    </xf>
    <xf numFmtId="0" fontId="53" fillId="0" borderId="5" xfId="0" applyFont="1" applyBorder="1" applyAlignment="1">
      <alignment horizontal="center" vertical="center" wrapText="1"/>
    </xf>
    <xf numFmtId="0" fontId="23" fillId="0" borderId="0" xfId="20" applyFont="1" applyAlignment="1">
      <alignment horizontal="left" vertical="top" wrapText="1"/>
    </xf>
    <xf numFmtId="0" fontId="14" fillId="0" borderId="0" xfId="14" applyNumberFormat="1" applyFont="1" applyAlignment="1">
      <alignment wrapText="1"/>
    </xf>
    <xf numFmtId="0" fontId="0" fillId="0" borderId="0" xfId="0" applyAlignment="1">
      <alignment wrapText="1"/>
    </xf>
    <xf numFmtId="0" fontId="12" fillId="0" borderId="1" xfId="20" applyFont="1" applyBorder="1" applyAlignment="1">
      <alignment horizontal="center" vertical="top"/>
    </xf>
    <xf numFmtId="3" fontId="27" fillId="0" borderId="1" xfId="20" applyNumberFormat="1" applyFont="1" applyBorder="1" applyAlignment="1">
      <alignment horizontal="center" vertical="center" wrapText="1"/>
    </xf>
    <xf numFmtId="0" fontId="28" fillId="0" borderId="0" xfId="20" applyFont="1" applyAlignment="1">
      <alignment horizontal="left" vertical="center" wrapText="1"/>
    </xf>
    <xf numFmtId="0" fontId="28" fillId="0" borderId="0" xfId="15" applyFont="1" applyAlignment="1">
      <alignment horizontal="left" wrapText="1"/>
    </xf>
    <xf numFmtId="0" fontId="22" fillId="0" borderId="0" xfId="20" applyFont="1" applyAlignment="1">
      <alignment horizontal="left" vertical="center" wrapText="1"/>
    </xf>
    <xf numFmtId="0" fontId="28" fillId="0" borderId="0" xfId="20" applyFont="1" applyAlignment="1">
      <alignment horizontal="left" vertical="center"/>
    </xf>
    <xf numFmtId="0" fontId="2" fillId="0" borderId="0" xfId="20" applyFont="1" applyFill="1" applyAlignment="1">
      <alignment wrapText="1"/>
    </xf>
    <xf numFmtId="0" fontId="23" fillId="0" borderId="0" xfId="20" applyFont="1" applyFill="1" applyAlignment="1">
      <alignment wrapText="1"/>
    </xf>
    <xf numFmtId="0" fontId="12" fillId="0" borderId="0" xfId="0" applyFont="1" applyAlignment="1">
      <alignment wrapText="1"/>
    </xf>
    <xf numFmtId="0" fontId="12" fillId="0" borderId="0" xfId="15" applyFont="1" applyAlignment="1">
      <alignment horizontal="left" vertical="top"/>
    </xf>
    <xf numFmtId="0" fontId="14" fillId="0" borderId="0" xfId="15" applyFont="1" applyAlignment="1">
      <alignment horizontal="center" vertical="center"/>
    </xf>
    <xf numFmtId="0" fontId="17" fillId="0" borderId="1" xfId="15" applyFont="1" applyBorder="1" applyAlignment="1">
      <alignment horizontal="center" vertical="center" wrapText="1"/>
    </xf>
    <xf numFmtId="0" fontId="22" fillId="0" borderId="0" xfId="15" applyFont="1" applyAlignment="1">
      <alignment horizontal="left" vertical="top"/>
    </xf>
    <xf numFmtId="0" fontId="12" fillId="0" borderId="1" xfId="15" applyFont="1" applyBorder="1" applyAlignment="1">
      <alignment horizontal="center" vertical="top"/>
    </xf>
    <xf numFmtId="0" fontId="37" fillId="0" borderId="0" xfId="15" applyFont="1" applyAlignment="1">
      <alignment horizontal="left" vertical="top" wrapText="1"/>
    </xf>
    <xf numFmtId="3" fontId="17" fillId="0" borderId="4" xfId="15" applyNumberFormat="1" applyFont="1" applyBorder="1" applyAlignment="1">
      <alignment horizontal="center" vertical="center" wrapText="1"/>
    </xf>
    <xf numFmtId="0" fontId="0" fillId="0" borderId="8" xfId="0" applyBorder="1" applyAlignment="1">
      <alignment vertical="center" wrapText="1"/>
    </xf>
    <xf numFmtId="0" fontId="0" fillId="0" borderId="2" xfId="0" applyBorder="1" applyAlignment="1">
      <alignment vertical="center" wrapText="1"/>
    </xf>
    <xf numFmtId="0" fontId="22" fillId="0" borderId="0" xfId="15" applyFont="1" applyAlignment="1">
      <alignment horizontal="left" vertical="top" wrapText="1"/>
    </xf>
    <xf numFmtId="0" fontId="26" fillId="0" borderId="0" xfId="15" applyFont="1" applyFill="1" applyAlignment="1">
      <alignment horizontal="left" vertical="top" wrapText="1"/>
    </xf>
    <xf numFmtId="0" fontId="39" fillId="0" borderId="14" xfId="20" applyNumberFormat="1" applyFont="1" applyFill="1" applyBorder="1" applyAlignment="1">
      <alignment horizontal="left" vertical="center" wrapText="1"/>
    </xf>
    <xf numFmtId="0" fontId="39" fillId="0" borderId="15" xfId="20" applyNumberFormat="1" applyFont="1" applyFill="1" applyBorder="1" applyAlignment="1">
      <alignment horizontal="left" vertical="center" wrapText="1"/>
    </xf>
    <xf numFmtId="0" fontId="39" fillId="0" borderId="16" xfId="20" applyNumberFormat="1" applyFont="1" applyFill="1" applyBorder="1" applyAlignment="1">
      <alignment horizontal="left" vertical="center" wrapText="1"/>
    </xf>
    <xf numFmtId="0" fontId="23" fillId="0" borderId="0" xfId="15" applyFont="1" applyFill="1" applyAlignment="1">
      <alignment horizontal="left" vertical="top" wrapText="1"/>
    </xf>
    <xf numFmtId="0" fontId="28" fillId="0" borderId="0" xfId="15" applyFont="1" applyFill="1" applyAlignment="1">
      <alignment horizontal="left" vertical="center" wrapText="1"/>
    </xf>
    <xf numFmtId="0" fontId="12" fillId="0" borderId="1" xfId="15" applyFont="1" applyFill="1" applyBorder="1" applyAlignment="1">
      <alignment horizontal="center" vertical="top"/>
    </xf>
    <xf numFmtId="3" fontId="27" fillId="0" borderId="1" xfId="15" applyNumberFormat="1" applyFont="1" applyFill="1" applyBorder="1" applyAlignment="1">
      <alignment horizontal="center" vertical="center" wrapText="1"/>
    </xf>
    <xf numFmtId="0" fontId="22" fillId="0" borderId="0" xfId="15" applyFont="1" applyFill="1" applyAlignment="1">
      <alignment horizontal="left" vertical="center" wrapText="1"/>
    </xf>
    <xf numFmtId="0" fontId="12" fillId="0" borderId="0" xfId="15" applyFont="1" applyFill="1" applyAlignment="1">
      <alignment horizontal="left" vertical="top"/>
    </xf>
    <xf numFmtId="0" fontId="14" fillId="0" borderId="0" xfId="15" applyFont="1" applyFill="1" applyAlignment="1">
      <alignment horizontal="left" vertical="top" wrapText="1"/>
    </xf>
    <xf numFmtId="0" fontId="14" fillId="0" borderId="0" xfId="15" applyFont="1" applyFill="1" applyAlignment="1">
      <alignment horizontal="center" vertical="center"/>
    </xf>
    <xf numFmtId="0" fontId="17" fillId="0" borderId="1" xfId="15" applyFont="1" applyFill="1" applyBorder="1" applyAlignment="1">
      <alignment horizontal="center" vertical="center" wrapText="1"/>
    </xf>
    <xf numFmtId="0" fontId="37" fillId="0" borderId="0" xfId="15" applyFont="1" applyFill="1" applyAlignment="1">
      <alignment horizontal="left" vertical="top" wrapText="1"/>
    </xf>
    <xf numFmtId="0" fontId="22" fillId="0" borderId="0" xfId="15" applyFont="1" applyFill="1" applyAlignment="1">
      <alignment horizontal="left" vertical="top" wrapText="1"/>
    </xf>
    <xf numFmtId="0" fontId="22" fillId="0" borderId="0" xfId="15" applyFont="1" applyFill="1" applyAlignment="1">
      <alignment horizontal="left" vertical="top"/>
    </xf>
    <xf numFmtId="0" fontId="39" fillId="0" borderId="0" xfId="20" applyFont="1" applyFill="1" applyBorder="1" applyAlignment="1">
      <alignment horizontal="left" vertical="center" wrapText="1"/>
    </xf>
    <xf numFmtId="0" fontId="23" fillId="0" borderId="0" xfId="20" applyFont="1" applyFill="1" applyAlignment="1">
      <alignment horizontal="left" vertical="top" wrapText="1"/>
    </xf>
    <xf numFmtId="0" fontId="12" fillId="0" borderId="1" xfId="20" applyFont="1" applyFill="1" applyBorder="1" applyAlignment="1">
      <alignment horizontal="center" vertical="top"/>
    </xf>
    <xf numFmtId="3" fontId="27" fillId="0" borderId="1" xfId="20" applyNumberFormat="1" applyFont="1" applyFill="1" applyBorder="1" applyAlignment="1">
      <alignment horizontal="center" vertical="center" wrapText="1"/>
    </xf>
    <xf numFmtId="0" fontId="28" fillId="0" borderId="0" xfId="20" applyFont="1" applyFill="1" applyAlignment="1">
      <alignment horizontal="left" vertical="center" wrapText="1"/>
    </xf>
    <xf numFmtId="0" fontId="22" fillId="0" borderId="0" xfId="20" applyFont="1" applyFill="1" applyAlignment="1">
      <alignment horizontal="left" vertical="center" wrapText="1"/>
    </xf>
    <xf numFmtId="3" fontId="27" fillId="0" borderId="4" xfId="20" applyNumberFormat="1" applyFont="1" applyFill="1" applyBorder="1" applyAlignment="1">
      <alignment horizontal="center" vertical="center" wrapText="1"/>
    </xf>
    <xf numFmtId="3" fontId="27" fillId="0" borderId="8" xfId="20" applyNumberFormat="1" applyFont="1" applyFill="1" applyBorder="1" applyAlignment="1">
      <alignment horizontal="center" vertical="center" wrapText="1"/>
    </xf>
    <xf numFmtId="3" fontId="27" fillId="0" borderId="2" xfId="20" applyNumberFormat="1" applyFont="1" applyFill="1" applyBorder="1" applyAlignment="1">
      <alignment horizontal="center" vertical="center" wrapText="1"/>
    </xf>
    <xf numFmtId="0" fontId="22" fillId="0" borderId="0" xfId="20" applyFont="1" applyFill="1" applyAlignment="1">
      <alignment horizontal="left" vertical="top" wrapText="1"/>
    </xf>
    <xf numFmtId="0" fontId="22" fillId="0" borderId="0" xfId="20" applyFont="1" applyFill="1" applyAlignment="1">
      <alignment horizontal="left" vertical="top"/>
    </xf>
    <xf numFmtId="0" fontId="12" fillId="0" borderId="0" xfId="20" applyFont="1" applyFill="1" applyAlignment="1">
      <alignment horizontal="left" vertical="top"/>
    </xf>
    <xf numFmtId="0" fontId="37" fillId="0" borderId="0" xfId="20" applyFont="1" applyFill="1" applyAlignment="1">
      <alignment horizontal="left" vertical="top" wrapText="1"/>
    </xf>
    <xf numFmtId="0" fontId="14" fillId="0" borderId="0" xfId="20" applyFont="1" applyFill="1" applyAlignment="1">
      <alignment horizontal="left" vertical="top" wrapText="1"/>
    </xf>
    <xf numFmtId="0" fontId="14" fillId="0" borderId="0" xfId="20" applyFont="1" applyFill="1" applyAlignment="1">
      <alignment horizontal="center" vertical="center"/>
    </xf>
    <xf numFmtId="0" fontId="17" fillId="0" borderId="1" xfId="20" applyFont="1" applyFill="1" applyBorder="1" applyAlignment="1">
      <alignment horizontal="center" vertical="center" wrapText="1"/>
    </xf>
    <xf numFmtId="0" fontId="22" fillId="0" borderId="0" xfId="20" applyFont="1" applyAlignment="1">
      <alignment horizontal="left" vertical="top" wrapText="1"/>
    </xf>
    <xf numFmtId="0" fontId="22" fillId="0" borderId="0" xfId="20" applyFont="1" applyAlignment="1">
      <alignment horizontal="left" vertical="top"/>
    </xf>
    <xf numFmtId="0" fontId="12" fillId="0" borderId="0" xfId="20" applyFont="1" applyAlignment="1">
      <alignment horizontal="left" vertical="top"/>
    </xf>
    <xf numFmtId="0" fontId="39" fillId="0" borderId="1" xfId="19" applyFont="1" applyFill="1" applyBorder="1" applyAlignment="1">
      <alignment horizontal="left" vertical="center" wrapText="1"/>
    </xf>
    <xf numFmtId="0" fontId="30" fillId="0" borderId="0" xfId="19" applyFont="1" applyFill="1" applyAlignment="1">
      <alignment vertical="center" wrapText="1"/>
    </xf>
    <xf numFmtId="0" fontId="0" fillId="0" borderId="0" xfId="0" applyFill="1" applyAlignment="1">
      <alignment wrapText="1"/>
    </xf>
    <xf numFmtId="0" fontId="28" fillId="0" borderId="0" xfId="20" applyFont="1" applyFill="1" applyAlignment="1">
      <alignment horizontal="left" vertical="center"/>
    </xf>
    <xf numFmtId="0" fontId="39" fillId="0" borderId="14" xfId="20" applyFont="1" applyFill="1" applyBorder="1" applyAlignment="1">
      <alignment horizontal="left" vertical="center" wrapText="1"/>
    </xf>
    <xf numFmtId="0" fontId="39" fillId="0" borderId="15" xfId="20" applyFont="1" applyFill="1" applyBorder="1" applyAlignment="1">
      <alignment horizontal="left" vertical="center" wrapText="1"/>
    </xf>
    <xf numFmtId="0" fontId="28" fillId="0" borderId="0" xfId="15" applyFont="1" applyFill="1" applyAlignment="1">
      <alignment horizontal="left" wrapText="1"/>
    </xf>
    <xf numFmtId="0" fontId="17" fillId="11" borderId="1" xfId="20" applyFont="1" applyFill="1" applyBorder="1" applyAlignment="1">
      <alignment horizontal="center" vertical="center" wrapText="1"/>
    </xf>
    <xf numFmtId="0" fontId="37" fillId="11" borderId="0" xfId="15" applyFont="1" applyFill="1" applyAlignment="1">
      <alignment horizontal="left" vertical="top" wrapText="1"/>
    </xf>
    <xf numFmtId="0" fontId="22" fillId="11" borderId="0" xfId="20" applyFont="1" applyFill="1" applyAlignment="1">
      <alignment horizontal="left" vertical="top" wrapText="1"/>
    </xf>
    <xf numFmtId="168" fontId="0" fillId="0" borderId="0" xfId="22" applyNumberFormat="1" applyFont="1"/>
  </cellXfs>
  <cellStyles count="23">
    <cellStyle name="Bad" xfId="13" builtinId="27"/>
    <cellStyle name="Comma" xfId="22" builtinId="3"/>
    <cellStyle name="Comma 2" xfId="3" xr:uid="{00000000-0005-0000-0000-000001000000}"/>
    <cellStyle name="Comma 3" xfId="8" xr:uid="{00000000-0005-0000-0000-000002000000}"/>
    <cellStyle name="Comma 4" xfId="18" xr:uid="{180E7FEA-7921-4E46-A07B-86AAACFEE0BB}"/>
    <cellStyle name="Currency 2" xfId="4" xr:uid="{00000000-0005-0000-0000-000004000000}"/>
    <cellStyle name="Currency 3" xfId="11" xr:uid="{00000000-0005-0000-0000-000005000000}"/>
    <cellStyle name="Currency 4" xfId="17" xr:uid="{EA8E0CB1-FBC1-4FF7-A1F8-54F403FBF235}"/>
    <cellStyle name="Normal" xfId="0" builtinId="0"/>
    <cellStyle name="Normal 2" xfId="2" xr:uid="{00000000-0005-0000-0000-000008000000}"/>
    <cellStyle name="Normal 2 2" xfId="12" xr:uid="{00000000-0005-0000-0000-000009000000}"/>
    <cellStyle name="Normal 2 3" xfId="10" xr:uid="{00000000-0005-0000-0000-00000A000000}"/>
    <cellStyle name="Normal 2 4" xfId="21" xr:uid="{DC7D509F-A2F0-410C-B2E4-7BF716042377}"/>
    <cellStyle name="Normal 3" xfId="1" xr:uid="{00000000-0005-0000-0000-00000B000000}"/>
    <cellStyle name="Normal 3 2" xfId="9" xr:uid="{00000000-0005-0000-0000-00000C000000}"/>
    <cellStyle name="Normal 4" xfId="7" xr:uid="{00000000-0005-0000-0000-00000D000000}"/>
    <cellStyle name="Normal 5" xfId="6" xr:uid="{00000000-0005-0000-0000-00000E000000}"/>
    <cellStyle name="Normal 6" xfId="14" xr:uid="{94D7B3F1-5B31-4BDE-A123-D8A954F84B7D}"/>
    <cellStyle name="Normal 7" xfId="15" xr:uid="{BA97B4B4-61C4-444B-8FC1-C32A7BA80A55}"/>
    <cellStyle name="Normal 7 2" xfId="20" xr:uid="{FA5E6202-544B-4319-B972-14E88B9E16D0}"/>
    <cellStyle name="Normal 8" xfId="16" xr:uid="{2D8207D6-6C10-41EC-B3F1-0EE9EBA0D347}"/>
    <cellStyle name="Normal 9" xfId="19" xr:uid="{6DDA394A-02DF-4630-BBBC-A8F99EB73F6D}"/>
    <cellStyle name="Percent 2" xfId="5"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T63"/>
  <sheetViews>
    <sheetView workbookViewId="0">
      <selection activeCell="H24" sqref="H24"/>
    </sheetView>
  </sheetViews>
  <sheetFormatPr defaultColWidth="9.1796875" defaultRowHeight="12.5" x14ac:dyDescent="0.25"/>
  <cols>
    <col min="1" max="1" width="24.453125" style="14" customWidth="1"/>
    <col min="2" max="3" width="9.1796875" style="14"/>
    <col min="4" max="4" width="13.453125" style="14" bestFit="1" customWidth="1"/>
    <col min="5" max="7" width="9.1796875" style="14"/>
    <col min="8" max="8" width="9.81640625" style="14" customWidth="1"/>
    <col min="9" max="18" width="9.1796875" style="14"/>
    <col min="19" max="19" width="9" style="14" customWidth="1"/>
    <col min="20" max="20" width="9.1796875" style="14"/>
    <col min="21" max="21" width="9.453125" style="14" bestFit="1" customWidth="1"/>
    <col min="22" max="16384" width="9.1796875" style="14"/>
  </cols>
  <sheetData>
    <row r="1" spans="1:20" ht="13" x14ac:dyDescent="0.3">
      <c r="A1" s="1" t="s">
        <v>0</v>
      </c>
      <c r="L1" s="1" t="s">
        <v>1</v>
      </c>
      <c r="O1" s="14" t="s">
        <v>2</v>
      </c>
    </row>
    <row r="2" spans="1:20" ht="13" x14ac:dyDescent="0.3">
      <c r="L2" s="1" t="s">
        <v>3</v>
      </c>
      <c r="T2" s="1" t="s">
        <v>4</v>
      </c>
    </row>
    <row r="3" spans="1:20" x14ac:dyDescent="0.25">
      <c r="A3" s="15" t="s">
        <v>5</v>
      </c>
      <c r="B3" s="15"/>
      <c r="C3" s="15"/>
      <c r="D3" s="15"/>
      <c r="E3" s="15"/>
      <c r="F3" s="15"/>
      <c r="G3" s="15"/>
      <c r="H3" s="15"/>
      <c r="I3" s="25"/>
      <c r="J3" s="25"/>
      <c r="K3" s="25"/>
      <c r="L3" s="14" t="s">
        <v>6</v>
      </c>
      <c r="T3" s="4" t="s">
        <v>6</v>
      </c>
    </row>
    <row r="4" spans="1:20" ht="14.5" x14ac:dyDescent="0.35">
      <c r="A4" s="16"/>
      <c r="B4" s="5" t="s">
        <v>3</v>
      </c>
      <c r="C4" s="6" t="s">
        <v>7</v>
      </c>
      <c r="D4" s="7" t="s">
        <v>8</v>
      </c>
      <c r="E4" s="8" t="s">
        <v>9</v>
      </c>
      <c r="F4" s="9" t="s">
        <v>10</v>
      </c>
      <c r="G4" s="10" t="s">
        <v>4</v>
      </c>
      <c r="H4" s="11" t="s">
        <v>11</v>
      </c>
      <c r="I4" s="25"/>
      <c r="J4" s="25"/>
      <c r="K4" s="25"/>
      <c r="L4" s="25" t="s">
        <v>12</v>
      </c>
      <c r="S4" s="26"/>
      <c r="T4" s="3" t="s">
        <v>12</v>
      </c>
    </row>
    <row r="5" spans="1:20" x14ac:dyDescent="0.25">
      <c r="A5" s="16" t="s">
        <v>13</v>
      </c>
      <c r="B5" s="13">
        <v>0</v>
      </c>
      <c r="C5" s="27">
        <v>0</v>
      </c>
      <c r="D5" s="28">
        <v>0</v>
      </c>
      <c r="E5" s="29">
        <v>0</v>
      </c>
      <c r="F5" s="30">
        <v>0</v>
      </c>
      <c r="G5" s="12">
        <v>0</v>
      </c>
      <c r="H5" s="31">
        <v>0</v>
      </c>
      <c r="I5" s="25" t="s">
        <v>14</v>
      </c>
      <c r="J5" s="25"/>
      <c r="K5" s="25"/>
      <c r="L5" s="25" t="s">
        <v>15</v>
      </c>
      <c r="S5" s="32"/>
      <c r="T5" s="3" t="s">
        <v>16</v>
      </c>
    </row>
    <row r="6" spans="1:20" x14ac:dyDescent="0.25">
      <c r="A6" s="16" t="s">
        <v>17</v>
      </c>
      <c r="B6" s="13">
        <v>35</v>
      </c>
      <c r="C6" s="27">
        <v>502</v>
      </c>
      <c r="D6" s="28">
        <v>401</v>
      </c>
      <c r="E6" s="29">
        <v>30</v>
      </c>
      <c r="F6" s="30">
        <v>1088</v>
      </c>
      <c r="G6" s="12">
        <v>76</v>
      </c>
      <c r="H6" s="31">
        <v>207</v>
      </c>
      <c r="I6" s="25"/>
      <c r="J6" s="25"/>
      <c r="K6" s="25"/>
      <c r="L6" s="3" t="s">
        <v>18</v>
      </c>
    </row>
    <row r="7" spans="1:20" x14ac:dyDescent="0.25">
      <c r="A7" s="16" t="s">
        <v>19</v>
      </c>
      <c r="B7" s="13">
        <v>0</v>
      </c>
      <c r="C7" s="27">
        <v>0</v>
      </c>
      <c r="D7" s="28">
        <v>0</v>
      </c>
      <c r="E7" s="29">
        <v>0</v>
      </c>
      <c r="F7" s="30">
        <v>0</v>
      </c>
      <c r="G7" s="12">
        <v>0</v>
      </c>
      <c r="H7" s="31">
        <v>0</v>
      </c>
      <c r="I7" s="25" t="s">
        <v>14</v>
      </c>
      <c r="J7" s="25"/>
      <c r="K7" s="25"/>
      <c r="S7" s="32"/>
      <c r="T7" s="3"/>
    </row>
    <row r="8" spans="1:20" ht="13" x14ac:dyDescent="0.3">
      <c r="A8" s="16" t="s">
        <v>20</v>
      </c>
      <c r="B8" s="13">
        <v>262</v>
      </c>
      <c r="C8" s="27">
        <v>30</v>
      </c>
      <c r="D8" s="28">
        <v>271</v>
      </c>
      <c r="E8" s="29">
        <v>8</v>
      </c>
      <c r="F8" s="30">
        <v>316</v>
      </c>
      <c r="G8" s="12">
        <v>28</v>
      </c>
      <c r="H8" s="31">
        <v>21</v>
      </c>
      <c r="I8" s="25"/>
      <c r="J8" s="25"/>
      <c r="K8" s="25"/>
      <c r="L8" s="2" t="s">
        <v>7</v>
      </c>
      <c r="S8" s="32"/>
    </row>
    <row r="9" spans="1:20" x14ac:dyDescent="0.25">
      <c r="A9" s="16" t="s">
        <v>21</v>
      </c>
      <c r="B9" s="13">
        <v>0</v>
      </c>
      <c r="C9" s="27">
        <v>0</v>
      </c>
      <c r="D9" s="28">
        <v>0</v>
      </c>
      <c r="E9" s="29">
        <v>0</v>
      </c>
      <c r="F9" s="30">
        <v>0</v>
      </c>
      <c r="G9" s="12">
        <v>0</v>
      </c>
      <c r="H9" s="31">
        <v>0</v>
      </c>
      <c r="I9" s="25" t="s">
        <v>22</v>
      </c>
      <c r="J9" s="25"/>
      <c r="K9" s="25"/>
      <c r="L9" s="14" t="s">
        <v>6</v>
      </c>
      <c r="S9" s="32"/>
    </row>
    <row r="10" spans="1:20" x14ac:dyDescent="0.25">
      <c r="A10" s="16" t="s">
        <v>23</v>
      </c>
      <c r="B10" s="13">
        <v>0</v>
      </c>
      <c r="C10" s="27">
        <v>0</v>
      </c>
      <c r="D10" s="28">
        <v>0</v>
      </c>
      <c r="E10" s="29">
        <v>0</v>
      </c>
      <c r="F10" s="30">
        <v>0</v>
      </c>
      <c r="G10" s="12">
        <v>0</v>
      </c>
      <c r="H10" s="31">
        <v>0</v>
      </c>
      <c r="I10" s="25" t="s">
        <v>22</v>
      </c>
      <c r="J10" s="25"/>
      <c r="K10" s="25"/>
      <c r="L10" s="25" t="s">
        <v>12</v>
      </c>
      <c r="S10" s="32"/>
    </row>
    <row r="11" spans="1:20" x14ac:dyDescent="0.25">
      <c r="A11" s="16" t="s">
        <v>24</v>
      </c>
      <c r="B11" s="13">
        <v>0</v>
      </c>
      <c r="C11" s="27">
        <v>0</v>
      </c>
      <c r="D11" s="28">
        <v>0</v>
      </c>
      <c r="E11" s="29">
        <v>0</v>
      </c>
      <c r="F11" s="30">
        <v>0</v>
      </c>
      <c r="G11" s="12">
        <v>0</v>
      </c>
      <c r="H11" s="31">
        <v>0</v>
      </c>
      <c r="I11" s="25" t="s">
        <v>22</v>
      </c>
      <c r="J11" s="25"/>
      <c r="K11" s="25"/>
      <c r="L11" s="25" t="s">
        <v>25</v>
      </c>
      <c r="S11" s="32"/>
    </row>
    <row r="12" spans="1:20" x14ac:dyDescent="0.25">
      <c r="A12" s="16" t="s">
        <v>26</v>
      </c>
      <c r="B12" s="13">
        <v>0</v>
      </c>
      <c r="C12" s="27">
        <v>0</v>
      </c>
      <c r="D12" s="28">
        <v>6</v>
      </c>
      <c r="E12" s="29">
        <v>0</v>
      </c>
      <c r="F12" s="30">
        <v>78</v>
      </c>
      <c r="G12" s="12">
        <v>0</v>
      </c>
      <c r="H12" s="31">
        <v>0</v>
      </c>
      <c r="I12" s="25"/>
      <c r="J12" s="25"/>
      <c r="K12" s="25"/>
      <c r="L12" s="25" t="s">
        <v>27</v>
      </c>
      <c r="S12" s="32"/>
    </row>
    <row r="13" spans="1:20" x14ac:dyDescent="0.25">
      <c r="B13" s="17"/>
      <c r="C13" s="17"/>
      <c r="D13" s="17"/>
      <c r="E13" s="17"/>
      <c r="F13" s="18"/>
      <c r="G13" s="17"/>
      <c r="H13" s="17"/>
      <c r="I13" s="25"/>
      <c r="J13" s="25"/>
      <c r="K13" s="25"/>
      <c r="L13" s="3" t="s">
        <v>28</v>
      </c>
    </row>
    <row r="14" spans="1:20" ht="13" x14ac:dyDescent="0.3">
      <c r="B14" s="17"/>
      <c r="C14" s="17"/>
      <c r="D14" s="17"/>
      <c r="E14" s="17"/>
      <c r="F14" s="18"/>
      <c r="G14" s="17"/>
      <c r="H14" s="17"/>
      <c r="I14" s="25"/>
      <c r="J14" s="25"/>
      <c r="K14" s="25"/>
      <c r="L14" s="2" t="s">
        <v>8</v>
      </c>
    </row>
    <row r="15" spans="1:20" x14ac:dyDescent="0.25">
      <c r="B15" s="17"/>
      <c r="C15" s="17"/>
      <c r="D15" s="17"/>
      <c r="E15" s="17"/>
      <c r="F15" s="18"/>
      <c r="G15" s="17"/>
      <c r="H15" s="17"/>
      <c r="I15" s="25"/>
      <c r="J15" s="25"/>
      <c r="K15" s="25"/>
      <c r="L15" s="14" t="s">
        <v>6</v>
      </c>
    </row>
    <row r="16" spans="1:20" ht="13" x14ac:dyDescent="0.3">
      <c r="A16" s="1" t="s">
        <v>29</v>
      </c>
      <c r="B16" s="17"/>
      <c r="C16" s="17"/>
      <c r="D16" s="17"/>
      <c r="E16" s="17"/>
      <c r="F16" s="18"/>
      <c r="G16" s="17"/>
      <c r="H16" s="17"/>
      <c r="I16" s="25"/>
      <c r="J16" s="25"/>
      <c r="K16" s="25"/>
      <c r="L16" s="25" t="s">
        <v>12</v>
      </c>
    </row>
    <row r="17" spans="1:15" x14ac:dyDescent="0.25">
      <c r="B17" s="17"/>
      <c r="C17" s="17"/>
      <c r="D17" s="17"/>
      <c r="E17" s="17"/>
      <c r="F17" s="18"/>
      <c r="G17" s="17"/>
      <c r="H17" s="17"/>
      <c r="I17" s="25"/>
      <c r="J17" s="25"/>
      <c r="K17" s="25"/>
      <c r="L17" s="25" t="s">
        <v>30</v>
      </c>
    </row>
    <row r="18" spans="1:15" x14ac:dyDescent="0.25">
      <c r="A18" s="15" t="s">
        <v>5</v>
      </c>
      <c r="B18" s="19"/>
      <c r="C18" s="19"/>
      <c r="D18" s="19"/>
      <c r="E18" s="19"/>
      <c r="F18" s="19"/>
      <c r="G18" s="19"/>
      <c r="H18" s="19"/>
      <c r="I18" s="25"/>
      <c r="J18" s="25"/>
      <c r="K18" s="25"/>
      <c r="L18" s="25" t="s">
        <v>31</v>
      </c>
    </row>
    <row r="19" spans="1:15" ht="13" x14ac:dyDescent="0.3">
      <c r="A19" s="16"/>
      <c r="B19" s="5" t="s">
        <v>3</v>
      </c>
      <c r="C19" s="6" t="s">
        <v>7</v>
      </c>
      <c r="D19" s="7" t="s">
        <v>8</v>
      </c>
      <c r="E19" s="8" t="s">
        <v>9</v>
      </c>
      <c r="F19" s="9" t="s">
        <v>10</v>
      </c>
      <c r="G19" s="10" t="s">
        <v>4</v>
      </c>
      <c r="H19" s="11" t="s">
        <v>11</v>
      </c>
      <c r="I19" s="25"/>
      <c r="J19" s="25"/>
      <c r="K19" s="25"/>
      <c r="L19" s="2" t="s">
        <v>9</v>
      </c>
    </row>
    <row r="20" spans="1:15" x14ac:dyDescent="0.25">
      <c r="A20" s="16" t="s">
        <v>13</v>
      </c>
      <c r="B20" s="20">
        <v>0</v>
      </c>
      <c r="C20" s="21">
        <v>0</v>
      </c>
      <c r="D20" s="22">
        <v>0</v>
      </c>
      <c r="E20" s="23">
        <v>0</v>
      </c>
      <c r="F20" s="24">
        <v>0</v>
      </c>
      <c r="G20" s="12">
        <v>0</v>
      </c>
      <c r="H20" s="31">
        <v>0</v>
      </c>
      <c r="I20" s="25" t="s">
        <v>14</v>
      </c>
      <c r="J20" s="25"/>
      <c r="K20" s="25"/>
      <c r="L20" s="14" t="s">
        <v>6</v>
      </c>
    </row>
    <row r="21" spans="1:15" x14ac:dyDescent="0.25">
      <c r="A21" s="16" t="s">
        <v>17</v>
      </c>
      <c r="B21" s="20">
        <v>78</v>
      </c>
      <c r="C21" s="21">
        <v>78</v>
      </c>
      <c r="D21" s="22">
        <v>0</v>
      </c>
      <c r="E21" s="23">
        <v>0</v>
      </c>
      <c r="F21" s="24">
        <v>78</v>
      </c>
      <c r="G21" s="12">
        <v>0</v>
      </c>
      <c r="H21" s="31">
        <v>0</v>
      </c>
      <c r="I21" s="3" t="s">
        <v>32</v>
      </c>
      <c r="J21" s="25"/>
      <c r="K21" s="25"/>
      <c r="L21" s="25" t="s">
        <v>12</v>
      </c>
    </row>
    <row r="22" spans="1:15" x14ac:dyDescent="0.25">
      <c r="A22" s="16" t="s">
        <v>19</v>
      </c>
      <c r="B22" s="20">
        <v>0</v>
      </c>
      <c r="C22" s="21">
        <v>0</v>
      </c>
      <c r="D22" s="22">
        <v>0</v>
      </c>
      <c r="E22" s="23">
        <v>0</v>
      </c>
      <c r="F22" s="24">
        <v>0</v>
      </c>
      <c r="G22" s="12">
        <v>0</v>
      </c>
      <c r="H22" s="31">
        <v>0</v>
      </c>
      <c r="I22" s="3" t="s">
        <v>33</v>
      </c>
      <c r="J22" s="25"/>
      <c r="K22" s="25"/>
      <c r="L22" s="25" t="s">
        <v>34</v>
      </c>
    </row>
    <row r="23" spans="1:15" x14ac:dyDescent="0.25">
      <c r="A23" s="16" t="s">
        <v>20</v>
      </c>
      <c r="B23" s="20">
        <v>0</v>
      </c>
      <c r="C23" s="21">
        <v>0</v>
      </c>
      <c r="D23" s="22">
        <v>0</v>
      </c>
      <c r="E23" s="23">
        <v>0</v>
      </c>
      <c r="F23" s="24">
        <v>0</v>
      </c>
      <c r="G23" s="12">
        <v>0</v>
      </c>
      <c r="H23" s="31">
        <v>0</v>
      </c>
      <c r="I23" s="3" t="s">
        <v>33</v>
      </c>
      <c r="J23" s="25"/>
      <c r="K23" s="25"/>
      <c r="L23" s="25" t="s">
        <v>35</v>
      </c>
    </row>
    <row r="24" spans="1:15" x14ac:dyDescent="0.25">
      <c r="A24" s="16" t="s">
        <v>21</v>
      </c>
      <c r="B24" s="20">
        <v>0</v>
      </c>
      <c r="C24" s="21">
        <v>0</v>
      </c>
      <c r="D24" s="22">
        <v>0</v>
      </c>
      <c r="E24" s="23">
        <v>0</v>
      </c>
      <c r="F24" s="24">
        <v>0</v>
      </c>
      <c r="G24" s="12">
        <v>0</v>
      </c>
      <c r="H24" s="31">
        <v>0</v>
      </c>
      <c r="I24" s="25" t="s">
        <v>22</v>
      </c>
      <c r="J24" s="25"/>
      <c r="K24" s="25"/>
      <c r="L24" s="25"/>
    </row>
    <row r="25" spans="1:15" x14ac:dyDescent="0.25">
      <c r="A25" s="16" t="s">
        <v>23</v>
      </c>
      <c r="B25" s="20">
        <v>0</v>
      </c>
      <c r="C25" s="21">
        <v>0</v>
      </c>
      <c r="D25" s="22">
        <v>0</v>
      </c>
      <c r="E25" s="23">
        <v>0</v>
      </c>
      <c r="F25" s="24">
        <v>0</v>
      </c>
      <c r="G25" s="12">
        <v>0</v>
      </c>
      <c r="H25" s="31">
        <v>0</v>
      </c>
      <c r="I25" s="25" t="s">
        <v>22</v>
      </c>
      <c r="J25" s="25"/>
      <c r="K25" s="25"/>
      <c r="L25" s="25"/>
    </row>
    <row r="26" spans="1:15" x14ac:dyDescent="0.25">
      <c r="A26" s="16" t="s">
        <v>24</v>
      </c>
      <c r="B26" s="20">
        <v>0</v>
      </c>
      <c r="C26" s="21">
        <v>0</v>
      </c>
      <c r="D26" s="22">
        <v>0</v>
      </c>
      <c r="E26" s="23">
        <v>0</v>
      </c>
      <c r="F26" s="24">
        <v>0</v>
      </c>
      <c r="G26" s="12">
        <v>0</v>
      </c>
      <c r="H26" s="31">
        <v>0</v>
      </c>
      <c r="I26" s="25" t="s">
        <v>22</v>
      </c>
      <c r="J26" s="25"/>
      <c r="K26" s="25"/>
      <c r="L26" s="25"/>
    </row>
    <row r="27" spans="1:15" x14ac:dyDescent="0.25">
      <c r="A27" s="16" t="s">
        <v>26</v>
      </c>
      <c r="B27" s="20">
        <v>0</v>
      </c>
      <c r="C27" s="21">
        <v>0</v>
      </c>
      <c r="D27" s="22">
        <v>0</v>
      </c>
      <c r="E27" s="23">
        <v>0</v>
      </c>
      <c r="F27" s="24">
        <v>0</v>
      </c>
      <c r="G27" s="12">
        <v>0</v>
      </c>
      <c r="H27" s="31">
        <v>0</v>
      </c>
      <c r="I27" s="25" t="s">
        <v>36</v>
      </c>
      <c r="J27" s="25"/>
      <c r="K27" s="25"/>
      <c r="L27" s="25"/>
    </row>
    <row r="28" spans="1:15" x14ac:dyDescent="0.25">
      <c r="F28" s="25"/>
      <c r="G28" s="25"/>
      <c r="H28" s="25"/>
      <c r="I28" s="25"/>
      <c r="J28" s="25"/>
    </row>
    <row r="29" spans="1:15" x14ac:dyDescent="0.25">
      <c r="F29" s="25"/>
      <c r="G29" s="25"/>
      <c r="H29" s="25"/>
      <c r="I29" s="25"/>
      <c r="J29" s="25"/>
      <c r="O29" t="s">
        <v>37</v>
      </c>
    </row>
    <row r="30" spans="1:15" x14ac:dyDescent="0.25">
      <c r="F30" s="33" t="s">
        <v>38</v>
      </c>
      <c r="G30" s="33"/>
      <c r="H30" s="25"/>
      <c r="I30" s="25"/>
      <c r="J30" s="25"/>
      <c r="O30" t="s">
        <v>39</v>
      </c>
    </row>
    <row r="31" spans="1:15" x14ac:dyDescent="0.25">
      <c r="F31" s="34" t="s">
        <v>40</v>
      </c>
      <c r="G31" s="34" t="s">
        <v>41</v>
      </c>
      <c r="O31" t="s">
        <v>42</v>
      </c>
    </row>
    <row r="32" spans="1:15" x14ac:dyDescent="0.25">
      <c r="F32" s="34">
        <v>8523</v>
      </c>
      <c r="G32" s="34">
        <v>1436</v>
      </c>
      <c r="O32" t="s">
        <v>43</v>
      </c>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row r="50" spans="1:8" x14ac:dyDescent="0.25">
      <c r="A50"/>
      <c r="B50"/>
      <c r="C50"/>
      <c r="D50"/>
      <c r="E50"/>
      <c r="F50"/>
      <c r="G50"/>
      <c r="H50"/>
    </row>
    <row r="51" spans="1:8" x14ac:dyDescent="0.25">
      <c r="A51"/>
      <c r="B51"/>
      <c r="C51"/>
      <c r="D51"/>
      <c r="E51"/>
      <c r="F51"/>
      <c r="G51"/>
      <c r="H51"/>
    </row>
    <row r="52" spans="1:8" x14ac:dyDescent="0.25">
      <c r="A52"/>
      <c r="B52"/>
      <c r="C52"/>
      <c r="D52"/>
      <c r="E52"/>
      <c r="F52"/>
      <c r="G52"/>
      <c r="H52"/>
    </row>
    <row r="53" spans="1:8" x14ac:dyDescent="0.25">
      <c r="A53"/>
      <c r="B53"/>
      <c r="C53"/>
      <c r="D53"/>
      <c r="E53"/>
      <c r="F53"/>
      <c r="G53"/>
      <c r="H53"/>
    </row>
    <row r="54" spans="1:8" x14ac:dyDescent="0.25">
      <c r="A54"/>
      <c r="B54"/>
      <c r="C54"/>
      <c r="D54"/>
      <c r="E54"/>
      <c r="F54"/>
      <c r="G54"/>
      <c r="H54"/>
    </row>
    <row r="55" spans="1:8" x14ac:dyDescent="0.25">
      <c r="A55"/>
      <c r="B55"/>
      <c r="C55"/>
      <c r="D55"/>
      <c r="E55"/>
      <c r="F55"/>
      <c r="G55"/>
      <c r="H55"/>
    </row>
    <row r="56" spans="1:8" x14ac:dyDescent="0.25">
      <c r="A56"/>
      <c r="B56"/>
      <c r="C56"/>
      <c r="D56"/>
      <c r="E56"/>
      <c r="F56"/>
      <c r="G56"/>
      <c r="H56"/>
    </row>
    <row r="57" spans="1:8" x14ac:dyDescent="0.25">
      <c r="A57"/>
      <c r="B57"/>
      <c r="C57"/>
      <c r="D57"/>
      <c r="E57"/>
      <c r="F57"/>
      <c r="G57"/>
      <c r="H57"/>
    </row>
    <row r="58" spans="1:8" x14ac:dyDescent="0.25">
      <c r="A58"/>
      <c r="B58"/>
      <c r="C58"/>
      <c r="D58"/>
      <c r="E58"/>
      <c r="F58"/>
      <c r="G58"/>
      <c r="H58"/>
    </row>
    <row r="59" spans="1:8" x14ac:dyDescent="0.25">
      <c r="A59"/>
      <c r="B59"/>
      <c r="C59"/>
      <c r="D59"/>
      <c r="E59"/>
      <c r="F59"/>
      <c r="G59"/>
      <c r="H59"/>
    </row>
    <row r="60" spans="1:8" x14ac:dyDescent="0.25">
      <c r="A60"/>
      <c r="B60"/>
      <c r="C60"/>
      <c r="D60"/>
      <c r="E60"/>
      <c r="F60"/>
      <c r="G60"/>
      <c r="H60"/>
    </row>
    <row r="61" spans="1:8" x14ac:dyDescent="0.25">
      <c r="A61"/>
      <c r="B61"/>
      <c r="C61"/>
      <c r="D61"/>
      <c r="E61"/>
      <c r="F61"/>
      <c r="G61"/>
      <c r="H61"/>
    </row>
    <row r="62" spans="1:8" x14ac:dyDescent="0.25">
      <c r="A62"/>
      <c r="B62"/>
      <c r="C62"/>
      <c r="D62"/>
      <c r="E62"/>
      <c r="F62"/>
      <c r="G62"/>
      <c r="H62"/>
    </row>
    <row r="63" spans="1:8" x14ac:dyDescent="0.25">
      <c r="A63"/>
      <c r="B63"/>
      <c r="C63"/>
      <c r="D63"/>
      <c r="E63"/>
      <c r="F63"/>
      <c r="G63"/>
      <c r="H63"/>
    </row>
  </sheetData>
  <phoneticPr fontId="1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4105-63E7-48D4-91EF-78784025128D}">
  <sheetPr>
    <pageSetUpPr fitToPage="1"/>
  </sheetPr>
  <dimension ref="A1:P71"/>
  <sheetViews>
    <sheetView zoomScale="80" zoomScaleNormal="80" workbookViewId="0">
      <pane xSplit="13" ySplit="5" topLeftCell="N54" activePane="bottomRight" state="frozen"/>
      <selection activeCell="A25" sqref="A25:I25"/>
      <selection pane="topRight" activeCell="A25" sqref="A25:I25"/>
      <selection pane="bottomLeft" activeCell="A25" sqref="A25:I25"/>
      <selection pane="bottomRight" activeCell="I53" sqref="I53"/>
    </sheetView>
  </sheetViews>
  <sheetFormatPr defaultColWidth="9.1796875" defaultRowHeight="13" x14ac:dyDescent="0.3"/>
  <cols>
    <col min="1" max="1" width="30.453125" style="71" customWidth="1"/>
    <col min="2" max="2" width="10.1796875" style="71" customWidth="1"/>
    <col min="3" max="3" width="12" style="80" customWidth="1"/>
    <col min="4" max="4" width="11.1796875" style="71" customWidth="1"/>
    <col min="5" max="5" width="12.1796875" style="80" customWidth="1"/>
    <col min="6" max="6" width="10.453125" style="71" customWidth="1"/>
    <col min="7" max="7" width="11.54296875" style="71" customWidth="1"/>
    <col min="8" max="8" width="11.453125" style="71" customWidth="1"/>
    <col min="9" max="9" width="14.453125" style="71" customWidth="1"/>
    <col min="10" max="10" width="7.1796875" style="71" customWidth="1"/>
    <col min="11" max="11" width="37.81640625" style="71" customWidth="1"/>
    <col min="12" max="12" width="14.453125" style="71" customWidth="1"/>
    <col min="13" max="13" width="51.453125" style="85" customWidth="1"/>
    <col min="14" max="14" width="8.54296875" style="71" customWidth="1"/>
    <col min="15" max="15" width="14.1796875" style="71" customWidth="1"/>
    <col min="16" max="16384" width="9.1796875" style="71"/>
  </cols>
  <sheetData>
    <row r="1" spans="1:15" s="54" customFormat="1" ht="15" x14ac:dyDescent="0.3">
      <c r="A1" s="57" t="s">
        <v>85</v>
      </c>
      <c r="J1" s="56"/>
      <c r="M1" s="146"/>
    </row>
    <row r="2" spans="1:15" s="54" customFormat="1" ht="15" x14ac:dyDescent="0.3">
      <c r="A2" s="55" t="s">
        <v>217</v>
      </c>
      <c r="J2" s="56"/>
      <c r="M2" s="146"/>
    </row>
    <row r="3" spans="1:15" s="54" customFormat="1" ht="32.15" customHeight="1" x14ac:dyDescent="0.3">
      <c r="A3" s="441" t="s">
        <v>210</v>
      </c>
      <c r="B3" s="442"/>
      <c r="C3" s="442"/>
      <c r="D3" s="442"/>
      <c r="E3" s="442"/>
      <c r="F3" s="442"/>
      <c r="G3" s="442"/>
      <c r="H3" s="442"/>
      <c r="I3" s="153"/>
      <c r="J3" s="56"/>
      <c r="M3" s="146"/>
    </row>
    <row r="5" spans="1:15" ht="65" x14ac:dyDescent="0.3">
      <c r="A5" s="72" t="s">
        <v>111</v>
      </c>
      <c r="B5" s="73" t="s">
        <v>112</v>
      </c>
      <c r="C5" s="74" t="s">
        <v>113</v>
      </c>
      <c r="D5" s="73" t="s">
        <v>114</v>
      </c>
      <c r="E5" s="74" t="s">
        <v>115</v>
      </c>
      <c r="F5" s="73" t="s">
        <v>116</v>
      </c>
      <c r="G5" s="73" t="s">
        <v>117</v>
      </c>
      <c r="H5" s="73" t="s">
        <v>118</v>
      </c>
      <c r="I5" s="73" t="s">
        <v>119</v>
      </c>
      <c r="J5" s="75"/>
      <c r="O5" s="71" t="s">
        <v>120</v>
      </c>
    </row>
    <row r="6" spans="1:15" x14ac:dyDescent="0.3">
      <c r="A6" s="76" t="s">
        <v>121</v>
      </c>
      <c r="B6" s="73" t="s">
        <v>122</v>
      </c>
      <c r="C6" s="77"/>
      <c r="D6" s="78"/>
      <c r="E6" s="77"/>
      <c r="F6" s="78"/>
      <c r="G6" s="78"/>
      <c r="H6" s="78"/>
      <c r="I6" s="78"/>
      <c r="K6" s="443" t="s">
        <v>123</v>
      </c>
      <c r="L6" s="443"/>
      <c r="O6" s="71">
        <f>C6*E6</f>
        <v>0</v>
      </c>
    </row>
    <row r="7" spans="1:15" ht="27.65" customHeight="1" x14ac:dyDescent="0.3">
      <c r="A7" s="76" t="s">
        <v>124</v>
      </c>
      <c r="B7" s="73" t="s">
        <v>122</v>
      </c>
      <c r="C7" s="77"/>
      <c r="D7" s="78"/>
      <c r="E7" s="77"/>
      <c r="F7" s="78"/>
      <c r="G7" s="78"/>
      <c r="H7" s="78"/>
      <c r="I7" s="78"/>
      <c r="K7" s="79" t="s">
        <v>125</v>
      </c>
      <c r="L7" s="195">
        <f>76.96*2.1</f>
        <v>161.61599999999999</v>
      </c>
      <c r="M7" s="144" t="s">
        <v>126</v>
      </c>
      <c r="O7" s="71">
        <f t="shared" ref="O7:O57" si="0">C7*E7</f>
        <v>0</v>
      </c>
    </row>
    <row r="8" spans="1:15" ht="41.5" customHeight="1" x14ac:dyDescent="0.3">
      <c r="A8" s="76" t="s">
        <v>127</v>
      </c>
      <c r="B8" s="73">
        <v>24</v>
      </c>
      <c r="C8" s="74">
        <v>1</v>
      </c>
      <c r="D8" s="73">
        <f>B8*C8</f>
        <v>24</v>
      </c>
      <c r="E8" s="296">
        <f>L12</f>
        <v>23.9148</v>
      </c>
      <c r="F8" s="296">
        <f>D8*E8</f>
        <v>573.95519999999999</v>
      </c>
      <c r="G8" s="296">
        <f>F8*0.05</f>
        <v>28.697760000000002</v>
      </c>
      <c r="H8" s="296">
        <f>F8*0.1</f>
        <v>57.395520000000005</v>
      </c>
      <c r="I8" s="81">
        <f>F8*$L$8+G8*$L$7+H8*$L$9</f>
        <v>81606.442619519992</v>
      </c>
      <c r="K8" s="79" t="s">
        <v>128</v>
      </c>
      <c r="L8" s="195">
        <f>60.8*2.1</f>
        <v>127.67999999999999</v>
      </c>
      <c r="M8" s="145"/>
      <c r="O8" s="71">
        <f t="shared" si="0"/>
        <v>23.9148</v>
      </c>
    </row>
    <row r="9" spans="1:15" x14ac:dyDescent="0.3">
      <c r="A9" s="76" t="s">
        <v>129</v>
      </c>
      <c r="B9" s="73"/>
      <c r="C9" s="74"/>
      <c r="D9" s="73"/>
      <c r="E9" s="74"/>
      <c r="F9" s="73"/>
      <c r="G9" s="73"/>
      <c r="H9" s="73"/>
      <c r="I9" s="78"/>
      <c r="K9" s="79" t="s">
        <v>130</v>
      </c>
      <c r="L9" s="195">
        <f>30.58*2.1</f>
        <v>64.218000000000004</v>
      </c>
      <c r="M9" s="145"/>
      <c r="O9" s="71">
        <f t="shared" si="0"/>
        <v>0</v>
      </c>
    </row>
    <row r="10" spans="1:15" ht="26" x14ac:dyDescent="0.3">
      <c r="A10" s="297" t="s">
        <v>132</v>
      </c>
      <c r="B10" s="73">
        <v>0</v>
      </c>
      <c r="C10" s="74">
        <v>0</v>
      </c>
      <c r="D10" s="73">
        <f>B10*C10</f>
        <v>0</v>
      </c>
      <c r="E10" s="74">
        <v>0</v>
      </c>
      <c r="F10" s="73">
        <f>D10*E10</f>
        <v>0</v>
      </c>
      <c r="G10" s="73">
        <f>F10*0.05</f>
        <v>0</v>
      </c>
      <c r="H10" s="73">
        <f>F10*0.1</f>
        <v>0</v>
      </c>
      <c r="I10" s="84">
        <f>F10*$L$8+G10*$L$7+H10*$L$9</f>
        <v>0</v>
      </c>
      <c r="K10" s="85"/>
      <c r="O10" s="71">
        <f t="shared" si="0"/>
        <v>0</v>
      </c>
    </row>
    <row r="11" spans="1:15" ht="15.75" customHeight="1" x14ac:dyDescent="0.3">
      <c r="A11" s="297" t="s">
        <v>133</v>
      </c>
      <c r="B11" s="73"/>
      <c r="C11" s="74"/>
      <c r="D11" s="73"/>
      <c r="E11" s="74"/>
      <c r="F11" s="73"/>
      <c r="G11" s="73"/>
      <c r="H11" s="73"/>
      <c r="I11" s="84"/>
      <c r="K11" s="86"/>
      <c r="L11" s="86" t="s">
        <v>134</v>
      </c>
      <c r="O11" s="71">
        <f t="shared" si="0"/>
        <v>0</v>
      </c>
    </row>
    <row r="12" spans="1:15" ht="28.5" x14ac:dyDescent="0.3">
      <c r="A12" s="298" t="s">
        <v>135</v>
      </c>
      <c r="B12" s="73"/>
      <c r="C12" s="74"/>
      <c r="D12" s="73"/>
      <c r="E12" s="88"/>
      <c r="F12" s="89"/>
      <c r="G12" s="73"/>
      <c r="H12" s="73"/>
      <c r="I12" s="84"/>
      <c r="K12" s="86" t="s">
        <v>136</v>
      </c>
      <c r="L12" s="86">
        <f>L14*0.0084</f>
        <v>23.9148</v>
      </c>
      <c r="M12" s="85" t="s">
        <v>137</v>
      </c>
      <c r="O12" s="71">
        <f t="shared" si="0"/>
        <v>0</v>
      </c>
    </row>
    <row r="13" spans="1:15" ht="26.5" customHeight="1" x14ac:dyDescent="0.3">
      <c r="A13" s="299" t="s">
        <v>138</v>
      </c>
      <c r="B13" s="74">
        <v>8</v>
      </c>
      <c r="C13" s="74">
        <v>1</v>
      </c>
      <c r="D13" s="73">
        <f>B13*C13</f>
        <v>8</v>
      </c>
      <c r="E13" s="296">
        <f>L16</f>
        <v>7.6019999999999994</v>
      </c>
      <c r="F13" s="89">
        <f>D13*E13</f>
        <v>60.815999999999995</v>
      </c>
      <c r="G13" s="296">
        <f>F13*0.05</f>
        <v>3.0407999999999999</v>
      </c>
      <c r="H13" s="296">
        <f>F13*0.1</f>
        <v>6.0815999999999999</v>
      </c>
      <c r="I13" s="81">
        <f>F13*$L$8+G13*$L$7+H13*$L$9</f>
        <v>8646.9770015999984</v>
      </c>
      <c r="K13" s="86" t="s">
        <v>139</v>
      </c>
      <c r="L13" s="86">
        <v>0</v>
      </c>
      <c r="O13" s="71">
        <f t="shared" si="0"/>
        <v>7.6019999999999994</v>
      </c>
    </row>
    <row r="14" spans="1:15" ht="26" x14ac:dyDescent="0.3">
      <c r="A14" s="299" t="s">
        <v>140</v>
      </c>
      <c r="B14" s="74">
        <v>8</v>
      </c>
      <c r="C14" s="74">
        <v>1</v>
      </c>
      <c r="D14" s="73">
        <f t="shared" ref="D14" si="1">B14*C14</f>
        <v>8</v>
      </c>
      <c r="E14" s="296">
        <f>E13*0.05</f>
        <v>0.38009999999999999</v>
      </c>
      <c r="F14" s="89">
        <f t="shared" ref="F14:F21" si="2">D14*E14</f>
        <v>3.0407999999999999</v>
      </c>
      <c r="G14" s="296">
        <f t="shared" ref="G14:G21" si="3">F14*0.05</f>
        <v>0.15204000000000001</v>
      </c>
      <c r="H14" s="296">
        <f t="shared" ref="H14:H21" si="4">F14*0.1</f>
        <v>0.30408000000000002</v>
      </c>
      <c r="I14" s="81">
        <f t="shared" ref="I14:I21" si="5">F14*$L$8+G14*$L$7+H14*$L$9</f>
        <v>432.34885007999992</v>
      </c>
      <c r="J14" s="85"/>
      <c r="K14" s="86" t="s">
        <v>141</v>
      </c>
      <c r="L14" s="86">
        <v>2847</v>
      </c>
      <c r="O14" s="71">
        <f t="shared" si="0"/>
        <v>0.38009999999999999</v>
      </c>
    </row>
    <row r="15" spans="1:15" ht="28.5" x14ac:dyDescent="0.3">
      <c r="A15" s="298" t="s">
        <v>205</v>
      </c>
      <c r="B15" s="73"/>
      <c r="C15" s="74"/>
      <c r="D15" s="73"/>
      <c r="E15" s="74"/>
      <c r="F15" s="89"/>
      <c r="G15" s="73"/>
      <c r="H15" s="73"/>
      <c r="I15" s="84"/>
      <c r="K15" s="86" t="s">
        <v>143</v>
      </c>
      <c r="L15" s="321">
        <f>L17*0.0084</f>
        <v>12.316121999999998</v>
      </c>
      <c r="M15" s="85" t="s">
        <v>137</v>
      </c>
      <c r="O15" s="71">
        <f t="shared" si="0"/>
        <v>0</v>
      </c>
    </row>
    <row r="16" spans="1:15" ht="26" x14ac:dyDescent="0.3">
      <c r="A16" s="299" t="s">
        <v>138</v>
      </c>
      <c r="B16" s="73">
        <v>8</v>
      </c>
      <c r="C16" s="74">
        <v>1</v>
      </c>
      <c r="D16" s="73">
        <f>B16*C16</f>
        <v>8</v>
      </c>
      <c r="E16" s="88">
        <f>L18*0.25</f>
        <v>226.25</v>
      </c>
      <c r="F16" s="89">
        <f t="shared" si="2"/>
        <v>1810</v>
      </c>
      <c r="G16" s="73">
        <f t="shared" si="3"/>
        <v>90.5</v>
      </c>
      <c r="H16" s="73">
        <f t="shared" si="4"/>
        <v>181</v>
      </c>
      <c r="I16" s="81">
        <f t="shared" si="5"/>
        <v>257350.50599999999</v>
      </c>
      <c r="J16" s="82"/>
      <c r="K16" s="86" t="s">
        <v>144</v>
      </c>
      <c r="L16" s="321">
        <f>L18*0.0084</f>
        <v>7.6019999999999994</v>
      </c>
      <c r="M16" s="85" t="s">
        <v>137</v>
      </c>
      <c r="N16" s="85"/>
      <c r="O16" s="71">
        <f t="shared" si="0"/>
        <v>226.25</v>
      </c>
    </row>
    <row r="17" spans="1:15" ht="26" x14ac:dyDescent="0.3">
      <c r="A17" s="299" t="s">
        <v>140</v>
      </c>
      <c r="B17" s="74">
        <v>8</v>
      </c>
      <c r="C17" s="74">
        <v>1</v>
      </c>
      <c r="D17" s="73">
        <f t="shared" ref="D17:D19" si="6">B17*C17</f>
        <v>8</v>
      </c>
      <c r="E17" s="88">
        <f>E16*0.05</f>
        <v>11.3125</v>
      </c>
      <c r="F17" s="89">
        <f t="shared" si="2"/>
        <v>90.5</v>
      </c>
      <c r="G17" s="73">
        <f t="shared" si="3"/>
        <v>4.5250000000000004</v>
      </c>
      <c r="H17" s="73">
        <f t="shared" si="4"/>
        <v>9.0500000000000007</v>
      </c>
      <c r="I17" s="81">
        <f t="shared" si="5"/>
        <v>12867.525299999999</v>
      </c>
      <c r="J17" s="82"/>
      <c r="K17" s="86" t="s">
        <v>145</v>
      </c>
      <c r="L17" s="320">
        <f>0.515*L14</f>
        <v>1466.2049999999999</v>
      </c>
      <c r="O17" s="71">
        <f t="shared" si="0"/>
        <v>11.3125</v>
      </c>
    </row>
    <row r="18" spans="1:15" ht="29" x14ac:dyDescent="0.3">
      <c r="A18" s="97" t="s">
        <v>146</v>
      </c>
      <c r="B18" s="93">
        <v>6</v>
      </c>
      <c r="C18" s="93">
        <v>1</v>
      </c>
      <c r="D18" s="92">
        <f t="shared" si="6"/>
        <v>6</v>
      </c>
      <c r="E18" s="419">
        <f>L20</f>
        <v>1252.68</v>
      </c>
      <c r="F18" s="89">
        <f t="shared" si="2"/>
        <v>7516.08</v>
      </c>
      <c r="G18" s="73">
        <f t="shared" si="3"/>
        <v>375.80400000000003</v>
      </c>
      <c r="H18" s="73">
        <f t="shared" si="4"/>
        <v>751.60800000000006</v>
      </c>
      <c r="I18" s="81">
        <f t="shared" si="5"/>
        <v>1068655.796208</v>
      </c>
      <c r="K18" s="414" t="s">
        <v>147</v>
      </c>
      <c r="L18" s="321">
        <v>905</v>
      </c>
      <c r="O18" s="71">
        <f t="shared" si="0"/>
        <v>1252.68</v>
      </c>
    </row>
    <row r="19" spans="1:15" ht="46.5" customHeight="1" x14ac:dyDescent="0.3">
      <c r="A19" s="97" t="s">
        <v>148</v>
      </c>
      <c r="B19" s="93">
        <v>6</v>
      </c>
      <c r="C19" s="93">
        <v>1</v>
      </c>
      <c r="D19" s="92">
        <f t="shared" si="6"/>
        <v>6</v>
      </c>
      <c r="E19" s="296">
        <f>E18*0.05</f>
        <v>62.634000000000007</v>
      </c>
      <c r="F19" s="89">
        <f t="shared" si="2"/>
        <v>375.80400000000003</v>
      </c>
      <c r="G19" s="73">
        <f t="shared" si="3"/>
        <v>18.790200000000002</v>
      </c>
      <c r="H19" s="73">
        <f t="shared" si="4"/>
        <v>37.580400000000004</v>
      </c>
      <c r="I19" s="81">
        <f t="shared" si="5"/>
        <v>53432.789810400005</v>
      </c>
      <c r="K19" s="71" t="s">
        <v>149</v>
      </c>
      <c r="L19" s="111">
        <f>L14*0.56</f>
        <v>1594.3200000000002</v>
      </c>
      <c r="M19" s="85" t="s">
        <v>150</v>
      </c>
      <c r="N19" s="82"/>
      <c r="O19" s="71">
        <f t="shared" si="0"/>
        <v>62.634000000000007</v>
      </c>
    </row>
    <row r="20" spans="1:15" ht="37" customHeight="1" x14ac:dyDescent="0.3">
      <c r="A20" s="298" t="s">
        <v>151</v>
      </c>
      <c r="B20" s="92"/>
      <c r="C20" s="93"/>
      <c r="D20" s="92"/>
      <c r="E20" s="94"/>
      <c r="F20" s="89"/>
      <c r="G20" s="296"/>
      <c r="H20" s="73"/>
      <c r="I20" s="84"/>
      <c r="K20" s="71" t="s">
        <v>152</v>
      </c>
      <c r="L20" s="111">
        <f>L14*0.44</f>
        <v>1252.68</v>
      </c>
      <c r="M20" s="85" t="s">
        <v>153</v>
      </c>
      <c r="N20" s="82"/>
      <c r="O20" s="71">
        <f t="shared" si="0"/>
        <v>0</v>
      </c>
    </row>
    <row r="21" spans="1:15" ht="26" x14ac:dyDescent="0.3">
      <c r="A21" s="297" t="s">
        <v>154</v>
      </c>
      <c r="B21" s="73">
        <v>0</v>
      </c>
      <c r="C21" s="74">
        <v>0</v>
      </c>
      <c r="D21" s="73">
        <f>B21*C21</f>
        <v>0</v>
      </c>
      <c r="E21" s="88"/>
      <c r="F21" s="89">
        <f t="shared" si="2"/>
        <v>0</v>
      </c>
      <c r="G21" s="73">
        <f t="shared" si="3"/>
        <v>0</v>
      </c>
      <c r="H21" s="73">
        <f t="shared" si="4"/>
        <v>0</v>
      </c>
      <c r="I21" s="84">
        <f t="shared" si="5"/>
        <v>0</v>
      </c>
      <c r="N21" s="82"/>
      <c r="O21" s="71">
        <f t="shared" si="0"/>
        <v>0</v>
      </c>
    </row>
    <row r="22" spans="1:15" x14ac:dyDescent="0.3">
      <c r="A22" s="297" t="s">
        <v>155</v>
      </c>
      <c r="B22" s="73"/>
      <c r="C22" s="77"/>
      <c r="D22" s="78"/>
      <c r="E22" s="95"/>
      <c r="F22" s="78"/>
      <c r="G22" s="78"/>
      <c r="H22" s="78"/>
      <c r="I22" s="78"/>
      <c r="O22" s="71">
        <f t="shared" si="0"/>
        <v>0</v>
      </c>
    </row>
    <row r="23" spans="1:15" ht="26" x14ac:dyDescent="0.3">
      <c r="A23" s="297" t="s">
        <v>156</v>
      </c>
      <c r="B23" s="73"/>
      <c r="C23" s="77"/>
      <c r="D23" s="78"/>
      <c r="E23" s="95"/>
      <c r="F23" s="78"/>
      <c r="G23" s="78"/>
      <c r="H23" s="78"/>
      <c r="I23" s="78"/>
      <c r="O23" s="71">
        <f t="shared" si="0"/>
        <v>0</v>
      </c>
    </row>
    <row r="24" spans="1:15" x14ac:dyDescent="0.3">
      <c r="A24" s="297" t="s">
        <v>157</v>
      </c>
      <c r="B24" s="78"/>
      <c r="C24" s="77"/>
      <c r="D24" s="78"/>
      <c r="E24" s="95"/>
      <c r="F24" s="78"/>
      <c r="G24" s="78"/>
      <c r="H24" s="78"/>
      <c r="I24" s="78"/>
      <c r="O24" s="71">
        <f t="shared" si="0"/>
        <v>0</v>
      </c>
    </row>
    <row r="25" spans="1:15" ht="27" customHeight="1" x14ac:dyDescent="0.3">
      <c r="A25" s="300" t="s">
        <v>158</v>
      </c>
      <c r="B25" s="73"/>
      <c r="C25" s="74"/>
      <c r="D25" s="73"/>
      <c r="E25" s="88"/>
      <c r="F25" s="73"/>
      <c r="G25" s="73"/>
      <c r="H25" s="73"/>
      <c r="I25" s="84"/>
      <c r="O25" s="71">
        <f t="shared" si="0"/>
        <v>0</v>
      </c>
    </row>
    <row r="26" spans="1:15" ht="27.65" customHeight="1" x14ac:dyDescent="0.3">
      <c r="A26" s="297" t="s">
        <v>212</v>
      </c>
      <c r="B26" s="73">
        <v>2</v>
      </c>
      <c r="C26" s="74">
        <v>1</v>
      </c>
      <c r="D26" s="73">
        <v>2</v>
      </c>
      <c r="E26" s="296">
        <f t="shared" ref="E26:E28" si="7">$L$12</f>
        <v>23.9148</v>
      </c>
      <c r="F26" s="73">
        <f t="shared" ref="F26:F29" si="8">D26*E26</f>
        <v>47.829599999999999</v>
      </c>
      <c r="G26" s="73">
        <f t="shared" ref="G26:G29" si="9">F26*0.05</f>
        <v>2.3914800000000001</v>
      </c>
      <c r="H26" s="73">
        <f t="shared" ref="H26:H29" si="10">F26*0.1</f>
        <v>4.7829600000000001</v>
      </c>
      <c r="I26" s="81">
        <f>F26*$L$8+G26*$L$7+H26*$L$9</f>
        <v>6800.53688496</v>
      </c>
      <c r="O26" s="71">
        <f t="shared" si="0"/>
        <v>23.9148</v>
      </c>
    </row>
    <row r="27" spans="1:15" ht="29.15" customHeight="1" x14ac:dyDescent="0.3">
      <c r="A27" s="297" t="s">
        <v>160</v>
      </c>
      <c r="B27" s="73">
        <v>2</v>
      </c>
      <c r="C27" s="74">
        <v>1</v>
      </c>
      <c r="D27" s="73">
        <v>2</v>
      </c>
      <c r="E27" s="296">
        <f t="shared" si="7"/>
        <v>23.9148</v>
      </c>
      <c r="F27" s="73">
        <f t="shared" si="8"/>
        <v>47.829599999999999</v>
      </c>
      <c r="G27" s="73">
        <f t="shared" si="9"/>
        <v>2.3914800000000001</v>
      </c>
      <c r="H27" s="73">
        <f t="shared" si="10"/>
        <v>4.7829600000000001</v>
      </c>
      <c r="I27" s="81">
        <f>F27*$L$8+G27*$L$7+H27*$L$9</f>
        <v>6800.53688496</v>
      </c>
      <c r="O27" s="71">
        <f t="shared" si="0"/>
        <v>23.9148</v>
      </c>
    </row>
    <row r="28" spans="1:15" ht="16.5" customHeight="1" x14ac:dyDescent="0.3">
      <c r="A28" s="297" t="s">
        <v>161</v>
      </c>
      <c r="B28" s="73">
        <v>2</v>
      </c>
      <c r="C28" s="74">
        <v>1</v>
      </c>
      <c r="D28" s="73">
        <v>2</v>
      </c>
      <c r="E28" s="296">
        <f t="shared" si="7"/>
        <v>23.9148</v>
      </c>
      <c r="F28" s="73">
        <f t="shared" si="8"/>
        <v>47.829599999999999</v>
      </c>
      <c r="G28" s="73">
        <f t="shared" si="9"/>
        <v>2.3914800000000001</v>
      </c>
      <c r="H28" s="73">
        <f t="shared" si="10"/>
        <v>4.7829600000000001</v>
      </c>
      <c r="I28" s="81">
        <f>F28*$L$8+G28*$L$7+H28*$L$9</f>
        <v>6800.53688496</v>
      </c>
      <c r="O28" s="71">
        <f t="shared" si="0"/>
        <v>23.9148</v>
      </c>
    </row>
    <row r="29" spans="1:15" ht="39" x14ac:dyDescent="0.3">
      <c r="A29" s="301" t="s">
        <v>162</v>
      </c>
      <c r="B29" s="73">
        <v>1</v>
      </c>
      <c r="C29" s="115">
        <v>1</v>
      </c>
      <c r="D29" s="73">
        <f>B29*C29</f>
        <v>1</v>
      </c>
      <c r="E29" s="296">
        <f>$L$12</f>
        <v>23.9148</v>
      </c>
      <c r="F29" s="296">
        <f t="shared" si="8"/>
        <v>23.9148</v>
      </c>
      <c r="G29" s="296">
        <f t="shared" si="9"/>
        <v>1.19574</v>
      </c>
      <c r="H29" s="296">
        <f t="shared" si="10"/>
        <v>2.3914800000000001</v>
      </c>
      <c r="I29" s="81">
        <f>F29*$L$8+G29*$L$7+H29*$L$9</f>
        <v>3400.26844248</v>
      </c>
      <c r="O29" s="71">
        <f t="shared" si="0"/>
        <v>23.9148</v>
      </c>
    </row>
    <row r="30" spans="1:15" ht="20.149999999999999" customHeight="1" x14ac:dyDescent="0.3">
      <c r="A30" s="300" t="s">
        <v>163</v>
      </c>
      <c r="B30" s="78"/>
      <c r="C30" s="77"/>
      <c r="D30" s="78"/>
      <c r="E30" s="95"/>
      <c r="F30" s="78"/>
      <c r="G30" s="78"/>
      <c r="H30" s="78"/>
      <c r="I30" s="78"/>
      <c r="O30" s="71">
        <f t="shared" si="0"/>
        <v>0</v>
      </c>
    </row>
    <row r="31" spans="1:15" ht="30.65" customHeight="1" x14ac:dyDescent="0.3">
      <c r="A31" s="297" t="s">
        <v>212</v>
      </c>
      <c r="B31" s="73">
        <v>0</v>
      </c>
      <c r="C31" s="74">
        <v>0</v>
      </c>
      <c r="D31" s="73">
        <v>0</v>
      </c>
      <c r="E31" s="88">
        <v>0</v>
      </c>
      <c r="F31" s="73">
        <f>D31*E31</f>
        <v>0</v>
      </c>
      <c r="G31" s="73">
        <f>F31*0.05</f>
        <v>0</v>
      </c>
      <c r="H31" s="73">
        <f>F31*0.1</f>
        <v>0</v>
      </c>
      <c r="I31" s="84">
        <f>F31*$L$8+G31*$L$7+H31*$L$9</f>
        <v>0</v>
      </c>
      <c r="O31" s="71">
        <f t="shared" si="0"/>
        <v>0</v>
      </c>
    </row>
    <row r="32" spans="1:15" ht="26" x14ac:dyDescent="0.3">
      <c r="A32" s="297" t="s">
        <v>164</v>
      </c>
      <c r="B32" s="73">
        <v>2</v>
      </c>
      <c r="C32" s="74">
        <v>1</v>
      </c>
      <c r="D32" s="73">
        <v>2</v>
      </c>
      <c r="E32" s="296">
        <f>SUM(E18:E19)</f>
        <v>1315.3140000000001</v>
      </c>
      <c r="F32" s="296">
        <f>D32*E32</f>
        <v>2630.6280000000002</v>
      </c>
      <c r="G32" s="296">
        <f>F32*0.05</f>
        <v>131.53140000000002</v>
      </c>
      <c r="H32" s="296">
        <f>F32*0.1</f>
        <v>263.06280000000004</v>
      </c>
      <c r="I32" s="81">
        <f>F32*$L$8+G32*$L$7+H32*$L$9</f>
        <v>374029.52867279999</v>
      </c>
      <c r="O32" s="71">
        <f t="shared" si="0"/>
        <v>1315.3140000000001</v>
      </c>
    </row>
    <row r="33" spans="1:15" ht="54.65" customHeight="1" x14ac:dyDescent="0.3">
      <c r="A33" s="297" t="s">
        <v>165</v>
      </c>
      <c r="B33" s="73">
        <v>2</v>
      </c>
      <c r="C33" s="74">
        <v>1</v>
      </c>
      <c r="D33" s="73">
        <v>2</v>
      </c>
      <c r="E33" s="149">
        <f>SUM(E18:E19)</f>
        <v>1315.3140000000001</v>
      </c>
      <c r="F33" s="296">
        <f>D33*E33</f>
        <v>2630.6280000000002</v>
      </c>
      <c r="G33" s="296">
        <f>F33*0.05</f>
        <v>131.53140000000002</v>
      </c>
      <c r="H33" s="296">
        <f>F33*0.1</f>
        <v>263.06280000000004</v>
      </c>
      <c r="I33" s="81">
        <f>F33*$L$8+G33*$L$7+H33*$L$9</f>
        <v>374029.52867279999</v>
      </c>
      <c r="O33" s="71">
        <f t="shared" si="0"/>
        <v>1315.3140000000001</v>
      </c>
    </row>
    <row r="34" spans="1:15" ht="37" customHeight="1" x14ac:dyDescent="0.3">
      <c r="A34" s="301" t="s">
        <v>166</v>
      </c>
      <c r="B34" s="73">
        <v>1</v>
      </c>
      <c r="C34" s="115">
        <v>1</v>
      </c>
      <c r="D34" s="73">
        <f>B34*C34</f>
        <v>1</v>
      </c>
      <c r="E34" s="88">
        <f>L14</f>
        <v>2847</v>
      </c>
      <c r="F34" s="73">
        <f t="shared" ref="F34" si="11">D34*E34</f>
        <v>2847</v>
      </c>
      <c r="G34" s="73">
        <f t="shared" ref="G34" si="12">F34*0.05</f>
        <v>142.35</v>
      </c>
      <c r="H34" s="73">
        <f t="shared" ref="H34" si="13">F34*0.1</f>
        <v>284.7</v>
      </c>
      <c r="I34" s="81">
        <f>F34*$L$8+G34*$L$7+H34*$L$9</f>
        <v>404793.86219999997</v>
      </c>
      <c r="O34" s="71">
        <f t="shared" si="0"/>
        <v>2847</v>
      </c>
    </row>
    <row r="35" spans="1:15" ht="24" customHeight="1" x14ac:dyDescent="0.3">
      <c r="A35" s="98" t="s">
        <v>167</v>
      </c>
      <c r="B35" s="99"/>
      <c r="C35" s="100"/>
      <c r="D35" s="99"/>
      <c r="E35" s="101"/>
      <c r="F35" s="142">
        <f>SUM(F8:H34)</f>
        <v>21511.733939999998</v>
      </c>
      <c r="G35" s="142"/>
      <c r="H35" s="142"/>
      <c r="I35" s="102">
        <f>SUM(I8:I34)</f>
        <v>2659647.1844325596</v>
      </c>
      <c r="O35" s="71">
        <f t="shared" si="0"/>
        <v>0</v>
      </c>
    </row>
    <row r="36" spans="1:15" ht="26" x14ac:dyDescent="0.3">
      <c r="A36" s="76" t="s">
        <v>168</v>
      </c>
      <c r="B36" s="78"/>
      <c r="C36" s="77"/>
      <c r="D36" s="78"/>
      <c r="E36" s="95"/>
      <c r="F36" s="78"/>
      <c r="G36" s="78"/>
      <c r="H36" s="78"/>
      <c r="I36" s="78"/>
      <c r="O36" s="71">
        <f t="shared" si="0"/>
        <v>0</v>
      </c>
    </row>
    <row r="37" spans="1:15" ht="26" x14ac:dyDescent="0.3">
      <c r="A37" s="297" t="s">
        <v>132</v>
      </c>
      <c r="B37" s="73"/>
      <c r="C37" s="77"/>
      <c r="D37" s="78"/>
      <c r="E37" s="77"/>
      <c r="F37" s="78"/>
      <c r="G37" s="78"/>
      <c r="H37" s="78"/>
      <c r="I37" s="78"/>
      <c r="O37" s="71">
        <f t="shared" si="0"/>
        <v>0</v>
      </c>
    </row>
    <row r="38" spans="1:15" x14ac:dyDescent="0.3">
      <c r="A38" s="297" t="s">
        <v>169</v>
      </c>
      <c r="B38" s="73"/>
      <c r="C38" s="77"/>
      <c r="D38" s="78"/>
      <c r="E38" s="77"/>
      <c r="F38" s="78"/>
      <c r="G38" s="78"/>
      <c r="H38" s="78"/>
      <c r="I38" s="78"/>
      <c r="O38" s="71">
        <f t="shared" si="0"/>
        <v>0</v>
      </c>
    </row>
    <row r="39" spans="1:15" x14ac:dyDescent="0.3">
      <c r="A39" s="297" t="s">
        <v>170</v>
      </c>
      <c r="B39" s="73"/>
      <c r="C39" s="77"/>
      <c r="D39" s="78"/>
      <c r="E39" s="77"/>
      <c r="F39" s="78"/>
      <c r="G39" s="78"/>
      <c r="H39" s="78"/>
      <c r="I39" s="78"/>
      <c r="O39" s="71">
        <f t="shared" si="0"/>
        <v>0</v>
      </c>
    </row>
    <row r="40" spans="1:15" x14ac:dyDescent="0.3">
      <c r="A40" s="297" t="s">
        <v>171</v>
      </c>
      <c r="B40" s="73" t="s">
        <v>122</v>
      </c>
      <c r="C40" s="77"/>
      <c r="D40" s="78"/>
      <c r="E40" s="77"/>
      <c r="F40" s="78"/>
      <c r="G40" s="78"/>
      <c r="H40" s="78"/>
      <c r="I40" s="78"/>
      <c r="K40" s="150"/>
      <c r="L40" s="150"/>
      <c r="M40" s="420"/>
      <c r="O40" s="71">
        <f t="shared" si="0"/>
        <v>0</v>
      </c>
    </row>
    <row r="41" spans="1:15" ht="26" x14ac:dyDescent="0.3">
      <c r="A41" s="297" t="s">
        <v>172</v>
      </c>
      <c r="B41" s="78"/>
      <c r="C41" s="77"/>
      <c r="D41" s="78"/>
      <c r="E41" s="77"/>
      <c r="F41" s="78"/>
      <c r="G41" s="78"/>
      <c r="H41" s="78"/>
      <c r="I41" s="78"/>
      <c r="K41" s="150"/>
      <c r="L41" s="150"/>
      <c r="M41" s="420"/>
      <c r="O41" s="71">
        <f t="shared" si="0"/>
        <v>0</v>
      </c>
    </row>
    <row r="42" spans="1:15" x14ac:dyDescent="0.3">
      <c r="A42" s="300" t="s">
        <v>163</v>
      </c>
      <c r="B42" s="78"/>
      <c r="C42" s="77"/>
      <c r="D42" s="78"/>
      <c r="E42" s="77"/>
      <c r="F42" s="78"/>
      <c r="G42" s="78"/>
      <c r="H42" s="78"/>
      <c r="I42" s="78"/>
      <c r="K42" s="150"/>
      <c r="L42" s="150"/>
      <c r="M42" s="420"/>
      <c r="O42" s="71">
        <f t="shared" si="0"/>
        <v>0</v>
      </c>
    </row>
    <row r="43" spans="1:15" ht="16" customHeight="1" x14ac:dyDescent="0.3">
      <c r="A43" s="297" t="s">
        <v>173</v>
      </c>
      <c r="B43" s="73">
        <v>0.1</v>
      </c>
      <c r="C43" s="74">
        <v>12</v>
      </c>
      <c r="D43" s="73">
        <f t="shared" ref="D43:D57" si="14">B43*C43</f>
        <v>1.2000000000000002</v>
      </c>
      <c r="E43" s="88">
        <f>$L$14</f>
        <v>2847</v>
      </c>
      <c r="F43" s="89">
        <f t="shared" ref="F43:F57" si="15">D43*E43</f>
        <v>3416.4000000000005</v>
      </c>
      <c r="G43" s="73">
        <f t="shared" ref="G43:G57" si="16">F43*0.05</f>
        <v>170.82000000000005</v>
      </c>
      <c r="H43" s="73">
        <f t="shared" ref="H43:H57" si="17">F43*0.1</f>
        <v>341.6400000000001</v>
      </c>
      <c r="I43" s="81">
        <f>F43*$L$8+G43*$L$7+H43*$L$9</f>
        <v>485752.63464000006</v>
      </c>
      <c r="K43" s="150"/>
      <c r="L43" s="150"/>
      <c r="M43" s="420"/>
      <c r="O43" s="71">
        <f t="shared" si="0"/>
        <v>34164</v>
      </c>
    </row>
    <row r="44" spans="1:15" ht="24.65" customHeight="1" x14ac:dyDescent="0.3">
      <c r="A44" s="297" t="s">
        <v>174</v>
      </c>
      <c r="B44" s="73">
        <v>0.4</v>
      </c>
      <c r="C44" s="74">
        <v>1</v>
      </c>
      <c r="D44" s="73">
        <f t="shared" si="14"/>
        <v>0.4</v>
      </c>
      <c r="E44" s="88">
        <f>$L$14</f>
        <v>2847</v>
      </c>
      <c r="F44" s="89">
        <f t="shared" si="15"/>
        <v>1138.8</v>
      </c>
      <c r="G44" s="73">
        <f t="shared" si="16"/>
        <v>56.94</v>
      </c>
      <c r="H44" s="73">
        <f t="shared" si="17"/>
        <v>113.88</v>
      </c>
      <c r="I44" s="81">
        <f>F44*$L$8+G44*$L$7+H44*$L$9</f>
        <v>161917.54488</v>
      </c>
      <c r="K44" s="150"/>
      <c r="L44" s="150"/>
      <c r="M44" s="420"/>
      <c r="O44" s="71">
        <f t="shared" si="0"/>
        <v>2847</v>
      </c>
    </row>
    <row r="45" spans="1:15" ht="17.5" customHeight="1" x14ac:dyDescent="0.3">
      <c r="A45" s="297" t="s">
        <v>175</v>
      </c>
      <c r="B45" s="73">
        <v>0.1</v>
      </c>
      <c r="C45" s="115">
        <v>4</v>
      </c>
      <c r="D45" s="73">
        <f t="shared" si="14"/>
        <v>0.4</v>
      </c>
      <c r="E45" s="88">
        <f>$L$14</f>
        <v>2847</v>
      </c>
      <c r="F45" s="89">
        <f t="shared" si="15"/>
        <v>1138.8</v>
      </c>
      <c r="G45" s="73">
        <f t="shared" si="16"/>
        <v>56.94</v>
      </c>
      <c r="H45" s="73">
        <f t="shared" si="17"/>
        <v>113.88</v>
      </c>
      <c r="I45" s="81">
        <f>F45*$L$8+G45*$L$7+H45*$L$9</f>
        <v>161917.54488</v>
      </c>
      <c r="K45" s="150"/>
      <c r="L45" s="150"/>
      <c r="M45" s="420"/>
      <c r="O45" s="71">
        <f t="shared" si="0"/>
        <v>11388</v>
      </c>
    </row>
    <row r="46" spans="1:15" ht="26.5" customHeight="1" x14ac:dyDescent="0.3">
      <c r="A46" s="301" t="s">
        <v>176</v>
      </c>
      <c r="B46" s="73">
        <v>0.1</v>
      </c>
      <c r="C46" s="74">
        <v>4</v>
      </c>
      <c r="D46" s="73">
        <f t="shared" si="14"/>
        <v>0.4</v>
      </c>
      <c r="E46" s="88">
        <f>E43</f>
        <v>2847</v>
      </c>
      <c r="F46" s="89">
        <f t="shared" si="15"/>
        <v>1138.8</v>
      </c>
      <c r="G46" s="73">
        <f t="shared" si="16"/>
        <v>56.94</v>
      </c>
      <c r="H46" s="73">
        <f t="shared" si="17"/>
        <v>113.88</v>
      </c>
      <c r="I46" s="81">
        <f>F46*$L$8+G46*$L$7+H46*$L$9</f>
        <v>161917.54488</v>
      </c>
      <c r="K46" s="150"/>
      <c r="L46" s="150"/>
      <c r="M46" s="420"/>
      <c r="O46" s="71">
        <f t="shared" si="0"/>
        <v>11388</v>
      </c>
    </row>
    <row r="47" spans="1:15" ht="26.5" customHeight="1" x14ac:dyDescent="0.3">
      <c r="A47" s="298" t="s">
        <v>177</v>
      </c>
      <c r="B47" s="73"/>
      <c r="C47" s="74"/>
      <c r="D47" s="73"/>
      <c r="E47" s="88"/>
      <c r="F47" s="89"/>
      <c r="G47" s="73"/>
      <c r="H47" s="73"/>
      <c r="I47" s="84"/>
      <c r="O47" s="71">
        <f t="shared" si="0"/>
        <v>0</v>
      </c>
    </row>
    <row r="48" spans="1:15" ht="26.5" customHeight="1" x14ac:dyDescent="0.3">
      <c r="A48" s="301" t="s">
        <v>178</v>
      </c>
      <c r="B48" s="73">
        <v>5.0000000000000001E-3</v>
      </c>
      <c r="C48" s="74">
        <v>365</v>
      </c>
      <c r="D48" s="296">
        <f t="shared" ref="D48:D49" si="18">B48*C48</f>
        <v>1.825</v>
      </c>
      <c r="E48" s="322">
        <f>$L$17</f>
        <v>1466.2049999999999</v>
      </c>
      <c r="F48" s="89">
        <f t="shared" ref="F48:F49" si="19">D48*E48</f>
        <v>2675.8241249999996</v>
      </c>
      <c r="G48" s="296">
        <f t="shared" ref="G48:G49" si="20">F48*0.05</f>
        <v>133.79120624999999</v>
      </c>
      <c r="H48" s="296">
        <f t="shared" ref="H48:H49" si="21">F48*0.1</f>
        <v>267.58241249999998</v>
      </c>
      <c r="I48" s="81">
        <f>F48*$L$8+G48*$L$7+H48*$L$9</f>
        <v>380455.63123522489</v>
      </c>
      <c r="O48" s="71">
        <f t="shared" si="0"/>
        <v>535164.82499999995</v>
      </c>
    </row>
    <row r="49" spans="1:16" ht="26.5" customHeight="1" x14ac:dyDescent="0.3">
      <c r="A49" s="301" t="s">
        <v>179</v>
      </c>
      <c r="B49" s="73">
        <v>0.1</v>
      </c>
      <c r="C49" s="74">
        <v>12</v>
      </c>
      <c r="D49" s="73">
        <f t="shared" si="18"/>
        <v>1.2000000000000002</v>
      </c>
      <c r="E49" s="322">
        <f>$L$17</f>
        <v>1466.2049999999999</v>
      </c>
      <c r="F49" s="89">
        <f t="shared" si="19"/>
        <v>1759.4460000000001</v>
      </c>
      <c r="G49" s="73">
        <f t="shared" si="20"/>
        <v>87.972300000000018</v>
      </c>
      <c r="H49" s="73">
        <f t="shared" si="21"/>
        <v>175.94460000000004</v>
      </c>
      <c r="I49" s="81">
        <f>F49*$L$8+G49*$L$7+H49*$L$9</f>
        <v>250162.60683960002</v>
      </c>
      <c r="O49" s="71">
        <f t="shared" si="0"/>
        <v>17594.46</v>
      </c>
    </row>
    <row r="50" spans="1:16" ht="26.5" customHeight="1" x14ac:dyDescent="0.3">
      <c r="A50" s="298" t="s">
        <v>180</v>
      </c>
      <c r="B50" s="73"/>
      <c r="C50" s="74"/>
      <c r="D50" s="73"/>
      <c r="E50" s="88"/>
      <c r="F50" s="89"/>
      <c r="G50" s="73"/>
      <c r="H50" s="73"/>
      <c r="I50" s="84"/>
      <c r="O50" s="71">
        <f t="shared" si="0"/>
        <v>0</v>
      </c>
    </row>
    <row r="51" spans="1:16" ht="26.5" customHeight="1" x14ac:dyDescent="0.3">
      <c r="A51" s="301" t="s">
        <v>181</v>
      </c>
      <c r="B51" s="73">
        <v>0</v>
      </c>
      <c r="C51" s="74">
        <v>0</v>
      </c>
      <c r="D51" s="73">
        <f t="shared" ref="D51:D53" si="22">B51*C51</f>
        <v>0</v>
      </c>
      <c r="E51" s="88">
        <v>0</v>
      </c>
      <c r="F51" s="89">
        <f t="shared" ref="F51:F53" si="23">D51*E51</f>
        <v>0</v>
      </c>
      <c r="G51" s="73">
        <f t="shared" ref="G51:G53" si="24">F51*0.05</f>
        <v>0</v>
      </c>
      <c r="H51" s="73">
        <f t="shared" ref="H51:H53" si="25">F51*0.1</f>
        <v>0</v>
      </c>
      <c r="I51" s="84">
        <f>F51*$L$8+G51*$L$7+H51*$L$9</f>
        <v>0</v>
      </c>
      <c r="O51" s="71">
        <f t="shared" si="0"/>
        <v>0</v>
      </c>
    </row>
    <row r="52" spans="1:16" ht="26" x14ac:dyDescent="0.3">
      <c r="A52" s="301" t="s">
        <v>182</v>
      </c>
      <c r="B52" s="73">
        <v>1</v>
      </c>
      <c r="C52" s="74">
        <v>1</v>
      </c>
      <c r="D52" s="73">
        <f t="shared" si="22"/>
        <v>1</v>
      </c>
      <c r="E52" s="322">
        <f>$L$18</f>
        <v>905</v>
      </c>
      <c r="F52" s="89">
        <f t="shared" si="23"/>
        <v>905</v>
      </c>
      <c r="G52" s="73">
        <f t="shared" si="24"/>
        <v>45.25</v>
      </c>
      <c r="H52" s="73">
        <f t="shared" si="25"/>
        <v>90.5</v>
      </c>
      <c r="I52" s="81">
        <f>F52*$L$8+G52*$L$7+H52*$L$9</f>
        <v>128675.253</v>
      </c>
      <c r="O52" s="71">
        <f t="shared" si="0"/>
        <v>905</v>
      </c>
    </row>
    <row r="53" spans="1:16" ht="26" x14ac:dyDescent="0.3">
      <c r="A53" s="301" t="s">
        <v>206</v>
      </c>
      <c r="B53" s="73">
        <v>0.5</v>
      </c>
      <c r="C53" s="74">
        <v>1</v>
      </c>
      <c r="D53" s="73">
        <f t="shared" si="22"/>
        <v>0.5</v>
      </c>
      <c r="E53" s="322">
        <f>$L$18</f>
        <v>905</v>
      </c>
      <c r="F53" s="89">
        <f t="shared" si="23"/>
        <v>452.5</v>
      </c>
      <c r="G53" s="73">
        <f t="shared" si="24"/>
        <v>22.625</v>
      </c>
      <c r="H53" s="73">
        <f t="shared" si="25"/>
        <v>45.25</v>
      </c>
      <c r="I53" s="81">
        <f>F53*$L$8+G53*$L$7+H53*$L$9</f>
        <v>64337.626499999998</v>
      </c>
      <c r="O53" s="71">
        <f t="shared" si="0"/>
        <v>905</v>
      </c>
    </row>
    <row r="54" spans="1:16" x14ac:dyDescent="0.3">
      <c r="A54" s="300" t="s">
        <v>158</v>
      </c>
      <c r="B54" s="73"/>
      <c r="C54" s="74"/>
      <c r="D54" s="73"/>
      <c r="E54" s="88"/>
      <c r="F54" s="89"/>
      <c r="G54" s="73"/>
      <c r="H54" s="73"/>
      <c r="I54" s="84"/>
      <c r="O54" s="71">
        <f t="shared" si="0"/>
        <v>0</v>
      </c>
    </row>
    <row r="55" spans="1:16" x14ac:dyDescent="0.3">
      <c r="A55" s="297" t="s">
        <v>173</v>
      </c>
      <c r="B55" s="73">
        <v>0</v>
      </c>
      <c r="C55" s="74">
        <v>0</v>
      </c>
      <c r="D55" s="73">
        <f>B55*C55</f>
        <v>0</v>
      </c>
      <c r="E55" s="296">
        <f>$L$12</f>
        <v>23.9148</v>
      </c>
      <c r="F55" s="89">
        <f t="shared" ref="F55:F56" si="26">D55*E55</f>
        <v>0</v>
      </c>
      <c r="G55" s="73">
        <f t="shared" ref="G55:G56" si="27">F55*0.05</f>
        <v>0</v>
      </c>
      <c r="H55" s="73">
        <f t="shared" ref="H55:H56" si="28">F55*0.1</f>
        <v>0</v>
      </c>
      <c r="I55" s="81">
        <f>F55*$L$8+G55*$L$7+H55*$L$9</f>
        <v>0</v>
      </c>
      <c r="O55" s="71">
        <f t="shared" si="0"/>
        <v>0</v>
      </c>
    </row>
    <row r="56" spans="1:16" x14ac:dyDescent="0.3">
      <c r="A56" s="297" t="s">
        <v>184</v>
      </c>
      <c r="B56" s="73">
        <v>0</v>
      </c>
      <c r="C56" s="74">
        <v>0</v>
      </c>
      <c r="D56" s="73">
        <f t="shared" ref="D56" si="29">B56*C56</f>
        <v>0</v>
      </c>
      <c r="E56" s="296">
        <f>$L$12</f>
        <v>23.9148</v>
      </c>
      <c r="F56" s="89">
        <f t="shared" si="26"/>
        <v>0</v>
      </c>
      <c r="G56" s="73">
        <f t="shared" si="27"/>
        <v>0</v>
      </c>
      <c r="H56" s="73">
        <f t="shared" si="28"/>
        <v>0</v>
      </c>
      <c r="I56" s="81">
        <f>F56*$L$8+G56*$L$7+H56*$L$9</f>
        <v>0</v>
      </c>
      <c r="O56" s="71">
        <f t="shared" si="0"/>
        <v>0</v>
      </c>
    </row>
    <row r="57" spans="1:16" ht="27" customHeight="1" x14ac:dyDescent="0.3">
      <c r="A57" s="297" t="s">
        <v>207</v>
      </c>
      <c r="B57" s="73">
        <v>16</v>
      </c>
      <c r="C57" s="74">
        <v>1</v>
      </c>
      <c r="D57" s="73">
        <f t="shared" si="14"/>
        <v>16</v>
      </c>
      <c r="E57" s="296">
        <f>L12</f>
        <v>23.9148</v>
      </c>
      <c r="F57" s="89">
        <f t="shared" si="15"/>
        <v>382.63679999999999</v>
      </c>
      <c r="G57" s="296">
        <f t="shared" si="16"/>
        <v>19.13184</v>
      </c>
      <c r="H57" s="296">
        <f t="shared" si="17"/>
        <v>38.263680000000001</v>
      </c>
      <c r="I57" s="81">
        <f>F57*$L$8+G57*$L$7+H57*$L$9</f>
        <v>54404.29507968</v>
      </c>
      <c r="O57" s="71">
        <f t="shared" si="0"/>
        <v>23.9148</v>
      </c>
    </row>
    <row r="58" spans="1:16" x14ac:dyDescent="0.3">
      <c r="A58" s="297" t="s">
        <v>186</v>
      </c>
      <c r="B58" s="73" t="s">
        <v>122</v>
      </c>
      <c r="C58" s="77"/>
      <c r="D58" s="78"/>
      <c r="E58" s="77"/>
      <c r="F58" s="78"/>
      <c r="G58" s="78"/>
      <c r="H58" s="78"/>
      <c r="I58" s="78"/>
      <c r="O58" s="71">
        <f>SUM(O6:O57)</f>
        <v>621538.26039999991</v>
      </c>
      <c r="P58" s="71" t="s">
        <v>187</v>
      </c>
    </row>
    <row r="59" spans="1:16" ht="27" x14ac:dyDescent="0.3">
      <c r="A59" s="98" t="s">
        <v>188</v>
      </c>
      <c r="B59" s="103"/>
      <c r="C59" s="104"/>
      <c r="D59" s="103"/>
      <c r="E59" s="296"/>
      <c r="F59" s="142">
        <f>SUM(F43:H57)</f>
        <v>14959.437963750001</v>
      </c>
      <c r="G59" s="142"/>
      <c r="H59" s="142"/>
      <c r="I59" s="102">
        <f>SUM(I43:I58)</f>
        <v>1849540.6819345048</v>
      </c>
    </row>
    <row r="60" spans="1:16" ht="28" x14ac:dyDescent="0.3">
      <c r="A60" s="106" t="s">
        <v>189</v>
      </c>
      <c r="B60" s="107"/>
      <c r="C60" s="108"/>
      <c r="D60" s="107"/>
      <c r="E60" s="109"/>
      <c r="F60" s="444">
        <f>ROUND(F59+F35, -2)</f>
        <v>36500</v>
      </c>
      <c r="G60" s="444"/>
      <c r="H60" s="444"/>
      <c r="I60" s="110">
        <f>ROUND(I59+I35, -4)</f>
        <v>4510000</v>
      </c>
      <c r="K60" s="111">
        <f>F60/212</f>
        <v>172.16981132075472</v>
      </c>
      <c r="L60" s="71" t="s">
        <v>190</v>
      </c>
    </row>
    <row r="61" spans="1:16" ht="28" x14ac:dyDescent="0.3">
      <c r="A61" s="112" t="s">
        <v>191</v>
      </c>
      <c r="B61" s="78"/>
      <c r="C61" s="77"/>
      <c r="D61" s="78"/>
      <c r="E61" s="77"/>
      <c r="F61" s="78"/>
      <c r="G61" s="78"/>
      <c r="H61" s="78"/>
      <c r="I61" s="110">
        <v>0</v>
      </c>
    </row>
    <row r="62" spans="1:16" ht="15" x14ac:dyDescent="0.3">
      <c r="A62" s="112" t="s">
        <v>192</v>
      </c>
      <c r="B62" s="78"/>
      <c r="C62" s="77"/>
      <c r="D62" s="78"/>
      <c r="E62" s="77"/>
      <c r="F62" s="78"/>
      <c r="G62" s="78"/>
      <c r="H62" s="78"/>
      <c r="I62" s="110">
        <f>ROUND(I60+I61, -5)</f>
        <v>4500000</v>
      </c>
    </row>
    <row r="63" spans="1:16" ht="12" customHeight="1" x14ac:dyDescent="0.3"/>
    <row r="64" spans="1:16" ht="21.65" customHeight="1" x14ac:dyDescent="0.3">
      <c r="A64" s="445" t="s">
        <v>193</v>
      </c>
      <c r="B64" s="445"/>
      <c r="C64" s="445"/>
      <c r="D64" s="445"/>
      <c r="E64" s="445"/>
      <c r="F64" s="445"/>
      <c r="G64" s="445"/>
      <c r="H64" s="445"/>
      <c r="I64" s="445"/>
    </row>
    <row r="65" spans="1:11" ht="81" customHeight="1" x14ac:dyDescent="0.3">
      <c r="A65" s="446" t="s">
        <v>194</v>
      </c>
      <c r="B65" s="446"/>
      <c r="C65" s="446"/>
      <c r="D65" s="446"/>
      <c r="E65" s="446"/>
      <c r="F65" s="446"/>
      <c r="G65" s="446"/>
      <c r="H65" s="446"/>
      <c r="I65" s="446"/>
    </row>
    <row r="66" spans="1:11" ht="15.5" x14ac:dyDescent="0.3">
      <c r="A66" s="445" t="s">
        <v>195</v>
      </c>
      <c r="B66" s="445"/>
      <c r="C66" s="445"/>
      <c r="D66" s="445"/>
      <c r="E66" s="445"/>
      <c r="F66" s="445"/>
      <c r="G66" s="445"/>
      <c r="H66" s="445"/>
      <c r="I66" s="445"/>
    </row>
    <row r="67" spans="1:11" ht="18.75" customHeight="1" x14ac:dyDescent="0.3">
      <c r="A67" s="447" t="s">
        <v>196</v>
      </c>
      <c r="B67" s="447"/>
      <c r="C67" s="447"/>
      <c r="D67" s="447"/>
      <c r="E67" s="447"/>
      <c r="F67" s="447"/>
      <c r="G67" s="447"/>
      <c r="H67" s="447"/>
      <c r="I67" s="447"/>
      <c r="K67" s="296"/>
    </row>
    <row r="68" spans="1:11" ht="15.5" x14ac:dyDescent="0.3">
      <c r="A68" s="448" t="s">
        <v>197</v>
      </c>
      <c r="B68" s="448"/>
      <c r="C68" s="448"/>
      <c r="D68" s="448"/>
      <c r="E68" s="448"/>
      <c r="F68" s="448"/>
      <c r="G68" s="448"/>
      <c r="H68" s="448"/>
      <c r="I68" s="448"/>
    </row>
    <row r="69" spans="1:11" ht="20.5" customHeight="1" x14ac:dyDescent="0.3">
      <c r="A69" s="440" t="s">
        <v>198</v>
      </c>
      <c r="B69" s="440"/>
      <c r="C69" s="440"/>
      <c r="D69" s="440"/>
      <c r="E69" s="440"/>
      <c r="F69" s="440"/>
      <c r="G69" s="440"/>
      <c r="H69" s="440"/>
      <c r="I69" s="440"/>
    </row>
    <row r="70" spans="1:11" ht="20.5" customHeight="1" x14ac:dyDescent="0.3">
      <c r="A70" s="440" t="s">
        <v>199</v>
      </c>
      <c r="B70" s="440"/>
      <c r="C70" s="440"/>
      <c r="D70" s="440"/>
      <c r="E70" s="440"/>
      <c r="F70" s="440"/>
      <c r="G70" s="440"/>
      <c r="H70" s="440"/>
      <c r="I70" s="440"/>
    </row>
    <row r="71" spans="1:11" ht="95.15" customHeight="1" x14ac:dyDescent="0.3">
      <c r="A71" s="440" t="s">
        <v>200</v>
      </c>
      <c r="B71" s="440"/>
      <c r="C71" s="440"/>
      <c r="D71" s="440"/>
      <c r="E71" s="440"/>
      <c r="F71" s="440"/>
      <c r="G71" s="440"/>
      <c r="H71" s="440"/>
      <c r="I71" s="440"/>
    </row>
  </sheetData>
  <mergeCells count="11">
    <mergeCell ref="A3:H3"/>
    <mergeCell ref="A71:I71"/>
    <mergeCell ref="K6:L6"/>
    <mergeCell ref="F60:H60"/>
    <mergeCell ref="A64:I64"/>
    <mergeCell ref="A65:I65"/>
    <mergeCell ref="A66:I66"/>
    <mergeCell ref="A70:I70"/>
    <mergeCell ref="A67:I67"/>
    <mergeCell ref="A68:I68"/>
    <mergeCell ref="A69:I69"/>
  </mergeCells>
  <pageMargins left="0.7" right="0.7" top="0.75" bottom="0.75" header="0.3" footer="0.3"/>
  <pageSetup scale="3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53A-CA98-4423-9D4A-C0EE088262F8}">
  <sheetPr codeName="Sheet9"/>
  <dimension ref="A1:P27"/>
  <sheetViews>
    <sheetView topLeftCell="A4"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6" width="9.1796875" style="61"/>
    <col min="7" max="7" width="12.453125" style="61" customWidth="1"/>
    <col min="8" max="8" width="9.1796875" style="61"/>
    <col min="9" max="9" width="13.81640625" style="61" customWidth="1"/>
    <col min="10" max="10" width="9.1796875" style="61"/>
    <col min="11" max="11" width="13.1796875" style="62" customWidth="1"/>
    <col min="12" max="12" width="9.1796875" style="61"/>
    <col min="13" max="13" width="26.1796875" style="61" customWidth="1"/>
    <col min="14" max="16384" width="9.1796875" style="61"/>
  </cols>
  <sheetData>
    <row r="1" spans="1:16" ht="15.5" x14ac:dyDescent="0.35">
      <c r="A1" s="57" t="s">
        <v>108</v>
      </c>
      <c r="B1" s="57"/>
      <c r="C1" s="57"/>
      <c r="D1" s="57"/>
      <c r="E1" s="57"/>
      <c r="F1" s="57"/>
      <c r="G1" s="57"/>
      <c r="H1" s="57"/>
      <c r="I1" s="57"/>
    </row>
    <row r="2" spans="1:16" ht="19" customHeight="1" x14ac:dyDescent="0.35">
      <c r="A2" s="57" t="s">
        <v>109</v>
      </c>
      <c r="B2" s="57"/>
      <c r="C2" s="57"/>
      <c r="D2" s="57"/>
      <c r="E2" s="57"/>
      <c r="F2" s="57"/>
      <c r="G2" s="57"/>
      <c r="H2" s="57"/>
      <c r="I2" s="57"/>
    </row>
    <row r="3" spans="1:16" ht="34.5" customHeight="1" x14ac:dyDescent="0.35">
      <c r="A3" s="441" t="s">
        <v>218</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65.5" x14ac:dyDescent="0.35">
      <c r="A7" s="454"/>
      <c r="B7" s="63"/>
      <c r="C7" s="63"/>
      <c r="D7" s="424" t="s">
        <v>236</v>
      </c>
      <c r="E7" s="155"/>
      <c r="F7" s="424" t="s">
        <v>237</v>
      </c>
      <c r="G7" s="424" t="s">
        <v>238</v>
      </c>
      <c r="H7" s="424" t="s">
        <v>239</v>
      </c>
      <c r="I7" s="155"/>
      <c r="J7" s="156"/>
      <c r="K7" s="157" t="s">
        <v>125</v>
      </c>
      <c r="L7" s="158">
        <v>69.040000000000006</v>
      </c>
      <c r="M7" s="144" t="s">
        <v>240</v>
      </c>
      <c r="O7" s="61" t="s">
        <v>120</v>
      </c>
    </row>
    <row r="8" spans="1:16" ht="15.5" x14ac:dyDescent="0.35">
      <c r="A8" s="65" t="s">
        <v>241</v>
      </c>
      <c r="B8" s="58">
        <v>0</v>
      </c>
      <c r="C8" s="58">
        <v>0</v>
      </c>
      <c r="D8" s="159">
        <f>B8*C8</f>
        <v>0</v>
      </c>
      <c r="E8" s="159">
        <v>0</v>
      </c>
      <c r="F8" s="160">
        <f>D8*E8</f>
        <v>0</v>
      </c>
      <c r="G8" s="160">
        <f>F8*0.05</f>
        <v>0</v>
      </c>
      <c r="H8" s="160">
        <f>F8*0.1</f>
        <v>0</v>
      </c>
      <c r="I8" s="161">
        <f>(F8*$L$8)+(G8*$L$7)+(H8*$L$9)</f>
        <v>0</v>
      </c>
      <c r="J8" s="156"/>
      <c r="K8" s="157" t="s">
        <v>128</v>
      </c>
      <c r="L8" s="162">
        <v>51.23</v>
      </c>
      <c r="M8" s="59"/>
      <c r="O8" s="61">
        <f>C8*E8</f>
        <v>0</v>
      </c>
    </row>
    <row r="9" spans="1:16" ht="15.5" x14ac:dyDescent="0.35">
      <c r="A9" s="65" t="s">
        <v>242</v>
      </c>
      <c r="B9" s="58">
        <v>0</v>
      </c>
      <c r="C9" s="58">
        <v>0</v>
      </c>
      <c r="D9" s="159">
        <f>B9*C9</f>
        <v>0</v>
      </c>
      <c r="E9" s="159">
        <v>0</v>
      </c>
      <c r="F9" s="163">
        <f>D9*E9</f>
        <v>0</v>
      </c>
      <c r="G9" s="163">
        <f>F9*0.05</f>
        <v>0</v>
      </c>
      <c r="H9" s="163">
        <f>F9*0.1</f>
        <v>0</v>
      </c>
      <c r="I9" s="164">
        <f>(F9*$L$8)+(G9*$L$7)+(H9*$L$9)</f>
        <v>0</v>
      </c>
      <c r="J9" s="156"/>
      <c r="K9" s="157" t="s">
        <v>130</v>
      </c>
      <c r="L9" s="162">
        <v>27.73</v>
      </c>
      <c r="M9" s="59"/>
      <c r="O9" s="61">
        <f t="shared" ref="O9:O13" si="0">C9*E9</f>
        <v>0</v>
      </c>
    </row>
    <row r="10" spans="1:16" ht="15.5" x14ac:dyDescent="0.35">
      <c r="A10" s="366" t="s">
        <v>243</v>
      </c>
      <c r="B10" s="58"/>
      <c r="C10" s="58"/>
      <c r="D10" s="159"/>
      <c r="E10" s="159"/>
      <c r="F10" s="160"/>
      <c r="G10" s="160"/>
      <c r="H10" s="160"/>
      <c r="I10" s="165"/>
      <c r="J10" s="156"/>
      <c r="K10" s="166"/>
      <c r="L10" s="156"/>
      <c r="O10" s="61">
        <f t="shared" si="0"/>
        <v>0</v>
      </c>
    </row>
    <row r="11" spans="1:16" ht="39" x14ac:dyDescent="0.35">
      <c r="A11" s="76" t="s">
        <v>244</v>
      </c>
      <c r="B11" s="58">
        <v>8</v>
      </c>
      <c r="C11" s="58">
        <v>1</v>
      </c>
      <c r="D11" s="159">
        <f>B11*C11</f>
        <v>8</v>
      </c>
      <c r="E11" s="159">
        <f>'RI-Y1'!$L$15*0.01</f>
        <v>28.47</v>
      </c>
      <c r="F11" s="163">
        <f>D11*E11</f>
        <v>227.76</v>
      </c>
      <c r="G11" s="163">
        <f>F11*0.05</f>
        <v>11.388</v>
      </c>
      <c r="H11" s="163">
        <f>F11*0.1</f>
        <v>22.776</v>
      </c>
      <c r="I11" s="164">
        <f>(F11*$L$8)+(G11*$L$7)+(H11*$L$9)</f>
        <v>13085.950799999999</v>
      </c>
      <c r="J11" s="156"/>
      <c r="K11" s="166"/>
      <c r="L11" s="156"/>
    </row>
    <row r="12" spans="1:16" ht="28.5" x14ac:dyDescent="0.35">
      <c r="A12" s="66" t="s">
        <v>245</v>
      </c>
      <c r="B12" s="58">
        <v>0</v>
      </c>
      <c r="C12" s="58">
        <v>0</v>
      </c>
      <c r="D12" s="159">
        <f t="shared" ref="D12:D13" si="1">B12*C12</f>
        <v>0</v>
      </c>
      <c r="E12" s="159">
        <v>0</v>
      </c>
      <c r="F12" s="160">
        <f t="shared" ref="F12:F13" si="2">D12*E12</f>
        <v>0</v>
      </c>
      <c r="G12" s="160">
        <f t="shared" ref="G12:G13" si="3">F12*0.05</f>
        <v>0</v>
      </c>
      <c r="H12" s="160">
        <f t="shared" ref="H12:H13" si="4">F12*0.1</f>
        <v>0</v>
      </c>
      <c r="I12" s="161">
        <f t="shared" ref="I12:I13" si="5">(F12*$L$8)+(G12*$L$7)+(H12*$L$9)</f>
        <v>0</v>
      </c>
      <c r="J12" s="156"/>
      <c r="K12" s="166"/>
      <c r="L12" s="156"/>
      <c r="O12" s="61">
        <f t="shared" si="0"/>
        <v>0</v>
      </c>
    </row>
    <row r="13" spans="1:16" ht="20.25" customHeight="1" x14ac:dyDescent="0.35">
      <c r="A13" s="66" t="s">
        <v>246</v>
      </c>
      <c r="B13" s="58">
        <v>0</v>
      </c>
      <c r="C13" s="58">
        <v>0</v>
      </c>
      <c r="D13" s="159">
        <f t="shared" si="1"/>
        <v>0</v>
      </c>
      <c r="E13" s="159">
        <v>0</v>
      </c>
      <c r="F13" s="160">
        <f t="shared" si="2"/>
        <v>0</v>
      </c>
      <c r="G13" s="167">
        <f t="shared" si="3"/>
        <v>0</v>
      </c>
      <c r="H13" s="167">
        <f t="shared" si="4"/>
        <v>0</v>
      </c>
      <c r="I13" s="161">
        <f t="shared" si="5"/>
        <v>0</v>
      </c>
      <c r="J13" s="156"/>
      <c r="K13" s="166"/>
      <c r="L13" s="156"/>
      <c r="O13" s="61">
        <f t="shared" si="0"/>
        <v>0</v>
      </c>
    </row>
    <row r="14" spans="1:16" ht="15" x14ac:dyDescent="0.35">
      <c r="A14" s="60" t="s">
        <v>247</v>
      </c>
      <c r="B14" s="60"/>
      <c r="C14" s="60">
        <f>SUM(C8:C13)</f>
        <v>1</v>
      </c>
      <c r="D14" s="60"/>
      <c r="E14" s="60"/>
      <c r="F14" s="458">
        <f>ROUND(SUM(F8:H13), -1)</f>
        <v>260</v>
      </c>
      <c r="G14" s="459"/>
      <c r="H14" s="460"/>
      <c r="I14" s="67">
        <f>ROUND(SUM(I8:I13), -2)</f>
        <v>13100</v>
      </c>
      <c r="O14" s="61">
        <f>SUM(O8:O13)</f>
        <v>0</v>
      </c>
      <c r="P14" s="61" t="s">
        <v>248</v>
      </c>
    </row>
    <row r="15" spans="1:16" x14ac:dyDescent="0.35">
      <c r="A15" s="68"/>
      <c r="G15" s="69"/>
    </row>
    <row r="16" spans="1:16" ht="24.75" customHeight="1" x14ac:dyDescent="0.35">
      <c r="A16" s="68" t="s">
        <v>249</v>
      </c>
    </row>
    <row r="17" spans="1:9" ht="31.5" customHeight="1" x14ac:dyDescent="0.35">
      <c r="A17" s="457" t="s">
        <v>250</v>
      </c>
      <c r="B17" s="457"/>
      <c r="C17" s="457"/>
      <c r="D17" s="457"/>
      <c r="E17" s="457"/>
      <c r="F17" s="457"/>
      <c r="G17" s="457"/>
      <c r="H17" s="457"/>
      <c r="I17" s="457"/>
    </row>
    <row r="18" spans="1:9" ht="45.65" customHeight="1" x14ac:dyDescent="0.35">
      <c r="A18" s="457" t="s">
        <v>251</v>
      </c>
      <c r="B18" s="457"/>
      <c r="C18" s="457"/>
      <c r="D18" s="457"/>
      <c r="E18" s="457"/>
      <c r="F18" s="457"/>
      <c r="G18" s="457"/>
      <c r="H18" s="457"/>
      <c r="I18" s="457"/>
    </row>
    <row r="19" spans="1:9" ht="28.5" customHeight="1" x14ac:dyDescent="0.35">
      <c r="A19" s="461" t="s">
        <v>252</v>
      </c>
      <c r="B19" s="461"/>
      <c r="C19" s="461"/>
      <c r="D19" s="461"/>
      <c r="E19" s="461"/>
      <c r="F19" s="461"/>
      <c r="G19" s="461"/>
      <c r="H19" s="461"/>
      <c r="I19" s="461"/>
    </row>
    <row r="20" spans="1:9" ht="14.5" customHeight="1" x14ac:dyDescent="0.35">
      <c r="A20" s="455" t="s">
        <v>253</v>
      </c>
      <c r="B20" s="455"/>
      <c r="C20" s="455"/>
      <c r="D20" s="455"/>
      <c r="E20" s="455"/>
      <c r="F20" s="455"/>
      <c r="G20" s="455"/>
      <c r="H20" s="455"/>
      <c r="I20" s="455"/>
    </row>
    <row r="21" spans="1:9" ht="100" customHeight="1" x14ac:dyDescent="0.35">
      <c r="A21" s="450" t="s">
        <v>254</v>
      </c>
      <c r="B21" s="451"/>
      <c r="C21" s="451"/>
      <c r="D21" s="451"/>
      <c r="E21" s="451"/>
      <c r="F21" s="451"/>
      <c r="G21" s="451"/>
      <c r="H21" s="451"/>
      <c r="I21" s="422"/>
    </row>
    <row r="22" spans="1:9" ht="15.5" x14ac:dyDescent="0.35">
      <c r="A22" s="452" t="s">
        <v>255</v>
      </c>
      <c r="B22" s="452"/>
      <c r="C22" s="452"/>
      <c r="D22" s="452"/>
      <c r="E22" s="452"/>
      <c r="F22" s="452"/>
      <c r="G22" s="452"/>
      <c r="H22" s="452"/>
      <c r="I22" s="452"/>
    </row>
    <row r="23" spans="1:9" ht="15.5" x14ac:dyDescent="0.35">
      <c r="A23" s="452" t="s">
        <v>256</v>
      </c>
      <c r="B23" s="452"/>
      <c r="C23" s="452"/>
      <c r="D23" s="452"/>
      <c r="E23" s="452"/>
      <c r="F23" s="452"/>
      <c r="G23" s="452"/>
      <c r="H23" s="452"/>
      <c r="I23" s="452"/>
    </row>
    <row r="24" spans="1:9" ht="16" customHeight="1" x14ac:dyDescent="0.35">
      <c r="A24" s="449"/>
      <c r="B24" s="442"/>
      <c r="C24" s="442"/>
      <c r="D24" s="442"/>
      <c r="E24" s="442"/>
      <c r="F24" s="442"/>
      <c r="G24" s="442"/>
      <c r="H24" s="442"/>
    </row>
    <row r="25" spans="1:9" x14ac:dyDescent="0.35">
      <c r="A25" s="70"/>
    </row>
    <row r="26" spans="1:9" x14ac:dyDescent="0.35">
      <c r="A26" s="70"/>
    </row>
    <row r="27" spans="1:9" x14ac:dyDescent="0.35">
      <c r="A27" s="70"/>
    </row>
  </sheetData>
  <mergeCells count="13">
    <mergeCell ref="K6:L6"/>
    <mergeCell ref="A17:I17"/>
    <mergeCell ref="F14:H14"/>
    <mergeCell ref="A18:I18"/>
    <mergeCell ref="A19:I19"/>
    <mergeCell ref="A24:H24"/>
    <mergeCell ref="A21:H21"/>
    <mergeCell ref="A3:H3"/>
    <mergeCell ref="A23:I23"/>
    <mergeCell ref="A4:I4"/>
    <mergeCell ref="A5:A7"/>
    <mergeCell ref="A20:I20"/>
    <mergeCell ref="A22:I2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8EFE-632A-4615-BDAA-F5EA1F9B7949}">
  <sheetPr codeName="Sheet10"/>
  <dimension ref="A1:P26"/>
  <sheetViews>
    <sheetView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8" width="9.1796875" style="61"/>
    <col min="9" max="9" width="13.81640625" style="61" customWidth="1"/>
    <col min="10" max="10" width="9.1796875" style="61"/>
    <col min="11" max="11" width="13.1796875" style="62" customWidth="1"/>
    <col min="12" max="12" width="9.1796875" style="61"/>
    <col min="13" max="13" width="21.1796875" style="61" customWidth="1"/>
    <col min="14" max="16384" width="9.1796875" style="61"/>
  </cols>
  <sheetData>
    <row r="1" spans="1:16" ht="15.5" x14ac:dyDescent="0.35">
      <c r="A1" s="57" t="s">
        <v>201</v>
      </c>
      <c r="B1" s="57"/>
      <c r="C1" s="57"/>
      <c r="D1" s="57"/>
      <c r="E1" s="57"/>
      <c r="F1" s="57"/>
      <c r="G1" s="57"/>
      <c r="H1" s="57"/>
      <c r="I1" s="57"/>
    </row>
    <row r="2" spans="1:16" ht="19" customHeight="1" x14ac:dyDescent="0.35">
      <c r="A2" s="57" t="s">
        <v>202</v>
      </c>
      <c r="B2" s="57"/>
      <c r="C2" s="57"/>
      <c r="D2" s="57"/>
      <c r="E2" s="57"/>
      <c r="F2" s="57"/>
      <c r="G2" s="57"/>
      <c r="H2" s="57"/>
      <c r="I2" s="57"/>
    </row>
    <row r="3" spans="1:16" ht="34.5" customHeight="1" x14ac:dyDescent="0.35">
      <c r="A3" s="441" t="s">
        <v>257</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78.5" x14ac:dyDescent="0.35">
      <c r="A7" s="454"/>
      <c r="B7" s="63"/>
      <c r="C7" s="63"/>
      <c r="D7" s="424" t="s">
        <v>236</v>
      </c>
      <c r="E7" s="155"/>
      <c r="F7" s="424" t="s">
        <v>237</v>
      </c>
      <c r="G7" s="424" t="s">
        <v>238</v>
      </c>
      <c r="H7" s="424" t="s">
        <v>239</v>
      </c>
      <c r="I7" s="155"/>
      <c r="J7" s="156"/>
      <c r="K7" s="157" t="s">
        <v>125</v>
      </c>
      <c r="L7" s="158">
        <v>69.040000000000006</v>
      </c>
      <c r="M7" s="144" t="s">
        <v>240</v>
      </c>
      <c r="O7" s="61" t="s">
        <v>258</v>
      </c>
    </row>
    <row r="8" spans="1:16" ht="15.5" x14ac:dyDescent="0.35">
      <c r="A8" s="65" t="s">
        <v>241</v>
      </c>
      <c r="B8" s="58">
        <v>0</v>
      </c>
      <c r="C8" s="58">
        <v>0</v>
      </c>
      <c r="D8" s="159">
        <f>B8*C8</f>
        <v>0</v>
      </c>
      <c r="E8" s="159">
        <v>0</v>
      </c>
      <c r="F8" s="160">
        <f>D8*E8</f>
        <v>0</v>
      </c>
      <c r="G8" s="160">
        <f>F8*0.05</f>
        <v>0</v>
      </c>
      <c r="H8" s="160">
        <f>F8*0.1</f>
        <v>0</v>
      </c>
      <c r="I8" s="161">
        <f>(F8*$L$8)+(G8*$L$7)+(H8*$L$9)</f>
        <v>0</v>
      </c>
      <c r="J8" s="156"/>
      <c r="K8" s="157" t="s">
        <v>128</v>
      </c>
      <c r="L8" s="162">
        <v>51.23</v>
      </c>
      <c r="M8" s="59"/>
      <c r="O8" s="61">
        <f>C8*E8</f>
        <v>0</v>
      </c>
    </row>
    <row r="9" spans="1:16" ht="15.5" x14ac:dyDescent="0.35">
      <c r="A9" s="65" t="s">
        <v>242</v>
      </c>
      <c r="B9" s="58">
        <v>0</v>
      </c>
      <c r="C9" s="58">
        <v>0</v>
      </c>
      <c r="D9" s="159">
        <f>B9*C9</f>
        <v>0</v>
      </c>
      <c r="E9" s="159">
        <v>0</v>
      </c>
      <c r="F9" s="163">
        <f>D9*E9</f>
        <v>0</v>
      </c>
      <c r="G9" s="163">
        <f>F9*0.05</f>
        <v>0</v>
      </c>
      <c r="H9" s="163">
        <f>F9*0.1</f>
        <v>0</v>
      </c>
      <c r="I9" s="164">
        <f>(F9*$L$8)+(G9*$L$7)+(H9*$L$9)</f>
        <v>0</v>
      </c>
      <c r="J9" s="156"/>
      <c r="K9" s="157" t="s">
        <v>130</v>
      </c>
      <c r="L9" s="162">
        <v>27.73</v>
      </c>
      <c r="M9" s="59"/>
      <c r="O9" s="61">
        <f t="shared" ref="O9:O12" si="0">C9*E9</f>
        <v>0</v>
      </c>
    </row>
    <row r="10" spans="1:16" x14ac:dyDescent="0.35">
      <c r="A10" s="65" t="s">
        <v>243</v>
      </c>
      <c r="B10" s="58"/>
      <c r="C10" s="58"/>
      <c r="D10" s="159"/>
      <c r="E10" s="159"/>
      <c r="F10" s="160"/>
      <c r="G10" s="160"/>
      <c r="H10" s="160"/>
      <c r="I10" s="165"/>
      <c r="J10" s="156"/>
      <c r="K10" s="166"/>
      <c r="L10" s="156"/>
      <c r="O10" s="61">
        <f t="shared" si="0"/>
        <v>0</v>
      </c>
    </row>
    <row r="11" spans="1:16" ht="28.5" x14ac:dyDescent="0.35">
      <c r="A11" s="66" t="s">
        <v>245</v>
      </c>
      <c r="B11" s="58">
        <v>0</v>
      </c>
      <c r="C11" s="58">
        <v>0</v>
      </c>
      <c r="D11" s="159">
        <f t="shared" ref="D11:D12" si="1">B11*C11</f>
        <v>0</v>
      </c>
      <c r="E11" s="159">
        <v>0</v>
      </c>
      <c r="F11" s="160">
        <f t="shared" ref="F11:F12" si="2">D11*E11</f>
        <v>0</v>
      </c>
      <c r="G11" s="160">
        <f t="shared" ref="G11:G12" si="3">F11*0.05</f>
        <v>0</v>
      </c>
      <c r="H11" s="160">
        <f t="shared" ref="H11:H12" si="4">F11*0.1</f>
        <v>0</v>
      </c>
      <c r="I11" s="161">
        <f t="shared" ref="I11:I12" si="5">(F11*$L$8)+(G11*$L$7)+(H11*$L$9)</f>
        <v>0</v>
      </c>
      <c r="J11" s="156"/>
      <c r="K11" s="166"/>
      <c r="L11" s="156"/>
      <c r="O11" s="61">
        <f t="shared" si="0"/>
        <v>0</v>
      </c>
    </row>
    <row r="12" spans="1:16" ht="20.25" customHeight="1" x14ac:dyDescent="0.35">
      <c r="A12" s="66" t="s">
        <v>246</v>
      </c>
      <c r="B12" s="58">
        <v>0</v>
      </c>
      <c r="C12" s="58">
        <v>0</v>
      </c>
      <c r="D12" s="159">
        <f t="shared" si="1"/>
        <v>0</v>
      </c>
      <c r="E12" s="159">
        <v>0</v>
      </c>
      <c r="F12" s="160">
        <f t="shared" si="2"/>
        <v>0</v>
      </c>
      <c r="G12" s="167">
        <f t="shared" si="3"/>
        <v>0</v>
      </c>
      <c r="H12" s="167">
        <f t="shared" si="4"/>
        <v>0</v>
      </c>
      <c r="I12" s="161">
        <f t="shared" si="5"/>
        <v>0</v>
      </c>
      <c r="J12" s="156"/>
      <c r="K12" s="166"/>
      <c r="L12" s="156"/>
      <c r="O12" s="61">
        <f t="shared" si="0"/>
        <v>0</v>
      </c>
    </row>
    <row r="13" spans="1:16" ht="15" x14ac:dyDescent="0.35">
      <c r="A13" s="60" t="s">
        <v>247</v>
      </c>
      <c r="B13" s="60"/>
      <c r="C13" s="60"/>
      <c r="D13" s="168"/>
      <c r="E13" s="168"/>
      <c r="F13" s="169">
        <f>ROUND(SUM(F8:H12), -1)</f>
        <v>0</v>
      </c>
      <c r="G13" s="170"/>
      <c r="H13" s="170"/>
      <c r="I13" s="171">
        <f>ROUND(SUM(I8:I12), -2)</f>
        <v>0</v>
      </c>
      <c r="J13" s="156"/>
      <c r="K13" s="166"/>
      <c r="L13" s="156"/>
      <c r="O13" s="61">
        <f>SUM(O8:O12)</f>
        <v>0</v>
      </c>
      <c r="P13" s="61" t="s">
        <v>248</v>
      </c>
    </row>
    <row r="14" spans="1:16" x14ac:dyDescent="0.35">
      <c r="A14" s="68"/>
      <c r="D14" s="156"/>
      <c r="E14" s="156"/>
      <c r="F14" s="156"/>
      <c r="G14" s="172"/>
      <c r="H14" s="156"/>
      <c r="I14" s="156"/>
      <c r="J14" s="156"/>
      <c r="K14" s="166"/>
      <c r="L14" s="156"/>
    </row>
    <row r="15" spans="1:16" ht="24.75" customHeight="1" x14ac:dyDescent="0.35">
      <c r="A15" s="68" t="s">
        <v>249</v>
      </c>
      <c r="D15" s="156"/>
      <c r="E15" s="156"/>
      <c r="F15" s="156"/>
      <c r="G15" s="156"/>
      <c r="H15" s="156"/>
      <c r="I15" s="156"/>
      <c r="J15" s="156"/>
      <c r="K15" s="166"/>
      <c r="L15" s="156"/>
    </row>
    <row r="16" spans="1:16" ht="31.5" customHeight="1" x14ac:dyDescent="0.35">
      <c r="A16" s="457" t="s">
        <v>250</v>
      </c>
      <c r="B16" s="457"/>
      <c r="C16" s="457"/>
      <c r="D16" s="457"/>
      <c r="E16" s="457"/>
      <c r="F16" s="457"/>
      <c r="G16" s="457"/>
      <c r="H16" s="457"/>
      <c r="I16" s="457"/>
    </row>
    <row r="17" spans="1:9" ht="45.65" customHeight="1" x14ac:dyDescent="0.35">
      <c r="A17" s="457" t="s">
        <v>251</v>
      </c>
      <c r="B17" s="457"/>
      <c r="C17" s="457"/>
      <c r="D17" s="457"/>
      <c r="E17" s="457"/>
      <c r="F17" s="457"/>
      <c r="G17" s="457"/>
      <c r="H17" s="457"/>
      <c r="I17" s="457"/>
    </row>
    <row r="18" spans="1:9" ht="28.5" customHeight="1" x14ac:dyDescent="0.35">
      <c r="A18" s="461" t="s">
        <v>252</v>
      </c>
      <c r="B18" s="461"/>
      <c r="C18" s="461"/>
      <c r="D18" s="461"/>
      <c r="E18" s="461"/>
      <c r="F18" s="461"/>
      <c r="G18" s="461"/>
      <c r="H18" s="461"/>
      <c r="I18" s="461"/>
    </row>
    <row r="19" spans="1:9" ht="15.5" x14ac:dyDescent="0.35">
      <c r="A19" s="455" t="s">
        <v>253</v>
      </c>
      <c r="B19" s="455"/>
      <c r="C19" s="455"/>
      <c r="D19" s="455"/>
      <c r="E19" s="455"/>
      <c r="F19" s="455"/>
      <c r="G19" s="455"/>
      <c r="H19" s="455"/>
      <c r="I19" s="455"/>
    </row>
    <row r="20" spans="1:9" ht="100" customHeight="1" x14ac:dyDescent="0.35">
      <c r="A20" s="450" t="s">
        <v>259</v>
      </c>
      <c r="B20" s="451"/>
      <c r="C20" s="451"/>
      <c r="D20" s="451"/>
      <c r="E20" s="451"/>
      <c r="F20" s="451"/>
      <c r="G20" s="451"/>
      <c r="H20" s="451"/>
      <c r="I20" s="422"/>
    </row>
    <row r="21" spans="1:9" ht="15.5" x14ac:dyDescent="0.35">
      <c r="A21" s="452" t="s">
        <v>255</v>
      </c>
      <c r="B21" s="452"/>
      <c r="C21" s="452"/>
      <c r="D21" s="452"/>
      <c r="E21" s="452"/>
      <c r="F21" s="452"/>
      <c r="G21" s="452"/>
      <c r="H21" s="452"/>
      <c r="I21" s="452"/>
    </row>
    <row r="22" spans="1:9" ht="15.5" x14ac:dyDescent="0.35">
      <c r="A22" s="452" t="s">
        <v>256</v>
      </c>
      <c r="B22" s="452"/>
      <c r="C22" s="452"/>
      <c r="D22" s="452"/>
      <c r="E22" s="452"/>
      <c r="F22" s="452"/>
      <c r="G22" s="452"/>
      <c r="H22" s="452"/>
      <c r="I22" s="452"/>
    </row>
    <row r="23" spans="1:9" x14ac:dyDescent="0.35">
      <c r="A23" s="70"/>
    </row>
    <row r="24" spans="1:9" x14ac:dyDescent="0.35">
      <c r="A24" s="70"/>
    </row>
    <row r="25" spans="1:9" x14ac:dyDescent="0.35">
      <c r="A25" s="70"/>
    </row>
    <row r="26" spans="1:9" x14ac:dyDescent="0.35">
      <c r="A26" s="70"/>
    </row>
  </sheetData>
  <mergeCells count="11">
    <mergeCell ref="A3:H3"/>
    <mergeCell ref="K6:L6"/>
    <mergeCell ref="A16:I16"/>
    <mergeCell ref="A17:I17"/>
    <mergeCell ref="A18:I18"/>
    <mergeCell ref="A19:I19"/>
    <mergeCell ref="A21:I21"/>
    <mergeCell ref="A22:I22"/>
    <mergeCell ref="A4:I4"/>
    <mergeCell ref="A5:A7"/>
    <mergeCell ref="A20:H2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EB57-C522-408E-B1EE-AFA746055269}">
  <sheetPr codeName="Sheet11"/>
  <dimension ref="A1:P27"/>
  <sheetViews>
    <sheetView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8" width="9.1796875" style="61"/>
    <col min="9" max="9" width="13.81640625" style="61" customWidth="1"/>
    <col min="10" max="10" width="9.1796875" style="61"/>
    <col min="11" max="11" width="13.1796875" style="62" customWidth="1"/>
    <col min="12" max="12" width="9.1796875" style="61"/>
    <col min="13" max="13" width="23.453125" style="61" customWidth="1"/>
    <col min="14" max="16384" width="9.1796875" style="61"/>
  </cols>
  <sheetData>
    <row r="1" spans="1:16" ht="15.5" x14ac:dyDescent="0.35">
      <c r="A1" s="57" t="s">
        <v>208</v>
      </c>
      <c r="B1" s="57"/>
      <c r="C1" s="57"/>
      <c r="D1" s="57"/>
      <c r="E1" s="57"/>
      <c r="F1" s="57"/>
      <c r="G1" s="57"/>
      <c r="H1" s="57"/>
      <c r="I1" s="57"/>
    </row>
    <row r="2" spans="1:16" ht="19" customHeight="1" x14ac:dyDescent="0.35">
      <c r="A2" s="57" t="s">
        <v>209</v>
      </c>
      <c r="B2" s="57"/>
      <c r="C2" s="57"/>
      <c r="D2" s="57"/>
      <c r="E2" s="57"/>
      <c r="F2" s="57"/>
      <c r="G2" s="57"/>
      <c r="H2" s="57"/>
      <c r="I2" s="57"/>
    </row>
    <row r="3" spans="1:16" ht="34.5" customHeight="1" x14ac:dyDescent="0.35">
      <c r="A3" s="441" t="s">
        <v>260</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65.5" x14ac:dyDescent="0.35">
      <c r="A7" s="454"/>
      <c r="B7" s="63"/>
      <c r="C7" s="63"/>
      <c r="D7" s="424" t="s">
        <v>236</v>
      </c>
      <c r="E7" s="155"/>
      <c r="F7" s="424" t="s">
        <v>237</v>
      </c>
      <c r="G7" s="424" t="s">
        <v>238</v>
      </c>
      <c r="H7" s="424" t="s">
        <v>239</v>
      </c>
      <c r="I7" s="155"/>
      <c r="J7" s="156"/>
      <c r="K7" s="157" t="s">
        <v>125</v>
      </c>
      <c r="L7" s="158">
        <v>69.040000000000006</v>
      </c>
      <c r="M7" s="144" t="s">
        <v>240</v>
      </c>
      <c r="O7" s="61" t="s">
        <v>120</v>
      </c>
    </row>
    <row r="8" spans="1:16" ht="15.5" x14ac:dyDescent="0.35">
      <c r="A8" s="65" t="s">
        <v>241</v>
      </c>
      <c r="B8" s="58">
        <v>0</v>
      </c>
      <c r="C8" s="58">
        <v>0</v>
      </c>
      <c r="D8" s="159">
        <f>B8*C8</f>
        <v>0</v>
      </c>
      <c r="E8" s="159">
        <v>0</v>
      </c>
      <c r="F8" s="160">
        <f>D8*E8</f>
        <v>0</v>
      </c>
      <c r="G8" s="160">
        <f>F8*0.05</f>
        <v>0</v>
      </c>
      <c r="H8" s="160">
        <f>F8*0.1</f>
        <v>0</v>
      </c>
      <c r="I8" s="161">
        <f>(F8*$L$8)+(G8*$L$7)+(H8*$L$9)</f>
        <v>0</v>
      </c>
      <c r="J8" s="156"/>
      <c r="K8" s="157" t="s">
        <v>128</v>
      </c>
      <c r="L8" s="162">
        <v>51.23</v>
      </c>
      <c r="M8" s="59"/>
      <c r="O8" s="61">
        <f>C8*E8</f>
        <v>0</v>
      </c>
    </row>
    <row r="9" spans="1:16" ht="15.5" x14ac:dyDescent="0.35">
      <c r="A9" s="65" t="s">
        <v>242</v>
      </c>
      <c r="B9" s="58">
        <v>0</v>
      </c>
      <c r="C9" s="58">
        <v>0</v>
      </c>
      <c r="D9" s="159">
        <f>B9*C9</f>
        <v>0</v>
      </c>
      <c r="E9" s="159">
        <v>0</v>
      </c>
      <c r="F9" s="163">
        <f>D9*E9</f>
        <v>0</v>
      </c>
      <c r="G9" s="163">
        <f>F9*0.05</f>
        <v>0</v>
      </c>
      <c r="H9" s="163">
        <f>F9*0.1</f>
        <v>0</v>
      </c>
      <c r="I9" s="164">
        <f>(F9*$L$8)+(G9*$L$7)+(H9*$L$9)</f>
        <v>0</v>
      </c>
      <c r="J9" s="156"/>
      <c r="K9" s="157" t="s">
        <v>130</v>
      </c>
      <c r="L9" s="162">
        <v>27.73</v>
      </c>
      <c r="M9" s="59"/>
      <c r="O9" s="61">
        <f t="shared" ref="O9:O13" si="0">C9*E9</f>
        <v>0</v>
      </c>
    </row>
    <row r="10" spans="1:16" ht="15.5" x14ac:dyDescent="0.35">
      <c r="A10" s="366" t="s">
        <v>243</v>
      </c>
      <c r="B10" s="58"/>
      <c r="C10" s="58"/>
      <c r="D10" s="159"/>
      <c r="E10" s="159"/>
      <c r="F10" s="160"/>
      <c r="G10" s="160"/>
      <c r="H10" s="160"/>
      <c r="I10" s="165"/>
      <c r="J10" s="156"/>
      <c r="K10" s="166"/>
      <c r="L10" s="156"/>
      <c r="O10" s="61">
        <f t="shared" si="0"/>
        <v>0</v>
      </c>
    </row>
    <row r="11" spans="1:16" ht="39" x14ac:dyDescent="0.35">
      <c r="A11" s="76" t="s">
        <v>261</v>
      </c>
      <c r="B11" s="58">
        <v>8</v>
      </c>
      <c r="C11" s="58">
        <v>1</v>
      </c>
      <c r="D11" s="159">
        <f>B11*C11</f>
        <v>8</v>
      </c>
      <c r="E11" s="159">
        <f>'RI-Y1'!$L$15*0.01</f>
        <v>28.47</v>
      </c>
      <c r="F11" s="160">
        <f t="shared" ref="F11" si="1">D11*E11</f>
        <v>227.76</v>
      </c>
      <c r="G11" s="160">
        <f t="shared" ref="G11" si="2">F11*0.05</f>
        <v>11.388</v>
      </c>
      <c r="H11" s="160">
        <f t="shared" ref="H11" si="3">F11*0.1</f>
        <v>22.776</v>
      </c>
      <c r="I11" s="161">
        <f t="shared" ref="I11" si="4">(F11*$L$8)+(G11*$L$7)+(H11*$L$9)</f>
        <v>13085.950799999999</v>
      </c>
      <c r="J11" s="156"/>
      <c r="K11" s="166"/>
      <c r="L11" s="156"/>
    </row>
    <row r="12" spans="1:16" ht="28.5" x14ac:dyDescent="0.35">
      <c r="A12" s="66" t="s">
        <v>245</v>
      </c>
      <c r="B12" s="58">
        <v>0</v>
      </c>
      <c r="C12" s="58">
        <v>0</v>
      </c>
      <c r="D12" s="159">
        <f t="shared" ref="D12:D13" si="5">B12*C12</f>
        <v>0</v>
      </c>
      <c r="E12" s="159">
        <f>E8</f>
        <v>0</v>
      </c>
      <c r="F12" s="160">
        <f t="shared" ref="F12:F13" si="6">D12*E12</f>
        <v>0</v>
      </c>
      <c r="G12" s="160">
        <f t="shared" ref="G12:G13" si="7">F12*0.05</f>
        <v>0</v>
      </c>
      <c r="H12" s="160">
        <f t="shared" ref="H12:H13" si="8">F12*0.1</f>
        <v>0</v>
      </c>
      <c r="I12" s="161">
        <f t="shared" ref="I12:I13" si="9">(F12*$L$8)+(G12*$L$7)+(H12*$L$9)</f>
        <v>0</v>
      </c>
      <c r="J12" s="156"/>
      <c r="K12" s="166"/>
      <c r="L12" s="156"/>
      <c r="O12" s="61">
        <f t="shared" si="0"/>
        <v>0</v>
      </c>
    </row>
    <row r="13" spans="1:16" ht="20.25" customHeight="1" x14ac:dyDescent="0.35">
      <c r="A13" s="66" t="s">
        <v>246</v>
      </c>
      <c r="B13" s="58">
        <v>0</v>
      </c>
      <c r="C13" s="58">
        <v>0</v>
      </c>
      <c r="D13" s="159">
        <f t="shared" si="5"/>
        <v>0</v>
      </c>
      <c r="E13" s="159">
        <v>0</v>
      </c>
      <c r="F13" s="160">
        <f t="shared" si="6"/>
        <v>0</v>
      </c>
      <c r="G13" s="167">
        <f t="shared" si="7"/>
        <v>0</v>
      </c>
      <c r="H13" s="167">
        <f t="shared" si="8"/>
        <v>0</v>
      </c>
      <c r="I13" s="161">
        <f t="shared" si="9"/>
        <v>0</v>
      </c>
      <c r="J13" s="156"/>
      <c r="K13" s="166"/>
      <c r="L13" s="156"/>
      <c r="O13" s="61">
        <f t="shared" si="0"/>
        <v>0</v>
      </c>
    </row>
    <row r="14" spans="1:16" ht="15" x14ac:dyDescent="0.35">
      <c r="A14" s="60" t="s">
        <v>247</v>
      </c>
      <c r="B14" s="60"/>
      <c r="C14" s="60"/>
      <c r="D14" s="168"/>
      <c r="E14" s="168"/>
      <c r="F14" s="169">
        <f>ROUND(SUM(F8:H13), -1)</f>
        <v>260</v>
      </c>
      <c r="G14" s="170"/>
      <c r="H14" s="170"/>
      <c r="I14" s="171">
        <f>ROUND(SUM(I8:I13), -2)</f>
        <v>13100</v>
      </c>
      <c r="J14" s="156"/>
      <c r="K14" s="166"/>
      <c r="L14" s="156"/>
      <c r="O14" s="61">
        <f>SUM(O8:O13)</f>
        <v>0</v>
      </c>
      <c r="P14" s="61" t="s">
        <v>248</v>
      </c>
    </row>
    <row r="15" spans="1:16" x14ac:dyDescent="0.35">
      <c r="A15" s="68"/>
      <c r="D15" s="156"/>
      <c r="E15" s="156"/>
      <c r="F15" s="156"/>
      <c r="G15" s="172"/>
      <c r="H15" s="156"/>
      <c r="I15" s="156"/>
      <c r="J15" s="156"/>
      <c r="K15" s="166"/>
      <c r="L15" s="156"/>
    </row>
    <row r="16" spans="1:16" ht="24.75" customHeight="1" x14ac:dyDescent="0.35">
      <c r="A16" s="68" t="s">
        <v>249</v>
      </c>
    </row>
    <row r="17" spans="1:9" ht="31.5" customHeight="1" x14ac:dyDescent="0.35">
      <c r="A17" s="457" t="s">
        <v>250</v>
      </c>
      <c r="B17" s="457"/>
      <c r="C17" s="457"/>
      <c r="D17" s="457"/>
      <c r="E17" s="457"/>
      <c r="F17" s="457"/>
      <c r="G17" s="457"/>
      <c r="H17" s="457"/>
      <c r="I17" s="457"/>
    </row>
    <row r="18" spans="1:9" ht="45.65" customHeight="1" x14ac:dyDescent="0.35">
      <c r="A18" s="457" t="s">
        <v>251</v>
      </c>
      <c r="B18" s="457"/>
      <c r="C18" s="457"/>
      <c r="D18" s="457"/>
      <c r="E18" s="457"/>
      <c r="F18" s="457"/>
      <c r="G18" s="457"/>
      <c r="H18" s="457"/>
      <c r="I18" s="457"/>
    </row>
    <row r="19" spans="1:9" ht="28.5" customHeight="1" x14ac:dyDescent="0.35">
      <c r="A19" s="461" t="s">
        <v>252</v>
      </c>
      <c r="B19" s="461"/>
      <c r="C19" s="461"/>
      <c r="D19" s="461"/>
      <c r="E19" s="461"/>
      <c r="F19" s="461"/>
      <c r="G19" s="461"/>
      <c r="H19" s="461"/>
      <c r="I19" s="461"/>
    </row>
    <row r="20" spans="1:9" ht="15.5" x14ac:dyDescent="0.35">
      <c r="A20" s="455" t="s">
        <v>253</v>
      </c>
      <c r="B20" s="455"/>
      <c r="C20" s="455"/>
      <c r="D20" s="455"/>
      <c r="E20" s="455"/>
      <c r="F20" s="455"/>
      <c r="G20" s="455"/>
      <c r="H20" s="455"/>
      <c r="I20" s="455"/>
    </row>
    <row r="21" spans="1:9" ht="100" customHeight="1" x14ac:dyDescent="0.35">
      <c r="A21" s="450" t="s">
        <v>259</v>
      </c>
      <c r="B21" s="451"/>
      <c r="C21" s="451"/>
      <c r="D21" s="451"/>
      <c r="E21" s="451"/>
      <c r="F21" s="451"/>
      <c r="G21" s="451"/>
      <c r="H21" s="451"/>
      <c r="I21" s="422"/>
    </row>
    <row r="22" spans="1:9" ht="15.5" x14ac:dyDescent="0.35">
      <c r="A22" s="452" t="s">
        <v>255</v>
      </c>
      <c r="B22" s="452"/>
      <c r="C22" s="452"/>
      <c r="D22" s="452"/>
      <c r="E22" s="452"/>
      <c r="F22" s="452"/>
      <c r="G22" s="452"/>
      <c r="H22" s="452"/>
      <c r="I22" s="452"/>
    </row>
    <row r="23" spans="1:9" ht="15.5" x14ac:dyDescent="0.35">
      <c r="A23" s="452" t="s">
        <v>256</v>
      </c>
      <c r="B23" s="452"/>
      <c r="C23" s="452"/>
      <c r="D23" s="452"/>
      <c r="E23" s="452"/>
      <c r="F23" s="452"/>
      <c r="G23" s="452"/>
      <c r="H23" s="452"/>
      <c r="I23" s="452"/>
    </row>
    <row r="24" spans="1:9" x14ac:dyDescent="0.35">
      <c r="A24" s="70"/>
    </row>
    <row r="25" spans="1:9" x14ac:dyDescent="0.35">
      <c r="A25" s="70"/>
    </row>
    <row r="26" spans="1:9" x14ac:dyDescent="0.35">
      <c r="A26" s="70"/>
    </row>
    <row r="27" spans="1:9" x14ac:dyDescent="0.35">
      <c r="A27" s="70"/>
    </row>
  </sheetData>
  <mergeCells count="11">
    <mergeCell ref="A3:H3"/>
    <mergeCell ref="K6:L6"/>
    <mergeCell ref="A17:I17"/>
    <mergeCell ref="A18:I18"/>
    <mergeCell ref="A19:I19"/>
    <mergeCell ref="A20:I20"/>
    <mergeCell ref="A22:I22"/>
    <mergeCell ref="A23:I23"/>
    <mergeCell ref="A4:I4"/>
    <mergeCell ref="A5:A7"/>
    <mergeCell ref="A21:H2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A470-3EDA-440E-8D3F-A561562A5EDE}">
  <dimension ref="A1:P26"/>
  <sheetViews>
    <sheetView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6" width="9.1796875" style="61"/>
    <col min="7" max="7" width="12.453125" style="61" customWidth="1"/>
    <col min="8" max="8" width="9.1796875" style="61"/>
    <col min="9" max="9" width="19" style="61" customWidth="1"/>
    <col min="10" max="10" width="9.1796875" style="61"/>
    <col min="11" max="11" width="13.1796875" style="62" customWidth="1"/>
    <col min="12" max="12" width="9.1796875" style="61"/>
    <col min="13" max="13" width="26.1796875" style="61" customWidth="1"/>
    <col min="14" max="16384" width="9.1796875" style="61"/>
  </cols>
  <sheetData>
    <row r="1" spans="1:16" ht="15.5" x14ac:dyDescent="0.35">
      <c r="A1" s="57" t="s">
        <v>85</v>
      </c>
      <c r="B1" s="57"/>
      <c r="C1" s="57"/>
      <c r="D1" s="57"/>
      <c r="E1" s="57"/>
      <c r="F1" s="57"/>
      <c r="G1" s="57"/>
      <c r="H1" s="57"/>
      <c r="I1" s="57"/>
    </row>
    <row r="2" spans="1:16" ht="19" customHeight="1" x14ac:dyDescent="0.35">
      <c r="A2" s="57" t="s">
        <v>213</v>
      </c>
      <c r="B2" s="57"/>
      <c r="C2" s="57"/>
      <c r="D2" s="57"/>
      <c r="E2" s="57"/>
      <c r="F2" s="57"/>
      <c r="G2" s="57"/>
      <c r="H2" s="57"/>
      <c r="I2" s="57"/>
    </row>
    <row r="3" spans="1:16" ht="34.5" customHeight="1" x14ac:dyDescent="0.35">
      <c r="A3" s="441" t="s">
        <v>218</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65.5" x14ac:dyDescent="0.35">
      <c r="A7" s="454"/>
      <c r="B7" s="63"/>
      <c r="C7" s="63"/>
      <c r="D7" s="424" t="s">
        <v>236</v>
      </c>
      <c r="E7" s="155"/>
      <c r="F7" s="424" t="s">
        <v>237</v>
      </c>
      <c r="G7" s="424" t="s">
        <v>238</v>
      </c>
      <c r="H7" s="424" t="s">
        <v>239</v>
      </c>
      <c r="I7" s="155"/>
      <c r="J7" s="156"/>
      <c r="K7" s="157" t="s">
        <v>125</v>
      </c>
      <c r="L7" s="158">
        <v>69.040000000000006</v>
      </c>
      <c r="M7" s="144" t="s">
        <v>240</v>
      </c>
      <c r="O7" s="61" t="s">
        <v>120</v>
      </c>
    </row>
    <row r="8" spans="1:16" ht="15.5" x14ac:dyDescent="0.35">
      <c r="A8" s="65" t="s">
        <v>241</v>
      </c>
      <c r="B8" s="58">
        <v>4</v>
      </c>
      <c r="C8" s="58">
        <v>1</v>
      </c>
      <c r="D8" s="159">
        <f>B8*C8</f>
        <v>4</v>
      </c>
      <c r="E8" s="323">
        <f>'RI-Y1'!$L$19*0.25</f>
        <v>226.25</v>
      </c>
      <c r="F8" s="160">
        <f>D8*E8</f>
        <v>905</v>
      </c>
      <c r="G8" s="160">
        <f>F8*0.05</f>
        <v>45.25</v>
      </c>
      <c r="H8" s="160">
        <f>F8*0.1</f>
        <v>90.5</v>
      </c>
      <c r="I8" s="161">
        <f>(F8*$L$8)+(G8*$L$7)+(H8*$L$9)</f>
        <v>51996.774999999994</v>
      </c>
      <c r="J8" s="156"/>
      <c r="K8" s="157" t="s">
        <v>128</v>
      </c>
      <c r="L8" s="162">
        <v>51.23</v>
      </c>
      <c r="M8" s="59"/>
      <c r="O8" s="61">
        <f>C8*E8</f>
        <v>226.25</v>
      </c>
    </row>
    <row r="9" spans="1:16" ht="15.5" x14ac:dyDescent="0.35">
      <c r="A9" s="65" t="s">
        <v>242</v>
      </c>
      <c r="B9" s="58">
        <v>8</v>
      </c>
      <c r="C9" s="58">
        <v>1</v>
      </c>
      <c r="D9" s="159">
        <f>B9*C9</f>
        <v>8</v>
      </c>
      <c r="E9" s="167">
        <f>'RI-Y4'!E14+'RI-Y4'!E17</f>
        <v>11.692600000000001</v>
      </c>
      <c r="F9" s="163">
        <f>D9*E9</f>
        <v>93.540800000000004</v>
      </c>
      <c r="G9" s="163">
        <f>F9*0.05</f>
        <v>4.6770400000000008</v>
      </c>
      <c r="H9" s="163">
        <f>F9*0.1</f>
        <v>9.3540800000000015</v>
      </c>
      <c r="I9" s="164">
        <f>(F9*$L$8)+(G9*$L$7)+(H9*$L$9)</f>
        <v>5374.3866639999997</v>
      </c>
      <c r="J9" s="156"/>
      <c r="K9" s="157" t="s">
        <v>130</v>
      </c>
      <c r="L9" s="162">
        <v>27.73</v>
      </c>
      <c r="M9" s="59"/>
      <c r="O9" s="61">
        <f t="shared" ref="O9:O12" si="0">C9*E9</f>
        <v>11.692600000000001</v>
      </c>
    </row>
    <row r="10" spans="1:16" x14ac:dyDescent="0.35">
      <c r="A10" s="65" t="s">
        <v>243</v>
      </c>
      <c r="B10" s="58"/>
      <c r="C10" s="58"/>
      <c r="D10" s="159"/>
      <c r="E10" s="159"/>
      <c r="F10" s="160"/>
      <c r="G10" s="160"/>
      <c r="H10" s="160"/>
      <c r="I10" s="165"/>
      <c r="J10" s="156"/>
      <c r="K10" s="166"/>
      <c r="L10" s="156"/>
      <c r="O10" s="61">
        <f t="shared" si="0"/>
        <v>0</v>
      </c>
    </row>
    <row r="11" spans="1:16" ht="28.5" x14ac:dyDescent="0.35">
      <c r="A11" s="66" t="s">
        <v>245</v>
      </c>
      <c r="B11" s="58">
        <v>0.5</v>
      </c>
      <c r="C11" s="58">
        <v>1.1000000000000001</v>
      </c>
      <c r="D11" s="159">
        <f t="shared" ref="D11:D12" si="1">B11*C11</f>
        <v>0.55000000000000004</v>
      </c>
      <c r="E11" s="159">
        <f>E8</f>
        <v>226.25</v>
      </c>
      <c r="F11" s="160">
        <f t="shared" ref="F11:F12" si="2">D11*E11</f>
        <v>124.43750000000001</v>
      </c>
      <c r="G11" s="160">
        <f t="shared" ref="G11:G12" si="3">F11*0.05</f>
        <v>6.2218750000000007</v>
      </c>
      <c r="H11" s="160">
        <f t="shared" ref="H11:H12" si="4">F11*0.1</f>
        <v>12.443750000000001</v>
      </c>
      <c r="I11" s="161">
        <f t="shared" ref="I11:I12" si="5">(F11*$L$8)+(G11*$L$7)+(H11*$L$9)</f>
        <v>7149.5565625000008</v>
      </c>
      <c r="J11" s="156"/>
      <c r="K11" s="166"/>
      <c r="L11" s="156"/>
      <c r="O11" s="61">
        <f t="shared" si="0"/>
        <v>248.87500000000003</v>
      </c>
    </row>
    <row r="12" spans="1:16" ht="20.25" customHeight="1" x14ac:dyDescent="0.35">
      <c r="A12" s="66" t="s">
        <v>246</v>
      </c>
      <c r="B12" s="58">
        <v>2</v>
      </c>
      <c r="C12" s="58">
        <v>1</v>
      </c>
      <c r="D12" s="159">
        <f t="shared" si="1"/>
        <v>2</v>
      </c>
      <c r="E12" s="159">
        <f>'ICR Summary'!$H$5</f>
        <v>646</v>
      </c>
      <c r="F12" s="160">
        <f t="shared" si="2"/>
        <v>1292</v>
      </c>
      <c r="G12" s="167">
        <f t="shared" si="3"/>
        <v>64.600000000000009</v>
      </c>
      <c r="H12" s="167">
        <f t="shared" si="4"/>
        <v>129.20000000000002</v>
      </c>
      <c r="I12" s="161">
        <f t="shared" si="5"/>
        <v>74231.859999999986</v>
      </c>
      <c r="J12" s="156"/>
      <c r="K12" s="166"/>
      <c r="L12" s="156"/>
      <c r="O12" s="61">
        <f t="shared" si="0"/>
        <v>646</v>
      </c>
    </row>
    <row r="13" spans="1:16" ht="15" x14ac:dyDescent="0.35">
      <c r="A13" s="60" t="s">
        <v>247</v>
      </c>
      <c r="B13" s="60"/>
      <c r="C13" s="60">
        <f>SUM(C8:C12)</f>
        <v>4.0999999999999996</v>
      </c>
      <c r="D13" s="60"/>
      <c r="E13" s="60"/>
      <c r="F13" s="458">
        <f>ROUND(SUM(F8:H12), -1)</f>
        <v>2780</v>
      </c>
      <c r="G13" s="459"/>
      <c r="H13" s="460"/>
      <c r="I13" s="67">
        <f>ROUND(SUM(I8:I12), -2)</f>
        <v>138800</v>
      </c>
      <c r="O13" s="61">
        <f>SUM(O8:O12)</f>
        <v>1132.8176000000001</v>
      </c>
      <c r="P13" s="61" t="s">
        <v>248</v>
      </c>
    </row>
    <row r="14" spans="1:16" x14ac:dyDescent="0.35">
      <c r="A14" s="68"/>
      <c r="G14" s="69"/>
    </row>
    <row r="15" spans="1:16" ht="24.75" customHeight="1" x14ac:dyDescent="0.35">
      <c r="A15" s="68" t="s">
        <v>249</v>
      </c>
    </row>
    <row r="16" spans="1:16" ht="31.5" customHeight="1" x14ac:dyDescent="0.35">
      <c r="A16" s="457" t="s">
        <v>250</v>
      </c>
      <c r="B16" s="457"/>
      <c r="C16" s="457"/>
      <c r="D16" s="457"/>
      <c r="E16" s="457"/>
      <c r="F16" s="457"/>
      <c r="G16" s="457"/>
      <c r="H16" s="457"/>
      <c r="I16" s="457"/>
    </row>
    <row r="17" spans="1:9" ht="45.65" customHeight="1" x14ac:dyDescent="0.35">
      <c r="A17" s="457" t="s">
        <v>251</v>
      </c>
      <c r="B17" s="457"/>
      <c r="C17" s="457"/>
      <c r="D17" s="457"/>
      <c r="E17" s="457"/>
      <c r="F17" s="457"/>
      <c r="G17" s="457"/>
      <c r="H17" s="457"/>
      <c r="I17" s="457"/>
    </row>
    <row r="18" spans="1:9" ht="28.5" customHeight="1" x14ac:dyDescent="0.35">
      <c r="A18" s="461" t="s">
        <v>252</v>
      </c>
      <c r="B18" s="461"/>
      <c r="C18" s="461"/>
      <c r="D18" s="461"/>
      <c r="E18" s="461"/>
      <c r="F18" s="461"/>
      <c r="G18" s="461"/>
      <c r="H18" s="461"/>
      <c r="I18" s="461"/>
    </row>
    <row r="19" spans="1:9" ht="15.5" x14ac:dyDescent="0.35">
      <c r="A19" s="455" t="s">
        <v>253</v>
      </c>
      <c r="B19" s="455"/>
      <c r="C19" s="455"/>
      <c r="D19" s="455"/>
      <c r="E19" s="455"/>
      <c r="F19" s="455"/>
      <c r="G19" s="455"/>
      <c r="H19" s="455"/>
      <c r="I19" s="455"/>
    </row>
    <row r="20" spans="1:9" ht="100" customHeight="1" x14ac:dyDescent="0.35">
      <c r="A20" s="450" t="s">
        <v>259</v>
      </c>
      <c r="B20" s="451"/>
      <c r="C20" s="451"/>
      <c r="D20" s="451"/>
      <c r="E20" s="451"/>
      <c r="F20" s="451"/>
      <c r="G20" s="451"/>
      <c r="H20" s="451"/>
      <c r="I20" s="422"/>
    </row>
    <row r="21" spans="1:9" ht="15.5" x14ac:dyDescent="0.35">
      <c r="A21" s="452" t="s">
        <v>255</v>
      </c>
      <c r="B21" s="452"/>
      <c r="C21" s="452"/>
      <c r="D21" s="452"/>
      <c r="E21" s="452"/>
      <c r="F21" s="452"/>
      <c r="G21" s="452"/>
      <c r="H21" s="452"/>
      <c r="I21" s="452"/>
    </row>
    <row r="22" spans="1:9" ht="15.5" x14ac:dyDescent="0.35">
      <c r="A22" s="452" t="s">
        <v>256</v>
      </c>
      <c r="B22" s="452"/>
      <c r="C22" s="452"/>
      <c r="D22" s="452"/>
      <c r="E22" s="452"/>
      <c r="F22" s="452"/>
      <c r="G22" s="452"/>
      <c r="H22" s="452"/>
      <c r="I22" s="452"/>
    </row>
    <row r="23" spans="1:9" x14ac:dyDescent="0.35">
      <c r="A23" s="70"/>
    </row>
    <row r="24" spans="1:9" x14ac:dyDescent="0.35">
      <c r="A24" s="70"/>
    </row>
    <row r="25" spans="1:9" x14ac:dyDescent="0.35">
      <c r="A25" s="70"/>
    </row>
    <row r="26" spans="1:9" x14ac:dyDescent="0.35">
      <c r="A26" s="70"/>
    </row>
  </sheetData>
  <mergeCells count="12">
    <mergeCell ref="A22:I22"/>
    <mergeCell ref="A3:H3"/>
    <mergeCell ref="A4:I4"/>
    <mergeCell ref="A5:A7"/>
    <mergeCell ref="K6:L6"/>
    <mergeCell ref="F13:H13"/>
    <mergeCell ref="A16:I16"/>
    <mergeCell ref="A17:I17"/>
    <mergeCell ref="A18:I18"/>
    <mergeCell ref="A19:I19"/>
    <mergeCell ref="A21:I21"/>
    <mergeCell ref="A20:H2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A237-D42F-4732-993E-B6F369ACA821}">
  <dimension ref="A1:P26"/>
  <sheetViews>
    <sheetView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8" width="9.1796875" style="61"/>
    <col min="9" max="9" width="21.7265625" style="61" customWidth="1"/>
    <col min="10" max="10" width="9.1796875" style="61"/>
    <col min="11" max="11" width="13.1796875" style="62" customWidth="1"/>
    <col min="12" max="12" width="9.1796875" style="61"/>
    <col min="13" max="13" width="21.1796875" style="61" customWidth="1"/>
    <col min="14" max="16384" width="9.1796875" style="61"/>
  </cols>
  <sheetData>
    <row r="1" spans="1:16" ht="15.5" x14ac:dyDescent="0.35">
      <c r="A1" s="57" t="s">
        <v>85</v>
      </c>
      <c r="B1" s="57"/>
      <c r="C1" s="57"/>
      <c r="D1" s="57"/>
      <c r="E1" s="57"/>
      <c r="F1" s="57"/>
      <c r="G1" s="57"/>
      <c r="H1" s="57"/>
      <c r="I1" s="57"/>
    </row>
    <row r="2" spans="1:16" ht="19" customHeight="1" x14ac:dyDescent="0.35">
      <c r="A2" s="57" t="s">
        <v>215</v>
      </c>
      <c r="B2" s="57"/>
      <c r="C2" s="57"/>
      <c r="D2" s="57"/>
      <c r="E2" s="57"/>
      <c r="F2" s="57"/>
      <c r="G2" s="57"/>
      <c r="H2" s="57"/>
      <c r="I2" s="57"/>
    </row>
    <row r="3" spans="1:16" ht="34.5" customHeight="1" x14ac:dyDescent="0.35">
      <c r="A3" s="441" t="s">
        <v>257</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78.5" x14ac:dyDescent="0.35">
      <c r="A7" s="454"/>
      <c r="B7" s="63"/>
      <c r="C7" s="63"/>
      <c r="D7" s="424" t="s">
        <v>236</v>
      </c>
      <c r="E7" s="155"/>
      <c r="F7" s="424" t="s">
        <v>237</v>
      </c>
      <c r="G7" s="424" t="s">
        <v>238</v>
      </c>
      <c r="H7" s="424" t="s">
        <v>239</v>
      </c>
      <c r="I7" s="155"/>
      <c r="J7" s="156"/>
      <c r="K7" s="157" t="s">
        <v>125</v>
      </c>
      <c r="L7" s="158">
        <v>69.040000000000006</v>
      </c>
      <c r="M7" s="144" t="s">
        <v>240</v>
      </c>
      <c r="O7" s="61" t="s">
        <v>258</v>
      </c>
    </row>
    <row r="8" spans="1:16" ht="15.5" x14ac:dyDescent="0.35">
      <c r="A8" s="65" t="s">
        <v>241</v>
      </c>
      <c r="B8" s="58">
        <v>4</v>
      </c>
      <c r="C8" s="58">
        <v>1</v>
      </c>
      <c r="D8" s="159">
        <f>B8*C8</f>
        <v>4</v>
      </c>
      <c r="E8" s="323">
        <f>'RI-Y1'!$L$19*0.25</f>
        <v>226.25</v>
      </c>
      <c r="F8" s="160">
        <f>D8*E8</f>
        <v>905</v>
      </c>
      <c r="G8" s="160">
        <f>F8*0.05</f>
        <v>45.25</v>
      </c>
      <c r="H8" s="160">
        <f>F8*0.1</f>
        <v>90.5</v>
      </c>
      <c r="I8" s="161">
        <f>(F8*$L$8)+(G8*$L$7)+(H8*$L$9)</f>
        <v>51996.774999999994</v>
      </c>
      <c r="J8" s="156"/>
      <c r="K8" s="157" t="s">
        <v>128</v>
      </c>
      <c r="L8" s="162">
        <v>51.23</v>
      </c>
      <c r="M8" s="59"/>
      <c r="O8" s="61">
        <f>C8*E8</f>
        <v>226.25</v>
      </c>
    </row>
    <row r="9" spans="1:16" ht="15.5" x14ac:dyDescent="0.35">
      <c r="A9" s="65" t="s">
        <v>242</v>
      </c>
      <c r="B9" s="58">
        <v>8</v>
      </c>
      <c r="C9" s="58">
        <v>1</v>
      </c>
      <c r="D9" s="159">
        <f>B9*C9</f>
        <v>8</v>
      </c>
      <c r="E9" s="167">
        <f>'RI-Y5'!E14+'RI-Y5'!E17</f>
        <v>11.692600000000001</v>
      </c>
      <c r="F9" s="163">
        <f>D9*E9</f>
        <v>93.540800000000004</v>
      </c>
      <c r="G9" s="163">
        <f>F9*0.05</f>
        <v>4.6770400000000008</v>
      </c>
      <c r="H9" s="163">
        <f>F9*0.1</f>
        <v>9.3540800000000015</v>
      </c>
      <c r="I9" s="164">
        <f>(F9*$L$8)+(G9*$L$7)+(H9*$L$9)</f>
        <v>5374.3866639999997</v>
      </c>
      <c r="J9" s="156"/>
      <c r="K9" s="157" t="s">
        <v>130</v>
      </c>
      <c r="L9" s="162">
        <v>27.73</v>
      </c>
      <c r="M9" s="59"/>
      <c r="O9" s="61">
        <f t="shared" ref="O9:O12" si="0">C9*E9</f>
        <v>11.692600000000001</v>
      </c>
    </row>
    <row r="10" spans="1:16" x14ac:dyDescent="0.35">
      <c r="A10" s="65" t="s">
        <v>243</v>
      </c>
      <c r="B10" s="58"/>
      <c r="C10" s="58"/>
      <c r="D10" s="159"/>
      <c r="E10" s="159"/>
      <c r="F10" s="160"/>
      <c r="G10" s="160"/>
      <c r="H10" s="160"/>
      <c r="I10" s="165"/>
      <c r="J10" s="156"/>
      <c r="K10" s="166"/>
      <c r="L10" s="156"/>
      <c r="O10" s="61">
        <f t="shared" si="0"/>
        <v>0</v>
      </c>
    </row>
    <row r="11" spans="1:16" ht="28.5" x14ac:dyDescent="0.35">
      <c r="A11" s="66" t="s">
        <v>245</v>
      </c>
      <c r="B11" s="58">
        <v>0.5</v>
      </c>
      <c r="C11" s="58">
        <v>1.1000000000000001</v>
      </c>
      <c r="D11" s="159">
        <f t="shared" ref="D11:D12" si="1">B11*C11</f>
        <v>0.55000000000000004</v>
      </c>
      <c r="E11" s="159">
        <f>E8</f>
        <v>226.25</v>
      </c>
      <c r="F11" s="160">
        <f t="shared" ref="F11:F12" si="2">D11*E11</f>
        <v>124.43750000000001</v>
      </c>
      <c r="G11" s="160">
        <f t="shared" ref="G11:G12" si="3">F11*0.05</f>
        <v>6.2218750000000007</v>
      </c>
      <c r="H11" s="160">
        <f t="shared" ref="H11:H12" si="4">F11*0.1</f>
        <v>12.443750000000001</v>
      </c>
      <c r="I11" s="161">
        <f t="shared" ref="I11:I12" si="5">(F11*$L$8)+(G11*$L$7)+(H11*$L$9)</f>
        <v>7149.5565625000008</v>
      </c>
      <c r="J11" s="156"/>
      <c r="K11" s="166"/>
      <c r="L11" s="156"/>
      <c r="O11" s="61">
        <f t="shared" si="0"/>
        <v>248.87500000000003</v>
      </c>
    </row>
    <row r="12" spans="1:16" ht="20.25" customHeight="1" x14ac:dyDescent="0.35">
      <c r="A12" s="66" t="s">
        <v>246</v>
      </c>
      <c r="B12" s="58">
        <v>2</v>
      </c>
      <c r="C12" s="58">
        <v>1</v>
      </c>
      <c r="D12" s="159">
        <f t="shared" si="1"/>
        <v>2</v>
      </c>
      <c r="E12" s="159">
        <f>'ICR Summary'!$H$5</f>
        <v>646</v>
      </c>
      <c r="F12" s="160">
        <f t="shared" si="2"/>
        <v>1292</v>
      </c>
      <c r="G12" s="167">
        <f t="shared" si="3"/>
        <v>64.600000000000009</v>
      </c>
      <c r="H12" s="167">
        <f t="shared" si="4"/>
        <v>129.20000000000002</v>
      </c>
      <c r="I12" s="161">
        <f t="shared" si="5"/>
        <v>74231.859999999986</v>
      </c>
      <c r="J12" s="156"/>
      <c r="K12" s="166"/>
      <c r="L12" s="156"/>
      <c r="O12" s="61">
        <f t="shared" si="0"/>
        <v>646</v>
      </c>
    </row>
    <row r="13" spans="1:16" ht="15" x14ac:dyDescent="0.35">
      <c r="A13" s="60" t="s">
        <v>247</v>
      </c>
      <c r="B13" s="60"/>
      <c r="C13" s="60"/>
      <c r="D13" s="168"/>
      <c r="E13" s="168"/>
      <c r="F13" s="169">
        <f>ROUND(SUM(F8:H12), -1)</f>
        <v>2780</v>
      </c>
      <c r="G13" s="170"/>
      <c r="H13" s="170"/>
      <c r="I13" s="171">
        <f>ROUND(SUM(I8:I12), -2)</f>
        <v>138800</v>
      </c>
      <c r="J13" s="156"/>
      <c r="K13" s="166"/>
      <c r="L13" s="156"/>
      <c r="O13" s="61">
        <f>SUM(O8:O12)</f>
        <v>1132.8176000000001</v>
      </c>
      <c r="P13" s="61" t="s">
        <v>248</v>
      </c>
    </row>
    <row r="14" spans="1:16" x14ac:dyDescent="0.35">
      <c r="A14" s="68"/>
      <c r="D14" s="156"/>
      <c r="E14" s="156"/>
      <c r="F14" s="156"/>
      <c r="G14" s="172"/>
      <c r="H14" s="156"/>
      <c r="I14" s="156"/>
      <c r="J14" s="156"/>
      <c r="K14" s="166"/>
      <c r="L14" s="156"/>
    </row>
    <row r="15" spans="1:16" ht="24.75" customHeight="1" x14ac:dyDescent="0.35">
      <c r="A15" s="68" t="s">
        <v>249</v>
      </c>
      <c r="D15" s="156"/>
      <c r="E15" s="156"/>
      <c r="F15" s="156"/>
      <c r="G15" s="156"/>
      <c r="H15" s="156"/>
      <c r="I15" s="156"/>
      <c r="J15" s="156"/>
      <c r="K15" s="166"/>
      <c r="L15" s="156"/>
    </row>
    <row r="16" spans="1:16" ht="31.5" customHeight="1" x14ac:dyDescent="0.35">
      <c r="A16" s="457" t="s">
        <v>250</v>
      </c>
      <c r="B16" s="457"/>
      <c r="C16" s="457"/>
      <c r="D16" s="457"/>
      <c r="E16" s="457"/>
      <c r="F16" s="457"/>
      <c r="G16" s="457"/>
      <c r="H16" s="457"/>
      <c r="I16" s="457"/>
    </row>
    <row r="17" spans="1:9" ht="45.65" customHeight="1" x14ac:dyDescent="0.35">
      <c r="A17" s="457" t="s">
        <v>251</v>
      </c>
      <c r="B17" s="457"/>
      <c r="C17" s="457"/>
      <c r="D17" s="457"/>
      <c r="E17" s="457"/>
      <c r="F17" s="457"/>
      <c r="G17" s="457"/>
      <c r="H17" s="457"/>
      <c r="I17" s="457"/>
    </row>
    <row r="18" spans="1:9" ht="28.5" customHeight="1" x14ac:dyDescent="0.35">
      <c r="A18" s="461" t="s">
        <v>252</v>
      </c>
      <c r="B18" s="461"/>
      <c r="C18" s="461"/>
      <c r="D18" s="461"/>
      <c r="E18" s="461"/>
      <c r="F18" s="461"/>
      <c r="G18" s="461"/>
      <c r="H18" s="461"/>
      <c r="I18" s="461"/>
    </row>
    <row r="19" spans="1:9" ht="15.5" x14ac:dyDescent="0.35">
      <c r="A19" s="455" t="s">
        <v>253</v>
      </c>
      <c r="B19" s="455"/>
      <c r="C19" s="455"/>
      <c r="D19" s="455"/>
      <c r="E19" s="455"/>
      <c r="F19" s="455"/>
      <c r="G19" s="455"/>
      <c r="H19" s="455"/>
      <c r="I19" s="455"/>
    </row>
    <row r="20" spans="1:9" ht="100" customHeight="1" x14ac:dyDescent="0.35">
      <c r="A20" s="450" t="s">
        <v>259</v>
      </c>
      <c r="B20" s="451"/>
      <c r="C20" s="451"/>
      <c r="D20" s="451"/>
      <c r="E20" s="451"/>
      <c r="F20" s="451"/>
      <c r="G20" s="451"/>
      <c r="H20" s="451"/>
      <c r="I20" s="422"/>
    </row>
    <row r="21" spans="1:9" ht="15.5" x14ac:dyDescent="0.35">
      <c r="A21" s="452" t="s">
        <v>255</v>
      </c>
      <c r="B21" s="452"/>
      <c r="C21" s="452"/>
      <c r="D21" s="452"/>
      <c r="E21" s="452"/>
      <c r="F21" s="452"/>
      <c r="G21" s="452"/>
      <c r="H21" s="452"/>
      <c r="I21" s="452"/>
    </row>
    <row r="22" spans="1:9" ht="15.5" x14ac:dyDescent="0.35">
      <c r="A22" s="452" t="s">
        <v>256</v>
      </c>
      <c r="B22" s="452"/>
      <c r="C22" s="452"/>
      <c r="D22" s="452"/>
      <c r="E22" s="452"/>
      <c r="F22" s="452"/>
      <c r="G22" s="452"/>
      <c r="H22" s="452"/>
      <c r="I22" s="452"/>
    </row>
    <row r="23" spans="1:9" x14ac:dyDescent="0.35">
      <c r="A23" s="70"/>
    </row>
    <row r="24" spans="1:9" x14ac:dyDescent="0.35">
      <c r="A24" s="70"/>
    </row>
    <row r="25" spans="1:9" x14ac:dyDescent="0.35">
      <c r="A25" s="70"/>
    </row>
    <row r="26" spans="1:9" x14ac:dyDescent="0.35">
      <c r="A26" s="70"/>
    </row>
  </sheetData>
  <mergeCells count="11">
    <mergeCell ref="A17:I17"/>
    <mergeCell ref="A3:H3"/>
    <mergeCell ref="A4:I4"/>
    <mergeCell ref="A5:A7"/>
    <mergeCell ref="K6:L6"/>
    <mergeCell ref="A16:I16"/>
    <mergeCell ref="A18:I18"/>
    <mergeCell ref="A19:I19"/>
    <mergeCell ref="A21:I21"/>
    <mergeCell ref="A22:I22"/>
    <mergeCell ref="A20:H2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B2123-C7AA-437C-A293-EDA3B09E57EE}">
  <dimension ref="A1:P26"/>
  <sheetViews>
    <sheetView zoomScale="80" zoomScaleNormal="80" workbookViewId="0">
      <selection activeCell="A25" sqref="A25:I25"/>
    </sheetView>
  </sheetViews>
  <sheetFormatPr defaultColWidth="9.1796875" defaultRowHeight="14.5" x14ac:dyDescent="0.35"/>
  <cols>
    <col min="1" max="1" width="44.81640625" style="61" customWidth="1"/>
    <col min="2" max="2" width="9.81640625" style="61" customWidth="1"/>
    <col min="3" max="8" width="9.1796875" style="61"/>
    <col min="9" max="9" width="19.453125" style="61" customWidth="1"/>
    <col min="10" max="10" width="9.1796875" style="61"/>
    <col min="11" max="11" width="13.1796875" style="62" customWidth="1"/>
    <col min="12" max="12" width="9.1796875" style="61"/>
    <col min="13" max="13" width="23.453125" style="61" customWidth="1"/>
    <col min="14" max="16384" width="9.1796875" style="61"/>
  </cols>
  <sheetData>
    <row r="1" spans="1:16" ht="15.5" x14ac:dyDescent="0.35">
      <c r="A1" s="57" t="s">
        <v>85</v>
      </c>
      <c r="B1" s="57"/>
      <c r="C1" s="57"/>
      <c r="D1" s="57"/>
      <c r="E1" s="57"/>
      <c r="F1" s="57"/>
      <c r="G1" s="57"/>
      <c r="H1" s="57"/>
      <c r="I1" s="57"/>
    </row>
    <row r="2" spans="1:16" ht="19" customHeight="1" x14ac:dyDescent="0.35">
      <c r="A2" s="57" t="s">
        <v>217</v>
      </c>
      <c r="B2" s="57"/>
      <c r="C2" s="57"/>
      <c r="D2" s="57"/>
      <c r="E2" s="57"/>
      <c r="F2" s="57"/>
      <c r="G2" s="57"/>
      <c r="H2" s="57"/>
      <c r="I2" s="57"/>
    </row>
    <row r="3" spans="1:16" ht="34.5" customHeight="1" x14ac:dyDescent="0.35">
      <c r="A3" s="441" t="s">
        <v>260</v>
      </c>
      <c r="B3" s="442"/>
      <c r="C3" s="442"/>
      <c r="D3" s="442"/>
      <c r="E3" s="442"/>
      <c r="F3" s="442"/>
      <c r="G3" s="442"/>
      <c r="H3" s="442"/>
      <c r="I3" s="154"/>
    </row>
    <row r="4" spans="1:16" ht="15" x14ac:dyDescent="0.35">
      <c r="A4" s="453"/>
      <c r="B4" s="453"/>
      <c r="C4" s="453"/>
      <c r="D4" s="453"/>
      <c r="E4" s="453"/>
      <c r="F4" s="453"/>
      <c r="G4" s="453"/>
      <c r="H4" s="453"/>
      <c r="I4" s="453"/>
    </row>
    <row r="5" spans="1:16" x14ac:dyDescent="0.35">
      <c r="A5" s="454" t="s">
        <v>219</v>
      </c>
      <c r="B5" s="421" t="s">
        <v>220</v>
      </c>
      <c r="C5" s="421" t="s">
        <v>221</v>
      </c>
      <c r="D5" s="421" t="s">
        <v>222</v>
      </c>
      <c r="E5" s="421" t="s">
        <v>223</v>
      </c>
      <c r="F5" s="421" t="s">
        <v>224</v>
      </c>
      <c r="G5" s="421" t="s">
        <v>225</v>
      </c>
      <c r="H5" s="421" t="s">
        <v>226</v>
      </c>
      <c r="I5" s="421" t="s">
        <v>227</v>
      </c>
    </row>
    <row r="6" spans="1:16" ht="65" x14ac:dyDescent="0.35">
      <c r="A6" s="454"/>
      <c r="B6" s="421" t="s">
        <v>228</v>
      </c>
      <c r="C6" s="421" t="s">
        <v>229</v>
      </c>
      <c r="D6" s="421" t="s">
        <v>230</v>
      </c>
      <c r="E6" s="421" t="s">
        <v>231</v>
      </c>
      <c r="F6" s="421" t="s">
        <v>232</v>
      </c>
      <c r="G6" s="421" t="s">
        <v>233</v>
      </c>
      <c r="H6" s="421" t="s">
        <v>234</v>
      </c>
      <c r="I6" s="421" t="s">
        <v>235</v>
      </c>
      <c r="K6" s="456" t="s">
        <v>123</v>
      </c>
      <c r="L6" s="456"/>
      <c r="M6" s="64"/>
    </row>
    <row r="7" spans="1:16" ht="65.5" x14ac:dyDescent="0.35">
      <c r="A7" s="454"/>
      <c r="B7" s="63"/>
      <c r="C7" s="63"/>
      <c r="D7" s="424" t="s">
        <v>236</v>
      </c>
      <c r="E7" s="155"/>
      <c r="F7" s="424" t="s">
        <v>237</v>
      </c>
      <c r="G7" s="424" t="s">
        <v>238</v>
      </c>
      <c r="H7" s="424" t="s">
        <v>239</v>
      </c>
      <c r="I7" s="155"/>
      <c r="J7" s="156"/>
      <c r="K7" s="157" t="s">
        <v>125</v>
      </c>
      <c r="L7" s="158">
        <v>69.040000000000006</v>
      </c>
      <c r="M7" s="144" t="s">
        <v>240</v>
      </c>
      <c r="O7" s="61" t="s">
        <v>120</v>
      </c>
    </row>
    <row r="8" spans="1:16" ht="15.5" x14ac:dyDescent="0.35">
      <c r="A8" s="65" t="s">
        <v>241</v>
      </c>
      <c r="B8" s="58">
        <v>4</v>
      </c>
      <c r="C8" s="58">
        <v>1</v>
      </c>
      <c r="D8" s="159">
        <f>B8*C8</f>
        <v>4</v>
      </c>
      <c r="E8" s="323">
        <f>'RI-Y1'!$L$19*0.25</f>
        <v>226.25</v>
      </c>
      <c r="F8" s="160">
        <f>D8*E8</f>
        <v>905</v>
      </c>
      <c r="G8" s="160">
        <f>F8*0.05</f>
        <v>45.25</v>
      </c>
      <c r="H8" s="160">
        <f>F8*0.1</f>
        <v>90.5</v>
      </c>
      <c r="I8" s="161">
        <f>(F8*$L$8)+(G8*$L$7)+(H8*$L$9)</f>
        <v>51996.774999999994</v>
      </c>
      <c r="J8" s="156"/>
      <c r="K8" s="157" t="s">
        <v>128</v>
      </c>
      <c r="L8" s="162">
        <v>51.23</v>
      </c>
      <c r="M8" s="59"/>
      <c r="O8" s="61">
        <f>C8*E8</f>
        <v>226.25</v>
      </c>
    </row>
    <row r="9" spans="1:16" ht="15.5" x14ac:dyDescent="0.35">
      <c r="A9" s="65" t="s">
        <v>242</v>
      </c>
      <c r="B9" s="58">
        <v>8</v>
      </c>
      <c r="C9" s="58">
        <v>1</v>
      </c>
      <c r="D9" s="159">
        <f>B9*C9</f>
        <v>8</v>
      </c>
      <c r="E9" s="159">
        <f>'RI-Y6'!E14+'RI-Y6'!E17</f>
        <v>11.692600000000001</v>
      </c>
      <c r="F9" s="163">
        <f>D9*E9</f>
        <v>93.540800000000004</v>
      </c>
      <c r="G9" s="163">
        <f>F9*0.05</f>
        <v>4.6770400000000008</v>
      </c>
      <c r="H9" s="163">
        <f>F9*0.1</f>
        <v>9.3540800000000015</v>
      </c>
      <c r="I9" s="164">
        <f>(F9*$L$8)+(G9*$L$7)+(H9*$L$9)</f>
        <v>5374.3866639999997</v>
      </c>
      <c r="J9" s="156"/>
      <c r="K9" s="157" t="s">
        <v>130</v>
      </c>
      <c r="L9" s="162">
        <v>27.73</v>
      </c>
      <c r="M9" s="59"/>
      <c r="O9" s="61">
        <f t="shared" ref="O9:O12" si="0">C9*E9</f>
        <v>11.692600000000001</v>
      </c>
    </row>
    <row r="10" spans="1:16" x14ac:dyDescent="0.35">
      <c r="A10" s="65" t="s">
        <v>243</v>
      </c>
      <c r="B10" s="58"/>
      <c r="C10" s="58"/>
      <c r="D10" s="159"/>
      <c r="E10" s="159"/>
      <c r="F10" s="160"/>
      <c r="G10" s="160"/>
      <c r="H10" s="160"/>
      <c r="I10" s="165"/>
      <c r="J10" s="156"/>
      <c r="K10" s="166"/>
      <c r="L10" s="156"/>
      <c r="O10" s="61">
        <f t="shared" si="0"/>
        <v>0</v>
      </c>
    </row>
    <row r="11" spans="1:16" ht="28.5" x14ac:dyDescent="0.35">
      <c r="A11" s="66" t="s">
        <v>245</v>
      </c>
      <c r="B11" s="58">
        <v>0.5</v>
      </c>
      <c r="C11" s="58">
        <v>1.1000000000000001</v>
      </c>
      <c r="D11" s="159">
        <f t="shared" ref="D11:D12" si="1">B11*C11</f>
        <v>0.55000000000000004</v>
      </c>
      <c r="E11" s="159">
        <f>E8</f>
        <v>226.25</v>
      </c>
      <c r="F11" s="160">
        <f t="shared" ref="F11:F12" si="2">D11*E11</f>
        <v>124.43750000000001</v>
      </c>
      <c r="G11" s="160">
        <f t="shared" ref="G11:G12" si="3">F11*0.05</f>
        <v>6.2218750000000007</v>
      </c>
      <c r="H11" s="160">
        <f t="shared" ref="H11:H12" si="4">F11*0.1</f>
        <v>12.443750000000001</v>
      </c>
      <c r="I11" s="161">
        <f t="shared" ref="I11:I12" si="5">(F11*$L$8)+(G11*$L$7)+(H11*$L$9)</f>
        <v>7149.5565625000008</v>
      </c>
      <c r="J11" s="156"/>
      <c r="K11" s="166"/>
      <c r="L11" s="156"/>
      <c r="O11" s="61">
        <f t="shared" si="0"/>
        <v>248.87500000000003</v>
      </c>
    </row>
    <row r="12" spans="1:16" ht="20.25" customHeight="1" x14ac:dyDescent="0.35">
      <c r="A12" s="66" t="s">
        <v>246</v>
      </c>
      <c r="B12" s="58">
        <v>2</v>
      </c>
      <c r="C12" s="58">
        <v>1</v>
      </c>
      <c r="D12" s="159">
        <f t="shared" si="1"/>
        <v>2</v>
      </c>
      <c r="E12" s="159">
        <f>'ICR Summary'!$H$5</f>
        <v>646</v>
      </c>
      <c r="F12" s="160">
        <f t="shared" si="2"/>
        <v>1292</v>
      </c>
      <c r="G12" s="167">
        <f t="shared" si="3"/>
        <v>64.600000000000009</v>
      </c>
      <c r="H12" s="167">
        <f t="shared" si="4"/>
        <v>129.20000000000002</v>
      </c>
      <c r="I12" s="161">
        <f t="shared" si="5"/>
        <v>74231.859999999986</v>
      </c>
      <c r="J12" s="156"/>
      <c r="K12" s="166"/>
      <c r="L12" s="156"/>
      <c r="O12" s="61">
        <f t="shared" si="0"/>
        <v>646</v>
      </c>
    </row>
    <row r="13" spans="1:16" ht="15" x14ac:dyDescent="0.35">
      <c r="A13" s="60" t="s">
        <v>247</v>
      </c>
      <c r="B13" s="60"/>
      <c r="C13" s="60"/>
      <c r="D13" s="168"/>
      <c r="E13" s="168"/>
      <c r="F13" s="169">
        <f>ROUND(SUM(F8:H12), -1)</f>
        <v>2780</v>
      </c>
      <c r="G13" s="170"/>
      <c r="H13" s="170"/>
      <c r="I13" s="171">
        <f>ROUND(SUM(I8:I12), -2)</f>
        <v>138800</v>
      </c>
      <c r="J13" s="156"/>
      <c r="K13" s="166"/>
      <c r="L13" s="156"/>
      <c r="O13" s="61">
        <f>SUM(O8:O12)</f>
        <v>1132.8176000000001</v>
      </c>
      <c r="P13" s="61" t="s">
        <v>248</v>
      </c>
    </row>
    <row r="14" spans="1:16" x14ac:dyDescent="0.35">
      <c r="A14" s="68"/>
      <c r="D14" s="156"/>
      <c r="E14" s="156"/>
      <c r="F14" s="156"/>
      <c r="G14" s="172"/>
      <c r="H14" s="156"/>
      <c r="I14" s="156"/>
      <c r="J14" s="156"/>
      <c r="K14" s="166"/>
      <c r="L14" s="156"/>
    </row>
    <row r="15" spans="1:16" ht="24.75" customHeight="1" x14ac:dyDescent="0.35">
      <c r="A15" s="68" t="s">
        <v>249</v>
      </c>
    </row>
    <row r="16" spans="1:16" ht="31.5" customHeight="1" x14ac:dyDescent="0.35">
      <c r="A16" s="457" t="s">
        <v>250</v>
      </c>
      <c r="B16" s="457"/>
      <c r="C16" s="457"/>
      <c r="D16" s="457"/>
      <c r="E16" s="457"/>
      <c r="F16" s="457"/>
      <c r="G16" s="457"/>
      <c r="H16" s="457"/>
      <c r="I16" s="457"/>
    </row>
    <row r="17" spans="1:9" ht="45.65" customHeight="1" x14ac:dyDescent="0.35">
      <c r="A17" s="457" t="s">
        <v>251</v>
      </c>
      <c r="B17" s="457"/>
      <c r="C17" s="457"/>
      <c r="D17" s="457"/>
      <c r="E17" s="457"/>
      <c r="F17" s="457"/>
      <c r="G17" s="457"/>
      <c r="H17" s="457"/>
      <c r="I17" s="457"/>
    </row>
    <row r="18" spans="1:9" ht="28.5" customHeight="1" x14ac:dyDescent="0.35">
      <c r="A18" s="461" t="s">
        <v>252</v>
      </c>
      <c r="B18" s="461"/>
      <c r="C18" s="461"/>
      <c r="D18" s="461"/>
      <c r="E18" s="461"/>
      <c r="F18" s="461"/>
      <c r="G18" s="461"/>
      <c r="H18" s="461"/>
      <c r="I18" s="461"/>
    </row>
    <row r="19" spans="1:9" ht="15.5" x14ac:dyDescent="0.35">
      <c r="A19" s="455" t="s">
        <v>253</v>
      </c>
      <c r="B19" s="455"/>
      <c r="C19" s="455"/>
      <c r="D19" s="455"/>
      <c r="E19" s="455"/>
      <c r="F19" s="455"/>
      <c r="G19" s="455"/>
      <c r="H19" s="455"/>
      <c r="I19" s="455"/>
    </row>
    <row r="20" spans="1:9" ht="100" customHeight="1" x14ac:dyDescent="0.35">
      <c r="A20" s="450" t="s">
        <v>259</v>
      </c>
      <c r="B20" s="451"/>
      <c r="C20" s="451"/>
      <c r="D20" s="451"/>
      <c r="E20" s="451"/>
      <c r="F20" s="451"/>
      <c r="G20" s="451"/>
      <c r="H20" s="451"/>
      <c r="I20" s="422"/>
    </row>
    <row r="21" spans="1:9" ht="15.5" x14ac:dyDescent="0.35">
      <c r="A21" s="452" t="s">
        <v>255</v>
      </c>
      <c r="B21" s="452"/>
      <c r="C21" s="452"/>
      <c r="D21" s="452"/>
      <c r="E21" s="452"/>
      <c r="F21" s="452"/>
      <c r="G21" s="452"/>
      <c r="H21" s="452"/>
      <c r="I21" s="452"/>
    </row>
    <row r="22" spans="1:9" ht="15.5" x14ac:dyDescent="0.35">
      <c r="A22" s="452" t="s">
        <v>256</v>
      </c>
      <c r="B22" s="452"/>
      <c r="C22" s="452"/>
      <c r="D22" s="452"/>
      <c r="E22" s="452"/>
      <c r="F22" s="452"/>
      <c r="G22" s="452"/>
      <c r="H22" s="452"/>
      <c r="I22" s="452"/>
    </row>
    <row r="23" spans="1:9" x14ac:dyDescent="0.35">
      <c r="A23" s="70"/>
    </row>
    <row r="24" spans="1:9" x14ac:dyDescent="0.35">
      <c r="A24" s="70"/>
    </row>
    <row r="25" spans="1:9" x14ac:dyDescent="0.35">
      <c r="A25" s="70"/>
    </row>
    <row r="26" spans="1:9" x14ac:dyDescent="0.35">
      <c r="A26" s="70"/>
    </row>
  </sheetData>
  <mergeCells count="11">
    <mergeCell ref="A17:I17"/>
    <mergeCell ref="A3:H3"/>
    <mergeCell ref="A4:I4"/>
    <mergeCell ref="A5:A7"/>
    <mergeCell ref="K6:L6"/>
    <mergeCell ref="A16:I16"/>
    <mergeCell ref="A18:I18"/>
    <mergeCell ref="A19:I19"/>
    <mergeCell ref="A21:I21"/>
    <mergeCell ref="A22:I22"/>
    <mergeCell ref="A20:H2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3037-8AE5-4455-8B30-1B0E7DD42269}">
  <sheetPr codeName="Sheet12"/>
  <dimension ref="A1:I21"/>
  <sheetViews>
    <sheetView zoomScale="80" zoomScaleNormal="80" workbookViewId="0">
      <selection activeCell="A25" sqref="A25:I25"/>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15" x14ac:dyDescent="0.35">
      <c r="A1" s="462" t="s">
        <v>85</v>
      </c>
      <c r="B1" s="462"/>
      <c r="C1" s="462"/>
      <c r="D1" s="462"/>
      <c r="E1" s="462"/>
      <c r="F1" s="462"/>
      <c r="G1" s="462"/>
      <c r="H1" s="462"/>
      <c r="I1" s="462"/>
    </row>
    <row r="2" spans="1:9" ht="15" x14ac:dyDescent="0.35">
      <c r="A2" s="423" t="s">
        <v>262</v>
      </c>
      <c r="B2" s="423"/>
      <c r="C2" s="423"/>
      <c r="D2" s="423"/>
      <c r="E2" s="423"/>
      <c r="F2" s="423"/>
      <c r="G2" s="423"/>
    </row>
    <row r="3" spans="1:9" ht="15.5" thickBot="1" x14ac:dyDescent="0.4">
      <c r="A3" s="463" t="s">
        <v>263</v>
      </c>
      <c r="B3" s="464"/>
      <c r="C3" s="464"/>
      <c r="D3" s="464"/>
      <c r="E3" s="464"/>
      <c r="F3" s="464"/>
      <c r="G3" s="465"/>
      <c r="H3" s="174"/>
      <c r="I3" s="174"/>
    </row>
    <row r="4" spans="1:9" ht="15" x14ac:dyDescent="0.35">
      <c r="A4" s="175"/>
      <c r="B4" s="176"/>
      <c r="C4" s="176"/>
      <c r="D4" s="176"/>
      <c r="E4" s="176"/>
      <c r="F4" s="176"/>
      <c r="G4" s="177"/>
      <c r="I4" s="428"/>
    </row>
    <row r="5" spans="1:9" x14ac:dyDescent="0.35">
      <c r="B5" s="178" t="s">
        <v>220</v>
      </c>
      <c r="C5" s="179" t="s">
        <v>221</v>
      </c>
      <c r="D5" s="179" t="s">
        <v>222</v>
      </c>
      <c r="E5" s="179" t="s">
        <v>223</v>
      </c>
      <c r="F5" s="179" t="s">
        <v>224</v>
      </c>
      <c r="G5" s="179" t="s">
        <v>225</v>
      </c>
      <c r="H5" s="180" t="s">
        <v>226</v>
      </c>
    </row>
    <row r="6" spans="1:9" ht="52" x14ac:dyDescent="0.35">
      <c r="A6" s="181" t="s">
        <v>264</v>
      </c>
      <c r="B6" s="181" t="s">
        <v>265</v>
      </c>
      <c r="C6" s="181" t="s">
        <v>266</v>
      </c>
      <c r="D6" s="181" t="s">
        <v>267</v>
      </c>
      <c r="E6" s="181" t="s">
        <v>268</v>
      </c>
      <c r="F6" s="181" t="s">
        <v>269</v>
      </c>
      <c r="G6" s="181" t="s">
        <v>270</v>
      </c>
      <c r="H6" s="181" t="s">
        <v>271</v>
      </c>
    </row>
    <row r="7" spans="1:9" x14ac:dyDescent="0.35">
      <c r="A7" s="181" t="s">
        <v>86</v>
      </c>
      <c r="B7" s="182"/>
      <c r="C7" s="118">
        <v>0</v>
      </c>
      <c r="D7" s="181">
        <v>0</v>
      </c>
      <c r="E7" s="118">
        <f>C7*D7</f>
        <v>0</v>
      </c>
      <c r="F7" s="118">
        <v>0</v>
      </c>
      <c r="G7" s="181"/>
      <c r="H7" s="118">
        <f>F7*G7</f>
        <v>0</v>
      </c>
    </row>
    <row r="8" spans="1:9" x14ac:dyDescent="0.35">
      <c r="A8" s="181" t="s">
        <v>87</v>
      </c>
      <c r="B8" s="182" t="s">
        <v>272</v>
      </c>
      <c r="C8" s="118"/>
      <c r="D8" s="181">
        <v>0</v>
      </c>
      <c r="E8" s="118">
        <f>C8*D8</f>
        <v>0</v>
      </c>
      <c r="F8" s="118">
        <v>0</v>
      </c>
      <c r="G8" s="323">
        <v>0</v>
      </c>
      <c r="H8" s="118">
        <f t="shared" ref="H8:H10" si="0">F8*G8</f>
        <v>0</v>
      </c>
    </row>
    <row r="9" spans="1:9" ht="15.5" x14ac:dyDescent="0.35">
      <c r="A9" s="181" t="s">
        <v>87</v>
      </c>
      <c r="B9" s="182" t="s">
        <v>273</v>
      </c>
      <c r="C9" s="118"/>
      <c r="D9" s="181"/>
      <c r="E9" s="118"/>
      <c r="F9" s="118">
        <v>781</v>
      </c>
      <c r="G9" s="323">
        <v>0</v>
      </c>
      <c r="H9" s="118">
        <f t="shared" si="0"/>
        <v>0</v>
      </c>
    </row>
    <row r="10" spans="1:9" ht="15.5" x14ac:dyDescent="0.35">
      <c r="A10" s="181" t="s">
        <v>87</v>
      </c>
      <c r="B10" s="182" t="s">
        <v>274</v>
      </c>
      <c r="C10" s="118"/>
      <c r="D10" s="181"/>
      <c r="E10" s="118"/>
      <c r="F10" s="118">
        <v>697</v>
      </c>
      <c r="G10" s="323">
        <v>0</v>
      </c>
      <c r="H10" s="118">
        <f t="shared" si="0"/>
        <v>0</v>
      </c>
    </row>
    <row r="11" spans="1:9" x14ac:dyDescent="0.35">
      <c r="A11" s="181" t="s">
        <v>88</v>
      </c>
      <c r="B11" s="182" t="s">
        <v>275</v>
      </c>
      <c r="C11" s="118"/>
      <c r="D11" s="181"/>
      <c r="E11" s="118"/>
      <c r="F11" s="118"/>
      <c r="G11" s="181"/>
      <c r="H11" s="118">
        <f>F11*G11</f>
        <v>0</v>
      </c>
    </row>
    <row r="12" spans="1:9" ht="15.5" x14ac:dyDescent="0.35">
      <c r="A12" s="181" t="s">
        <v>88</v>
      </c>
      <c r="B12" s="182" t="s">
        <v>273</v>
      </c>
      <c r="C12" s="118">
        <v>0</v>
      </c>
      <c r="D12" s="181"/>
      <c r="E12" s="118"/>
      <c r="F12" s="118">
        <v>781</v>
      </c>
      <c r="G12" s="323">
        <f>'RI-Y1'!$L$19*0.25</f>
        <v>226.25</v>
      </c>
      <c r="H12" s="118">
        <f>F12*G12</f>
        <v>176701.25</v>
      </c>
    </row>
    <row r="13" spans="1:9" ht="15.5" x14ac:dyDescent="0.35">
      <c r="A13" s="181" t="s">
        <v>88</v>
      </c>
      <c r="B13" s="182" t="s">
        <v>274</v>
      </c>
      <c r="C13" s="118">
        <v>0</v>
      </c>
      <c r="D13" s="181"/>
      <c r="E13" s="118"/>
      <c r="F13" s="118">
        <v>697</v>
      </c>
      <c r="G13" s="323">
        <f>'RI-Y1'!$L$19*0.25</f>
        <v>226.25</v>
      </c>
      <c r="H13" s="118">
        <f>F13*G13</f>
        <v>157696.25</v>
      </c>
    </row>
    <row r="14" spans="1:9" x14ac:dyDescent="0.35">
      <c r="A14" s="183"/>
      <c r="B14" s="184" t="s">
        <v>276</v>
      </c>
      <c r="C14" s="118"/>
      <c r="D14" s="181"/>
      <c r="E14" s="118">
        <f>ROUND(SUM(E11:E13), -4)</f>
        <v>0</v>
      </c>
      <c r="F14" s="118"/>
      <c r="G14" s="181"/>
      <c r="H14" s="118">
        <f>ROUND(SUM(H7:H13), -4)</f>
        <v>330000</v>
      </c>
    </row>
    <row r="15" spans="1:9" x14ac:dyDescent="0.35">
      <c r="B15" s="185"/>
      <c r="D15" s="185"/>
      <c r="E15" s="185"/>
      <c r="G15" s="185"/>
    </row>
    <row r="16" spans="1:9" x14ac:dyDescent="0.35">
      <c r="B16" s="185"/>
      <c r="D16" s="185"/>
      <c r="F16" s="185"/>
      <c r="G16" s="186" t="s">
        <v>277</v>
      </c>
      <c r="H16" s="185">
        <f>ROUND(SUM(E7:E13,H7:H13), -4)</f>
        <v>330000</v>
      </c>
    </row>
    <row r="17" spans="1:8" x14ac:dyDescent="0.35">
      <c r="B17" s="185"/>
      <c r="E17" s="185"/>
    </row>
    <row r="18" spans="1:8" ht="18" customHeight="1" x14ac:dyDescent="0.35">
      <c r="A18" s="187" t="s">
        <v>278</v>
      </c>
    </row>
    <row r="19" spans="1:8" x14ac:dyDescent="0.35">
      <c r="A19" s="187" t="s">
        <v>279</v>
      </c>
    </row>
    <row r="20" spans="1:8" x14ac:dyDescent="0.35">
      <c r="A20" s="187" t="s">
        <v>280</v>
      </c>
    </row>
    <row r="21" spans="1:8" ht="119.5" customHeight="1" x14ac:dyDescent="0.35">
      <c r="A21" s="449" t="s">
        <v>281</v>
      </c>
      <c r="B21" s="442"/>
      <c r="C21" s="442"/>
      <c r="D21" s="442"/>
      <c r="E21" s="442"/>
      <c r="F21" s="442"/>
      <c r="G21" s="442"/>
      <c r="H21" s="442"/>
    </row>
  </sheetData>
  <mergeCells count="3">
    <mergeCell ref="A1:I1"/>
    <mergeCell ref="A3:G3"/>
    <mergeCell ref="A21:H21"/>
  </mergeCell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A508-D8DD-49BF-B060-08CA7CD2D057}">
  <dimension ref="A1:I21"/>
  <sheetViews>
    <sheetView zoomScale="80" zoomScaleNormal="80" workbookViewId="0">
      <selection activeCell="A25" sqref="A25:I25"/>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15" x14ac:dyDescent="0.35">
      <c r="A1" s="462" t="s">
        <v>85</v>
      </c>
      <c r="B1" s="462"/>
      <c r="C1" s="462"/>
      <c r="D1" s="462"/>
      <c r="E1" s="462"/>
      <c r="F1" s="462"/>
      <c r="G1" s="462"/>
      <c r="H1" s="462"/>
      <c r="I1" s="462"/>
    </row>
    <row r="2" spans="1:9" ht="15" x14ac:dyDescent="0.35">
      <c r="A2" s="423" t="s">
        <v>262</v>
      </c>
      <c r="B2" s="423"/>
      <c r="C2" s="423"/>
      <c r="D2" s="423"/>
      <c r="E2" s="423"/>
      <c r="F2" s="423"/>
      <c r="G2" s="423"/>
    </row>
    <row r="3" spans="1:9" ht="15.5" thickBot="1" x14ac:dyDescent="0.4">
      <c r="A3" s="463" t="s">
        <v>263</v>
      </c>
      <c r="B3" s="464"/>
      <c r="C3" s="464"/>
      <c r="D3" s="464"/>
      <c r="E3" s="464"/>
      <c r="F3" s="464"/>
      <c r="G3" s="465"/>
      <c r="H3" s="174"/>
      <c r="I3" s="174"/>
    </row>
    <row r="4" spans="1:9" ht="15" x14ac:dyDescent="0.35">
      <c r="A4" s="175"/>
      <c r="B4" s="176"/>
      <c r="C4" s="176"/>
      <c r="D4" s="176"/>
      <c r="E4" s="176"/>
      <c r="F4" s="176"/>
      <c r="G4" s="177"/>
      <c r="I4" s="428"/>
    </row>
    <row r="5" spans="1:9" x14ac:dyDescent="0.35">
      <c r="B5" s="178" t="s">
        <v>220</v>
      </c>
      <c r="C5" s="179" t="s">
        <v>221</v>
      </c>
      <c r="D5" s="179" t="s">
        <v>222</v>
      </c>
      <c r="E5" s="179" t="s">
        <v>223</v>
      </c>
      <c r="F5" s="179" t="s">
        <v>224</v>
      </c>
      <c r="G5" s="179" t="s">
        <v>225</v>
      </c>
      <c r="H5" s="180" t="s">
        <v>226</v>
      </c>
    </row>
    <row r="6" spans="1:9" ht="52" x14ac:dyDescent="0.35">
      <c r="A6" s="181" t="s">
        <v>264</v>
      </c>
      <c r="B6" s="181" t="s">
        <v>265</v>
      </c>
      <c r="C6" s="181" t="s">
        <v>266</v>
      </c>
      <c r="D6" s="181" t="s">
        <v>267</v>
      </c>
      <c r="E6" s="181" t="s">
        <v>268</v>
      </c>
      <c r="F6" s="181" t="s">
        <v>269</v>
      </c>
      <c r="G6" s="181" t="s">
        <v>270</v>
      </c>
      <c r="H6" s="181" t="s">
        <v>271</v>
      </c>
    </row>
    <row r="7" spans="1:9" x14ac:dyDescent="0.35">
      <c r="A7" s="181" t="s">
        <v>89</v>
      </c>
      <c r="B7" s="182"/>
      <c r="C7" s="118">
        <v>0</v>
      </c>
      <c r="D7" s="181">
        <v>0</v>
      </c>
      <c r="E7" s="118">
        <f>C7*D7</f>
        <v>0</v>
      </c>
      <c r="F7" s="118">
        <v>0</v>
      </c>
      <c r="G7" s="181"/>
      <c r="H7" s="118">
        <f>F7*G7</f>
        <v>0</v>
      </c>
    </row>
    <row r="8" spans="1:9" x14ac:dyDescent="0.35">
      <c r="A8" s="181" t="s">
        <v>89</v>
      </c>
      <c r="B8" s="182" t="s">
        <v>282</v>
      </c>
      <c r="C8" s="118"/>
      <c r="D8" s="181">
        <v>0</v>
      </c>
      <c r="E8" s="118">
        <f>C8*D8</f>
        <v>0</v>
      </c>
      <c r="F8" s="118">
        <v>697</v>
      </c>
      <c r="G8" s="323">
        <f>'RI-Y4'!$L$18*0.25</f>
        <v>226.25</v>
      </c>
      <c r="H8" s="118">
        <f t="shared" ref="H8:H10" si="0">F8*G8</f>
        <v>157696.25</v>
      </c>
    </row>
    <row r="9" spans="1:9" ht="15.5" x14ac:dyDescent="0.35">
      <c r="A9" s="181" t="s">
        <v>90</v>
      </c>
      <c r="B9" s="182" t="s">
        <v>273</v>
      </c>
      <c r="C9" s="118"/>
      <c r="D9" s="181"/>
      <c r="E9" s="118"/>
      <c r="F9" s="118">
        <v>0</v>
      </c>
      <c r="G9" s="323"/>
      <c r="H9" s="118">
        <f t="shared" si="0"/>
        <v>0</v>
      </c>
    </row>
    <row r="10" spans="1:9" ht="15.5" x14ac:dyDescent="0.35">
      <c r="A10" s="181" t="s">
        <v>90</v>
      </c>
      <c r="B10" s="182" t="s">
        <v>274</v>
      </c>
      <c r="C10" s="118"/>
      <c r="D10" s="181"/>
      <c r="E10" s="118"/>
      <c r="F10" s="118">
        <v>697</v>
      </c>
      <c r="G10" s="323">
        <f>'RI-Y4'!$L$18*0.25</f>
        <v>226.25</v>
      </c>
      <c r="H10" s="118">
        <f t="shared" si="0"/>
        <v>157696.25</v>
      </c>
    </row>
    <row r="11" spans="1:9" x14ac:dyDescent="0.35">
      <c r="A11" s="181" t="s">
        <v>91</v>
      </c>
      <c r="B11" s="182" t="s">
        <v>272</v>
      </c>
      <c r="C11" s="118"/>
      <c r="D11" s="181"/>
      <c r="E11" s="118"/>
      <c r="F11" s="118"/>
      <c r="G11" s="181"/>
      <c r="H11" s="118">
        <f>F11*G11</f>
        <v>0</v>
      </c>
    </row>
    <row r="12" spans="1:9" x14ac:dyDescent="0.35">
      <c r="A12" s="181" t="s">
        <v>91</v>
      </c>
      <c r="B12" s="182" t="s">
        <v>283</v>
      </c>
      <c r="C12" s="118">
        <v>0</v>
      </c>
      <c r="D12" s="181"/>
      <c r="E12" s="118"/>
      <c r="F12" s="118"/>
      <c r="G12" s="181"/>
      <c r="H12" s="118">
        <f>F12*G12</f>
        <v>0</v>
      </c>
    </row>
    <row r="13" spans="1:9" x14ac:dyDescent="0.35">
      <c r="A13" s="181" t="s">
        <v>91</v>
      </c>
      <c r="B13" s="182" t="s">
        <v>284</v>
      </c>
      <c r="C13" s="118">
        <v>0</v>
      </c>
      <c r="D13" s="181"/>
      <c r="E13" s="118"/>
      <c r="F13" s="118">
        <v>697</v>
      </c>
      <c r="G13" s="323">
        <f>'RI-Y4'!$L$18*0.25</f>
        <v>226.25</v>
      </c>
      <c r="H13" s="118">
        <f>F13*G13</f>
        <v>157696.25</v>
      </c>
    </row>
    <row r="14" spans="1:9" x14ac:dyDescent="0.35">
      <c r="A14" s="183"/>
      <c r="B14" s="184" t="s">
        <v>276</v>
      </c>
      <c r="C14" s="118"/>
      <c r="D14" s="181"/>
      <c r="E14" s="118">
        <f>ROUND(SUM(E11:E13), -4)</f>
        <v>0</v>
      </c>
      <c r="F14" s="118"/>
      <c r="G14" s="181"/>
      <c r="H14" s="118">
        <f>ROUND(SUM(H7:H13), -4)</f>
        <v>470000</v>
      </c>
    </row>
    <row r="15" spans="1:9" x14ac:dyDescent="0.35">
      <c r="B15" s="185"/>
      <c r="D15" s="185"/>
      <c r="E15" s="185"/>
      <c r="G15" s="185"/>
    </row>
    <row r="16" spans="1:9" x14ac:dyDescent="0.35">
      <c r="B16" s="185"/>
      <c r="D16" s="185"/>
      <c r="F16" s="185"/>
      <c r="G16" s="186" t="s">
        <v>277</v>
      </c>
      <c r="H16" s="185">
        <f>ROUND(SUM(E7:E13,H7:H13), -4)</f>
        <v>470000</v>
      </c>
    </row>
    <row r="17" spans="1:8" x14ac:dyDescent="0.35">
      <c r="B17" s="185"/>
      <c r="E17" s="185"/>
    </row>
    <row r="18" spans="1:8" x14ac:dyDescent="0.35">
      <c r="A18" s="187" t="s">
        <v>278</v>
      </c>
    </row>
    <row r="19" spans="1:8" x14ac:dyDescent="0.35">
      <c r="A19" s="187" t="s">
        <v>279</v>
      </c>
    </row>
    <row r="20" spans="1:8" x14ac:dyDescent="0.35">
      <c r="A20" s="187" t="s">
        <v>280</v>
      </c>
    </row>
    <row r="21" spans="1:8" ht="121" customHeight="1" x14ac:dyDescent="0.35">
      <c r="A21" s="449" t="s">
        <v>281</v>
      </c>
      <c r="B21" s="442"/>
      <c r="C21" s="442"/>
      <c r="D21" s="442"/>
      <c r="E21" s="442"/>
      <c r="F21" s="442"/>
      <c r="G21" s="442"/>
      <c r="H21" s="442"/>
    </row>
  </sheetData>
  <mergeCells count="3">
    <mergeCell ref="A1:I1"/>
    <mergeCell ref="A3:G3"/>
    <mergeCell ref="A21:H21"/>
  </mergeCells>
  <pageMargins left="0.7" right="0.7" top="0.75" bottom="0.75" header="0.3" footer="0.3"/>
  <pageSetup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3053-CE3C-49CB-9293-70B0107C5A1F}">
  <sheetPr codeName="Sheet13">
    <pageSetUpPr fitToPage="1"/>
  </sheetPr>
  <dimension ref="A1:O72"/>
  <sheetViews>
    <sheetView zoomScale="75" zoomScaleNormal="75" workbookViewId="0">
      <pane xSplit="9" ySplit="5" topLeftCell="J39" activePane="bottomRight" state="frozen"/>
      <selection activeCell="A25" sqref="A25:I25"/>
      <selection pane="topRight" activeCell="A25" sqref="A25:I25"/>
      <selection pane="bottomLeft" activeCell="A25" sqref="A25:I25"/>
      <selection pane="bottomRight" activeCell="I10" sqref="I10"/>
    </sheetView>
  </sheetViews>
  <sheetFormatPr defaultColWidth="9.1796875" defaultRowHeight="13" x14ac:dyDescent="0.3"/>
  <cols>
    <col min="1" max="1" width="23.5429687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3.9062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285</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13" si="0">C7*E7</f>
        <v>0</v>
      </c>
    </row>
    <row r="8" spans="1:14" ht="56.15" customHeight="1" x14ac:dyDescent="0.3">
      <c r="A8" s="259" t="s">
        <v>127</v>
      </c>
      <c r="B8" s="257">
        <v>0</v>
      </c>
      <c r="C8" s="159">
        <v>0</v>
      </c>
      <c r="D8" s="257">
        <f>B8*C8</f>
        <v>0</v>
      </c>
      <c r="E8" s="159">
        <f>L15</f>
        <v>0</v>
      </c>
      <c r="F8" s="257">
        <f>D8*E8</f>
        <v>0</v>
      </c>
      <c r="G8" s="257">
        <f>F8*0.05</f>
        <v>0</v>
      </c>
      <c r="H8" s="257">
        <f>F8*0.1</f>
        <v>0</v>
      </c>
      <c r="I8" s="262">
        <f>F8*$L$8+G8*$L$7+H8*$L$9</f>
        <v>0</v>
      </c>
      <c r="K8" s="157" t="s">
        <v>128</v>
      </c>
      <c r="L8" s="195">
        <f>60.8*2.1</f>
        <v>127.67999999999999</v>
      </c>
      <c r="M8" s="198"/>
      <c r="N8" s="188">
        <f t="shared" si="0"/>
        <v>0</v>
      </c>
    </row>
    <row r="9" spans="1:14" ht="26" x14ac:dyDescent="0.3">
      <c r="A9" s="259" t="s">
        <v>129</v>
      </c>
      <c r="B9" s="257"/>
      <c r="C9" s="159"/>
      <c r="D9" s="257"/>
      <c r="E9" s="159"/>
      <c r="F9" s="257"/>
      <c r="G9" s="257"/>
      <c r="H9" s="257"/>
      <c r="I9" s="261"/>
      <c r="K9" s="157" t="s">
        <v>130</v>
      </c>
      <c r="L9" s="195">
        <f>30.58*2.1</f>
        <v>64.218000000000004</v>
      </c>
      <c r="M9" s="198"/>
      <c r="N9" s="188">
        <f t="shared" si="0"/>
        <v>0</v>
      </c>
    </row>
    <row r="10" spans="1:14" ht="65" x14ac:dyDescent="0.3">
      <c r="A10" s="76" t="s">
        <v>131</v>
      </c>
      <c r="B10" s="73">
        <v>156</v>
      </c>
      <c r="C10" s="74">
        <v>1</v>
      </c>
      <c r="D10" s="73">
        <f>B10*C10</f>
        <v>156</v>
      </c>
      <c r="E10" s="74">
        <f>0.01*L17</f>
        <v>0.79</v>
      </c>
      <c r="F10" s="73">
        <f>D10*E10</f>
        <v>123.24000000000001</v>
      </c>
      <c r="G10" s="73">
        <f>F10*0.05</f>
        <v>6.1620000000000008</v>
      </c>
      <c r="H10" s="73">
        <f>F10*0.1</f>
        <v>12.324000000000002</v>
      </c>
      <c r="I10" s="262">
        <f>F10*$L$8+G10*$L$7+H10*$L$9</f>
        <v>17522.583624000003</v>
      </c>
      <c r="K10" s="312"/>
      <c r="L10" s="311"/>
      <c r="M10" s="198"/>
    </row>
    <row r="11" spans="1:14" ht="26" x14ac:dyDescent="0.3">
      <c r="A11" s="303" t="s">
        <v>132</v>
      </c>
      <c r="B11" s="257">
        <v>10</v>
      </c>
      <c r="C11" s="159">
        <v>1</v>
      </c>
      <c r="D11" s="257">
        <f>B11*C11</f>
        <v>10</v>
      </c>
      <c r="E11" s="159">
        <f>L17</f>
        <v>79</v>
      </c>
      <c r="F11" s="257">
        <f>D11*E11</f>
        <v>790</v>
      </c>
      <c r="G11" s="257">
        <f>F11*0.05</f>
        <v>39.5</v>
      </c>
      <c r="H11" s="257">
        <f>F11*0.1</f>
        <v>79</v>
      </c>
      <c r="I11" s="262">
        <f>F11*$L$8+G11*$L$7+H11*$L$9</f>
        <v>112324.25399999999</v>
      </c>
      <c r="K11" s="264"/>
      <c r="N11" s="188">
        <f t="shared" si="0"/>
        <v>79</v>
      </c>
    </row>
    <row r="12" spans="1:14" ht="26" x14ac:dyDescent="0.3">
      <c r="A12" s="303" t="s">
        <v>289</v>
      </c>
      <c r="B12" s="257">
        <v>0.5</v>
      </c>
      <c r="C12" s="159">
        <v>1</v>
      </c>
      <c r="D12" s="257">
        <f>B12*C12</f>
        <v>0.5</v>
      </c>
      <c r="E12" s="159">
        <f>L17</f>
        <v>79</v>
      </c>
      <c r="F12" s="257">
        <f>D12*E12</f>
        <v>39.5</v>
      </c>
      <c r="G12" s="257">
        <f>F12*0.05</f>
        <v>1.9750000000000001</v>
      </c>
      <c r="H12" s="257">
        <f>F12*0.1</f>
        <v>3.95</v>
      </c>
      <c r="I12" s="262">
        <f>F12*$L$8+G12*$L$7+H12*$L$9</f>
        <v>5616.2127</v>
      </c>
      <c r="K12" s="264"/>
      <c r="N12" s="188">
        <f t="shared" si="0"/>
        <v>79</v>
      </c>
    </row>
    <row r="13" spans="1:14" ht="15.75" customHeight="1" x14ac:dyDescent="0.3">
      <c r="A13" s="303" t="s">
        <v>133</v>
      </c>
      <c r="B13" s="257"/>
      <c r="C13" s="159"/>
      <c r="D13" s="257"/>
      <c r="E13" s="159"/>
      <c r="F13" s="257"/>
      <c r="G13" s="257"/>
      <c r="H13" s="257"/>
      <c r="I13" s="263"/>
      <c r="N13" s="188">
        <f t="shared" si="0"/>
        <v>0</v>
      </c>
    </row>
    <row r="14" spans="1:14" ht="15.5" x14ac:dyDescent="0.3">
      <c r="A14" s="304" t="s">
        <v>290</v>
      </c>
      <c r="B14" s="257"/>
      <c r="C14" s="159"/>
      <c r="D14" s="257"/>
      <c r="E14" s="266"/>
      <c r="F14" s="267"/>
      <c r="G14" s="257"/>
      <c r="H14" s="257"/>
      <c r="I14" s="263"/>
      <c r="K14" s="265"/>
      <c r="L14" s="265" t="s">
        <v>291</v>
      </c>
      <c r="N14" s="188">
        <f t="shared" ref="N14:N60" si="1">C14*E14</f>
        <v>0</v>
      </c>
    </row>
    <row r="15" spans="1:14" ht="25" customHeight="1" x14ac:dyDescent="0.3">
      <c r="A15" s="253" t="s">
        <v>292</v>
      </c>
      <c r="B15" s="159">
        <v>0</v>
      </c>
      <c r="C15" s="159">
        <v>0</v>
      </c>
      <c r="D15" s="257">
        <f>B15*C15</f>
        <v>0</v>
      </c>
      <c r="E15" s="266">
        <v>0</v>
      </c>
      <c r="F15" s="267">
        <f>D15*E15</f>
        <v>0</v>
      </c>
      <c r="G15" s="257">
        <f>F15*0.05</f>
        <v>0</v>
      </c>
      <c r="H15" s="257">
        <f>F15*0.1</f>
        <v>0</v>
      </c>
      <c r="I15" s="263">
        <f>F15*$L$8+G15*$L$7+H15*$L$9</f>
        <v>0</v>
      </c>
      <c r="K15" s="265"/>
      <c r="L15" s="265">
        <v>0</v>
      </c>
      <c r="N15" s="188">
        <f t="shared" si="1"/>
        <v>0</v>
      </c>
    </row>
    <row r="16" spans="1:14" ht="26" x14ac:dyDescent="0.3">
      <c r="A16" s="253" t="s">
        <v>293</v>
      </c>
      <c r="B16" s="159">
        <v>0</v>
      </c>
      <c r="C16" s="159">
        <v>0</v>
      </c>
      <c r="D16" s="257">
        <f t="shared" ref="D16" si="2">B16*C16</f>
        <v>0</v>
      </c>
      <c r="E16" s="266">
        <f>E15*0.05</f>
        <v>0</v>
      </c>
      <c r="F16" s="267">
        <f t="shared" ref="F16:F24" si="3">D16*E16</f>
        <v>0</v>
      </c>
      <c r="G16" s="257">
        <f t="shared" ref="G16:G24" si="4">F16*0.05</f>
        <v>0</v>
      </c>
      <c r="H16" s="257">
        <f t="shared" ref="H16:H24" si="5">F16*0.1</f>
        <v>0</v>
      </c>
      <c r="I16" s="263">
        <f t="shared" ref="I16:I24" si="6">F16*$L$8+G16*$L$7+H16*$L$9</f>
        <v>0</v>
      </c>
      <c r="J16" s="264"/>
      <c r="K16" s="265" t="s">
        <v>136</v>
      </c>
      <c r="L16" s="265">
        <f>L15+L17*0.07</f>
        <v>5.53</v>
      </c>
      <c r="M16" s="264" t="s">
        <v>294</v>
      </c>
      <c r="N16" s="188">
        <f t="shared" si="1"/>
        <v>0</v>
      </c>
    </row>
    <row r="17" spans="1:14" ht="26" x14ac:dyDescent="0.3">
      <c r="A17" s="301" t="s">
        <v>295</v>
      </c>
      <c r="B17" s="159">
        <v>0</v>
      </c>
      <c r="C17" s="159">
        <v>0</v>
      </c>
      <c r="D17" s="73">
        <f>B17*C17</f>
        <v>0</v>
      </c>
      <c r="E17" s="266">
        <f t="shared" ref="E17:E21" si="7">E16*0.05</f>
        <v>0</v>
      </c>
      <c r="F17" s="267">
        <f t="shared" ref="F17:F21" si="8">D17*E17</f>
        <v>0</v>
      </c>
      <c r="G17" s="257">
        <f t="shared" ref="G17:G21" si="9">F17*0.05</f>
        <v>0</v>
      </c>
      <c r="H17" s="257">
        <f t="shared" ref="H17:H21" si="10">F17*0.1</f>
        <v>0</v>
      </c>
      <c r="I17" s="263">
        <f t="shared" ref="I17:I21" si="11">F17*$L$8+G17*$L$7+H17*$L$9</f>
        <v>0</v>
      </c>
      <c r="J17" s="264"/>
      <c r="K17" s="265" t="s">
        <v>141</v>
      </c>
      <c r="L17" s="265">
        <v>79</v>
      </c>
      <c r="N17" s="188">
        <f t="shared" si="1"/>
        <v>0</v>
      </c>
    </row>
    <row r="18" spans="1:14" ht="26" x14ac:dyDescent="0.3">
      <c r="A18" s="301" t="s">
        <v>296</v>
      </c>
      <c r="B18" s="159">
        <v>0</v>
      </c>
      <c r="C18" s="159">
        <v>0</v>
      </c>
      <c r="D18" s="73">
        <f t="shared" ref="D18" si="12">B18*C18</f>
        <v>0</v>
      </c>
      <c r="E18" s="266">
        <f t="shared" si="7"/>
        <v>0</v>
      </c>
      <c r="F18" s="267">
        <f t="shared" si="8"/>
        <v>0</v>
      </c>
      <c r="G18" s="257">
        <f t="shared" si="9"/>
        <v>0</v>
      </c>
      <c r="H18" s="257">
        <f t="shared" si="10"/>
        <v>0</v>
      </c>
      <c r="I18" s="263">
        <f t="shared" si="11"/>
        <v>0</v>
      </c>
      <c r="J18" s="264"/>
      <c r="N18" s="188">
        <f t="shared" si="1"/>
        <v>0</v>
      </c>
    </row>
    <row r="19" spans="1:14" ht="28.5" x14ac:dyDescent="0.3">
      <c r="A19" s="306" t="s">
        <v>297</v>
      </c>
      <c r="B19" s="74"/>
      <c r="C19" s="74"/>
      <c r="D19" s="73"/>
      <c r="E19" s="266"/>
      <c r="F19" s="267"/>
      <c r="G19" s="257"/>
      <c r="H19" s="257"/>
      <c r="I19" s="263"/>
      <c r="J19" s="264"/>
      <c r="N19" s="188">
        <f t="shared" si="1"/>
        <v>0</v>
      </c>
    </row>
    <row r="20" spans="1:14" ht="26" x14ac:dyDescent="0.3">
      <c r="A20" s="301" t="s">
        <v>295</v>
      </c>
      <c r="B20" s="159">
        <v>0</v>
      </c>
      <c r="C20" s="159">
        <v>0</v>
      </c>
      <c r="D20" s="73">
        <f>B20*C20</f>
        <v>0</v>
      </c>
      <c r="E20" s="266">
        <f t="shared" si="7"/>
        <v>0</v>
      </c>
      <c r="F20" s="267">
        <f t="shared" si="8"/>
        <v>0</v>
      </c>
      <c r="G20" s="257">
        <f t="shared" si="9"/>
        <v>0</v>
      </c>
      <c r="H20" s="257">
        <f t="shared" si="10"/>
        <v>0</v>
      </c>
      <c r="I20" s="263">
        <f t="shared" si="11"/>
        <v>0</v>
      </c>
      <c r="J20" s="264"/>
      <c r="N20" s="188">
        <f t="shared" si="1"/>
        <v>0</v>
      </c>
    </row>
    <row r="21" spans="1:14" ht="26" x14ac:dyDescent="0.3">
      <c r="A21" s="301" t="s">
        <v>296</v>
      </c>
      <c r="B21" s="159">
        <v>0</v>
      </c>
      <c r="C21" s="159">
        <v>0</v>
      </c>
      <c r="D21" s="73">
        <f t="shared" ref="D21" si="13">B21*C21</f>
        <v>0</v>
      </c>
      <c r="E21" s="266">
        <f t="shared" si="7"/>
        <v>0</v>
      </c>
      <c r="F21" s="267">
        <f t="shared" si="8"/>
        <v>0</v>
      </c>
      <c r="G21" s="257">
        <f t="shared" si="9"/>
        <v>0</v>
      </c>
      <c r="H21" s="257">
        <f t="shared" si="10"/>
        <v>0</v>
      </c>
      <c r="I21" s="263">
        <f t="shared" si="11"/>
        <v>0</v>
      </c>
      <c r="J21" s="264"/>
      <c r="N21" s="188">
        <f t="shared" si="1"/>
        <v>0</v>
      </c>
    </row>
    <row r="22" spans="1:14" ht="28.5" x14ac:dyDescent="0.3">
      <c r="A22" s="304" t="s">
        <v>298</v>
      </c>
      <c r="B22" s="257"/>
      <c r="C22" s="159"/>
      <c r="D22" s="257"/>
      <c r="E22" s="159"/>
      <c r="F22" s="267"/>
      <c r="G22" s="257"/>
      <c r="H22" s="257"/>
      <c r="I22" s="263"/>
      <c r="M22" s="264"/>
      <c r="N22" s="188">
        <f t="shared" si="1"/>
        <v>0</v>
      </c>
    </row>
    <row r="23" spans="1:14" ht="26" x14ac:dyDescent="0.3">
      <c r="A23" s="303" t="s">
        <v>299</v>
      </c>
      <c r="B23" s="159">
        <v>0</v>
      </c>
      <c r="C23" s="159">
        <v>0</v>
      </c>
      <c r="D23" s="257">
        <f>B23*C23</f>
        <v>0</v>
      </c>
      <c r="E23" s="266">
        <v>0</v>
      </c>
      <c r="F23" s="267">
        <f t="shared" si="3"/>
        <v>0</v>
      </c>
      <c r="G23" s="257">
        <f t="shared" si="4"/>
        <v>0</v>
      </c>
      <c r="H23" s="257">
        <f t="shared" si="5"/>
        <v>0</v>
      </c>
      <c r="I23" s="263">
        <f t="shared" si="6"/>
        <v>0</v>
      </c>
      <c r="J23" s="198"/>
      <c r="N23" s="188">
        <f t="shared" si="1"/>
        <v>0</v>
      </c>
    </row>
    <row r="24" spans="1:14" x14ac:dyDescent="0.3">
      <c r="A24" s="303" t="s">
        <v>300</v>
      </c>
      <c r="B24" s="159">
        <v>0</v>
      </c>
      <c r="C24" s="159">
        <v>0</v>
      </c>
      <c r="D24" s="257">
        <f t="shared" ref="D24" si="14">B24*C24</f>
        <v>0</v>
      </c>
      <c r="E24" s="266">
        <f>E23*0.05</f>
        <v>0</v>
      </c>
      <c r="F24" s="267">
        <f t="shared" si="3"/>
        <v>0</v>
      </c>
      <c r="G24" s="257">
        <f t="shared" si="4"/>
        <v>0</v>
      </c>
      <c r="H24" s="257">
        <f t="shared" si="5"/>
        <v>0</v>
      </c>
      <c r="I24" s="263">
        <f t="shared" si="6"/>
        <v>0</v>
      </c>
      <c r="J24" s="198"/>
      <c r="N24" s="188">
        <f t="shared" si="1"/>
        <v>0</v>
      </c>
    </row>
    <row r="25" spans="1:14" ht="28.5" x14ac:dyDescent="0.3">
      <c r="A25" s="306" t="s">
        <v>151</v>
      </c>
      <c r="B25" s="92"/>
      <c r="C25" s="93"/>
      <c r="D25" s="92"/>
      <c r="E25" s="266"/>
      <c r="F25" s="267"/>
      <c r="G25" s="257"/>
      <c r="H25" s="257"/>
      <c r="I25" s="263"/>
      <c r="J25" s="198"/>
      <c r="N25" s="188">
        <f t="shared" si="1"/>
        <v>0</v>
      </c>
    </row>
    <row r="26" spans="1:14" x14ac:dyDescent="0.3">
      <c r="A26" s="301"/>
      <c r="B26" s="73"/>
      <c r="C26" s="74"/>
      <c r="D26" s="73"/>
      <c r="E26" s="266"/>
      <c r="F26" s="267"/>
      <c r="G26" s="257"/>
      <c r="H26" s="257"/>
      <c r="I26" s="263"/>
      <c r="J26" s="198"/>
      <c r="N26" s="188">
        <f t="shared" si="1"/>
        <v>0</v>
      </c>
    </row>
    <row r="27" spans="1:14" x14ac:dyDescent="0.3">
      <c r="A27" s="301"/>
      <c r="B27" s="73"/>
      <c r="C27" s="74"/>
      <c r="D27" s="73"/>
      <c r="E27" s="266"/>
      <c r="F27" s="267"/>
      <c r="G27" s="257"/>
      <c r="H27" s="257"/>
      <c r="I27" s="263"/>
      <c r="J27" s="198"/>
      <c r="N27" s="188">
        <f t="shared" si="1"/>
        <v>0</v>
      </c>
    </row>
    <row r="28" spans="1:14" ht="26" x14ac:dyDescent="0.3">
      <c r="A28" s="301" t="s">
        <v>155</v>
      </c>
      <c r="B28" s="73"/>
      <c r="C28" s="77"/>
      <c r="D28" s="78"/>
      <c r="E28" s="266"/>
      <c r="F28" s="267"/>
      <c r="G28" s="257"/>
      <c r="H28" s="257"/>
      <c r="I28" s="263"/>
      <c r="J28" s="198"/>
      <c r="N28" s="188">
        <f t="shared" si="1"/>
        <v>0</v>
      </c>
    </row>
    <row r="29" spans="1:14" ht="26" x14ac:dyDescent="0.3">
      <c r="A29" s="301" t="s">
        <v>156</v>
      </c>
      <c r="B29" s="73"/>
      <c r="C29" s="77"/>
      <c r="D29" s="78"/>
      <c r="E29" s="266"/>
      <c r="F29" s="267"/>
      <c r="G29" s="257"/>
      <c r="H29" s="257"/>
      <c r="I29" s="263"/>
      <c r="J29" s="198"/>
      <c r="N29" s="188">
        <f t="shared" si="1"/>
        <v>0</v>
      </c>
    </row>
    <row r="30" spans="1:14" x14ac:dyDescent="0.3">
      <c r="A30" s="301" t="s">
        <v>157</v>
      </c>
      <c r="B30" s="78"/>
      <c r="C30" s="77"/>
      <c r="D30" s="78"/>
      <c r="E30" s="266"/>
      <c r="F30" s="267"/>
      <c r="G30" s="257"/>
      <c r="H30" s="257"/>
      <c r="I30" s="263"/>
      <c r="J30" s="198"/>
      <c r="N30" s="188">
        <f t="shared" si="1"/>
        <v>0</v>
      </c>
    </row>
    <row r="31" spans="1:14" ht="26.15" customHeight="1" x14ac:dyDescent="0.3">
      <c r="A31" s="305" t="s">
        <v>301</v>
      </c>
      <c r="B31" s="257"/>
      <c r="C31" s="159"/>
      <c r="D31" s="257"/>
      <c r="E31" s="266"/>
      <c r="F31" s="257"/>
      <c r="G31" s="257"/>
      <c r="H31" s="257"/>
      <c r="I31" s="263"/>
      <c r="N31" s="188">
        <f t="shared" si="1"/>
        <v>0</v>
      </c>
    </row>
    <row r="32" spans="1:14" ht="26.15" customHeight="1" x14ac:dyDescent="0.3">
      <c r="A32" s="303" t="s">
        <v>160</v>
      </c>
      <c r="B32" s="159">
        <v>0</v>
      </c>
      <c r="C32" s="159">
        <v>0</v>
      </c>
      <c r="D32" s="257">
        <f>B32*C32</f>
        <v>0</v>
      </c>
      <c r="E32" s="266">
        <f>E15</f>
        <v>0</v>
      </c>
      <c r="F32" s="257">
        <f t="shared" ref="F32:F33" si="15">D32*E32</f>
        <v>0</v>
      </c>
      <c r="G32" s="257">
        <f t="shared" ref="G32:G33" si="16">F32*0.05</f>
        <v>0</v>
      </c>
      <c r="H32" s="257">
        <f t="shared" ref="H32:H33" si="17">F32*0.1</f>
        <v>0</v>
      </c>
      <c r="I32" s="263">
        <f t="shared" ref="I32:I33" si="18">F32*$L$8+G32*$L$7+H32*$L$9</f>
        <v>0</v>
      </c>
      <c r="N32" s="188">
        <f t="shared" si="1"/>
        <v>0</v>
      </c>
    </row>
    <row r="33" spans="1:14" ht="39" x14ac:dyDescent="0.3">
      <c r="A33" s="303" t="s">
        <v>302</v>
      </c>
      <c r="B33" s="159">
        <v>0</v>
      </c>
      <c r="C33" s="159">
        <v>0</v>
      </c>
      <c r="D33" s="257">
        <f>B33*C33</f>
        <v>0</v>
      </c>
      <c r="E33" s="266">
        <f>E15</f>
        <v>0</v>
      </c>
      <c r="F33" s="257">
        <f t="shared" si="15"/>
        <v>0</v>
      </c>
      <c r="G33" s="257">
        <f t="shared" si="16"/>
        <v>0</v>
      </c>
      <c r="H33" s="257">
        <f t="shared" si="17"/>
        <v>0</v>
      </c>
      <c r="I33" s="263">
        <f t="shared" si="18"/>
        <v>0</v>
      </c>
      <c r="N33" s="188">
        <f t="shared" si="1"/>
        <v>0</v>
      </c>
    </row>
    <row r="34" spans="1:14" ht="26" x14ac:dyDescent="0.3">
      <c r="A34" s="301" t="s">
        <v>212</v>
      </c>
      <c r="B34" s="159">
        <v>0</v>
      </c>
      <c r="C34" s="159">
        <v>0</v>
      </c>
      <c r="D34" s="257">
        <f t="shared" ref="D34:D36" si="19">B34*C34</f>
        <v>0</v>
      </c>
      <c r="E34" s="266">
        <f t="shared" ref="E34:E36" si="20">E16</f>
        <v>0</v>
      </c>
      <c r="F34" s="257">
        <f t="shared" ref="F34:F35" si="21">D34*E34</f>
        <v>0</v>
      </c>
      <c r="G34" s="257">
        <f t="shared" ref="G34:G35" si="22">F34*0.05</f>
        <v>0</v>
      </c>
      <c r="H34" s="257">
        <f t="shared" ref="H34:H35" si="23">F34*0.1</f>
        <v>0</v>
      </c>
      <c r="I34" s="263">
        <f t="shared" ref="I34:I35" si="24">F34*$L$8+G34*$L$7+H34*$L$9</f>
        <v>0</v>
      </c>
      <c r="N34" s="188">
        <f t="shared" si="1"/>
        <v>0</v>
      </c>
    </row>
    <row r="35" spans="1:14" ht="39" x14ac:dyDescent="0.3">
      <c r="A35" s="301" t="s">
        <v>303</v>
      </c>
      <c r="B35" s="159">
        <v>0</v>
      </c>
      <c r="C35" s="159">
        <v>0</v>
      </c>
      <c r="D35" s="257">
        <f t="shared" si="19"/>
        <v>0</v>
      </c>
      <c r="E35" s="266">
        <f t="shared" si="20"/>
        <v>0</v>
      </c>
      <c r="F35" s="257">
        <f t="shared" si="21"/>
        <v>0</v>
      </c>
      <c r="G35" s="257">
        <f t="shared" si="22"/>
        <v>0</v>
      </c>
      <c r="H35" s="257">
        <f t="shared" si="23"/>
        <v>0</v>
      </c>
      <c r="I35" s="263">
        <f t="shared" si="24"/>
        <v>0</v>
      </c>
      <c r="N35" s="188">
        <f t="shared" si="1"/>
        <v>0</v>
      </c>
    </row>
    <row r="36" spans="1:14" ht="26" x14ac:dyDescent="0.3">
      <c r="A36" s="301" t="s">
        <v>304</v>
      </c>
      <c r="B36" s="159">
        <v>0</v>
      </c>
      <c r="C36" s="159">
        <v>0</v>
      </c>
      <c r="D36" s="257">
        <f t="shared" si="19"/>
        <v>0</v>
      </c>
      <c r="E36" s="266">
        <f t="shared" si="20"/>
        <v>0</v>
      </c>
      <c r="F36" s="257">
        <f t="shared" ref="F36" si="25">D36*E36</f>
        <v>0</v>
      </c>
      <c r="G36" s="257">
        <f t="shared" ref="G36" si="26">F36*0.05</f>
        <v>0</v>
      </c>
      <c r="H36" s="257">
        <f t="shared" ref="H36" si="27">F36*0.1</f>
        <v>0</v>
      </c>
      <c r="I36" s="263">
        <f t="shared" ref="I36" si="28">F36*$L$8+G36*$L$7+H36*$L$9</f>
        <v>0</v>
      </c>
      <c r="N36" s="188">
        <f t="shared" si="1"/>
        <v>0</v>
      </c>
    </row>
    <row r="37" spans="1:14" ht="26" x14ac:dyDescent="0.3">
      <c r="A37" s="303" t="s">
        <v>305</v>
      </c>
      <c r="B37" s="159">
        <v>0</v>
      </c>
      <c r="C37" s="159">
        <v>0</v>
      </c>
      <c r="D37" s="257">
        <f>B37*C37</f>
        <v>0</v>
      </c>
      <c r="E37" s="266">
        <f>E16</f>
        <v>0</v>
      </c>
      <c r="F37" s="257">
        <f t="shared" ref="F37" si="29">D37*E37</f>
        <v>0</v>
      </c>
      <c r="G37" s="257">
        <f t="shared" ref="G37" si="30">F37*0.05</f>
        <v>0</v>
      </c>
      <c r="H37" s="257">
        <f t="shared" ref="H37" si="31">F37*0.1</f>
        <v>0</v>
      </c>
      <c r="I37" s="263">
        <f t="shared" ref="I37" si="32">F37*$L$8+G37*$L$7+H37*$L$9</f>
        <v>0</v>
      </c>
      <c r="N37" s="188">
        <f t="shared" si="1"/>
        <v>0</v>
      </c>
    </row>
    <row r="38" spans="1:14" x14ac:dyDescent="0.3">
      <c r="A38" s="305" t="s">
        <v>306</v>
      </c>
      <c r="B38" s="261"/>
      <c r="C38" s="260"/>
      <c r="D38" s="261"/>
      <c r="E38" s="268"/>
      <c r="F38" s="261"/>
      <c r="G38" s="261"/>
      <c r="H38" s="261"/>
      <c r="I38" s="261"/>
      <c r="N38" s="188">
        <f t="shared" si="1"/>
        <v>0</v>
      </c>
    </row>
    <row r="39" spans="1:14" ht="26" x14ac:dyDescent="0.3">
      <c r="A39" s="303" t="s">
        <v>307</v>
      </c>
      <c r="B39" s="159">
        <v>0</v>
      </c>
      <c r="C39" s="159">
        <v>0</v>
      </c>
      <c r="D39" s="257">
        <f>B39*C39</f>
        <v>0</v>
      </c>
      <c r="E39" s="266">
        <v>0</v>
      </c>
      <c r="F39" s="257">
        <f>D39*E39</f>
        <v>0</v>
      </c>
      <c r="G39" s="257">
        <f>F39*0.05</f>
        <v>0</v>
      </c>
      <c r="H39" s="257">
        <f>F39*0.1</f>
        <v>0</v>
      </c>
      <c r="I39" s="263">
        <f>F39*$L$8+G39*$L$7+H39*$L$9</f>
        <v>0</v>
      </c>
      <c r="N39" s="188">
        <f t="shared" si="1"/>
        <v>0</v>
      </c>
    </row>
    <row r="40" spans="1:14" ht="57" customHeight="1" x14ac:dyDescent="0.3">
      <c r="A40" s="303" t="s">
        <v>308</v>
      </c>
      <c r="B40" s="159">
        <v>0</v>
      </c>
      <c r="C40" s="159">
        <v>0</v>
      </c>
      <c r="D40" s="257">
        <f>B40*C40</f>
        <v>0</v>
      </c>
      <c r="E40" s="266">
        <f>E39</f>
        <v>0</v>
      </c>
      <c r="F40" s="257">
        <f>D40*E40</f>
        <v>0</v>
      </c>
      <c r="G40" s="257">
        <f>F40*0.05</f>
        <v>0</v>
      </c>
      <c r="H40" s="257">
        <f>F40*0.1</f>
        <v>0</v>
      </c>
      <c r="I40" s="263">
        <f>F40*$L$8+G40*$L$7+H40*$L$9</f>
        <v>0</v>
      </c>
      <c r="N40" s="188">
        <f t="shared" si="1"/>
        <v>0</v>
      </c>
    </row>
    <row r="41" spans="1:14" ht="21.65" customHeight="1" x14ac:dyDescent="0.3">
      <c r="A41" s="301" t="s">
        <v>212</v>
      </c>
      <c r="B41" s="159">
        <v>0</v>
      </c>
      <c r="C41" s="159">
        <v>0</v>
      </c>
      <c r="D41" s="257">
        <f t="shared" ref="D41:D43" si="33">B41*C41</f>
        <v>0</v>
      </c>
      <c r="E41" s="266">
        <f t="shared" ref="E41:E43" si="34">E40</f>
        <v>0</v>
      </c>
      <c r="F41" s="257">
        <f t="shared" ref="F41:F43" si="35">D41*E41</f>
        <v>0</v>
      </c>
      <c r="G41" s="257">
        <f t="shared" ref="G41:G43" si="36">F41*0.05</f>
        <v>0</v>
      </c>
      <c r="H41" s="257">
        <f t="shared" ref="H41:H43" si="37">F41*0.1</f>
        <v>0</v>
      </c>
      <c r="I41" s="263">
        <f t="shared" ref="I41:I43" si="38">F41*$L$8+G41*$L$7+H41*$L$9</f>
        <v>0</v>
      </c>
      <c r="N41" s="188">
        <f t="shared" si="1"/>
        <v>0</v>
      </c>
    </row>
    <row r="42" spans="1:14" ht="24.65" customHeight="1" x14ac:dyDescent="0.3">
      <c r="A42" s="301" t="s">
        <v>303</v>
      </c>
      <c r="B42" s="159">
        <v>0</v>
      </c>
      <c r="C42" s="159">
        <v>0</v>
      </c>
      <c r="D42" s="257">
        <f t="shared" si="33"/>
        <v>0</v>
      </c>
      <c r="E42" s="266">
        <f t="shared" si="34"/>
        <v>0</v>
      </c>
      <c r="F42" s="257">
        <f t="shared" si="35"/>
        <v>0</v>
      </c>
      <c r="G42" s="257">
        <f t="shared" si="36"/>
        <v>0</v>
      </c>
      <c r="H42" s="257">
        <f t="shared" si="37"/>
        <v>0</v>
      </c>
      <c r="I42" s="263">
        <f t="shared" si="38"/>
        <v>0</v>
      </c>
      <c r="N42" s="188">
        <f t="shared" si="1"/>
        <v>0</v>
      </c>
    </row>
    <row r="43" spans="1:14" ht="22.5" customHeight="1" x14ac:dyDescent="0.3">
      <c r="A43" s="301" t="s">
        <v>309</v>
      </c>
      <c r="B43" s="159">
        <v>0</v>
      </c>
      <c r="C43" s="159">
        <v>0</v>
      </c>
      <c r="D43" s="257">
        <f t="shared" si="33"/>
        <v>0</v>
      </c>
      <c r="E43" s="266">
        <f t="shared" si="34"/>
        <v>0</v>
      </c>
      <c r="F43" s="257">
        <f t="shared" si="35"/>
        <v>0</v>
      </c>
      <c r="G43" s="257">
        <f t="shared" si="36"/>
        <v>0</v>
      </c>
      <c r="H43" s="257">
        <f t="shared" si="37"/>
        <v>0</v>
      </c>
      <c r="I43" s="263">
        <f t="shared" si="38"/>
        <v>0</v>
      </c>
      <c r="N43" s="188">
        <f t="shared" si="1"/>
        <v>0</v>
      </c>
    </row>
    <row r="44" spans="1:14" ht="22.5" customHeight="1" x14ac:dyDescent="0.3">
      <c r="A44" s="301"/>
      <c r="B44" s="73"/>
      <c r="C44" s="74"/>
      <c r="D44" s="73"/>
      <c r="E44" s="266"/>
      <c r="F44" s="257"/>
      <c r="G44" s="257"/>
      <c r="H44" s="257"/>
      <c r="I44" s="263"/>
      <c r="N44" s="188">
        <f t="shared" si="1"/>
        <v>0</v>
      </c>
    </row>
    <row r="45" spans="1:14" ht="39" x14ac:dyDescent="0.3">
      <c r="A45" s="303" t="s">
        <v>166</v>
      </c>
      <c r="B45" s="159">
        <v>0</v>
      </c>
      <c r="C45" s="159">
        <v>0</v>
      </c>
      <c r="D45" s="283">
        <f>B45*C45</f>
        <v>0</v>
      </c>
      <c r="E45" s="266">
        <f>E40</f>
        <v>0</v>
      </c>
      <c r="F45" s="257">
        <f>D45*E45</f>
        <v>0</v>
      </c>
      <c r="G45" s="257">
        <f>F45*0.05</f>
        <v>0</v>
      </c>
      <c r="H45" s="257">
        <f>F45*0.1</f>
        <v>0</v>
      </c>
      <c r="I45" s="263">
        <f>F45*$L$8+G45*$L$7+H45*$L$9</f>
        <v>0</v>
      </c>
      <c r="N45" s="188">
        <f t="shared" si="1"/>
        <v>0</v>
      </c>
    </row>
    <row r="46" spans="1:14" ht="27" x14ac:dyDescent="0.3">
      <c r="A46" s="269" t="s">
        <v>167</v>
      </c>
      <c r="B46" s="270"/>
      <c r="C46" s="271"/>
      <c r="D46" s="270"/>
      <c r="E46" s="272"/>
      <c r="F46" s="273">
        <f>SUM(F8:H45)</f>
        <v>1095.6510000000001</v>
      </c>
      <c r="G46" s="273"/>
      <c r="H46" s="273"/>
      <c r="I46" s="274">
        <f>SUM(I8:I45)</f>
        <v>135463.05032399998</v>
      </c>
      <c r="N46" s="188">
        <f t="shared" si="1"/>
        <v>0</v>
      </c>
    </row>
    <row r="47" spans="1:14" ht="26" x14ac:dyDescent="0.3">
      <c r="A47" s="259" t="s">
        <v>168</v>
      </c>
      <c r="B47" s="261"/>
      <c r="C47" s="260"/>
      <c r="D47" s="261"/>
      <c r="E47" s="268"/>
      <c r="F47" s="261"/>
      <c r="G47" s="261"/>
      <c r="H47" s="261"/>
      <c r="I47" s="261"/>
      <c r="N47" s="188">
        <f t="shared" si="1"/>
        <v>0</v>
      </c>
    </row>
    <row r="48" spans="1:14" ht="26" x14ac:dyDescent="0.3">
      <c r="A48" s="303" t="s">
        <v>132</v>
      </c>
      <c r="B48" s="257"/>
      <c r="C48" s="260"/>
      <c r="D48" s="261"/>
      <c r="E48" s="260"/>
      <c r="F48" s="261"/>
      <c r="G48" s="261"/>
      <c r="H48" s="261"/>
      <c r="I48" s="261"/>
      <c r="N48" s="188">
        <f t="shared" si="1"/>
        <v>0</v>
      </c>
    </row>
    <row r="49" spans="1:15" x14ac:dyDescent="0.3">
      <c r="A49" s="303" t="s">
        <v>169</v>
      </c>
      <c r="B49" s="257"/>
      <c r="C49" s="260"/>
      <c r="D49" s="261"/>
      <c r="E49" s="260"/>
      <c r="F49" s="261"/>
      <c r="G49" s="261"/>
      <c r="H49" s="261"/>
      <c r="I49" s="261"/>
      <c r="N49" s="188">
        <f t="shared" si="1"/>
        <v>0</v>
      </c>
    </row>
    <row r="50" spans="1:15" x14ac:dyDescent="0.3">
      <c r="A50" s="303" t="s">
        <v>170</v>
      </c>
      <c r="B50" s="257"/>
      <c r="C50" s="260"/>
      <c r="D50" s="261"/>
      <c r="E50" s="260"/>
      <c r="F50" s="261"/>
      <c r="G50" s="261"/>
      <c r="H50" s="261"/>
      <c r="I50" s="261"/>
      <c r="N50" s="188">
        <f t="shared" si="1"/>
        <v>0</v>
      </c>
    </row>
    <row r="51" spans="1:15" x14ac:dyDescent="0.3">
      <c r="A51" s="303" t="s">
        <v>171</v>
      </c>
      <c r="B51" s="257" t="s">
        <v>122</v>
      </c>
      <c r="C51" s="260"/>
      <c r="D51" s="261"/>
      <c r="E51" s="260"/>
      <c r="F51" s="261"/>
      <c r="G51" s="261"/>
      <c r="H51" s="261"/>
      <c r="I51" s="261"/>
      <c r="N51" s="188">
        <f t="shared" si="1"/>
        <v>0</v>
      </c>
    </row>
    <row r="52" spans="1:15" ht="26" x14ac:dyDescent="0.3">
      <c r="A52" s="303" t="s">
        <v>172</v>
      </c>
      <c r="B52" s="261"/>
      <c r="C52" s="260"/>
      <c r="D52" s="261"/>
      <c r="E52" s="260"/>
      <c r="F52" s="261"/>
      <c r="G52" s="261"/>
      <c r="H52" s="261"/>
      <c r="I52" s="261"/>
      <c r="N52" s="188">
        <f t="shared" si="1"/>
        <v>0</v>
      </c>
    </row>
    <row r="53" spans="1:15" x14ac:dyDescent="0.3">
      <c r="A53" s="305" t="s">
        <v>163</v>
      </c>
      <c r="B53" s="261"/>
      <c r="C53" s="260"/>
      <c r="D53" s="261"/>
      <c r="E53" s="260"/>
      <c r="F53" s="261"/>
      <c r="G53" s="261"/>
      <c r="H53" s="261"/>
      <c r="I53" s="261"/>
      <c r="N53" s="188">
        <f t="shared" si="1"/>
        <v>0</v>
      </c>
    </row>
    <row r="54" spans="1:15" x14ac:dyDescent="0.3">
      <c r="A54" s="303" t="s">
        <v>173</v>
      </c>
      <c r="B54" s="257">
        <v>0.1</v>
      </c>
      <c r="C54" s="159">
        <v>1</v>
      </c>
      <c r="D54" s="73">
        <f t="shared" ref="D54:D55" si="39">B54*C54</f>
        <v>0.1</v>
      </c>
      <c r="E54" s="266">
        <f>$L$17</f>
        <v>79</v>
      </c>
      <c r="F54" s="267">
        <f t="shared" ref="F54:F61" si="40">D54*E54</f>
        <v>7.9</v>
      </c>
      <c r="G54" s="257">
        <f t="shared" ref="G54:G61" si="41">F54*0.05</f>
        <v>0.39500000000000002</v>
      </c>
      <c r="H54" s="257">
        <f t="shared" ref="H54:H61" si="42">F54*0.1</f>
        <v>0.79</v>
      </c>
      <c r="I54" s="262">
        <f>F54*$L$8+G54*$L$7+H54*$L$9</f>
        <v>1123.2425400000002</v>
      </c>
      <c r="N54" s="188">
        <f t="shared" si="1"/>
        <v>79</v>
      </c>
    </row>
    <row r="55" spans="1:15" x14ac:dyDescent="0.3">
      <c r="A55" s="303" t="s">
        <v>310</v>
      </c>
      <c r="B55" s="159">
        <v>0</v>
      </c>
      <c r="C55" s="159">
        <v>0</v>
      </c>
      <c r="D55" s="73">
        <f t="shared" si="39"/>
        <v>0</v>
      </c>
      <c r="E55" s="266">
        <v>0</v>
      </c>
      <c r="F55" s="267">
        <f t="shared" si="40"/>
        <v>0</v>
      </c>
      <c r="G55" s="257">
        <f t="shared" si="41"/>
        <v>0</v>
      </c>
      <c r="H55" s="257">
        <f t="shared" si="42"/>
        <v>0</v>
      </c>
      <c r="I55" s="263">
        <f>F55*$L$8+G55*$L$7+H55*$L$9</f>
        <v>0</v>
      </c>
      <c r="N55" s="188">
        <f t="shared" si="1"/>
        <v>0</v>
      </c>
    </row>
    <row r="56" spans="1:15" ht="39" x14ac:dyDescent="0.3">
      <c r="A56" s="301" t="s">
        <v>311</v>
      </c>
      <c r="B56" s="159">
        <v>0</v>
      </c>
      <c r="C56" s="159">
        <v>0</v>
      </c>
      <c r="D56" s="73">
        <f t="shared" ref="D56" si="43">B56*C56</f>
        <v>0</v>
      </c>
      <c r="E56" s="266">
        <v>0</v>
      </c>
      <c r="F56" s="89">
        <f t="shared" si="40"/>
        <v>0</v>
      </c>
      <c r="G56" s="73">
        <f t="shared" si="41"/>
        <v>0</v>
      </c>
      <c r="H56" s="73">
        <f t="shared" si="42"/>
        <v>0</v>
      </c>
      <c r="I56" s="84">
        <f>F56*$L$8+G56*$L$7+H56*$L$9</f>
        <v>0</v>
      </c>
      <c r="N56" s="188">
        <f t="shared" si="1"/>
        <v>0</v>
      </c>
    </row>
    <row r="57" spans="1:15" x14ac:dyDescent="0.3">
      <c r="A57" s="305" t="s">
        <v>158</v>
      </c>
      <c r="B57" s="257"/>
      <c r="C57" s="159"/>
      <c r="D57" s="257"/>
      <c r="E57" s="266"/>
      <c r="F57" s="267"/>
      <c r="G57" s="257"/>
      <c r="H57" s="257"/>
      <c r="I57" s="263"/>
      <c r="N57" s="188">
        <f t="shared" si="1"/>
        <v>0</v>
      </c>
    </row>
    <row r="58" spans="1:15" x14ac:dyDescent="0.3">
      <c r="A58" s="303" t="s">
        <v>173</v>
      </c>
      <c r="B58" s="159">
        <v>0</v>
      </c>
      <c r="C58" s="159">
        <v>0</v>
      </c>
      <c r="D58" s="257">
        <f>B58*C58</f>
        <v>0</v>
      </c>
      <c r="E58" s="265">
        <f>E57+E59*0.07</f>
        <v>0</v>
      </c>
      <c r="F58" s="267">
        <f t="shared" ref="F58:F59" si="44">D58*E58</f>
        <v>0</v>
      </c>
      <c r="G58" s="257">
        <f t="shared" ref="G58:G59" si="45">F58*0.05</f>
        <v>0</v>
      </c>
      <c r="H58" s="257">
        <f t="shared" ref="H58:H59" si="46">F58*0.1</f>
        <v>0</v>
      </c>
      <c r="I58" s="262">
        <f>F58*$L$8+G58*$L$7+H58*$L$9</f>
        <v>0</v>
      </c>
      <c r="N58" s="188">
        <f t="shared" si="1"/>
        <v>0</v>
      </c>
    </row>
    <row r="59" spans="1:15" x14ac:dyDescent="0.3">
      <c r="A59" s="303" t="s">
        <v>310</v>
      </c>
      <c r="B59" s="159">
        <v>0</v>
      </c>
      <c r="C59" s="159">
        <v>0</v>
      </c>
      <c r="D59" s="257">
        <f t="shared" ref="D59:D60" si="47">B59*C59</f>
        <v>0</v>
      </c>
      <c r="E59" s="266">
        <f>$L$15</f>
        <v>0</v>
      </c>
      <c r="F59" s="267">
        <f t="shared" si="44"/>
        <v>0</v>
      </c>
      <c r="G59" s="257">
        <f t="shared" si="45"/>
        <v>0</v>
      </c>
      <c r="H59" s="257">
        <f t="shared" si="46"/>
        <v>0</v>
      </c>
      <c r="I59" s="262">
        <f>F59*$L$8+G59*$L$7+H59*$L$9</f>
        <v>0</v>
      </c>
      <c r="N59" s="188">
        <f t="shared" si="1"/>
        <v>0</v>
      </c>
    </row>
    <row r="60" spans="1:15" x14ac:dyDescent="0.3">
      <c r="A60" s="301" t="s">
        <v>312</v>
      </c>
      <c r="B60" s="73">
        <v>0</v>
      </c>
      <c r="C60" s="74">
        <v>0</v>
      </c>
      <c r="D60" s="73">
        <f t="shared" si="47"/>
        <v>0</v>
      </c>
      <c r="E60" s="266">
        <f>$L$15</f>
        <v>0</v>
      </c>
      <c r="F60" s="267">
        <f t="shared" ref="F60" si="48">D60*E60</f>
        <v>0</v>
      </c>
      <c r="G60" s="257">
        <f t="shared" ref="G60" si="49">F60*0.05</f>
        <v>0</v>
      </c>
      <c r="H60" s="257">
        <f t="shared" ref="H60" si="50">F60*0.1</f>
        <v>0</v>
      </c>
      <c r="I60" s="262">
        <f>F60*$L$8+G60*$L$7+H60*$L$9</f>
        <v>0</v>
      </c>
      <c r="N60" s="188">
        <f t="shared" si="1"/>
        <v>0</v>
      </c>
    </row>
    <row r="61" spans="1:15" ht="17.25" customHeight="1" x14ac:dyDescent="0.3">
      <c r="A61" s="303" t="s">
        <v>313</v>
      </c>
      <c r="B61" s="159">
        <v>0</v>
      </c>
      <c r="C61" s="159">
        <v>0</v>
      </c>
      <c r="D61" s="257">
        <f t="shared" ref="D61" si="51">B61*C61</f>
        <v>0</v>
      </c>
      <c r="E61" s="266">
        <f>$L$15</f>
        <v>0</v>
      </c>
      <c r="F61" s="267">
        <f t="shared" si="40"/>
        <v>0</v>
      </c>
      <c r="G61" s="257">
        <f t="shared" si="41"/>
        <v>0</v>
      </c>
      <c r="H61" s="257">
        <f t="shared" si="42"/>
        <v>0</v>
      </c>
      <c r="I61" s="262">
        <f>F61*$L$8+G61*$L$7+H61*$L$9</f>
        <v>0</v>
      </c>
      <c r="N61" s="188">
        <f>SUM(N6:N60)</f>
        <v>237</v>
      </c>
      <c r="O61" s="188" t="s">
        <v>248</v>
      </c>
    </row>
    <row r="62" spans="1:15" x14ac:dyDescent="0.3">
      <c r="A62" s="303" t="s">
        <v>186</v>
      </c>
      <c r="B62" s="257" t="s">
        <v>122</v>
      </c>
      <c r="C62" s="260"/>
      <c r="D62" s="261"/>
      <c r="E62" s="260"/>
      <c r="F62" s="261"/>
      <c r="G62" s="261"/>
      <c r="H62" s="261"/>
      <c r="I62" s="261"/>
      <c r="K62" s="282">
        <f>F64/212</f>
        <v>5.1886792452830193</v>
      </c>
      <c r="L62" s="188" t="s">
        <v>190</v>
      </c>
    </row>
    <row r="63" spans="1:15" ht="27" x14ac:dyDescent="0.3">
      <c r="A63" s="269" t="s">
        <v>188</v>
      </c>
      <c r="B63" s="275"/>
      <c r="C63" s="276"/>
      <c r="D63" s="275"/>
      <c r="E63" s="277"/>
      <c r="F63" s="273">
        <f>SUM(F54:H61)</f>
        <v>9.0850000000000009</v>
      </c>
      <c r="G63" s="273"/>
      <c r="H63" s="273"/>
      <c r="I63" s="274">
        <f>SUM(I54:I62)</f>
        <v>1123.2425400000002</v>
      </c>
    </row>
    <row r="64" spans="1:15" ht="28" x14ac:dyDescent="0.3">
      <c r="A64" s="278" t="s">
        <v>314</v>
      </c>
      <c r="B64" s="279"/>
      <c r="C64" s="169"/>
      <c r="D64" s="279"/>
      <c r="E64" s="280"/>
      <c r="F64" s="469">
        <f>ROUND(F63+F46, -2)</f>
        <v>1100</v>
      </c>
      <c r="G64" s="469"/>
      <c r="H64" s="469"/>
      <c r="I64" s="281">
        <f>ROUND(I63+I46, -4)</f>
        <v>140000</v>
      </c>
    </row>
    <row r="65" spans="1:9" ht="28" x14ac:dyDescent="0.3">
      <c r="A65" s="168" t="s">
        <v>315</v>
      </c>
      <c r="B65" s="261"/>
      <c r="C65" s="260"/>
      <c r="D65" s="261"/>
      <c r="E65" s="260"/>
      <c r="F65" s="261"/>
      <c r="G65" s="261"/>
      <c r="H65" s="261"/>
      <c r="I65" s="281"/>
    </row>
    <row r="66" spans="1:9" ht="15" x14ac:dyDescent="0.3">
      <c r="A66" s="168" t="s">
        <v>316</v>
      </c>
      <c r="B66" s="261"/>
      <c r="C66" s="260"/>
      <c r="D66" s="261"/>
      <c r="E66" s="260"/>
      <c r="F66" s="261"/>
      <c r="G66" s="261"/>
      <c r="H66" s="261"/>
      <c r="I66" s="281">
        <f>ROUND(I64+I65, -5)</f>
        <v>100000</v>
      </c>
    </row>
    <row r="67" spans="1:9" ht="4.5" customHeight="1" x14ac:dyDescent="0.3"/>
    <row r="68" spans="1:9" ht="15.65" customHeight="1" x14ac:dyDescent="0.3">
      <c r="A68" s="467" t="s">
        <v>317</v>
      </c>
      <c r="B68" s="467"/>
      <c r="C68" s="467"/>
      <c r="D68" s="467"/>
      <c r="E68" s="467"/>
      <c r="F68" s="467"/>
      <c r="G68" s="467"/>
      <c r="H68" s="467"/>
      <c r="I68" s="467"/>
    </row>
    <row r="69" spans="1:9" ht="70.5" customHeight="1" x14ac:dyDescent="0.3">
      <c r="A69" s="446" t="s">
        <v>194</v>
      </c>
      <c r="B69" s="446"/>
      <c r="C69" s="446"/>
      <c r="D69" s="446"/>
      <c r="E69" s="446"/>
      <c r="F69" s="446"/>
      <c r="G69" s="446"/>
      <c r="H69" s="446"/>
      <c r="I69" s="446"/>
    </row>
    <row r="70" spans="1:9" ht="18.75" customHeight="1" x14ac:dyDescent="0.3">
      <c r="A70" s="467" t="s">
        <v>318</v>
      </c>
      <c r="B70" s="467"/>
      <c r="C70" s="467"/>
      <c r="D70" s="467"/>
      <c r="E70" s="467"/>
      <c r="F70" s="467"/>
      <c r="G70" s="467"/>
      <c r="H70" s="467"/>
      <c r="I70" s="467"/>
    </row>
    <row r="71" spans="1:9" ht="15.5" x14ac:dyDescent="0.3">
      <c r="A71" s="470" t="s">
        <v>515</v>
      </c>
      <c r="B71" s="470"/>
      <c r="C71" s="470"/>
      <c r="D71" s="470"/>
      <c r="E71" s="470"/>
      <c r="F71" s="470"/>
      <c r="G71" s="470"/>
      <c r="H71" s="470"/>
      <c r="I71" s="470"/>
    </row>
    <row r="72" spans="1:9" ht="21.65" customHeight="1" x14ac:dyDescent="0.3">
      <c r="A72" s="466" t="s">
        <v>319</v>
      </c>
      <c r="B72" s="466"/>
      <c r="C72" s="466"/>
      <c r="D72" s="466"/>
      <c r="E72" s="466"/>
      <c r="F72" s="466"/>
      <c r="G72" s="466"/>
      <c r="H72" s="466"/>
      <c r="I72" s="466"/>
    </row>
  </sheetData>
  <mergeCells count="9">
    <mergeCell ref="A72:I72"/>
    <mergeCell ref="A68:I68"/>
    <mergeCell ref="K6:L6"/>
    <mergeCell ref="F64:H64"/>
    <mergeCell ref="A1:I1"/>
    <mergeCell ref="A3:I3"/>
    <mergeCell ref="A69:I69"/>
    <mergeCell ref="A70:I70"/>
    <mergeCell ref="A71:I71"/>
  </mergeCells>
  <pageMargins left="0.7" right="0.7" top="0.75" bottom="0.75" header="0.3" footer="0.3"/>
  <pageSetup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9629-BEED-446C-AF45-438D1FEF1ED2}">
  <sheetPr codeName="Sheet2"/>
  <dimension ref="A1:L31"/>
  <sheetViews>
    <sheetView tabSelected="1" zoomScale="80" zoomScaleNormal="80" workbookViewId="0">
      <selection activeCell="G17" sqref="G17"/>
    </sheetView>
  </sheetViews>
  <sheetFormatPr defaultColWidth="8.81640625" defaultRowHeight="12.5" x14ac:dyDescent="0.25"/>
  <cols>
    <col min="1" max="1" width="45.453125" style="135" customWidth="1"/>
    <col min="2" max="2" width="13.453125" customWidth="1"/>
    <col min="3" max="3" width="6.81640625" customWidth="1"/>
    <col min="4" max="4" width="43.54296875" customWidth="1"/>
    <col min="5" max="5" width="18.54296875" style="137" customWidth="1"/>
    <col min="6" max="6" width="18.453125" style="137" customWidth="1"/>
    <col min="7" max="7" width="48.54296875" customWidth="1"/>
    <col min="8" max="8" width="21" customWidth="1"/>
    <col min="9" max="9" width="12.81640625" customWidth="1"/>
  </cols>
  <sheetData>
    <row r="1" spans="1:12" ht="13" x14ac:dyDescent="0.3">
      <c r="A1" s="136" t="s">
        <v>44</v>
      </c>
    </row>
    <row r="2" spans="1:12" ht="13" x14ac:dyDescent="0.3">
      <c r="A2" s="136"/>
    </row>
    <row r="3" spans="1:12" ht="13.5" thickBot="1" x14ac:dyDescent="0.35">
      <c r="A3" s="432" t="s">
        <v>45</v>
      </c>
      <c r="B3" s="433"/>
      <c r="D3" s="432" t="s">
        <v>46</v>
      </c>
      <c r="E3" s="433"/>
    </row>
    <row r="4" spans="1:12" ht="31" x14ac:dyDescent="0.35">
      <c r="A4" s="131" t="s">
        <v>47</v>
      </c>
      <c r="B4" s="133">
        <f>RespondentBurdenSUMbySector!E46/3</f>
        <v>11480.691603333331</v>
      </c>
      <c r="D4" s="131" t="s">
        <v>47</v>
      </c>
      <c r="E4" s="405">
        <f>RespondentBurdenSUMbySector!N46/3</f>
        <v>72106.618126250003</v>
      </c>
      <c r="G4" s="138" t="s">
        <v>48</v>
      </c>
      <c r="H4" s="139" t="s">
        <v>49</v>
      </c>
      <c r="I4" s="139" t="s">
        <v>50</v>
      </c>
    </row>
    <row r="5" spans="1:12" ht="37" customHeight="1" x14ac:dyDescent="0.25">
      <c r="A5" s="131" t="s">
        <v>51</v>
      </c>
      <c r="B5" s="133">
        <f>AgencyBurdenSUMbySector!E46/3</f>
        <v>366.57400000000001</v>
      </c>
      <c r="D5" s="131" t="s">
        <v>51</v>
      </c>
      <c r="E5" s="405">
        <f>AgencyBurdenSUMbySector!N46/3</f>
        <v>9859.7798783333346</v>
      </c>
      <c r="G5" s="140" t="s">
        <v>52</v>
      </c>
      <c r="H5" s="403">
        <v>646</v>
      </c>
      <c r="I5" s="403">
        <v>2847</v>
      </c>
    </row>
    <row r="6" spans="1:12" ht="35.15" customHeight="1" x14ac:dyDescent="0.25">
      <c r="A6" s="131" t="s">
        <v>53</v>
      </c>
      <c r="B6" s="134">
        <f>RespondentBurdenSUMbySector!F46/3</f>
        <v>1420666.6666666667</v>
      </c>
      <c r="C6" s="132"/>
      <c r="D6" s="131" t="s">
        <v>53</v>
      </c>
      <c r="E6" s="410">
        <f>RespondentBurdenSUMbySector!O46/3</f>
        <v>8839333.333333334</v>
      </c>
      <c r="G6" s="140" t="s">
        <v>54</v>
      </c>
      <c r="H6" s="403">
        <v>54</v>
      </c>
      <c r="I6" s="403">
        <v>79</v>
      </c>
    </row>
    <row r="7" spans="1:12" ht="32.5" customHeight="1" x14ac:dyDescent="0.25">
      <c r="A7" s="131" t="s">
        <v>55</v>
      </c>
      <c r="B7" s="134">
        <f>AgencyBurdenSUMbySector!F46/3</f>
        <v>18323.333333333332</v>
      </c>
      <c r="C7" s="132"/>
      <c r="D7" s="131" t="s">
        <v>55</v>
      </c>
      <c r="E7" s="410">
        <f>AgencyBurdenSUMbySector!O46/3</f>
        <v>492650</v>
      </c>
      <c r="G7" s="140" t="s">
        <v>56</v>
      </c>
      <c r="H7" s="403">
        <v>14</v>
      </c>
      <c r="I7" s="403">
        <v>29</v>
      </c>
    </row>
    <row r="8" spans="1:12" ht="33.65" customHeight="1" x14ac:dyDescent="0.25">
      <c r="A8" s="131" t="s">
        <v>57</v>
      </c>
      <c r="B8" s="134">
        <f>RespondentBurdenSUMbySector!G46/3</f>
        <v>2400000</v>
      </c>
      <c r="D8" s="131" t="s">
        <v>57</v>
      </c>
      <c r="E8" s="410">
        <f>RespondentBurdenSUMbySector!P46/3</f>
        <v>2193333.3333333335</v>
      </c>
      <c r="G8" s="140" t="s">
        <v>58</v>
      </c>
      <c r="H8" s="403">
        <v>50</v>
      </c>
      <c r="I8" s="403">
        <v>85</v>
      </c>
    </row>
    <row r="9" spans="1:12" ht="60" customHeight="1" x14ac:dyDescent="0.25">
      <c r="A9" s="131" t="s">
        <v>59</v>
      </c>
      <c r="B9" s="134">
        <f>AgencyBurdenSUMbySector!G47/3</f>
        <v>0</v>
      </c>
      <c r="D9" s="131" t="s">
        <v>59</v>
      </c>
      <c r="E9" s="410">
        <f>AgencyBurdenSUMbySector!P46/3</f>
        <v>0</v>
      </c>
      <c r="G9" s="140" t="s">
        <v>60</v>
      </c>
      <c r="H9" s="403">
        <v>109</v>
      </c>
      <c r="I9" s="403">
        <v>208</v>
      </c>
    </row>
    <row r="10" spans="1:12" ht="27.65" customHeight="1" x14ac:dyDescent="0.3">
      <c r="A10" s="131" t="s">
        <v>61</v>
      </c>
      <c r="B10" s="134">
        <f>RespondentBurdenSUMbySector!H46</f>
        <v>11470000</v>
      </c>
      <c r="D10" s="131" t="s">
        <v>61</v>
      </c>
      <c r="E10" s="410">
        <f>RespondentBurdenSUMbySector!Q46</f>
        <v>33100000</v>
      </c>
      <c r="G10" s="140" t="s">
        <v>62</v>
      </c>
      <c r="H10" s="403">
        <v>29</v>
      </c>
      <c r="I10" s="403">
        <v>80</v>
      </c>
      <c r="L10" s="1"/>
    </row>
    <row r="11" spans="1:12" x14ac:dyDescent="0.25">
      <c r="A11" s="131" t="s">
        <v>63</v>
      </c>
      <c r="B11" s="134">
        <f>RespondentBurdenSUMbySector!H47</f>
        <v>3823000</v>
      </c>
      <c r="D11" s="131" t="s">
        <v>63</v>
      </c>
      <c r="E11" s="410">
        <f>RespondentBurdenSUMbySector!Q47</f>
        <v>11033000</v>
      </c>
      <c r="H11" s="137"/>
      <c r="I11" s="137"/>
    </row>
    <row r="12" spans="1:12" x14ac:dyDescent="0.25">
      <c r="A12" s="131" t="s">
        <v>64</v>
      </c>
      <c r="B12" s="507">
        <f>SUM($I$5:$I$10)</f>
        <v>3328</v>
      </c>
      <c r="D12" s="131" t="s">
        <v>64</v>
      </c>
      <c r="E12" s="507">
        <f>SUM($I$5:$I$10)</f>
        <v>3328</v>
      </c>
    </row>
    <row r="13" spans="1:12" x14ac:dyDescent="0.25">
      <c r="A13" s="131" t="s">
        <v>65</v>
      </c>
      <c r="B13" s="369">
        <v>20</v>
      </c>
      <c r="D13" s="131" t="s">
        <v>65</v>
      </c>
      <c r="E13" s="369">
        <v>20</v>
      </c>
    </row>
    <row r="14" spans="1:12" x14ac:dyDescent="0.25">
      <c r="D14" s="135"/>
      <c r="E14" s="369"/>
    </row>
    <row r="15" spans="1:12" x14ac:dyDescent="0.25">
      <c r="A15" s="131" t="s">
        <v>66</v>
      </c>
      <c r="B15" s="141">
        <f>B4/B12</f>
        <v>3.4497270442708325</v>
      </c>
      <c r="C15" s="369"/>
      <c r="D15" s="131" t="s">
        <v>66</v>
      </c>
      <c r="E15" s="404">
        <f>E4/E12</f>
        <v>21.66665208120493</v>
      </c>
    </row>
    <row r="16" spans="1:12" x14ac:dyDescent="0.25">
      <c r="A16" s="131" t="s">
        <v>67</v>
      </c>
      <c r="B16" s="141"/>
      <c r="C16" s="369"/>
      <c r="D16" s="131" t="s">
        <v>67</v>
      </c>
      <c r="E16" s="404"/>
    </row>
    <row r="17" spans="1:7" x14ac:dyDescent="0.25">
      <c r="A17" s="131" t="s">
        <v>68</v>
      </c>
      <c r="B17" s="141">
        <f>B5/B13</f>
        <v>18.328700000000001</v>
      </c>
      <c r="C17" s="369"/>
      <c r="D17" s="131" t="s">
        <v>68</v>
      </c>
      <c r="E17" s="404">
        <f>E5/E13</f>
        <v>492.98899391666674</v>
      </c>
    </row>
    <row r="18" spans="1:7" x14ac:dyDescent="0.25">
      <c r="A18" s="131" t="s">
        <v>69</v>
      </c>
      <c r="B18" s="141"/>
      <c r="C18" s="369"/>
      <c r="D18" s="131" t="s">
        <v>69</v>
      </c>
      <c r="E18" s="404"/>
    </row>
    <row r="19" spans="1:7" x14ac:dyDescent="0.25">
      <c r="A19" s="131" t="s">
        <v>70</v>
      </c>
      <c r="B19" s="133">
        <f>('RI-Y1'!$F$60+'RI-Y2'!$F$59+'RI-Y3'!$F$60+'II-Y1'!$F$55+'II-Y2'!$F$49+'II-Y3'!$F$53+'CI-Y1'!$F$63+'CI-Y2'!$F$62+'CI-Y3'!$F$63+'SI-Y1'!$F$61+'SI-Y2'!$F$60+'SI-Y3'!$F$61+'MWCI-Y1'!$F$49+'MWCI-Y2'!$F$48+'MWCI-Y3'!$F$49+'BPPI-Y1'!$F$49+'BPPI-Y2'!$F$48+'BPPI-Y3'!$F$51)/3</f>
        <v>2374.5349500000007</v>
      </c>
      <c r="C19" s="369"/>
      <c r="D19" s="131" t="s">
        <v>70</v>
      </c>
      <c r="E19" s="405">
        <f>'RI-Y4'!F59+'RI-Y5'!F59+'RI-Y6'!F59+'CI-Y4'!F62+'CI-Y5'!F62+'CI-Y6'!F62+'II-Y4'!F55+'II-Y5'!F54+'II-Y6'!F54+'SI-Y4'!F60+'SI-Y5'!F60+'SI-Y6'!F60+'MWCI-Y4'!F48+'MWCI-Y5'!F48+'MWCI-Y6'!F48+'BPPI-Y4'!F50+'BPPI-Y5'!F50+'BPPI-Y6'!F50</f>
        <v>103459.05278375003</v>
      </c>
      <c r="G19">
        <v>13</v>
      </c>
    </row>
    <row r="20" spans="1:7" x14ac:dyDescent="0.25">
      <c r="A20" s="131" t="s">
        <v>71</v>
      </c>
      <c r="B20" s="148">
        <f>('RI-Y1'!$F$36+'RI-Y2'!$F$35+'RI-Y3'!$F$36+'II-Y1'!$F$40+'II-Y2'!$F$34+'II-Y3'!$F$38+'CI-Y1'!$F$46+'CI-Y2'!$F$45+'CI-Y3'!$F$46+'SI-Y1'!$F$44+'SI-Y2'!$F$43+'SI-Y3'!$F$44+'MWCI-Y1'!$F$34+'MWCI-Y2'!$F$33+'MWCI-Y3'!$F$34+'BPPI-Y1'!$F$34+'BPPI-Y2'!$F$33+'BPPI-Y3'!$F$36)/3</f>
        <v>9116.2686533333344</v>
      </c>
      <c r="C20" s="369"/>
      <c r="D20" s="131" t="s">
        <v>71</v>
      </c>
      <c r="E20" s="406">
        <f>'RI-Y4'!F35+'RI-Y5'!F35+'RI-Y6'!F35+'CI-Y4'!F45+'CI-Y5'!F45+'CI-Y6'!F45+'II-Y4'!F40+'II-Y5'!F39+'II-Y6'!F39+'SI-Y4'!F43+'SI-Y5'!F43+'SI-Y6'!F43+'MWCI-Y4'!F33+'MWCI-Y5'!F33+'MWCI-Y6'!F33+'BPPI-Y4'!F35+'BPPI-Y5'!F35+'BPPI-Y6'!F35</f>
        <v>111026.85154499998</v>
      </c>
    </row>
    <row r="21" spans="1:7" x14ac:dyDescent="0.25">
      <c r="B21" s="133"/>
      <c r="C21" s="369"/>
      <c r="D21" s="135"/>
      <c r="E21" s="405"/>
    </row>
    <row r="22" spans="1:7" x14ac:dyDescent="0.25">
      <c r="A22" s="135" t="s">
        <v>72</v>
      </c>
      <c r="B22" s="133">
        <f>RespondentBurdenSUMbySector!$B$49</f>
        <v>45869.349199999997</v>
      </c>
      <c r="C22" s="369"/>
      <c r="D22" s="135" t="s">
        <v>72</v>
      </c>
      <c r="E22" s="405">
        <f>RespondentBurdenSUMbySector!$K$49</f>
        <v>1158900.7554000001</v>
      </c>
    </row>
    <row r="23" spans="1:7" x14ac:dyDescent="0.25">
      <c r="A23" s="135" t="s">
        <v>73</v>
      </c>
      <c r="B23" s="405">
        <f>B22/3</f>
        <v>15289.783066666665</v>
      </c>
      <c r="C23" s="369"/>
      <c r="D23" s="135" t="s">
        <v>73</v>
      </c>
      <c r="E23" s="405">
        <f>E22/3</f>
        <v>386300.25180000003</v>
      </c>
    </row>
    <row r="24" spans="1:7" x14ac:dyDescent="0.25">
      <c r="E24" s="407"/>
    </row>
    <row r="28" spans="1:7" x14ac:dyDescent="0.25">
      <c r="D28" s="376"/>
    </row>
    <row r="31" spans="1:7" x14ac:dyDescent="0.25">
      <c r="E31" s="405"/>
    </row>
  </sheetData>
  <mergeCells count="2">
    <mergeCell ref="A3:B3"/>
    <mergeCell ref="D3:E3"/>
  </mergeCells>
  <phoneticPr fontId="9" type="noConversion"/>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5CD7-4B48-4076-B6CF-56987A93CCB0}">
  <sheetPr>
    <pageSetUpPr fitToPage="1"/>
  </sheetPr>
  <dimension ref="A1:O71"/>
  <sheetViews>
    <sheetView zoomScale="80" zoomScaleNormal="80" workbookViewId="0">
      <pane xSplit="9" ySplit="5" topLeftCell="K42" activePane="bottomRight" state="frozen"/>
      <selection activeCell="A25" sqref="A25:I25"/>
      <selection pane="topRight" activeCell="A25" sqref="A25:I25"/>
      <selection pane="bottomLeft" activeCell="A25" sqref="A25:I25"/>
      <selection pane="bottomRight" activeCell="H12" sqref="H12"/>
    </sheetView>
  </sheetViews>
  <sheetFormatPr defaultColWidth="9.1796875" defaultRowHeight="13" x14ac:dyDescent="0.3"/>
  <cols>
    <col min="1" max="1" width="23.72656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0.179687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320</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59" si="0">C7*E7</f>
        <v>0</v>
      </c>
    </row>
    <row r="8" spans="1:14" ht="56.15" customHeight="1" x14ac:dyDescent="0.3">
      <c r="A8" s="259" t="s">
        <v>127</v>
      </c>
      <c r="B8" s="257">
        <v>0</v>
      </c>
      <c r="C8" s="159">
        <v>0</v>
      </c>
      <c r="D8" s="257">
        <f>B8*C8</f>
        <v>0</v>
      </c>
      <c r="E8" s="159">
        <f>L14</f>
        <v>0</v>
      </c>
      <c r="F8" s="257">
        <f>D8*E8</f>
        <v>0</v>
      </c>
      <c r="G8" s="257">
        <f>F8*0.05</f>
        <v>0</v>
      </c>
      <c r="H8" s="257">
        <f>F8*0.1</f>
        <v>0</v>
      </c>
      <c r="I8" s="262">
        <f>F8*$L$8+G8*$L$7+H8*$L$9</f>
        <v>0</v>
      </c>
      <c r="K8" s="157" t="s">
        <v>128</v>
      </c>
      <c r="L8" s="195">
        <f>60.8*2.1</f>
        <v>127.67999999999999</v>
      </c>
      <c r="M8" s="198"/>
      <c r="N8" s="188">
        <f t="shared" si="0"/>
        <v>0</v>
      </c>
    </row>
    <row r="9" spans="1:14" ht="26" x14ac:dyDescent="0.3">
      <c r="A9" s="259" t="s">
        <v>129</v>
      </c>
      <c r="B9" s="257"/>
      <c r="C9" s="159"/>
      <c r="D9" s="257"/>
      <c r="E9" s="159"/>
      <c r="F9" s="257"/>
      <c r="G9" s="257"/>
      <c r="H9" s="257"/>
      <c r="I9" s="261"/>
      <c r="K9" s="157" t="s">
        <v>130</v>
      </c>
      <c r="L9" s="195">
        <f>30.58*2.1</f>
        <v>64.218000000000004</v>
      </c>
      <c r="M9" s="198"/>
      <c r="N9" s="188">
        <f t="shared" si="0"/>
        <v>0</v>
      </c>
    </row>
    <row r="10" spans="1:14" ht="26" x14ac:dyDescent="0.3">
      <c r="A10" s="303" t="s">
        <v>132</v>
      </c>
      <c r="B10" s="257">
        <v>0</v>
      </c>
      <c r="C10" s="159">
        <v>0</v>
      </c>
      <c r="D10" s="257">
        <f>B10*C10</f>
        <v>0</v>
      </c>
      <c r="E10" s="159">
        <v>0</v>
      </c>
      <c r="F10" s="257">
        <f>D10*E10</f>
        <v>0</v>
      </c>
      <c r="G10" s="257">
        <f>F10*0.05</f>
        <v>0</v>
      </c>
      <c r="H10" s="257">
        <f>F10*0.1</f>
        <v>0</v>
      </c>
      <c r="I10" s="263">
        <f>F10*$L$8+G10*$L$7+H10*$L$9</f>
        <v>0</v>
      </c>
      <c r="K10" s="264"/>
      <c r="N10" s="188">
        <f t="shared" si="0"/>
        <v>0</v>
      </c>
    </row>
    <row r="11" spans="1:14" ht="24.65" customHeight="1" x14ac:dyDescent="0.3">
      <c r="A11" s="303" t="s">
        <v>289</v>
      </c>
      <c r="B11" s="257">
        <v>0</v>
      </c>
      <c r="C11" s="159">
        <v>0</v>
      </c>
      <c r="D11" s="257">
        <f>B11*C11</f>
        <v>0</v>
      </c>
      <c r="E11" s="159">
        <v>0</v>
      </c>
      <c r="F11" s="257">
        <f>D11*E11</f>
        <v>0</v>
      </c>
      <c r="G11" s="257">
        <f>F11*0.05</f>
        <v>0</v>
      </c>
      <c r="H11" s="257">
        <f>F11*0.1</f>
        <v>0</v>
      </c>
      <c r="I11" s="263">
        <f>F11*$L$8+G11*$L$7+H11*$L$9</f>
        <v>0</v>
      </c>
      <c r="K11" s="264"/>
      <c r="N11" s="188">
        <f t="shared" si="0"/>
        <v>0</v>
      </c>
    </row>
    <row r="12" spans="1:14" ht="15.75" customHeight="1" x14ac:dyDescent="0.3">
      <c r="A12" s="303" t="s">
        <v>133</v>
      </c>
      <c r="B12" s="257"/>
      <c r="C12" s="159"/>
      <c r="D12" s="257"/>
      <c r="E12" s="159"/>
      <c r="F12" s="257"/>
      <c r="G12" s="257"/>
      <c r="H12" s="257"/>
      <c r="I12" s="263"/>
      <c r="N12" s="188">
        <f t="shared" si="0"/>
        <v>0</v>
      </c>
    </row>
    <row r="13" spans="1:14" ht="15.5" x14ac:dyDescent="0.3">
      <c r="A13" s="304" t="s">
        <v>290</v>
      </c>
      <c r="B13" s="257"/>
      <c r="C13" s="159"/>
      <c r="D13" s="257"/>
      <c r="E13" s="266"/>
      <c r="F13" s="267"/>
      <c r="G13" s="257"/>
      <c r="H13" s="257"/>
      <c r="I13" s="263"/>
      <c r="K13" s="265"/>
      <c r="L13" s="265" t="s">
        <v>291</v>
      </c>
      <c r="N13" s="188">
        <f t="shared" si="0"/>
        <v>0</v>
      </c>
    </row>
    <row r="14" spans="1:14" ht="25" customHeight="1" x14ac:dyDescent="0.3">
      <c r="A14" s="253" t="s">
        <v>292</v>
      </c>
      <c r="B14" s="257">
        <v>0</v>
      </c>
      <c r="C14" s="159">
        <v>0</v>
      </c>
      <c r="D14" s="257">
        <f>B14*C14</f>
        <v>0</v>
      </c>
      <c r="E14" s="266">
        <v>0</v>
      </c>
      <c r="F14" s="267">
        <f>D14*E14</f>
        <v>0</v>
      </c>
      <c r="G14" s="257">
        <f>F14*0.05</f>
        <v>0</v>
      </c>
      <c r="H14" s="257">
        <f>F14*0.1</f>
        <v>0</v>
      </c>
      <c r="I14" s="263">
        <f>F14*$L$8+G14*$L$7+H14*$L$9</f>
        <v>0</v>
      </c>
      <c r="K14" s="265"/>
      <c r="L14" s="265">
        <v>0</v>
      </c>
      <c r="N14" s="188">
        <f t="shared" si="0"/>
        <v>0</v>
      </c>
    </row>
    <row r="15" spans="1:14" ht="26" x14ac:dyDescent="0.3">
      <c r="A15" s="253" t="s">
        <v>293</v>
      </c>
      <c r="B15" s="257">
        <v>0</v>
      </c>
      <c r="C15" s="159">
        <v>0</v>
      </c>
      <c r="D15" s="257">
        <f t="shared" ref="D15" si="1">B15*C15</f>
        <v>0</v>
      </c>
      <c r="E15" s="266">
        <f>E14*0.05</f>
        <v>0</v>
      </c>
      <c r="F15" s="267">
        <f t="shared" ref="F15:F23" si="2">D15*E15</f>
        <v>0</v>
      </c>
      <c r="G15" s="257">
        <f t="shared" ref="G15:G23" si="3">F15*0.05</f>
        <v>0</v>
      </c>
      <c r="H15" s="257">
        <f t="shared" ref="H15:H23" si="4">F15*0.1</f>
        <v>0</v>
      </c>
      <c r="I15" s="263">
        <f t="shared" ref="I15:I23" si="5">F15*$L$8+G15*$L$7+H15*$L$9</f>
        <v>0</v>
      </c>
      <c r="J15" s="264"/>
      <c r="K15" s="265" t="s">
        <v>136</v>
      </c>
      <c r="L15" s="265">
        <f>L14+L16*0.07</f>
        <v>5.53</v>
      </c>
      <c r="M15" s="264" t="s">
        <v>294</v>
      </c>
      <c r="N15" s="188">
        <f t="shared" si="0"/>
        <v>0</v>
      </c>
    </row>
    <row r="16" spans="1:14" ht="26" x14ac:dyDescent="0.3">
      <c r="A16" s="301" t="s">
        <v>321</v>
      </c>
      <c r="B16" s="257">
        <v>0</v>
      </c>
      <c r="C16" s="159">
        <v>0</v>
      </c>
      <c r="D16" s="73">
        <f>B16*C16</f>
        <v>0</v>
      </c>
      <c r="E16" s="266">
        <f t="shared" ref="E16:E17" si="6">E15*0.05</f>
        <v>0</v>
      </c>
      <c r="F16" s="267">
        <f t="shared" ref="F16:F17" si="7">D16*E16</f>
        <v>0</v>
      </c>
      <c r="G16" s="257">
        <f t="shared" ref="G16:G17" si="8">F16*0.05</f>
        <v>0</v>
      </c>
      <c r="H16" s="257">
        <f t="shared" ref="H16:H17" si="9">F16*0.1</f>
        <v>0</v>
      </c>
      <c r="I16" s="263">
        <f t="shared" ref="I16:I17" si="10">F16*$L$8+G16*$L$7+H16*$L$9</f>
        <v>0</v>
      </c>
      <c r="J16" s="264"/>
      <c r="K16" s="265" t="s">
        <v>141</v>
      </c>
      <c r="L16" s="265">
        <v>79</v>
      </c>
      <c r="N16" s="188">
        <f t="shared" si="0"/>
        <v>0</v>
      </c>
    </row>
    <row r="17" spans="1:14" ht="26" x14ac:dyDescent="0.3">
      <c r="A17" s="301" t="s">
        <v>296</v>
      </c>
      <c r="B17" s="257">
        <v>0</v>
      </c>
      <c r="C17" s="159">
        <v>0</v>
      </c>
      <c r="D17" s="73">
        <f t="shared" ref="D17" si="11">B17*C17</f>
        <v>0</v>
      </c>
      <c r="E17" s="266">
        <f t="shared" si="6"/>
        <v>0</v>
      </c>
      <c r="F17" s="267">
        <f t="shared" si="7"/>
        <v>0</v>
      </c>
      <c r="G17" s="257">
        <f t="shared" si="8"/>
        <v>0</v>
      </c>
      <c r="H17" s="257">
        <f t="shared" si="9"/>
        <v>0</v>
      </c>
      <c r="I17" s="263">
        <f t="shared" si="10"/>
        <v>0</v>
      </c>
      <c r="J17" s="264"/>
      <c r="N17" s="188">
        <f t="shared" si="0"/>
        <v>0</v>
      </c>
    </row>
    <row r="18" spans="1:14" ht="28.5" x14ac:dyDescent="0.3">
      <c r="A18" s="306" t="s">
        <v>297</v>
      </c>
      <c r="B18" s="74"/>
      <c r="C18" s="74"/>
      <c r="D18" s="73"/>
      <c r="E18" s="266"/>
      <c r="F18" s="267"/>
      <c r="G18" s="257"/>
      <c r="H18" s="257"/>
      <c r="I18" s="263"/>
      <c r="J18" s="264"/>
      <c r="N18" s="188">
        <f t="shared" si="0"/>
        <v>0</v>
      </c>
    </row>
    <row r="19" spans="1:14" ht="26" x14ac:dyDescent="0.3">
      <c r="A19" s="301" t="s">
        <v>295</v>
      </c>
      <c r="B19" s="257">
        <v>0</v>
      </c>
      <c r="C19" s="159">
        <v>0</v>
      </c>
      <c r="D19" s="73">
        <f>B19*C19</f>
        <v>0</v>
      </c>
      <c r="E19" s="266">
        <f t="shared" ref="E19:E20" si="12">E18*0.05</f>
        <v>0</v>
      </c>
      <c r="F19" s="267">
        <f t="shared" ref="F19:F20" si="13">D19*E19</f>
        <v>0</v>
      </c>
      <c r="G19" s="257">
        <f t="shared" ref="G19:G20" si="14">F19*0.05</f>
        <v>0</v>
      </c>
      <c r="H19" s="257">
        <f t="shared" ref="H19:H20" si="15">F19*0.1</f>
        <v>0</v>
      </c>
      <c r="I19" s="263">
        <f t="shared" ref="I19:I20" si="16">F19*$L$8+G19*$L$7+H19*$L$9</f>
        <v>0</v>
      </c>
      <c r="J19" s="264"/>
      <c r="N19" s="188">
        <f t="shared" si="0"/>
        <v>0</v>
      </c>
    </row>
    <row r="20" spans="1:14" ht="26" x14ac:dyDescent="0.3">
      <c r="A20" s="301" t="s">
        <v>296</v>
      </c>
      <c r="B20" s="257">
        <v>0</v>
      </c>
      <c r="C20" s="159">
        <v>0</v>
      </c>
      <c r="D20" s="73">
        <f t="shared" ref="D20" si="17">B20*C20</f>
        <v>0</v>
      </c>
      <c r="E20" s="266">
        <f t="shared" si="12"/>
        <v>0</v>
      </c>
      <c r="F20" s="267">
        <f t="shared" si="13"/>
        <v>0</v>
      </c>
      <c r="G20" s="257">
        <f t="shared" si="14"/>
        <v>0</v>
      </c>
      <c r="H20" s="257">
        <f t="shared" si="15"/>
        <v>0</v>
      </c>
      <c r="I20" s="263">
        <f t="shared" si="16"/>
        <v>0</v>
      </c>
      <c r="J20" s="264"/>
      <c r="N20" s="188">
        <f t="shared" si="0"/>
        <v>0</v>
      </c>
    </row>
    <row r="21" spans="1:14" ht="28.5" x14ac:dyDescent="0.3">
      <c r="A21" s="304" t="s">
        <v>298</v>
      </c>
      <c r="B21" s="257"/>
      <c r="C21" s="159"/>
      <c r="D21" s="257"/>
      <c r="E21" s="159"/>
      <c r="F21" s="267"/>
      <c r="G21" s="257"/>
      <c r="H21" s="257"/>
      <c r="I21" s="263"/>
      <c r="M21" s="264"/>
      <c r="N21" s="188">
        <f t="shared" si="0"/>
        <v>0</v>
      </c>
    </row>
    <row r="22" spans="1:14" ht="26" x14ac:dyDescent="0.3">
      <c r="A22" s="303" t="s">
        <v>299</v>
      </c>
      <c r="B22" s="257">
        <v>0</v>
      </c>
      <c r="C22" s="159">
        <v>0</v>
      </c>
      <c r="D22" s="257">
        <f>B22*C22</f>
        <v>0</v>
      </c>
      <c r="E22" s="266">
        <v>0</v>
      </c>
      <c r="F22" s="267">
        <f t="shared" si="2"/>
        <v>0</v>
      </c>
      <c r="G22" s="257">
        <f t="shared" si="3"/>
        <v>0</v>
      </c>
      <c r="H22" s="257">
        <f t="shared" si="4"/>
        <v>0</v>
      </c>
      <c r="I22" s="263">
        <f t="shared" si="5"/>
        <v>0</v>
      </c>
      <c r="J22" s="198"/>
      <c r="N22" s="188">
        <f t="shared" si="0"/>
        <v>0</v>
      </c>
    </row>
    <row r="23" spans="1:14" x14ac:dyDescent="0.3">
      <c r="A23" s="303" t="s">
        <v>300</v>
      </c>
      <c r="B23" s="257">
        <v>0</v>
      </c>
      <c r="C23" s="159">
        <v>0</v>
      </c>
      <c r="D23" s="257">
        <f t="shared" ref="D23" si="18">B23*C23</f>
        <v>0</v>
      </c>
      <c r="E23" s="266">
        <f>E22*0.05</f>
        <v>0</v>
      </c>
      <c r="F23" s="267">
        <f t="shared" si="2"/>
        <v>0</v>
      </c>
      <c r="G23" s="257">
        <f t="shared" si="3"/>
        <v>0</v>
      </c>
      <c r="H23" s="257">
        <f t="shared" si="4"/>
        <v>0</v>
      </c>
      <c r="I23" s="263">
        <f t="shared" si="5"/>
        <v>0</v>
      </c>
      <c r="J23" s="198"/>
      <c r="N23" s="188">
        <f t="shared" si="0"/>
        <v>0</v>
      </c>
    </row>
    <row r="24" spans="1:14" ht="28.5" x14ac:dyDescent="0.3">
      <c r="A24" s="306" t="s">
        <v>151</v>
      </c>
      <c r="B24" s="92"/>
      <c r="C24" s="93"/>
      <c r="D24" s="92"/>
      <c r="E24" s="266"/>
      <c r="F24" s="267"/>
      <c r="G24" s="257"/>
      <c r="H24" s="257"/>
      <c r="I24" s="263"/>
      <c r="J24" s="198"/>
      <c r="N24" s="188">
        <f t="shared" si="0"/>
        <v>0</v>
      </c>
    </row>
    <row r="25" spans="1:14" x14ac:dyDescent="0.3">
      <c r="A25" s="301"/>
      <c r="B25" s="73"/>
      <c r="C25" s="74"/>
      <c r="D25" s="73"/>
      <c r="E25" s="266"/>
      <c r="F25" s="267"/>
      <c r="G25" s="257"/>
      <c r="H25" s="257"/>
      <c r="I25" s="263"/>
      <c r="J25" s="198"/>
      <c r="N25" s="188">
        <f t="shared" si="0"/>
        <v>0</v>
      </c>
    </row>
    <row r="26" spans="1:14" x14ac:dyDescent="0.3">
      <c r="A26" s="301"/>
      <c r="B26" s="73"/>
      <c r="C26" s="74"/>
      <c r="D26" s="73"/>
      <c r="E26" s="266"/>
      <c r="F26" s="267"/>
      <c r="G26" s="257"/>
      <c r="H26" s="257"/>
      <c r="I26" s="263"/>
      <c r="J26" s="198"/>
      <c r="N26" s="188">
        <f t="shared" si="0"/>
        <v>0</v>
      </c>
    </row>
    <row r="27" spans="1:14" ht="26" x14ac:dyDescent="0.3">
      <c r="A27" s="301" t="s">
        <v>155</v>
      </c>
      <c r="B27" s="73"/>
      <c r="C27" s="77"/>
      <c r="D27" s="78"/>
      <c r="E27" s="266"/>
      <c r="F27" s="267"/>
      <c r="G27" s="257"/>
      <c r="H27" s="257"/>
      <c r="I27" s="263"/>
      <c r="J27" s="198"/>
      <c r="N27" s="188">
        <f t="shared" si="0"/>
        <v>0</v>
      </c>
    </row>
    <row r="28" spans="1:14" ht="26" x14ac:dyDescent="0.3">
      <c r="A28" s="301" t="s">
        <v>156</v>
      </c>
      <c r="B28" s="73"/>
      <c r="C28" s="77"/>
      <c r="D28" s="78"/>
      <c r="E28" s="266"/>
      <c r="F28" s="267"/>
      <c r="G28" s="257"/>
      <c r="H28" s="257"/>
      <c r="I28" s="263"/>
      <c r="J28" s="198"/>
      <c r="N28" s="188">
        <f t="shared" si="0"/>
        <v>0</v>
      </c>
    </row>
    <row r="29" spans="1:14" x14ac:dyDescent="0.3">
      <c r="A29" s="301" t="s">
        <v>157</v>
      </c>
      <c r="B29" s="78"/>
      <c r="C29" s="77"/>
      <c r="D29" s="78"/>
      <c r="E29" s="266"/>
      <c r="F29" s="267"/>
      <c r="G29" s="257"/>
      <c r="H29" s="257"/>
      <c r="I29" s="263"/>
      <c r="J29" s="198"/>
      <c r="N29" s="188">
        <f t="shared" si="0"/>
        <v>0</v>
      </c>
    </row>
    <row r="30" spans="1:14" ht="26.15" customHeight="1" x14ac:dyDescent="0.3">
      <c r="A30" s="305" t="s">
        <v>301</v>
      </c>
      <c r="B30" s="257"/>
      <c r="C30" s="159"/>
      <c r="D30" s="257"/>
      <c r="E30" s="266"/>
      <c r="F30" s="257"/>
      <c r="G30" s="257"/>
      <c r="H30" s="257"/>
      <c r="I30" s="263"/>
      <c r="N30" s="188">
        <f t="shared" si="0"/>
        <v>0</v>
      </c>
    </row>
    <row r="31" spans="1:14" ht="26.15" customHeight="1" x14ac:dyDescent="0.3">
      <c r="A31" s="303" t="s">
        <v>160</v>
      </c>
      <c r="B31" s="257">
        <v>0</v>
      </c>
      <c r="C31" s="159">
        <v>0</v>
      </c>
      <c r="D31" s="257">
        <f>B31*C31</f>
        <v>0</v>
      </c>
      <c r="E31" s="266">
        <f>E14</f>
        <v>0</v>
      </c>
      <c r="F31" s="257">
        <f t="shared" ref="F31:F32" si="19">D31*E31</f>
        <v>0</v>
      </c>
      <c r="G31" s="257">
        <f t="shared" ref="G31:G32" si="20">F31*0.05</f>
        <v>0</v>
      </c>
      <c r="H31" s="257">
        <f t="shared" ref="H31:H32" si="21">F31*0.1</f>
        <v>0</v>
      </c>
      <c r="I31" s="263">
        <f t="shared" ref="I31:I32" si="22">F31*$L$8+G31*$L$7+H31*$L$9</f>
        <v>0</v>
      </c>
      <c r="N31" s="188">
        <f t="shared" si="0"/>
        <v>0</v>
      </c>
    </row>
    <row r="32" spans="1:14" ht="39" x14ac:dyDescent="0.3">
      <c r="A32" s="303" t="s">
        <v>302</v>
      </c>
      <c r="B32" s="257">
        <v>0</v>
      </c>
      <c r="C32" s="159">
        <v>0</v>
      </c>
      <c r="D32" s="257">
        <f>B32*C32</f>
        <v>0</v>
      </c>
      <c r="E32" s="266">
        <f>E14</f>
        <v>0</v>
      </c>
      <c r="F32" s="257">
        <f t="shared" si="19"/>
        <v>0</v>
      </c>
      <c r="G32" s="257">
        <f t="shared" si="20"/>
        <v>0</v>
      </c>
      <c r="H32" s="257">
        <f t="shared" si="21"/>
        <v>0</v>
      </c>
      <c r="I32" s="263">
        <f t="shared" si="22"/>
        <v>0</v>
      </c>
      <c r="N32" s="188">
        <f t="shared" si="0"/>
        <v>0</v>
      </c>
    </row>
    <row r="33" spans="1:14" ht="26" x14ac:dyDescent="0.3">
      <c r="A33" s="301" t="s">
        <v>212</v>
      </c>
      <c r="B33" s="257">
        <v>0</v>
      </c>
      <c r="C33" s="159">
        <v>0</v>
      </c>
      <c r="D33" s="257">
        <f t="shared" ref="D33:D35" si="23">B33*C33</f>
        <v>0</v>
      </c>
      <c r="E33" s="266">
        <f t="shared" ref="E33:E35" si="24">E15</f>
        <v>0</v>
      </c>
      <c r="F33" s="257">
        <f t="shared" ref="F33:F35" si="25">D33*E33</f>
        <v>0</v>
      </c>
      <c r="G33" s="257">
        <f t="shared" ref="G33:G35" si="26">F33*0.05</f>
        <v>0</v>
      </c>
      <c r="H33" s="257">
        <f t="shared" ref="H33:H35" si="27">F33*0.1</f>
        <v>0</v>
      </c>
      <c r="I33" s="263">
        <f t="shared" ref="I33:I35" si="28">F33*$L$8+G33*$L$7+H33*$L$9</f>
        <v>0</v>
      </c>
      <c r="N33" s="188">
        <f t="shared" si="0"/>
        <v>0</v>
      </c>
    </row>
    <row r="34" spans="1:14" ht="39" x14ac:dyDescent="0.3">
      <c r="A34" s="301" t="s">
        <v>303</v>
      </c>
      <c r="B34" s="257">
        <v>0</v>
      </c>
      <c r="C34" s="159">
        <v>0</v>
      </c>
      <c r="D34" s="257">
        <f t="shared" si="23"/>
        <v>0</v>
      </c>
      <c r="E34" s="266">
        <f t="shared" si="24"/>
        <v>0</v>
      </c>
      <c r="F34" s="257">
        <f t="shared" si="25"/>
        <v>0</v>
      </c>
      <c r="G34" s="257">
        <f t="shared" si="26"/>
        <v>0</v>
      </c>
      <c r="H34" s="257">
        <f t="shared" si="27"/>
        <v>0</v>
      </c>
      <c r="I34" s="263">
        <f t="shared" si="28"/>
        <v>0</v>
      </c>
      <c r="N34" s="188">
        <f t="shared" si="0"/>
        <v>0</v>
      </c>
    </row>
    <row r="35" spans="1:14" ht="24" customHeight="1" x14ac:dyDescent="0.3">
      <c r="A35" s="301" t="s">
        <v>304</v>
      </c>
      <c r="B35" s="257">
        <v>0</v>
      </c>
      <c r="C35" s="159">
        <v>0</v>
      </c>
      <c r="D35" s="257">
        <f t="shared" si="23"/>
        <v>0</v>
      </c>
      <c r="E35" s="266">
        <f t="shared" si="24"/>
        <v>0</v>
      </c>
      <c r="F35" s="257">
        <f t="shared" si="25"/>
        <v>0</v>
      </c>
      <c r="G35" s="257">
        <f t="shared" si="26"/>
        <v>0</v>
      </c>
      <c r="H35" s="257">
        <f t="shared" si="27"/>
        <v>0</v>
      </c>
      <c r="I35" s="263">
        <f t="shared" si="28"/>
        <v>0</v>
      </c>
      <c r="N35" s="188">
        <f t="shared" si="0"/>
        <v>0</v>
      </c>
    </row>
    <row r="36" spans="1:14" ht="39" x14ac:dyDescent="0.3">
      <c r="A36" s="303" t="s">
        <v>166</v>
      </c>
      <c r="B36" s="257">
        <v>0</v>
      </c>
      <c r="C36" s="159">
        <v>0</v>
      </c>
      <c r="D36" s="257">
        <f>B36*C36</f>
        <v>0</v>
      </c>
      <c r="E36" s="266">
        <f>E15</f>
        <v>0</v>
      </c>
      <c r="F36" s="257">
        <f t="shared" ref="F36" si="29">D36*E36</f>
        <v>0</v>
      </c>
      <c r="G36" s="257">
        <f t="shared" ref="G36" si="30">F36*0.05</f>
        <v>0</v>
      </c>
      <c r="H36" s="257">
        <f t="shared" ref="H36" si="31">F36*0.1</f>
        <v>0</v>
      </c>
      <c r="I36" s="263">
        <f t="shared" ref="I36" si="32">F36*$L$8+G36*$L$7+H36*$L$9</f>
        <v>0</v>
      </c>
      <c r="N36" s="188">
        <f t="shared" si="0"/>
        <v>0</v>
      </c>
    </row>
    <row r="37" spans="1:14" x14ac:dyDescent="0.3">
      <c r="A37" s="305" t="s">
        <v>306</v>
      </c>
      <c r="B37" s="261"/>
      <c r="C37" s="260"/>
      <c r="D37" s="261"/>
      <c r="E37" s="268"/>
      <c r="F37" s="261"/>
      <c r="G37" s="261"/>
      <c r="H37" s="261"/>
      <c r="I37" s="261"/>
      <c r="N37" s="188">
        <f t="shared" si="0"/>
        <v>0</v>
      </c>
    </row>
    <row r="38" spans="1:14" ht="26" x14ac:dyDescent="0.3">
      <c r="A38" s="303" t="s">
        <v>322</v>
      </c>
      <c r="B38" s="257">
        <v>0</v>
      </c>
      <c r="C38" s="159">
        <v>0</v>
      </c>
      <c r="D38" s="257">
        <f>B38*C38</f>
        <v>0</v>
      </c>
      <c r="E38" s="266">
        <v>0</v>
      </c>
      <c r="F38" s="257">
        <f>D38*E38</f>
        <v>0</v>
      </c>
      <c r="G38" s="257">
        <f>F38*0.05</f>
        <v>0</v>
      </c>
      <c r="H38" s="257">
        <f>F38*0.1</f>
        <v>0</v>
      </c>
      <c r="I38" s="263">
        <f>F38*$L$8+G38*$L$7+H38*$L$9</f>
        <v>0</v>
      </c>
      <c r="N38" s="188">
        <f t="shared" si="0"/>
        <v>0</v>
      </c>
    </row>
    <row r="39" spans="1:14" ht="57" customHeight="1" x14ac:dyDescent="0.3">
      <c r="A39" s="303" t="s">
        <v>323</v>
      </c>
      <c r="B39" s="257">
        <v>0</v>
      </c>
      <c r="C39" s="159">
        <v>0</v>
      </c>
      <c r="D39" s="257">
        <f>B39*C39</f>
        <v>0</v>
      </c>
      <c r="E39" s="266">
        <f>E38</f>
        <v>0</v>
      </c>
      <c r="F39" s="257">
        <f>D39*E39</f>
        <v>0</v>
      </c>
      <c r="G39" s="257">
        <f>F39*0.05</f>
        <v>0</v>
      </c>
      <c r="H39" s="257">
        <f>F39*0.1</f>
        <v>0</v>
      </c>
      <c r="I39" s="263">
        <f>F39*$L$8+G39*$L$7+H39*$L$9</f>
        <v>0</v>
      </c>
      <c r="N39" s="188">
        <f t="shared" si="0"/>
        <v>0</v>
      </c>
    </row>
    <row r="40" spans="1:14" ht="21.65" customHeight="1" x14ac:dyDescent="0.3">
      <c r="A40" s="301" t="s">
        <v>212</v>
      </c>
      <c r="B40" s="257">
        <v>0</v>
      </c>
      <c r="C40" s="159">
        <v>0</v>
      </c>
      <c r="D40" s="257">
        <f t="shared" ref="D40:D42" si="33">B40*C40</f>
        <v>0</v>
      </c>
      <c r="E40" s="266">
        <f t="shared" ref="E40:E42" si="34">E39</f>
        <v>0</v>
      </c>
      <c r="F40" s="257">
        <f t="shared" ref="F40:F42" si="35">D40*E40</f>
        <v>0</v>
      </c>
      <c r="G40" s="257">
        <f t="shared" ref="G40:G42" si="36">F40*0.05</f>
        <v>0</v>
      </c>
      <c r="H40" s="257">
        <f t="shared" ref="H40:H42" si="37">F40*0.1</f>
        <v>0</v>
      </c>
      <c r="I40" s="263">
        <f t="shared" ref="I40:I42" si="38">F40*$L$8+G40*$L$7+H40*$L$9</f>
        <v>0</v>
      </c>
      <c r="N40" s="188">
        <f t="shared" si="0"/>
        <v>0</v>
      </c>
    </row>
    <row r="41" spans="1:14" ht="24.65" customHeight="1" x14ac:dyDescent="0.3">
      <c r="A41" s="301" t="s">
        <v>303</v>
      </c>
      <c r="B41" s="257">
        <v>0</v>
      </c>
      <c r="C41" s="159">
        <v>0</v>
      </c>
      <c r="D41" s="257">
        <f t="shared" si="33"/>
        <v>0</v>
      </c>
      <c r="E41" s="266">
        <f t="shared" si="34"/>
        <v>0</v>
      </c>
      <c r="F41" s="257">
        <f t="shared" si="35"/>
        <v>0</v>
      </c>
      <c r="G41" s="257">
        <f t="shared" si="36"/>
        <v>0</v>
      </c>
      <c r="H41" s="257">
        <f t="shared" si="37"/>
        <v>0</v>
      </c>
      <c r="I41" s="263">
        <f t="shared" si="38"/>
        <v>0</v>
      </c>
      <c r="N41" s="188">
        <f t="shared" si="0"/>
        <v>0</v>
      </c>
    </row>
    <row r="42" spans="1:14" ht="22.5" customHeight="1" x14ac:dyDescent="0.3">
      <c r="A42" s="301" t="s">
        <v>309</v>
      </c>
      <c r="B42" s="257">
        <v>0</v>
      </c>
      <c r="C42" s="159">
        <v>0</v>
      </c>
      <c r="D42" s="257">
        <f t="shared" si="33"/>
        <v>0</v>
      </c>
      <c r="E42" s="266">
        <f t="shared" si="34"/>
        <v>0</v>
      </c>
      <c r="F42" s="257">
        <f t="shared" si="35"/>
        <v>0</v>
      </c>
      <c r="G42" s="257">
        <f t="shared" si="36"/>
        <v>0</v>
      </c>
      <c r="H42" s="257">
        <f t="shared" si="37"/>
        <v>0</v>
      </c>
      <c r="I42" s="263">
        <f t="shared" si="38"/>
        <v>0</v>
      </c>
      <c r="N42" s="188">
        <f t="shared" si="0"/>
        <v>0</v>
      </c>
    </row>
    <row r="43" spans="1:14" ht="22.5" customHeight="1" x14ac:dyDescent="0.3">
      <c r="A43" s="301"/>
      <c r="B43" s="73"/>
      <c r="C43" s="74"/>
      <c r="D43" s="73"/>
      <c r="E43" s="266"/>
      <c r="F43" s="257"/>
      <c r="G43" s="257"/>
      <c r="H43" s="257"/>
      <c r="I43" s="263"/>
    </row>
    <row r="44" spans="1:14" ht="65" x14ac:dyDescent="0.3">
      <c r="A44" s="303" t="s">
        <v>308</v>
      </c>
      <c r="B44" s="257">
        <v>0</v>
      </c>
      <c r="C44" s="159">
        <v>0</v>
      </c>
      <c r="D44" s="283">
        <f>B44*C44</f>
        <v>0</v>
      </c>
      <c r="E44" s="266">
        <f>E39</f>
        <v>0</v>
      </c>
      <c r="F44" s="257">
        <f>D44*E44</f>
        <v>0</v>
      </c>
      <c r="G44" s="257">
        <f>F44*0.05</f>
        <v>0</v>
      </c>
      <c r="H44" s="257">
        <f>F44*0.1</f>
        <v>0</v>
      </c>
      <c r="I44" s="263">
        <f>F44*$L$8+G44*$L$7+H44*$L$9</f>
        <v>0</v>
      </c>
      <c r="N44" s="188">
        <f t="shared" si="0"/>
        <v>0</v>
      </c>
    </row>
    <row r="45" spans="1:14" ht="27" x14ac:dyDescent="0.3">
      <c r="A45" s="269" t="s">
        <v>167</v>
      </c>
      <c r="B45" s="270"/>
      <c r="C45" s="271"/>
      <c r="D45" s="270"/>
      <c r="E45" s="272"/>
      <c r="F45" s="273">
        <f>SUM(F8:H44)</f>
        <v>0</v>
      </c>
      <c r="G45" s="273"/>
      <c r="H45" s="273"/>
      <c r="I45" s="274">
        <f>SUM(I8:I44)</f>
        <v>0</v>
      </c>
      <c r="N45" s="188">
        <f t="shared" si="0"/>
        <v>0</v>
      </c>
    </row>
    <row r="46" spans="1:14" ht="26" x14ac:dyDescent="0.3">
      <c r="A46" s="259" t="s">
        <v>168</v>
      </c>
      <c r="B46" s="261"/>
      <c r="C46" s="260"/>
      <c r="D46" s="261"/>
      <c r="E46" s="268"/>
      <c r="F46" s="261"/>
      <c r="G46" s="261"/>
      <c r="H46" s="261"/>
      <c r="I46" s="261"/>
      <c r="N46" s="188">
        <f t="shared" si="0"/>
        <v>0</v>
      </c>
    </row>
    <row r="47" spans="1:14" ht="26" x14ac:dyDescent="0.3">
      <c r="A47" s="303" t="s">
        <v>132</v>
      </c>
      <c r="B47" s="257"/>
      <c r="C47" s="260"/>
      <c r="D47" s="261"/>
      <c r="E47" s="260"/>
      <c r="F47" s="261"/>
      <c r="G47" s="261"/>
      <c r="H47" s="261"/>
      <c r="I47" s="261"/>
      <c r="N47" s="188">
        <f t="shared" si="0"/>
        <v>0</v>
      </c>
    </row>
    <row r="48" spans="1:14" x14ac:dyDescent="0.3">
      <c r="A48" s="303" t="s">
        <v>169</v>
      </c>
      <c r="B48" s="257"/>
      <c r="C48" s="260"/>
      <c r="D48" s="261"/>
      <c r="E48" s="260"/>
      <c r="F48" s="261"/>
      <c r="G48" s="261"/>
      <c r="H48" s="261"/>
      <c r="I48" s="261"/>
      <c r="N48" s="188">
        <f t="shared" si="0"/>
        <v>0</v>
      </c>
    </row>
    <row r="49" spans="1:15" x14ac:dyDescent="0.3">
      <c r="A49" s="303" t="s">
        <v>170</v>
      </c>
      <c r="B49" s="257"/>
      <c r="C49" s="260"/>
      <c r="D49" s="261"/>
      <c r="E49" s="260"/>
      <c r="F49" s="261"/>
      <c r="G49" s="261"/>
      <c r="H49" s="261"/>
      <c r="I49" s="261"/>
      <c r="N49" s="188">
        <f t="shared" si="0"/>
        <v>0</v>
      </c>
    </row>
    <row r="50" spans="1:15" x14ac:dyDescent="0.3">
      <c r="A50" s="303" t="s">
        <v>171</v>
      </c>
      <c r="B50" s="257" t="s">
        <v>122</v>
      </c>
      <c r="C50" s="260"/>
      <c r="D50" s="261"/>
      <c r="E50" s="260"/>
      <c r="F50" s="261"/>
      <c r="G50" s="261"/>
      <c r="H50" s="261"/>
      <c r="I50" s="261"/>
      <c r="N50" s="188">
        <f t="shared" si="0"/>
        <v>0</v>
      </c>
    </row>
    <row r="51" spans="1:15" ht="26" x14ac:dyDescent="0.3">
      <c r="A51" s="303" t="s">
        <v>172</v>
      </c>
      <c r="B51" s="261"/>
      <c r="C51" s="260"/>
      <c r="D51" s="261"/>
      <c r="E51" s="260"/>
      <c r="F51" s="261"/>
      <c r="G51" s="261"/>
      <c r="H51" s="261"/>
      <c r="I51" s="261"/>
      <c r="N51" s="188">
        <f t="shared" si="0"/>
        <v>0</v>
      </c>
    </row>
    <row r="52" spans="1:15" x14ac:dyDescent="0.3">
      <c r="A52" s="305" t="s">
        <v>163</v>
      </c>
      <c r="B52" s="261"/>
      <c r="C52" s="260"/>
      <c r="D52" s="261"/>
      <c r="E52" s="260"/>
      <c r="F52" s="261"/>
      <c r="G52" s="261"/>
      <c r="H52" s="261"/>
      <c r="I52" s="261"/>
      <c r="N52" s="188">
        <f t="shared" si="0"/>
        <v>0</v>
      </c>
    </row>
    <row r="53" spans="1:15" x14ac:dyDescent="0.3">
      <c r="A53" s="303" t="s">
        <v>173</v>
      </c>
      <c r="B53" s="257">
        <v>0</v>
      </c>
      <c r="C53" s="159">
        <v>0</v>
      </c>
      <c r="D53" s="73">
        <f t="shared" ref="D53:D55" si="39">B53*C53</f>
        <v>0</v>
      </c>
      <c r="E53" s="266">
        <v>0</v>
      </c>
      <c r="F53" s="267">
        <f t="shared" ref="F53:F60" si="40">D53*E53</f>
        <v>0</v>
      </c>
      <c r="G53" s="257">
        <f t="shared" ref="G53:G60" si="41">F53*0.05</f>
        <v>0</v>
      </c>
      <c r="H53" s="257">
        <f t="shared" ref="H53:H60" si="42">F53*0.1</f>
        <v>0</v>
      </c>
      <c r="I53" s="263">
        <f>F53*$L$8+G53*$L$7+H53*$L$9</f>
        <v>0</v>
      </c>
      <c r="N53" s="188">
        <f t="shared" si="0"/>
        <v>0</v>
      </c>
    </row>
    <row r="54" spans="1:15" x14ac:dyDescent="0.3">
      <c r="A54" s="303" t="s">
        <v>310</v>
      </c>
      <c r="B54" s="257">
        <v>0</v>
      </c>
      <c r="C54" s="159">
        <v>0</v>
      </c>
      <c r="D54" s="73">
        <f t="shared" si="39"/>
        <v>0</v>
      </c>
      <c r="E54" s="266">
        <v>0</v>
      </c>
      <c r="F54" s="267">
        <f t="shared" si="40"/>
        <v>0</v>
      </c>
      <c r="G54" s="257">
        <f t="shared" si="41"/>
        <v>0</v>
      </c>
      <c r="H54" s="257">
        <f t="shared" si="42"/>
        <v>0</v>
      </c>
      <c r="I54" s="263">
        <f>F54*$L$8+G54*$L$7+H54*$L$9</f>
        <v>0</v>
      </c>
      <c r="N54" s="188">
        <f t="shared" si="0"/>
        <v>0</v>
      </c>
    </row>
    <row r="55" spans="1:15" ht="39" x14ac:dyDescent="0.3">
      <c r="A55" s="301" t="s">
        <v>311</v>
      </c>
      <c r="B55" s="257">
        <v>0</v>
      </c>
      <c r="C55" s="159">
        <v>0</v>
      </c>
      <c r="D55" s="73">
        <f t="shared" si="39"/>
        <v>0</v>
      </c>
      <c r="E55" s="266">
        <v>0</v>
      </c>
      <c r="F55" s="89">
        <f t="shared" si="40"/>
        <v>0</v>
      </c>
      <c r="G55" s="73">
        <f t="shared" si="41"/>
        <v>0</v>
      </c>
      <c r="H55" s="73">
        <f t="shared" si="42"/>
        <v>0</v>
      </c>
      <c r="I55" s="84">
        <f>F55*$L$8+G55*$L$7+H55*$L$9</f>
        <v>0</v>
      </c>
      <c r="N55" s="188">
        <f t="shared" si="0"/>
        <v>0</v>
      </c>
    </row>
    <row r="56" spans="1:15" x14ac:dyDescent="0.3">
      <c r="A56" s="305" t="s">
        <v>158</v>
      </c>
      <c r="B56" s="257"/>
      <c r="C56" s="159"/>
      <c r="D56" s="257"/>
      <c r="E56" s="266"/>
      <c r="F56" s="267"/>
      <c r="G56" s="257"/>
      <c r="H56" s="257"/>
      <c r="I56" s="263"/>
      <c r="N56" s="188">
        <f t="shared" si="0"/>
        <v>0</v>
      </c>
    </row>
    <row r="57" spans="1:15" x14ac:dyDescent="0.3">
      <c r="A57" s="303" t="s">
        <v>173</v>
      </c>
      <c r="B57" s="257">
        <v>0</v>
      </c>
      <c r="C57" s="159">
        <v>0</v>
      </c>
      <c r="D57" s="257">
        <f>B57*C57</f>
        <v>0</v>
      </c>
      <c r="E57" s="266">
        <f>$L$14</f>
        <v>0</v>
      </c>
      <c r="F57" s="267">
        <f t="shared" ref="F57:F58" si="43">D57*E57</f>
        <v>0</v>
      </c>
      <c r="G57" s="257">
        <f t="shared" ref="G57:G58" si="44">F57*0.05</f>
        <v>0</v>
      </c>
      <c r="H57" s="257">
        <f t="shared" ref="H57:H58" si="45">F57*0.1</f>
        <v>0</v>
      </c>
      <c r="I57" s="262">
        <f>F57*$L$8+G57*$L$7+H57*$L$9</f>
        <v>0</v>
      </c>
      <c r="N57" s="188">
        <f t="shared" si="0"/>
        <v>0</v>
      </c>
    </row>
    <row r="58" spans="1:15" x14ac:dyDescent="0.3">
      <c r="A58" s="303" t="s">
        <v>310</v>
      </c>
      <c r="B58" s="257">
        <v>0</v>
      </c>
      <c r="C58" s="159">
        <v>0</v>
      </c>
      <c r="D58" s="257">
        <f t="shared" ref="D58:D60" si="46">B58*C58</f>
        <v>0</v>
      </c>
      <c r="E58" s="266">
        <f>$L$14</f>
        <v>0</v>
      </c>
      <c r="F58" s="267">
        <f t="shared" si="43"/>
        <v>0</v>
      </c>
      <c r="G58" s="257">
        <f t="shared" si="44"/>
        <v>0</v>
      </c>
      <c r="H58" s="257">
        <f t="shared" si="45"/>
        <v>0</v>
      </c>
      <c r="I58" s="262">
        <f>F58*$L$8+G58*$L$7+H58*$L$9</f>
        <v>0</v>
      </c>
      <c r="N58" s="188">
        <f t="shared" si="0"/>
        <v>0</v>
      </c>
    </row>
    <row r="59" spans="1:15" x14ac:dyDescent="0.3">
      <c r="A59" s="301" t="s">
        <v>312</v>
      </c>
      <c r="B59" s="257">
        <v>0</v>
      </c>
      <c r="C59" s="159">
        <v>0</v>
      </c>
      <c r="D59" s="73">
        <f t="shared" si="46"/>
        <v>0</v>
      </c>
      <c r="E59" s="266">
        <f>$L$14</f>
        <v>0</v>
      </c>
      <c r="F59" s="267">
        <f t="shared" ref="F59" si="47">D59*E59</f>
        <v>0</v>
      </c>
      <c r="G59" s="257">
        <f t="shared" ref="G59" si="48">F59*0.05</f>
        <v>0</v>
      </c>
      <c r="H59" s="257">
        <f t="shared" ref="H59" si="49">F59*0.1</f>
        <v>0</v>
      </c>
      <c r="I59" s="262">
        <f>F59*$L$8+G59*$L$7+H59*$L$9</f>
        <v>0</v>
      </c>
      <c r="N59" s="188">
        <f t="shared" si="0"/>
        <v>0</v>
      </c>
    </row>
    <row r="60" spans="1:15" ht="17.25" customHeight="1" x14ac:dyDescent="0.3">
      <c r="A60" s="303" t="s">
        <v>313</v>
      </c>
      <c r="B60" s="257">
        <v>0</v>
      </c>
      <c r="C60" s="159">
        <v>0</v>
      </c>
      <c r="D60" s="257">
        <f t="shared" si="46"/>
        <v>0</v>
      </c>
      <c r="E60" s="266">
        <f>$L$14</f>
        <v>0</v>
      </c>
      <c r="F60" s="267">
        <f t="shared" si="40"/>
        <v>0</v>
      </c>
      <c r="G60" s="257">
        <f t="shared" si="41"/>
        <v>0</v>
      </c>
      <c r="H60" s="257">
        <f t="shared" si="42"/>
        <v>0</v>
      </c>
      <c r="I60" s="262">
        <f>F60*$L$8+G60*$L$7+H60*$L$9</f>
        <v>0</v>
      </c>
      <c r="N60" s="188">
        <f>SUM(N6:N59)</f>
        <v>0</v>
      </c>
      <c r="O60" s="188" t="s">
        <v>248</v>
      </c>
    </row>
    <row r="61" spans="1:15" x14ac:dyDescent="0.3">
      <c r="A61" s="303" t="s">
        <v>186</v>
      </c>
      <c r="B61" s="257" t="s">
        <v>122</v>
      </c>
      <c r="C61" s="260"/>
      <c r="D61" s="261"/>
      <c r="E61" s="260"/>
      <c r="F61" s="261"/>
      <c r="G61" s="261"/>
      <c r="H61" s="261"/>
      <c r="I61" s="261"/>
      <c r="K61" s="282">
        <f>F63/212</f>
        <v>0</v>
      </c>
      <c r="L61" s="188" t="s">
        <v>190</v>
      </c>
    </row>
    <row r="62" spans="1:15" ht="27" x14ac:dyDescent="0.3">
      <c r="A62" s="269" t="s">
        <v>188</v>
      </c>
      <c r="B62" s="275"/>
      <c r="C62" s="276"/>
      <c r="D62" s="275"/>
      <c r="E62" s="277"/>
      <c r="F62" s="273">
        <f>SUM(F53:H60)</f>
        <v>0</v>
      </c>
      <c r="G62" s="273"/>
      <c r="H62" s="273"/>
      <c r="I62" s="274">
        <f>SUM(I53:I61)</f>
        <v>0</v>
      </c>
    </row>
    <row r="63" spans="1:15" ht="28" x14ac:dyDescent="0.3">
      <c r="A63" s="278" t="s">
        <v>314</v>
      </c>
      <c r="B63" s="279"/>
      <c r="C63" s="169"/>
      <c r="D63" s="279"/>
      <c r="E63" s="280"/>
      <c r="F63" s="469">
        <f>ROUND(F62+F45, -2)</f>
        <v>0</v>
      </c>
      <c r="G63" s="469"/>
      <c r="H63" s="469"/>
      <c r="I63" s="281">
        <f>ROUND(I62+I45, -4)</f>
        <v>0</v>
      </c>
    </row>
    <row r="64" spans="1:15" ht="28" x14ac:dyDescent="0.3">
      <c r="A64" s="168" t="s">
        <v>315</v>
      </c>
      <c r="B64" s="261"/>
      <c r="C64" s="260"/>
      <c r="D64" s="261"/>
      <c r="E64" s="260"/>
      <c r="F64" s="261"/>
      <c r="G64" s="261"/>
      <c r="H64" s="261"/>
      <c r="I64" s="281"/>
    </row>
    <row r="65" spans="1:9" ht="15" x14ac:dyDescent="0.3">
      <c r="A65" s="168" t="s">
        <v>316</v>
      </c>
      <c r="B65" s="261"/>
      <c r="C65" s="260"/>
      <c r="D65" s="261"/>
      <c r="E65" s="260"/>
      <c r="F65" s="261"/>
      <c r="G65" s="261"/>
      <c r="H65" s="261"/>
      <c r="I65" s="281">
        <f>ROUND(I63+I64, -5)</f>
        <v>0</v>
      </c>
    </row>
    <row r="66" spans="1:9" ht="10.5" customHeight="1" x14ac:dyDescent="0.3"/>
    <row r="67" spans="1:9" ht="10.5" customHeight="1" x14ac:dyDescent="0.3">
      <c r="A67" s="467" t="s">
        <v>317</v>
      </c>
      <c r="B67" s="467"/>
      <c r="C67" s="467"/>
      <c r="D67" s="467"/>
      <c r="E67" s="467"/>
      <c r="F67" s="467"/>
      <c r="G67" s="467"/>
      <c r="H67" s="467"/>
      <c r="I67" s="467"/>
    </row>
    <row r="68" spans="1:9" ht="74.5" customHeight="1" x14ac:dyDescent="0.3">
      <c r="A68" s="446" t="s">
        <v>194</v>
      </c>
      <c r="B68" s="446"/>
      <c r="C68" s="446"/>
      <c r="D68" s="446"/>
      <c r="E68" s="446"/>
      <c r="F68" s="446"/>
      <c r="G68" s="446"/>
      <c r="H68" s="446"/>
      <c r="I68" s="446"/>
    </row>
    <row r="69" spans="1:9" ht="14.15" customHeight="1" x14ac:dyDescent="0.3">
      <c r="A69" s="467" t="s">
        <v>318</v>
      </c>
      <c r="B69" s="467"/>
      <c r="C69" s="467"/>
      <c r="D69" s="467"/>
      <c r="E69" s="467"/>
      <c r="F69" s="467"/>
      <c r="G69" s="467"/>
      <c r="H69" s="467"/>
      <c r="I69" s="467"/>
    </row>
    <row r="70" spans="1:9" ht="15.5" x14ac:dyDescent="0.3">
      <c r="A70" s="470" t="s">
        <v>515</v>
      </c>
      <c r="B70" s="470"/>
      <c r="C70" s="470"/>
      <c r="D70" s="470"/>
      <c r="E70" s="470"/>
      <c r="F70" s="470"/>
      <c r="G70" s="470"/>
      <c r="H70" s="470"/>
      <c r="I70" s="470"/>
    </row>
    <row r="71" spans="1:9" ht="21.65" customHeight="1" x14ac:dyDescent="0.3">
      <c r="A71" s="466" t="s">
        <v>319</v>
      </c>
      <c r="B71" s="466"/>
      <c r="C71" s="466"/>
      <c r="D71" s="466"/>
      <c r="E71" s="466"/>
      <c r="F71" s="466"/>
      <c r="G71" s="466"/>
      <c r="H71" s="466"/>
      <c r="I71" s="466"/>
    </row>
  </sheetData>
  <mergeCells count="9">
    <mergeCell ref="A70:I70"/>
    <mergeCell ref="A71:I71"/>
    <mergeCell ref="A1:I1"/>
    <mergeCell ref="A3:I3"/>
    <mergeCell ref="K6:L6"/>
    <mergeCell ref="F63:H63"/>
    <mergeCell ref="A67:I67"/>
    <mergeCell ref="A68:I68"/>
    <mergeCell ref="A69:I69"/>
  </mergeCells>
  <pageMargins left="0.7" right="0.7" top="0.75" bottom="0.75" header="0.3" footer="0.3"/>
  <pageSetup scale="4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F35D-3CB1-44EF-8D70-EA734D70B93E}">
  <sheetPr>
    <pageSetUpPr fitToPage="1"/>
  </sheetPr>
  <dimension ref="A1:O72"/>
  <sheetViews>
    <sheetView zoomScale="80" zoomScaleNormal="80" workbookViewId="0">
      <pane xSplit="9" ySplit="5" topLeftCell="J42" activePane="bottomRight" state="frozen"/>
      <selection activeCell="A25" sqref="A25:I25"/>
      <selection pane="topRight" activeCell="A25" sqref="A25:I25"/>
      <selection pane="bottomLeft" activeCell="A25" sqref="A25:I25"/>
      <selection pane="bottomRight" activeCell="A72" sqref="A5:I72"/>
    </sheetView>
  </sheetViews>
  <sheetFormatPr defaultColWidth="9.1796875" defaultRowHeight="13" x14ac:dyDescent="0.3"/>
  <cols>
    <col min="1" max="1" width="24.4531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0.179687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324</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60" si="0">C7*E7</f>
        <v>0</v>
      </c>
    </row>
    <row r="8" spans="1:14" ht="56.15" customHeight="1" x14ac:dyDescent="0.3">
      <c r="A8" s="259" t="s">
        <v>127</v>
      </c>
      <c r="B8" s="257">
        <v>0</v>
      </c>
      <c r="C8" s="159">
        <v>0</v>
      </c>
      <c r="D8" s="257">
        <f>B8*C8</f>
        <v>0</v>
      </c>
      <c r="E8" s="347">
        <v>0</v>
      </c>
      <c r="F8" s="257">
        <f>D8*E8</f>
        <v>0</v>
      </c>
      <c r="G8" s="257">
        <f>F8*0.05</f>
        <v>0</v>
      </c>
      <c r="H8" s="257">
        <f>F8*0.1</f>
        <v>0</v>
      </c>
      <c r="I8" s="262">
        <f>F8*$L$8+G8*$L$7+H8*$L$9</f>
        <v>0</v>
      </c>
      <c r="K8" s="157" t="s">
        <v>128</v>
      </c>
      <c r="L8" s="195">
        <f>60.8*2.1</f>
        <v>127.67999999999999</v>
      </c>
      <c r="M8" s="198"/>
      <c r="N8" s="188">
        <f t="shared" si="0"/>
        <v>0</v>
      </c>
    </row>
    <row r="9" spans="1:14" x14ac:dyDescent="0.3">
      <c r="A9" s="259" t="s">
        <v>129</v>
      </c>
      <c r="B9" s="257"/>
      <c r="C9" s="159"/>
      <c r="D9" s="257"/>
      <c r="E9" s="159"/>
      <c r="F9" s="257"/>
      <c r="G9" s="257"/>
      <c r="H9" s="257"/>
      <c r="I9" s="261"/>
      <c r="K9" s="157" t="s">
        <v>130</v>
      </c>
      <c r="L9" s="195">
        <f>30.58*2.1</f>
        <v>64.218000000000004</v>
      </c>
      <c r="M9" s="198"/>
      <c r="N9" s="188">
        <f t="shared" si="0"/>
        <v>0</v>
      </c>
    </row>
    <row r="10" spans="1:14" ht="52" x14ac:dyDescent="0.3">
      <c r="A10" s="182" t="s">
        <v>211</v>
      </c>
      <c r="B10" s="73">
        <v>156</v>
      </c>
      <c r="C10" s="74">
        <v>1</v>
      </c>
      <c r="D10" s="73">
        <f>B10*C10</f>
        <v>156</v>
      </c>
      <c r="E10" s="159">
        <f>L17*0.01</f>
        <v>0.79</v>
      </c>
      <c r="F10" s="257">
        <f>D10*E10</f>
        <v>123.24000000000001</v>
      </c>
      <c r="G10" s="257">
        <f>F10*0.05</f>
        <v>6.1620000000000008</v>
      </c>
      <c r="H10" s="257">
        <f>F10*0.1</f>
        <v>12.324000000000002</v>
      </c>
      <c r="I10" s="262">
        <f>F10*$L$8+G10*$L$7+H10*$L$9</f>
        <v>17522.583624000003</v>
      </c>
      <c r="K10" s="312"/>
      <c r="L10" s="311"/>
      <c r="M10" s="198"/>
    </row>
    <row r="11" spans="1:14" ht="26" x14ac:dyDescent="0.3">
      <c r="A11" s="303" t="s">
        <v>132</v>
      </c>
      <c r="B11" s="257">
        <v>1</v>
      </c>
      <c r="C11" s="159">
        <v>1</v>
      </c>
      <c r="D11" s="257">
        <f>B11*C11</f>
        <v>1</v>
      </c>
      <c r="E11" s="347">
        <f>$L$17</f>
        <v>79</v>
      </c>
      <c r="F11" s="257">
        <f>D11*E11</f>
        <v>79</v>
      </c>
      <c r="G11" s="257">
        <f>F11*0.05</f>
        <v>3.95</v>
      </c>
      <c r="H11" s="257">
        <f>F11*0.1</f>
        <v>7.9</v>
      </c>
      <c r="I11" s="262">
        <f>F11*$L$8+G11*$L$7+H11*$L$9</f>
        <v>11232.4254</v>
      </c>
      <c r="K11" s="264"/>
      <c r="N11" s="188">
        <f t="shared" si="0"/>
        <v>79</v>
      </c>
    </row>
    <row r="12" spans="1:14" ht="26" x14ac:dyDescent="0.3">
      <c r="A12" s="303" t="s">
        <v>289</v>
      </c>
      <c r="B12" s="257">
        <v>0</v>
      </c>
      <c r="C12" s="159">
        <v>0</v>
      </c>
      <c r="D12" s="257">
        <f>B12*C12</f>
        <v>0</v>
      </c>
      <c r="E12" s="159">
        <v>0</v>
      </c>
      <c r="F12" s="257">
        <f>D12*E12</f>
        <v>0</v>
      </c>
      <c r="G12" s="257">
        <f>F12*0.05</f>
        <v>0</v>
      </c>
      <c r="H12" s="257">
        <f>F12*0.1</f>
        <v>0</v>
      </c>
      <c r="I12" s="263">
        <f>F12*$L$8+G12*$L$7+H12*$L$9</f>
        <v>0</v>
      </c>
      <c r="K12" s="264"/>
      <c r="N12" s="188">
        <f t="shared" si="0"/>
        <v>0</v>
      </c>
    </row>
    <row r="13" spans="1:14" ht="15.75" customHeight="1" x14ac:dyDescent="0.3">
      <c r="A13" s="303" t="s">
        <v>133</v>
      </c>
      <c r="B13" s="257"/>
      <c r="C13" s="159"/>
      <c r="D13" s="257"/>
      <c r="E13" s="159"/>
      <c r="F13" s="257"/>
      <c r="G13" s="257"/>
      <c r="H13" s="257"/>
      <c r="I13" s="263"/>
      <c r="N13" s="188">
        <f t="shared" si="0"/>
        <v>0</v>
      </c>
    </row>
    <row r="14" spans="1:14" ht="15.5" x14ac:dyDescent="0.3">
      <c r="A14" s="304" t="s">
        <v>290</v>
      </c>
      <c r="B14" s="257"/>
      <c r="C14" s="159"/>
      <c r="D14" s="257"/>
      <c r="E14" s="266"/>
      <c r="F14" s="267"/>
      <c r="G14" s="257"/>
      <c r="H14" s="257"/>
      <c r="I14" s="263"/>
      <c r="K14" s="265"/>
      <c r="L14" s="265" t="s">
        <v>291</v>
      </c>
      <c r="N14" s="188">
        <f t="shared" si="0"/>
        <v>0</v>
      </c>
    </row>
    <row r="15" spans="1:14" ht="25" customHeight="1" x14ac:dyDescent="0.3">
      <c r="A15" s="253" t="s">
        <v>292</v>
      </c>
      <c r="B15" s="257">
        <v>0</v>
      </c>
      <c r="C15" s="159">
        <v>0</v>
      </c>
      <c r="D15" s="257">
        <f>B15*C15</f>
        <v>0</v>
      </c>
      <c r="E15" s="266">
        <v>0</v>
      </c>
      <c r="F15" s="267">
        <f>D15*E15</f>
        <v>0</v>
      </c>
      <c r="G15" s="257">
        <f>F15*0.05</f>
        <v>0</v>
      </c>
      <c r="H15" s="257">
        <f>F15*0.1</f>
        <v>0</v>
      </c>
      <c r="I15" s="263">
        <f>F15*$L$8+G15*$L$7+H15*$L$9</f>
        <v>0</v>
      </c>
      <c r="K15" s="265"/>
      <c r="L15" s="265">
        <v>0</v>
      </c>
      <c r="N15" s="188">
        <f t="shared" si="0"/>
        <v>0</v>
      </c>
    </row>
    <row r="16" spans="1:14" ht="26" x14ac:dyDescent="0.3">
      <c r="A16" s="253" t="s">
        <v>293</v>
      </c>
      <c r="B16" s="257">
        <v>0</v>
      </c>
      <c r="C16" s="159">
        <v>0</v>
      </c>
      <c r="D16" s="257">
        <f t="shared" ref="D16" si="1">B16*C16</f>
        <v>0</v>
      </c>
      <c r="E16" s="266">
        <f>E15*0.05</f>
        <v>0</v>
      </c>
      <c r="F16" s="267">
        <f t="shared" ref="F16:F24" si="2">D16*E16</f>
        <v>0</v>
      </c>
      <c r="G16" s="257">
        <f t="shared" ref="G16:G24" si="3">F16*0.05</f>
        <v>0</v>
      </c>
      <c r="H16" s="257">
        <f t="shared" ref="H16:H24" si="4">F16*0.1</f>
        <v>0</v>
      </c>
      <c r="I16" s="263">
        <f t="shared" ref="I16:I24" si="5">F16*$L$8+G16*$L$7+H16*$L$9</f>
        <v>0</v>
      </c>
      <c r="J16" s="264"/>
      <c r="K16" s="265" t="s">
        <v>136</v>
      </c>
      <c r="L16" s="265">
        <f>L15+L17*0.07</f>
        <v>5.53</v>
      </c>
      <c r="M16" s="264" t="s">
        <v>294</v>
      </c>
      <c r="N16" s="188">
        <f t="shared" si="0"/>
        <v>0</v>
      </c>
    </row>
    <row r="17" spans="1:14" ht="26" x14ac:dyDescent="0.3">
      <c r="A17" s="301" t="s">
        <v>295</v>
      </c>
      <c r="B17" s="257">
        <v>0</v>
      </c>
      <c r="C17" s="159">
        <v>0</v>
      </c>
      <c r="D17" s="73">
        <f>B17*C17</f>
        <v>0</v>
      </c>
      <c r="E17" s="266">
        <v>0</v>
      </c>
      <c r="F17" s="267">
        <f t="shared" ref="F17" si="6">D17*E17</f>
        <v>0</v>
      </c>
      <c r="G17" s="257">
        <f t="shared" ref="G17" si="7">F17*0.05</f>
        <v>0</v>
      </c>
      <c r="H17" s="257">
        <f t="shared" ref="H17" si="8">F17*0.1</f>
        <v>0</v>
      </c>
      <c r="I17" s="263">
        <f t="shared" ref="I17" si="9">F17*$L$8+G17*$L$7+H17*$L$9</f>
        <v>0</v>
      </c>
      <c r="J17" s="264"/>
      <c r="K17" s="265" t="s">
        <v>141</v>
      </c>
      <c r="L17" s="265">
        <f>'CI-Y1'!$L$17</f>
        <v>79</v>
      </c>
      <c r="N17" s="188">
        <f t="shared" si="0"/>
        <v>0</v>
      </c>
    </row>
    <row r="18" spans="1:14" ht="26" x14ac:dyDescent="0.3">
      <c r="A18" s="301" t="s">
        <v>296</v>
      </c>
      <c r="B18" s="257">
        <v>0</v>
      </c>
      <c r="C18" s="159">
        <v>0</v>
      </c>
      <c r="D18" s="73">
        <f t="shared" ref="D18" si="10">B18*C18</f>
        <v>0</v>
      </c>
      <c r="E18" s="296">
        <v>0</v>
      </c>
      <c r="F18" s="267">
        <f t="shared" ref="F18" si="11">D18*E18</f>
        <v>0</v>
      </c>
      <c r="G18" s="257">
        <f t="shared" ref="G18" si="12">F18*0.05</f>
        <v>0</v>
      </c>
      <c r="H18" s="257">
        <f t="shared" ref="H18" si="13">F18*0.1</f>
        <v>0</v>
      </c>
      <c r="I18" s="263">
        <f t="shared" ref="I18" si="14">F18*$L$8+G18*$L$7+H18*$L$9</f>
        <v>0</v>
      </c>
      <c r="J18" s="264"/>
      <c r="N18" s="188">
        <f t="shared" si="0"/>
        <v>0</v>
      </c>
    </row>
    <row r="19" spans="1:14" ht="28.5" x14ac:dyDescent="0.3">
      <c r="A19" s="306" t="s">
        <v>297</v>
      </c>
      <c r="B19" s="74"/>
      <c r="C19" s="74"/>
      <c r="D19" s="73"/>
      <c r="E19" s="266"/>
      <c r="F19" s="267"/>
      <c r="G19" s="257"/>
      <c r="H19" s="257"/>
      <c r="I19" s="263"/>
      <c r="J19" s="264"/>
      <c r="N19" s="188">
        <f t="shared" si="0"/>
        <v>0</v>
      </c>
    </row>
    <row r="20" spans="1:14" ht="26" x14ac:dyDescent="0.3">
      <c r="A20" s="301" t="s">
        <v>295</v>
      </c>
      <c r="B20" s="257">
        <v>0</v>
      </c>
      <c r="C20" s="159">
        <v>0</v>
      </c>
      <c r="D20" s="73">
        <f>B20*C20</f>
        <v>0</v>
      </c>
      <c r="E20" s="266">
        <v>0</v>
      </c>
      <c r="F20" s="267">
        <f t="shared" ref="F20" si="15">D20*E20</f>
        <v>0</v>
      </c>
      <c r="G20" s="257">
        <f t="shared" ref="G20" si="16">F20*0.05</f>
        <v>0</v>
      </c>
      <c r="H20" s="257">
        <f t="shared" ref="H20" si="17">F20*0.1</f>
        <v>0</v>
      </c>
      <c r="I20" s="263">
        <f t="shared" ref="I20" si="18">F20*$L$8+G20*$L$7+H20*$L$9</f>
        <v>0</v>
      </c>
      <c r="J20" s="264"/>
      <c r="N20" s="188">
        <f t="shared" si="0"/>
        <v>0</v>
      </c>
    </row>
    <row r="21" spans="1:14" ht="26" x14ac:dyDescent="0.3">
      <c r="A21" s="301" t="s">
        <v>296</v>
      </c>
      <c r="B21" s="257">
        <v>0</v>
      </c>
      <c r="C21" s="159">
        <v>0</v>
      </c>
      <c r="D21" s="73">
        <f t="shared" ref="D21" si="19">B21*C21</f>
        <v>0</v>
      </c>
      <c r="E21" s="88">
        <f>E20*0.05</f>
        <v>0</v>
      </c>
      <c r="F21" s="267">
        <f t="shared" ref="F21" si="20">D21*E21</f>
        <v>0</v>
      </c>
      <c r="G21" s="257">
        <f t="shared" ref="G21" si="21">F21*0.05</f>
        <v>0</v>
      </c>
      <c r="H21" s="257">
        <f t="shared" ref="H21" si="22">F21*0.1</f>
        <v>0</v>
      </c>
      <c r="I21" s="263">
        <f t="shared" ref="I21" si="23">F21*$L$8+G21*$L$7+H21*$L$9</f>
        <v>0</v>
      </c>
      <c r="J21" s="264"/>
      <c r="N21" s="188">
        <f t="shared" si="0"/>
        <v>0</v>
      </c>
    </row>
    <row r="22" spans="1:14" ht="28.5" x14ac:dyDescent="0.3">
      <c r="A22" s="304" t="s">
        <v>298</v>
      </c>
      <c r="B22" s="257"/>
      <c r="C22" s="159"/>
      <c r="D22" s="257"/>
      <c r="E22" s="159"/>
      <c r="F22" s="267"/>
      <c r="G22" s="257"/>
      <c r="H22" s="257"/>
      <c r="I22" s="263"/>
      <c r="M22" s="264"/>
      <c r="N22" s="188">
        <f t="shared" si="0"/>
        <v>0</v>
      </c>
    </row>
    <row r="23" spans="1:14" ht="26" x14ac:dyDescent="0.3">
      <c r="A23" s="303" t="s">
        <v>299</v>
      </c>
      <c r="B23" s="257">
        <v>0</v>
      </c>
      <c r="C23" s="159">
        <v>0</v>
      </c>
      <c r="D23" s="257">
        <f>B23*C23</f>
        <v>0</v>
      </c>
      <c r="E23" s="266">
        <v>0</v>
      </c>
      <c r="F23" s="267">
        <f t="shared" si="2"/>
        <v>0</v>
      </c>
      <c r="G23" s="257">
        <f t="shared" si="3"/>
        <v>0</v>
      </c>
      <c r="H23" s="257">
        <f t="shared" si="4"/>
        <v>0</v>
      </c>
      <c r="I23" s="263">
        <f t="shared" si="5"/>
        <v>0</v>
      </c>
      <c r="J23" s="198"/>
      <c r="N23" s="188">
        <f t="shared" si="0"/>
        <v>0</v>
      </c>
    </row>
    <row r="24" spans="1:14" x14ac:dyDescent="0.3">
      <c r="A24" s="303" t="s">
        <v>300</v>
      </c>
      <c r="B24" s="257">
        <v>0</v>
      </c>
      <c r="C24" s="159">
        <v>0</v>
      </c>
      <c r="D24" s="257">
        <f t="shared" ref="D24" si="24">B24*C24</f>
        <v>0</v>
      </c>
      <c r="E24" s="266">
        <f>E23*0.05</f>
        <v>0</v>
      </c>
      <c r="F24" s="267">
        <f t="shared" si="2"/>
        <v>0</v>
      </c>
      <c r="G24" s="257">
        <f t="shared" si="3"/>
        <v>0</v>
      </c>
      <c r="H24" s="257">
        <f t="shared" si="4"/>
        <v>0</v>
      </c>
      <c r="I24" s="263">
        <f t="shared" si="5"/>
        <v>0</v>
      </c>
      <c r="J24" s="198"/>
      <c r="N24" s="188">
        <f t="shared" si="0"/>
        <v>0</v>
      </c>
    </row>
    <row r="25" spans="1:14" ht="28.5" x14ac:dyDescent="0.3">
      <c r="A25" s="306" t="s">
        <v>151</v>
      </c>
      <c r="B25" s="92"/>
      <c r="C25" s="93"/>
      <c r="D25" s="92"/>
      <c r="E25" s="266"/>
      <c r="F25" s="267"/>
      <c r="G25" s="257"/>
      <c r="H25" s="257"/>
      <c r="I25" s="263"/>
      <c r="J25" s="198"/>
      <c r="N25" s="188">
        <f t="shared" si="0"/>
        <v>0</v>
      </c>
    </row>
    <row r="26" spans="1:14" x14ac:dyDescent="0.3">
      <c r="A26" s="301"/>
      <c r="B26" s="73"/>
      <c r="C26" s="74"/>
      <c r="D26" s="73"/>
      <c r="E26" s="266"/>
      <c r="F26" s="267"/>
      <c r="G26" s="257"/>
      <c r="H26" s="257"/>
      <c r="I26" s="263"/>
      <c r="J26" s="198"/>
      <c r="N26" s="188">
        <f t="shared" si="0"/>
        <v>0</v>
      </c>
    </row>
    <row r="27" spans="1:14" x14ac:dyDescent="0.3">
      <c r="A27" s="301"/>
      <c r="B27" s="73"/>
      <c r="C27" s="74"/>
      <c r="D27" s="73"/>
      <c r="E27" s="266"/>
      <c r="F27" s="267"/>
      <c r="G27" s="257"/>
      <c r="H27" s="257"/>
      <c r="I27" s="263"/>
      <c r="J27" s="198"/>
      <c r="N27" s="188">
        <f t="shared" si="0"/>
        <v>0</v>
      </c>
    </row>
    <row r="28" spans="1:14" ht="26" x14ac:dyDescent="0.3">
      <c r="A28" s="301" t="s">
        <v>155</v>
      </c>
      <c r="B28" s="73"/>
      <c r="C28" s="77"/>
      <c r="D28" s="78"/>
      <c r="E28" s="266"/>
      <c r="F28" s="267"/>
      <c r="G28" s="257"/>
      <c r="H28" s="257"/>
      <c r="I28" s="263"/>
      <c r="J28" s="198"/>
      <c r="N28" s="188">
        <f t="shared" si="0"/>
        <v>0</v>
      </c>
    </row>
    <row r="29" spans="1:14" ht="26" x14ac:dyDescent="0.3">
      <c r="A29" s="301" t="s">
        <v>156</v>
      </c>
      <c r="B29" s="73"/>
      <c r="C29" s="77"/>
      <c r="D29" s="78"/>
      <c r="E29" s="266"/>
      <c r="F29" s="267"/>
      <c r="G29" s="257"/>
      <c r="H29" s="257"/>
      <c r="I29" s="263"/>
      <c r="J29" s="198"/>
      <c r="N29" s="188">
        <f t="shared" si="0"/>
        <v>0</v>
      </c>
    </row>
    <row r="30" spans="1:14" x14ac:dyDescent="0.3">
      <c r="A30" s="301" t="s">
        <v>157</v>
      </c>
      <c r="B30" s="78"/>
      <c r="C30" s="77"/>
      <c r="D30" s="78"/>
      <c r="E30" s="266"/>
      <c r="F30" s="267"/>
      <c r="G30" s="257"/>
      <c r="H30" s="257"/>
      <c r="I30" s="263"/>
      <c r="J30" s="198"/>
      <c r="N30" s="188">
        <f t="shared" si="0"/>
        <v>0</v>
      </c>
    </row>
    <row r="31" spans="1:14" ht="26.15" customHeight="1" x14ac:dyDescent="0.3">
      <c r="A31" s="305" t="s">
        <v>301</v>
      </c>
      <c r="B31" s="257"/>
      <c r="C31" s="159"/>
      <c r="D31" s="257"/>
      <c r="E31" s="266"/>
      <c r="F31" s="257"/>
      <c r="G31" s="257"/>
      <c r="H31" s="257"/>
      <c r="I31" s="263"/>
      <c r="N31" s="188">
        <f t="shared" si="0"/>
        <v>0</v>
      </c>
    </row>
    <row r="32" spans="1:14" ht="26.15" customHeight="1" x14ac:dyDescent="0.3">
      <c r="A32" s="303" t="s">
        <v>160</v>
      </c>
      <c r="B32" s="257">
        <v>0</v>
      </c>
      <c r="C32" s="159">
        <v>0</v>
      </c>
      <c r="D32" s="257">
        <f>B32*C32</f>
        <v>0</v>
      </c>
      <c r="E32" s="266">
        <f>E15</f>
        <v>0</v>
      </c>
      <c r="F32" s="257">
        <f t="shared" ref="F32:F33" si="25">D32*E32</f>
        <v>0</v>
      </c>
      <c r="G32" s="257">
        <f t="shared" ref="G32:G33" si="26">F32*0.05</f>
        <v>0</v>
      </c>
      <c r="H32" s="257">
        <f t="shared" ref="H32:H33" si="27">F32*0.1</f>
        <v>0</v>
      </c>
      <c r="I32" s="263">
        <f t="shared" ref="I32:I33" si="28">F32*$L$8+G32*$L$7+H32*$L$9</f>
        <v>0</v>
      </c>
      <c r="N32" s="188">
        <f t="shared" si="0"/>
        <v>0</v>
      </c>
    </row>
    <row r="33" spans="1:14" ht="39" x14ac:dyDescent="0.3">
      <c r="A33" s="303" t="s">
        <v>302</v>
      </c>
      <c r="B33" s="257">
        <v>0</v>
      </c>
      <c r="C33" s="159">
        <v>0</v>
      </c>
      <c r="D33" s="257">
        <f>B33*C33</f>
        <v>0</v>
      </c>
      <c r="E33" s="266">
        <f>E15</f>
        <v>0</v>
      </c>
      <c r="F33" s="257">
        <f t="shared" si="25"/>
        <v>0</v>
      </c>
      <c r="G33" s="257">
        <f t="shared" si="26"/>
        <v>0</v>
      </c>
      <c r="H33" s="257">
        <f t="shared" si="27"/>
        <v>0</v>
      </c>
      <c r="I33" s="263">
        <f t="shared" si="28"/>
        <v>0</v>
      </c>
      <c r="N33" s="188">
        <f t="shared" si="0"/>
        <v>0</v>
      </c>
    </row>
    <row r="34" spans="1:14" ht="26" x14ac:dyDescent="0.3">
      <c r="A34" s="301" t="s">
        <v>212</v>
      </c>
      <c r="B34" s="257">
        <v>0</v>
      </c>
      <c r="C34" s="159">
        <v>0</v>
      </c>
      <c r="D34" s="257">
        <f t="shared" ref="D34:D36" si="29">B34*C34</f>
        <v>0</v>
      </c>
      <c r="E34" s="266">
        <v>0</v>
      </c>
      <c r="F34" s="257">
        <f t="shared" ref="F34:F36" si="30">D34*E34</f>
        <v>0</v>
      </c>
      <c r="G34" s="257">
        <f t="shared" ref="G34:G36" si="31">F34*0.05</f>
        <v>0</v>
      </c>
      <c r="H34" s="257">
        <f t="shared" ref="H34:H36" si="32">F34*0.1</f>
        <v>0</v>
      </c>
      <c r="I34" s="263">
        <f t="shared" ref="I34:I36" si="33">F34*$L$8+G34*$L$7+H34*$L$9</f>
        <v>0</v>
      </c>
      <c r="N34" s="188">
        <f t="shared" si="0"/>
        <v>0</v>
      </c>
    </row>
    <row r="35" spans="1:14" ht="39" x14ac:dyDescent="0.3">
      <c r="A35" s="301" t="s">
        <v>303</v>
      </c>
      <c r="B35" s="257">
        <v>0</v>
      </c>
      <c r="C35" s="159">
        <v>0</v>
      </c>
      <c r="D35" s="257">
        <f t="shared" si="29"/>
        <v>0</v>
      </c>
      <c r="E35" s="266">
        <v>0</v>
      </c>
      <c r="F35" s="257">
        <f t="shared" si="30"/>
        <v>0</v>
      </c>
      <c r="G35" s="257">
        <f t="shared" si="31"/>
        <v>0</v>
      </c>
      <c r="H35" s="257">
        <f t="shared" si="32"/>
        <v>0</v>
      </c>
      <c r="I35" s="263">
        <f t="shared" si="33"/>
        <v>0</v>
      </c>
      <c r="N35" s="188">
        <f t="shared" si="0"/>
        <v>0</v>
      </c>
    </row>
    <row r="36" spans="1:14" ht="26" x14ac:dyDescent="0.3">
      <c r="A36" s="301" t="s">
        <v>304</v>
      </c>
      <c r="B36" s="257">
        <v>0</v>
      </c>
      <c r="C36" s="159">
        <v>0</v>
      </c>
      <c r="D36" s="257">
        <f t="shared" si="29"/>
        <v>0</v>
      </c>
      <c r="E36" s="266">
        <v>0</v>
      </c>
      <c r="F36" s="257">
        <f t="shared" si="30"/>
        <v>0</v>
      </c>
      <c r="G36" s="257">
        <f t="shared" si="31"/>
        <v>0</v>
      </c>
      <c r="H36" s="257">
        <f t="shared" si="32"/>
        <v>0</v>
      </c>
      <c r="I36" s="263">
        <f t="shared" si="33"/>
        <v>0</v>
      </c>
      <c r="N36" s="188">
        <f t="shared" si="0"/>
        <v>0</v>
      </c>
    </row>
    <row r="37" spans="1:14" x14ac:dyDescent="0.3">
      <c r="A37" s="301"/>
      <c r="B37" s="73"/>
      <c r="C37" s="74"/>
      <c r="D37" s="73"/>
      <c r="E37" s="266"/>
      <c r="F37" s="257"/>
      <c r="G37" s="257"/>
      <c r="H37" s="257"/>
      <c r="I37" s="263"/>
      <c r="N37" s="188">
        <f t="shared" si="0"/>
        <v>0</v>
      </c>
    </row>
    <row r="38" spans="1:14" ht="39" x14ac:dyDescent="0.3">
      <c r="A38" s="303" t="s">
        <v>166</v>
      </c>
      <c r="B38" s="257">
        <v>0</v>
      </c>
      <c r="C38" s="159">
        <v>0</v>
      </c>
      <c r="D38" s="257">
        <f>B38*C38</f>
        <v>0</v>
      </c>
      <c r="E38" s="266">
        <v>0</v>
      </c>
      <c r="F38" s="257">
        <f t="shared" ref="F38" si="34">D38*E38</f>
        <v>0</v>
      </c>
      <c r="G38" s="257">
        <f t="shared" ref="G38" si="35">F38*0.05</f>
        <v>0</v>
      </c>
      <c r="H38" s="257">
        <f t="shared" ref="H38" si="36">F38*0.1</f>
        <v>0</v>
      </c>
      <c r="I38" s="263">
        <f t="shared" ref="I38" si="37">F38*$L$8+G38*$L$7+H38*$L$9</f>
        <v>0</v>
      </c>
      <c r="N38" s="188">
        <f t="shared" si="0"/>
        <v>0</v>
      </c>
    </row>
    <row r="39" spans="1:14" x14ac:dyDescent="0.3">
      <c r="A39" s="305" t="s">
        <v>306</v>
      </c>
      <c r="B39" s="261"/>
      <c r="C39" s="260"/>
      <c r="D39" s="261"/>
      <c r="E39" s="268"/>
      <c r="F39" s="261"/>
      <c r="G39" s="261"/>
      <c r="H39" s="261"/>
      <c r="I39" s="261"/>
      <c r="N39" s="188">
        <f t="shared" si="0"/>
        <v>0</v>
      </c>
    </row>
    <row r="40" spans="1:14" ht="26" x14ac:dyDescent="0.3">
      <c r="A40" s="303" t="s">
        <v>322</v>
      </c>
      <c r="B40" s="257">
        <v>0</v>
      </c>
      <c r="C40" s="159">
        <v>0</v>
      </c>
      <c r="D40" s="257">
        <f>B40*C40</f>
        <v>0</v>
      </c>
      <c r="E40" s="266">
        <v>0</v>
      </c>
      <c r="F40" s="257">
        <f>D40*E40</f>
        <v>0</v>
      </c>
      <c r="G40" s="257">
        <f>F40*0.05</f>
        <v>0</v>
      </c>
      <c r="H40" s="257">
        <f>F40*0.1</f>
        <v>0</v>
      </c>
      <c r="I40" s="263">
        <f>F40*$L$8+G40*$L$7+H40*$L$9</f>
        <v>0</v>
      </c>
      <c r="N40" s="188">
        <f t="shared" si="0"/>
        <v>0</v>
      </c>
    </row>
    <row r="41" spans="1:14" ht="57" customHeight="1" x14ac:dyDescent="0.3">
      <c r="A41" s="303" t="s">
        <v>308</v>
      </c>
      <c r="B41" s="257">
        <v>0</v>
      </c>
      <c r="C41" s="159">
        <v>0</v>
      </c>
      <c r="D41" s="257">
        <f>B41*C41</f>
        <v>0</v>
      </c>
      <c r="E41" s="266">
        <f>E40</f>
        <v>0</v>
      </c>
      <c r="F41" s="257">
        <f>D41*E41</f>
        <v>0</v>
      </c>
      <c r="G41" s="257">
        <f>F41*0.05</f>
        <v>0</v>
      </c>
      <c r="H41" s="257">
        <f>F41*0.1</f>
        <v>0</v>
      </c>
      <c r="I41" s="263">
        <f>F41*$L$8+G41*$L$7+H41*$L$9</f>
        <v>0</v>
      </c>
      <c r="N41" s="188">
        <f t="shared" si="0"/>
        <v>0</v>
      </c>
    </row>
    <row r="42" spans="1:14" ht="21.65" customHeight="1" x14ac:dyDescent="0.3">
      <c r="A42" s="301" t="s">
        <v>212</v>
      </c>
      <c r="B42" s="257">
        <v>0</v>
      </c>
      <c r="C42" s="159">
        <v>0</v>
      </c>
      <c r="D42" s="190">
        <v>2</v>
      </c>
      <c r="E42" s="266">
        <v>0</v>
      </c>
      <c r="F42" s="257">
        <f t="shared" ref="F42:F44" si="38">D42*E42</f>
        <v>0</v>
      </c>
      <c r="G42" s="257">
        <f t="shared" ref="G42:G44" si="39">F42*0.05</f>
        <v>0</v>
      </c>
      <c r="H42" s="257">
        <f t="shared" ref="H42:H44" si="40">F42*0.1</f>
        <v>0</v>
      </c>
      <c r="I42" s="263">
        <f t="shared" ref="I42:I44" si="41">F42*$L$8+G42*$L$7+H42*$L$9</f>
        <v>0</v>
      </c>
      <c r="N42" s="188">
        <f t="shared" si="0"/>
        <v>0</v>
      </c>
    </row>
    <row r="43" spans="1:14" ht="24.65" customHeight="1" x14ac:dyDescent="0.3">
      <c r="A43" s="301" t="s">
        <v>303</v>
      </c>
      <c r="B43" s="257">
        <v>0</v>
      </c>
      <c r="C43" s="159">
        <v>0</v>
      </c>
      <c r="D43" s="190">
        <v>2</v>
      </c>
      <c r="E43" s="266">
        <v>0</v>
      </c>
      <c r="F43" s="257">
        <f t="shared" si="38"/>
        <v>0</v>
      </c>
      <c r="G43" s="257">
        <f t="shared" si="39"/>
        <v>0</v>
      </c>
      <c r="H43" s="257">
        <f t="shared" si="40"/>
        <v>0</v>
      </c>
      <c r="I43" s="263">
        <f t="shared" si="41"/>
        <v>0</v>
      </c>
      <c r="N43" s="188">
        <f t="shared" si="0"/>
        <v>0</v>
      </c>
    </row>
    <row r="44" spans="1:14" ht="22.5" customHeight="1" x14ac:dyDescent="0.3">
      <c r="A44" s="301" t="s">
        <v>325</v>
      </c>
      <c r="B44" s="257">
        <v>0</v>
      </c>
      <c r="C44" s="159">
        <v>0</v>
      </c>
      <c r="D44" s="190">
        <v>2</v>
      </c>
      <c r="E44" s="266">
        <v>0</v>
      </c>
      <c r="F44" s="257">
        <f t="shared" si="38"/>
        <v>0</v>
      </c>
      <c r="G44" s="257">
        <f t="shared" si="39"/>
        <v>0</v>
      </c>
      <c r="H44" s="257">
        <f t="shared" si="40"/>
        <v>0</v>
      </c>
      <c r="I44" s="263">
        <f t="shared" si="41"/>
        <v>0</v>
      </c>
      <c r="N44" s="188">
        <f t="shared" si="0"/>
        <v>0</v>
      </c>
    </row>
    <row r="45" spans="1:14" ht="39" x14ac:dyDescent="0.3">
      <c r="A45" s="303" t="s">
        <v>166</v>
      </c>
      <c r="B45" s="257">
        <v>0</v>
      </c>
      <c r="C45" s="159">
        <v>0</v>
      </c>
      <c r="D45" s="283">
        <f>B45*C45</f>
        <v>0</v>
      </c>
      <c r="E45" s="266">
        <f>E41</f>
        <v>0</v>
      </c>
      <c r="F45" s="257">
        <f>D45*E45</f>
        <v>0</v>
      </c>
      <c r="G45" s="257">
        <f>F45*0.05</f>
        <v>0</v>
      </c>
      <c r="H45" s="257">
        <f>F45*0.1</f>
        <v>0</v>
      </c>
      <c r="I45" s="263">
        <f>F45*$L$8+G45*$L$7+H45*$L$9</f>
        <v>0</v>
      </c>
      <c r="N45" s="188">
        <f t="shared" si="0"/>
        <v>0</v>
      </c>
    </row>
    <row r="46" spans="1:14" ht="27" x14ac:dyDescent="0.3">
      <c r="A46" s="269" t="s">
        <v>167</v>
      </c>
      <c r="B46" s="270"/>
      <c r="C46" s="271"/>
      <c r="D46" s="270"/>
      <c r="E46" s="272"/>
      <c r="F46" s="273">
        <f>SUM(F8:H45)</f>
        <v>232.57600000000002</v>
      </c>
      <c r="G46" s="273"/>
      <c r="H46" s="273"/>
      <c r="I46" s="274">
        <f>SUM(I8:I45)</f>
        <v>28755.009024000003</v>
      </c>
      <c r="N46" s="188">
        <f t="shared" si="0"/>
        <v>0</v>
      </c>
    </row>
    <row r="47" spans="1:14" ht="26" x14ac:dyDescent="0.3">
      <c r="A47" s="259" t="s">
        <v>168</v>
      </c>
      <c r="B47" s="261"/>
      <c r="C47" s="260"/>
      <c r="D47" s="261"/>
      <c r="E47" s="268"/>
      <c r="F47" s="261"/>
      <c r="G47" s="261"/>
      <c r="H47" s="261"/>
      <c r="I47" s="261"/>
      <c r="N47" s="188">
        <f t="shared" si="0"/>
        <v>0</v>
      </c>
    </row>
    <row r="48" spans="1:14" ht="26" x14ac:dyDescent="0.3">
      <c r="A48" s="303" t="s">
        <v>132</v>
      </c>
      <c r="B48" s="257"/>
      <c r="C48" s="260"/>
      <c r="D48" s="261"/>
      <c r="E48" s="260"/>
      <c r="F48" s="261"/>
      <c r="G48" s="261"/>
      <c r="H48" s="261"/>
      <c r="I48" s="261"/>
      <c r="N48" s="188">
        <f t="shared" si="0"/>
        <v>0</v>
      </c>
    </row>
    <row r="49" spans="1:15" x14ac:dyDescent="0.3">
      <c r="A49" s="303" t="s">
        <v>169</v>
      </c>
      <c r="B49" s="257"/>
      <c r="C49" s="260"/>
      <c r="D49" s="261"/>
      <c r="E49" s="260"/>
      <c r="F49" s="261"/>
      <c r="G49" s="261"/>
      <c r="H49" s="261"/>
      <c r="I49" s="261"/>
      <c r="N49" s="188">
        <f t="shared" si="0"/>
        <v>0</v>
      </c>
    </row>
    <row r="50" spans="1:15" x14ac:dyDescent="0.3">
      <c r="A50" s="303" t="s">
        <v>170</v>
      </c>
      <c r="B50" s="257"/>
      <c r="C50" s="260"/>
      <c r="D50" s="261"/>
      <c r="E50" s="260"/>
      <c r="F50" s="261"/>
      <c r="G50" s="261"/>
      <c r="H50" s="261"/>
      <c r="I50" s="261"/>
      <c r="N50" s="188">
        <f t="shared" si="0"/>
        <v>0</v>
      </c>
    </row>
    <row r="51" spans="1:15" x14ac:dyDescent="0.3">
      <c r="A51" s="303" t="s">
        <v>171</v>
      </c>
      <c r="B51" s="257" t="s">
        <v>122</v>
      </c>
      <c r="C51" s="260"/>
      <c r="D51" s="261"/>
      <c r="E51" s="260"/>
      <c r="F51" s="261"/>
      <c r="G51" s="261"/>
      <c r="H51" s="261"/>
      <c r="I51" s="261"/>
      <c r="N51" s="188">
        <f t="shared" si="0"/>
        <v>0</v>
      </c>
    </row>
    <row r="52" spans="1:15" ht="26" x14ac:dyDescent="0.3">
      <c r="A52" s="303" t="s">
        <v>172</v>
      </c>
      <c r="B52" s="261"/>
      <c r="C52" s="260"/>
      <c r="D52" s="261"/>
      <c r="E52" s="260"/>
      <c r="F52" s="261"/>
      <c r="G52" s="261"/>
      <c r="H52" s="261"/>
      <c r="I52" s="261"/>
      <c r="N52" s="188">
        <f t="shared" si="0"/>
        <v>0</v>
      </c>
    </row>
    <row r="53" spans="1:15" x14ac:dyDescent="0.3">
      <c r="A53" s="305" t="s">
        <v>163</v>
      </c>
      <c r="B53" s="261"/>
      <c r="C53" s="260"/>
      <c r="D53" s="261"/>
      <c r="E53" s="260"/>
      <c r="F53" s="261"/>
      <c r="G53" s="261"/>
      <c r="H53" s="261"/>
      <c r="I53" s="261"/>
      <c r="N53" s="188">
        <f t="shared" si="0"/>
        <v>0</v>
      </c>
    </row>
    <row r="54" spans="1:15" x14ac:dyDescent="0.3">
      <c r="A54" s="303" t="s">
        <v>173</v>
      </c>
      <c r="B54" s="257">
        <v>0.1</v>
      </c>
      <c r="C54" s="159">
        <v>1</v>
      </c>
      <c r="D54" s="73">
        <f t="shared" ref="D54:D56" si="42">B54*C54</f>
        <v>0.1</v>
      </c>
      <c r="E54" s="266">
        <f>$L$17</f>
        <v>79</v>
      </c>
      <c r="F54" s="267">
        <f t="shared" ref="F54:F61" si="43">D54*E54</f>
        <v>7.9</v>
      </c>
      <c r="G54" s="257">
        <f t="shared" ref="G54:G61" si="44">F54*0.05</f>
        <v>0.39500000000000002</v>
      </c>
      <c r="H54" s="257">
        <f t="shared" ref="H54:H61" si="45">F54*0.1</f>
        <v>0.79</v>
      </c>
      <c r="I54" s="262">
        <f>F54*$L$8+G54*$L$7+H54*$L$9</f>
        <v>1123.2425400000002</v>
      </c>
      <c r="N54" s="188">
        <f t="shared" si="0"/>
        <v>79</v>
      </c>
    </row>
    <row r="55" spans="1:15" x14ac:dyDescent="0.3">
      <c r="A55" s="303" t="s">
        <v>310</v>
      </c>
      <c r="B55" s="257">
        <v>0</v>
      </c>
      <c r="C55" s="159">
        <v>0</v>
      </c>
      <c r="D55" s="73">
        <f t="shared" si="42"/>
        <v>0</v>
      </c>
      <c r="E55" s="266">
        <v>0</v>
      </c>
      <c r="F55" s="267">
        <f t="shared" si="43"/>
        <v>0</v>
      </c>
      <c r="G55" s="257">
        <f t="shared" si="44"/>
        <v>0</v>
      </c>
      <c r="H55" s="257">
        <f t="shared" si="45"/>
        <v>0</v>
      </c>
      <c r="I55" s="263">
        <f>F55*$L$8+G55*$L$7+H55*$L$9</f>
        <v>0</v>
      </c>
      <c r="N55" s="188">
        <f t="shared" si="0"/>
        <v>0</v>
      </c>
    </row>
    <row r="56" spans="1:15" ht="39" x14ac:dyDescent="0.3">
      <c r="A56" s="301" t="s">
        <v>311</v>
      </c>
      <c r="B56" s="257">
        <v>0</v>
      </c>
      <c r="C56" s="159">
        <v>0</v>
      </c>
      <c r="D56" s="73">
        <f t="shared" si="42"/>
        <v>0</v>
      </c>
      <c r="E56" s="266">
        <v>0</v>
      </c>
      <c r="F56" s="89">
        <f t="shared" si="43"/>
        <v>0</v>
      </c>
      <c r="G56" s="73">
        <f t="shared" si="44"/>
        <v>0</v>
      </c>
      <c r="H56" s="73">
        <f t="shared" si="45"/>
        <v>0</v>
      </c>
      <c r="I56" s="84">
        <f>F56*$L$8+G56*$L$7+H56*$L$9</f>
        <v>0</v>
      </c>
      <c r="N56" s="188">
        <f t="shared" si="0"/>
        <v>0</v>
      </c>
    </row>
    <row r="57" spans="1:15" x14ac:dyDescent="0.3">
      <c r="A57" s="305" t="s">
        <v>158</v>
      </c>
      <c r="B57" s="257"/>
      <c r="C57" s="159"/>
      <c r="D57" s="257"/>
      <c r="E57" s="266"/>
      <c r="F57" s="267"/>
      <c r="G57" s="257"/>
      <c r="H57" s="257"/>
      <c r="I57" s="263"/>
      <c r="N57" s="188">
        <f t="shared" si="0"/>
        <v>0</v>
      </c>
    </row>
    <row r="58" spans="1:15" x14ac:dyDescent="0.3">
      <c r="A58" s="303" t="s">
        <v>173</v>
      </c>
      <c r="B58" s="257">
        <v>1.5</v>
      </c>
      <c r="C58" s="159">
        <v>1</v>
      </c>
      <c r="D58" s="257">
        <f>B58*C58</f>
        <v>1.5</v>
      </c>
      <c r="E58" s="265">
        <f>$L$16</f>
        <v>5.53</v>
      </c>
      <c r="F58" s="267">
        <f t="shared" ref="F58:F59" si="46">D58*E58</f>
        <v>8.2949999999999999</v>
      </c>
      <c r="G58" s="257">
        <f t="shared" ref="G58:G59" si="47">F58*0.05</f>
        <v>0.41475000000000001</v>
      </c>
      <c r="H58" s="257">
        <f t="shared" ref="H58:H59" si="48">F58*0.1</f>
        <v>0.82950000000000002</v>
      </c>
      <c r="I58" s="262">
        <f>F58*$L$8+G58*$L$7+H58*$L$9</f>
        <v>1179.404667</v>
      </c>
      <c r="N58" s="188">
        <f t="shared" si="0"/>
        <v>5.53</v>
      </c>
    </row>
    <row r="59" spans="1:15" x14ac:dyDescent="0.3">
      <c r="A59" s="303" t="s">
        <v>310</v>
      </c>
      <c r="B59" s="257">
        <v>0</v>
      </c>
      <c r="C59" s="159">
        <v>0</v>
      </c>
      <c r="D59" s="257">
        <f t="shared" ref="D59:D61" si="49">B59*C59</f>
        <v>0</v>
      </c>
      <c r="E59" s="266">
        <f>$L$15</f>
        <v>0</v>
      </c>
      <c r="F59" s="267">
        <f t="shared" si="46"/>
        <v>0</v>
      </c>
      <c r="G59" s="257">
        <f t="shared" si="47"/>
        <v>0</v>
      </c>
      <c r="H59" s="257">
        <f t="shared" si="48"/>
        <v>0</v>
      </c>
      <c r="I59" s="262">
        <f>F59*$L$8+G59*$L$7+H59*$L$9</f>
        <v>0</v>
      </c>
      <c r="N59" s="188">
        <f t="shared" si="0"/>
        <v>0</v>
      </c>
    </row>
    <row r="60" spans="1:15" x14ac:dyDescent="0.3">
      <c r="A60" s="301" t="s">
        <v>312</v>
      </c>
      <c r="B60" s="257">
        <v>0</v>
      </c>
      <c r="C60" s="159">
        <v>0</v>
      </c>
      <c r="D60" s="73">
        <f t="shared" si="49"/>
        <v>0</v>
      </c>
      <c r="E60" s="266">
        <f>$L$15</f>
        <v>0</v>
      </c>
      <c r="F60" s="267">
        <f t="shared" ref="F60" si="50">D60*E60</f>
        <v>0</v>
      </c>
      <c r="G60" s="257">
        <f t="shared" ref="G60" si="51">F60*0.05</f>
        <v>0</v>
      </c>
      <c r="H60" s="257">
        <f t="shared" ref="H60" si="52">F60*0.1</f>
        <v>0</v>
      </c>
      <c r="I60" s="262">
        <f>F60*$L$8+G60*$L$7+H60*$L$9</f>
        <v>0</v>
      </c>
      <c r="N60" s="188">
        <f t="shared" si="0"/>
        <v>0</v>
      </c>
    </row>
    <row r="61" spans="1:15" ht="17.25" customHeight="1" x14ac:dyDescent="0.3">
      <c r="A61" s="303" t="s">
        <v>313</v>
      </c>
      <c r="B61" s="257">
        <v>0</v>
      </c>
      <c r="C61" s="159">
        <v>0</v>
      </c>
      <c r="D61" s="257">
        <f t="shared" si="49"/>
        <v>0</v>
      </c>
      <c r="E61" s="266">
        <f>$L$15</f>
        <v>0</v>
      </c>
      <c r="F61" s="267">
        <f t="shared" si="43"/>
        <v>0</v>
      </c>
      <c r="G61" s="257">
        <f t="shared" si="44"/>
        <v>0</v>
      </c>
      <c r="H61" s="257">
        <f t="shared" si="45"/>
        <v>0</v>
      </c>
      <c r="I61" s="262">
        <f>F61*$L$8+G61*$L$7+H61*$L$9</f>
        <v>0</v>
      </c>
      <c r="N61" s="188">
        <f>SUM(N6:N60)</f>
        <v>163.53</v>
      </c>
      <c r="O61" s="188" t="s">
        <v>248</v>
      </c>
    </row>
    <row r="62" spans="1:15" x14ac:dyDescent="0.3">
      <c r="A62" s="303" t="s">
        <v>186</v>
      </c>
      <c r="B62" s="257" t="s">
        <v>122</v>
      </c>
      <c r="C62" s="260"/>
      <c r="D62" s="261"/>
      <c r="E62" s="260"/>
      <c r="F62" s="261"/>
      <c r="G62" s="261"/>
      <c r="H62" s="261"/>
      <c r="I62" s="261"/>
      <c r="K62" s="282">
        <f>F64/212</f>
        <v>1.4150943396226414</v>
      </c>
      <c r="L62" s="188" t="s">
        <v>190</v>
      </c>
    </row>
    <row r="63" spans="1:15" ht="27" x14ac:dyDescent="0.3">
      <c r="A63" s="269" t="s">
        <v>188</v>
      </c>
      <c r="B63" s="275"/>
      <c r="C63" s="276"/>
      <c r="D63" s="275"/>
      <c r="E63" s="277"/>
      <c r="F63" s="273">
        <f>SUM(F54:H61)</f>
        <v>18.624250000000004</v>
      </c>
      <c r="G63" s="273"/>
      <c r="H63" s="273"/>
      <c r="I63" s="274">
        <f>SUM(I54:I62)</f>
        <v>2302.647207</v>
      </c>
    </row>
    <row r="64" spans="1:15" ht="28" x14ac:dyDescent="0.3">
      <c r="A64" s="278" t="s">
        <v>314</v>
      </c>
      <c r="B64" s="279"/>
      <c r="C64" s="169"/>
      <c r="D64" s="279"/>
      <c r="E64" s="280"/>
      <c r="F64" s="469">
        <f>ROUND(F63+F46, -2)</f>
        <v>300</v>
      </c>
      <c r="G64" s="469"/>
      <c r="H64" s="469"/>
      <c r="I64" s="281">
        <f>ROUND(I63+I46, -4)</f>
        <v>30000</v>
      </c>
    </row>
    <row r="65" spans="1:9" ht="28" x14ac:dyDescent="0.3">
      <c r="A65" s="168" t="s">
        <v>315</v>
      </c>
      <c r="B65" s="261"/>
      <c r="C65" s="260"/>
      <c r="D65" s="261"/>
      <c r="E65" s="260"/>
      <c r="F65" s="261"/>
      <c r="G65" s="261"/>
      <c r="H65" s="261"/>
      <c r="I65" s="281"/>
    </row>
    <row r="66" spans="1:9" ht="15" x14ac:dyDescent="0.3">
      <c r="A66" s="168" t="s">
        <v>316</v>
      </c>
      <c r="B66" s="261"/>
      <c r="C66" s="260"/>
      <c r="D66" s="261"/>
      <c r="E66" s="260"/>
      <c r="F66" s="261"/>
      <c r="G66" s="261"/>
      <c r="H66" s="261"/>
      <c r="I66" s="281">
        <f>ROUND(I64+I65, -5)</f>
        <v>0</v>
      </c>
    </row>
    <row r="67" spans="1:9" ht="10.5" customHeight="1" x14ac:dyDescent="0.3"/>
    <row r="68" spans="1:9" ht="15.65" customHeight="1" x14ac:dyDescent="0.3">
      <c r="A68" s="467" t="s">
        <v>317</v>
      </c>
      <c r="B68" s="467"/>
      <c r="C68" s="467"/>
      <c r="D68" s="467"/>
      <c r="E68" s="467"/>
      <c r="F68" s="467"/>
      <c r="G68" s="467"/>
      <c r="H68" s="467"/>
      <c r="I68" s="467"/>
    </row>
    <row r="69" spans="1:9" ht="74.5" customHeight="1" x14ac:dyDescent="0.3">
      <c r="A69" s="446" t="s">
        <v>194</v>
      </c>
      <c r="B69" s="446"/>
      <c r="C69" s="446"/>
      <c r="D69" s="446"/>
      <c r="E69" s="446"/>
      <c r="F69" s="446"/>
      <c r="G69" s="446"/>
      <c r="H69" s="446"/>
      <c r="I69" s="446"/>
    </row>
    <row r="70" spans="1:9" ht="18.75" customHeight="1" x14ac:dyDescent="0.3">
      <c r="A70" s="467" t="s">
        <v>318</v>
      </c>
      <c r="B70" s="467"/>
      <c r="C70" s="467"/>
      <c r="D70" s="467"/>
      <c r="E70" s="467"/>
      <c r="F70" s="467"/>
      <c r="G70" s="467"/>
      <c r="H70" s="467"/>
      <c r="I70" s="467"/>
    </row>
    <row r="71" spans="1:9" ht="15.5" customHeight="1" x14ac:dyDescent="0.3">
      <c r="A71" s="470" t="s">
        <v>515</v>
      </c>
      <c r="B71" s="470"/>
      <c r="C71" s="470"/>
      <c r="D71" s="470"/>
      <c r="E71" s="470"/>
      <c r="F71" s="470"/>
      <c r="G71" s="470"/>
      <c r="H71" s="470"/>
      <c r="I71" s="470"/>
    </row>
    <row r="72" spans="1:9" ht="21.65" customHeight="1" x14ac:dyDescent="0.3">
      <c r="A72" s="466" t="s">
        <v>319</v>
      </c>
      <c r="B72" s="466"/>
      <c r="C72" s="466"/>
      <c r="D72" s="466"/>
      <c r="E72" s="466"/>
      <c r="F72" s="466"/>
      <c r="G72" s="466"/>
      <c r="H72" s="466"/>
      <c r="I72" s="466"/>
    </row>
  </sheetData>
  <mergeCells count="9">
    <mergeCell ref="A71:I71"/>
    <mergeCell ref="A72:I72"/>
    <mergeCell ref="A1:I1"/>
    <mergeCell ref="A3:I3"/>
    <mergeCell ref="K6:L6"/>
    <mergeCell ref="F64:H64"/>
    <mergeCell ref="A68:I68"/>
    <mergeCell ref="A69:I69"/>
    <mergeCell ref="A70:I70"/>
  </mergeCells>
  <pageMargins left="0.7" right="0.7" top="0.75" bottom="0.75" header="0.3" footer="0.3"/>
  <pageSetup scale="4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98A9-4C59-4B72-BFC5-BAF540CA8760}">
  <sheetPr>
    <pageSetUpPr fitToPage="1"/>
  </sheetPr>
  <dimension ref="A1:O71"/>
  <sheetViews>
    <sheetView zoomScale="80" zoomScaleNormal="80" workbookViewId="0">
      <pane xSplit="9" ySplit="5" topLeftCell="J57" activePane="bottomRight" state="frozen"/>
      <selection activeCell="A25" sqref="A25:I25"/>
      <selection pane="topRight" activeCell="A25" sqref="A25:I25"/>
      <selection pane="bottomLeft" activeCell="A25" sqref="A25:I25"/>
      <selection pane="bottomRight" activeCell="I55" sqref="I55"/>
    </sheetView>
  </sheetViews>
  <sheetFormatPr defaultColWidth="9.1796875" defaultRowHeight="13" x14ac:dyDescent="0.3"/>
  <cols>
    <col min="1" max="1" width="31.816406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326</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59" si="0">C7*E7</f>
        <v>0</v>
      </c>
    </row>
    <row r="8" spans="1:14" ht="56.15" customHeight="1" x14ac:dyDescent="0.3">
      <c r="A8" s="259" t="s">
        <v>127</v>
      </c>
      <c r="B8" s="257">
        <v>0</v>
      </c>
      <c r="C8" s="159">
        <v>0</v>
      </c>
      <c r="D8" s="257">
        <f>B8*C8</f>
        <v>0</v>
      </c>
      <c r="E8" s="159">
        <f>L14</f>
        <v>0</v>
      </c>
      <c r="F8" s="257">
        <f>D8*E8</f>
        <v>0</v>
      </c>
      <c r="G8" s="257">
        <f>F8*0.05</f>
        <v>0</v>
      </c>
      <c r="H8" s="257">
        <f>F8*0.1</f>
        <v>0</v>
      </c>
      <c r="I8" s="262">
        <f>F8*$L$8+G8*$L$7+H8*$L$9</f>
        <v>0</v>
      </c>
      <c r="K8" s="157" t="s">
        <v>128</v>
      </c>
      <c r="L8" s="195">
        <f>60.8*2.1</f>
        <v>127.67999999999999</v>
      </c>
      <c r="M8" s="198"/>
      <c r="N8" s="188">
        <f t="shared" si="0"/>
        <v>0</v>
      </c>
    </row>
    <row r="9" spans="1:14" x14ac:dyDescent="0.3">
      <c r="A9" s="259" t="s">
        <v>129</v>
      </c>
      <c r="B9" s="257"/>
      <c r="C9" s="159"/>
      <c r="D9" s="257"/>
      <c r="E9" s="159"/>
      <c r="F9" s="257"/>
      <c r="G9" s="257"/>
      <c r="H9" s="257"/>
      <c r="I9" s="261"/>
      <c r="K9" s="157" t="s">
        <v>130</v>
      </c>
      <c r="L9" s="195">
        <f>30.58*2.1</f>
        <v>64.218000000000004</v>
      </c>
      <c r="M9" s="198"/>
      <c r="N9" s="188">
        <f t="shared" si="0"/>
        <v>0</v>
      </c>
    </row>
    <row r="10" spans="1:14" ht="26" x14ac:dyDescent="0.3">
      <c r="A10" s="303" t="s">
        <v>132</v>
      </c>
      <c r="B10" s="257">
        <v>1</v>
      </c>
      <c r="C10" s="159">
        <v>1</v>
      </c>
      <c r="D10" s="257">
        <f>B10*C10</f>
        <v>1</v>
      </c>
      <c r="E10" s="159">
        <f>L16</f>
        <v>79</v>
      </c>
      <c r="F10" s="257">
        <f>D10*E10</f>
        <v>79</v>
      </c>
      <c r="G10" s="257">
        <f>F10*0.05</f>
        <v>3.95</v>
      </c>
      <c r="H10" s="257">
        <f>F10*0.1</f>
        <v>7.9</v>
      </c>
      <c r="I10" s="262">
        <f>F10*$L$8+G10*$L$7+H10*$L$9</f>
        <v>11232.4254</v>
      </c>
      <c r="K10" s="264"/>
      <c r="N10" s="188">
        <f t="shared" si="0"/>
        <v>79</v>
      </c>
    </row>
    <row r="11" spans="1:14" x14ac:dyDescent="0.3">
      <c r="A11" s="303" t="s">
        <v>289</v>
      </c>
      <c r="B11" s="257">
        <v>0</v>
      </c>
      <c r="C11" s="159">
        <v>0</v>
      </c>
      <c r="D11" s="257">
        <f>B11*C11</f>
        <v>0</v>
      </c>
      <c r="E11" s="159">
        <v>0</v>
      </c>
      <c r="F11" s="257">
        <f>D11*E11</f>
        <v>0</v>
      </c>
      <c r="G11" s="257">
        <f>F11*0.05</f>
        <v>0</v>
      </c>
      <c r="H11" s="257">
        <f>F11*0.1</f>
        <v>0</v>
      </c>
      <c r="I11" s="263">
        <f>F11*$L$8+G11*$L$7+H11*$L$9</f>
        <v>0</v>
      </c>
      <c r="K11" s="264"/>
      <c r="N11" s="188">
        <f t="shared" si="0"/>
        <v>0</v>
      </c>
    </row>
    <row r="12" spans="1:14" ht="15.75" customHeight="1" x14ac:dyDescent="0.3">
      <c r="A12" s="303" t="s">
        <v>133</v>
      </c>
      <c r="B12" s="257"/>
      <c r="C12" s="159"/>
      <c r="D12" s="257"/>
      <c r="E12" s="159"/>
      <c r="F12" s="257"/>
      <c r="G12" s="257"/>
      <c r="H12" s="257"/>
      <c r="I12" s="262"/>
      <c r="N12" s="188">
        <f t="shared" si="0"/>
        <v>0</v>
      </c>
    </row>
    <row r="13" spans="1:14" ht="15.5" x14ac:dyDescent="0.3">
      <c r="A13" s="304" t="s">
        <v>290</v>
      </c>
      <c r="B13" s="257"/>
      <c r="C13" s="159"/>
      <c r="D13" s="257"/>
      <c r="E13" s="266"/>
      <c r="F13" s="267"/>
      <c r="G13" s="257"/>
      <c r="H13" s="257"/>
      <c r="I13" s="263"/>
      <c r="K13" s="265"/>
      <c r="L13" s="265" t="s">
        <v>291</v>
      </c>
      <c r="N13" s="188">
        <f t="shared" si="0"/>
        <v>0</v>
      </c>
    </row>
    <row r="14" spans="1:14" ht="25" customHeight="1" x14ac:dyDescent="0.3">
      <c r="A14" s="253" t="s">
        <v>292</v>
      </c>
      <c r="B14" s="159">
        <v>6</v>
      </c>
      <c r="C14" s="159">
        <v>1</v>
      </c>
      <c r="D14" s="257">
        <f>B14*C14</f>
        <v>6</v>
      </c>
      <c r="E14" s="266">
        <f>L$15</f>
        <v>5.53</v>
      </c>
      <c r="F14" s="267">
        <f>D14*E14</f>
        <v>33.18</v>
      </c>
      <c r="G14" s="257">
        <f>F14*0.05</f>
        <v>1.659</v>
      </c>
      <c r="H14" s="257">
        <f>F14*0.1</f>
        <v>3.3180000000000001</v>
      </c>
      <c r="I14" s="262">
        <f>F14*$L$8+G14*$L$7+H14*$L$9</f>
        <v>4717.6186680000001</v>
      </c>
      <c r="K14" s="265"/>
      <c r="L14" s="265">
        <v>0</v>
      </c>
      <c r="N14" s="188">
        <f t="shared" si="0"/>
        <v>5.53</v>
      </c>
    </row>
    <row r="15" spans="1:14" ht="26" x14ac:dyDescent="0.3">
      <c r="A15" s="253" t="s">
        <v>293</v>
      </c>
      <c r="B15" s="159">
        <v>6</v>
      </c>
      <c r="C15" s="159">
        <v>1</v>
      </c>
      <c r="D15" s="257">
        <f t="shared" ref="D15" si="1">B15*C15</f>
        <v>6</v>
      </c>
      <c r="E15" s="266">
        <f>E14*0.05</f>
        <v>0.27650000000000002</v>
      </c>
      <c r="F15" s="267">
        <f t="shared" ref="F15:F23" si="2">D15*E15</f>
        <v>1.6590000000000003</v>
      </c>
      <c r="G15" s="257">
        <f t="shared" ref="G15:G23" si="3">F15*0.05</f>
        <v>8.2950000000000024E-2</v>
      </c>
      <c r="H15" s="257">
        <f t="shared" ref="H15:H23" si="4">F15*0.1</f>
        <v>0.16590000000000005</v>
      </c>
      <c r="I15" s="262">
        <f t="shared" ref="I15:I23" si="5">F15*$L$8+G15*$L$7+H15*$L$9</f>
        <v>235.8809334</v>
      </c>
      <c r="J15" s="264"/>
      <c r="K15" s="265" t="s">
        <v>136</v>
      </c>
      <c r="L15" s="265">
        <f>L14+L16*0.07</f>
        <v>5.53</v>
      </c>
      <c r="M15" s="264" t="s">
        <v>294</v>
      </c>
      <c r="N15" s="188">
        <f t="shared" si="0"/>
        <v>0.27650000000000002</v>
      </c>
    </row>
    <row r="16" spans="1:14" ht="27.65" customHeight="1" x14ac:dyDescent="0.3">
      <c r="A16" s="301" t="s">
        <v>295</v>
      </c>
      <c r="B16" s="73">
        <v>8</v>
      </c>
      <c r="C16" s="74">
        <v>1</v>
      </c>
      <c r="D16" s="73">
        <f>B16*C16</f>
        <v>8</v>
      </c>
      <c r="E16" s="266">
        <f>$L$15</f>
        <v>5.53</v>
      </c>
      <c r="F16" s="267">
        <f t="shared" ref="F16:F20" si="6">D16*E16</f>
        <v>44.24</v>
      </c>
      <c r="G16" s="257">
        <f t="shared" ref="G16:G20" si="7">F16*0.05</f>
        <v>2.2120000000000002</v>
      </c>
      <c r="H16" s="257">
        <f t="shared" ref="H16:H20" si="8">F16*0.1</f>
        <v>4.4240000000000004</v>
      </c>
      <c r="I16" s="262">
        <f t="shared" ref="I16:I20" si="9">F16*$L$8+G16*$L$7+H16*$L$9</f>
        <v>6290.1582239999998</v>
      </c>
      <c r="J16" s="264"/>
      <c r="K16" s="265" t="s">
        <v>141</v>
      </c>
      <c r="L16" s="265">
        <v>79</v>
      </c>
      <c r="N16" s="188">
        <f t="shared" si="0"/>
        <v>5.53</v>
      </c>
    </row>
    <row r="17" spans="1:14" ht="30.65" customHeight="1" x14ac:dyDescent="0.3">
      <c r="A17" s="301" t="s">
        <v>296</v>
      </c>
      <c r="B17" s="74">
        <v>8</v>
      </c>
      <c r="C17" s="74">
        <v>1</v>
      </c>
      <c r="D17" s="73">
        <f t="shared" ref="D17" si="10">B17*C17</f>
        <v>8</v>
      </c>
      <c r="E17" s="296">
        <f>E16*0.05</f>
        <v>0.27650000000000002</v>
      </c>
      <c r="F17" s="267">
        <f t="shared" si="6"/>
        <v>2.2120000000000002</v>
      </c>
      <c r="G17" s="257">
        <f t="shared" si="7"/>
        <v>0.11060000000000002</v>
      </c>
      <c r="H17" s="257">
        <f t="shared" si="8"/>
        <v>0.22120000000000004</v>
      </c>
      <c r="I17" s="262">
        <f t="shared" si="9"/>
        <v>314.50791120000002</v>
      </c>
      <c r="J17" s="264"/>
      <c r="N17" s="188">
        <f t="shared" si="0"/>
        <v>0.27650000000000002</v>
      </c>
    </row>
    <row r="18" spans="1:14" ht="15.5" x14ac:dyDescent="0.3">
      <c r="A18" s="306" t="s">
        <v>297</v>
      </c>
      <c r="B18" s="74"/>
      <c r="C18" s="74"/>
      <c r="D18" s="73"/>
      <c r="E18" s="266"/>
      <c r="F18" s="267"/>
      <c r="G18" s="257"/>
      <c r="H18" s="257"/>
      <c r="I18" s="263"/>
      <c r="J18" s="264"/>
      <c r="N18" s="188">
        <f t="shared" si="0"/>
        <v>0</v>
      </c>
    </row>
    <row r="19" spans="1:14" ht="28" customHeight="1" x14ac:dyDescent="0.3">
      <c r="A19" s="301" t="s">
        <v>295</v>
      </c>
      <c r="B19" s="73">
        <v>8</v>
      </c>
      <c r="C19" s="74">
        <v>1</v>
      </c>
      <c r="D19" s="73">
        <f>B19*C19</f>
        <v>8</v>
      </c>
      <c r="E19" s="266">
        <f>$L$16</f>
        <v>79</v>
      </c>
      <c r="F19" s="267">
        <f t="shared" si="6"/>
        <v>632</v>
      </c>
      <c r="G19" s="257">
        <f t="shared" si="7"/>
        <v>31.6</v>
      </c>
      <c r="H19" s="257">
        <f t="shared" si="8"/>
        <v>63.2</v>
      </c>
      <c r="I19" s="262">
        <f t="shared" si="9"/>
        <v>89859.403200000001</v>
      </c>
      <c r="J19" s="264"/>
      <c r="N19" s="188">
        <f t="shared" si="0"/>
        <v>79</v>
      </c>
    </row>
    <row r="20" spans="1:14" ht="31" customHeight="1" x14ac:dyDescent="0.3">
      <c r="A20" s="301" t="s">
        <v>296</v>
      </c>
      <c r="B20" s="74">
        <v>8</v>
      </c>
      <c r="C20" s="74">
        <v>1</v>
      </c>
      <c r="D20" s="73">
        <f t="shared" ref="D20" si="11">B20*C20</f>
        <v>8</v>
      </c>
      <c r="E20" s="88">
        <f>E19*0.05</f>
        <v>3.95</v>
      </c>
      <c r="F20" s="267">
        <f t="shared" si="6"/>
        <v>31.6</v>
      </c>
      <c r="G20" s="257">
        <f t="shared" si="7"/>
        <v>1.58</v>
      </c>
      <c r="H20" s="257">
        <f t="shared" si="8"/>
        <v>3.16</v>
      </c>
      <c r="I20" s="262">
        <f t="shared" si="9"/>
        <v>4492.9701600000008</v>
      </c>
      <c r="J20" s="264"/>
      <c r="N20" s="188">
        <f t="shared" si="0"/>
        <v>3.95</v>
      </c>
    </row>
    <row r="21" spans="1:14" ht="15.5" x14ac:dyDescent="0.3">
      <c r="A21" s="304" t="s">
        <v>298</v>
      </c>
      <c r="B21" s="257"/>
      <c r="C21" s="159"/>
      <c r="D21" s="257"/>
      <c r="E21" s="159"/>
      <c r="F21" s="267"/>
      <c r="G21" s="257"/>
      <c r="H21" s="257"/>
      <c r="I21" s="263"/>
      <c r="M21" s="264"/>
      <c r="N21" s="188">
        <f t="shared" si="0"/>
        <v>0</v>
      </c>
    </row>
    <row r="22" spans="1:14" x14ac:dyDescent="0.3">
      <c r="A22" s="303" t="s">
        <v>299</v>
      </c>
      <c r="B22" s="257">
        <v>6</v>
      </c>
      <c r="C22" s="159">
        <v>1</v>
      </c>
      <c r="D22" s="257">
        <f>B22*C22</f>
        <v>6</v>
      </c>
      <c r="E22" s="266">
        <f>L$16</f>
        <v>79</v>
      </c>
      <c r="F22" s="267">
        <f t="shared" si="2"/>
        <v>474</v>
      </c>
      <c r="G22" s="257">
        <f t="shared" si="3"/>
        <v>23.700000000000003</v>
      </c>
      <c r="H22" s="257">
        <f t="shared" si="4"/>
        <v>47.400000000000006</v>
      </c>
      <c r="I22" s="262">
        <f t="shared" si="5"/>
        <v>67394.5524</v>
      </c>
      <c r="J22" s="198"/>
      <c r="N22" s="188">
        <f t="shared" si="0"/>
        <v>79</v>
      </c>
    </row>
    <row r="23" spans="1:14" x14ac:dyDescent="0.3">
      <c r="A23" s="303" t="s">
        <v>300</v>
      </c>
      <c r="B23" s="159">
        <v>6</v>
      </c>
      <c r="C23" s="159">
        <v>1</v>
      </c>
      <c r="D23" s="257">
        <f t="shared" ref="D23" si="12">B23*C23</f>
        <v>6</v>
      </c>
      <c r="E23" s="266">
        <f>E22*0.05</f>
        <v>3.95</v>
      </c>
      <c r="F23" s="267">
        <f t="shared" si="2"/>
        <v>23.700000000000003</v>
      </c>
      <c r="G23" s="257">
        <f t="shared" si="3"/>
        <v>1.1850000000000003</v>
      </c>
      <c r="H23" s="257">
        <f t="shared" si="4"/>
        <v>2.3700000000000006</v>
      </c>
      <c r="I23" s="262">
        <f t="shared" si="5"/>
        <v>3369.7276200000001</v>
      </c>
      <c r="J23" s="198"/>
      <c r="N23" s="188">
        <f t="shared" si="0"/>
        <v>3.95</v>
      </c>
    </row>
    <row r="24" spans="1:14" ht="28.5" x14ac:dyDescent="0.3">
      <c r="A24" s="306" t="s">
        <v>151</v>
      </c>
      <c r="B24" s="92"/>
      <c r="C24" s="93"/>
      <c r="D24" s="92"/>
      <c r="E24" s="266"/>
      <c r="F24" s="267"/>
      <c r="G24" s="257"/>
      <c r="H24" s="257"/>
      <c r="I24" s="263"/>
      <c r="J24" s="198"/>
      <c r="N24" s="188">
        <f t="shared" si="0"/>
        <v>0</v>
      </c>
    </row>
    <row r="25" spans="1:14" x14ac:dyDescent="0.3">
      <c r="A25" s="301"/>
      <c r="B25" s="73"/>
      <c r="C25" s="74"/>
      <c r="D25" s="73"/>
      <c r="E25" s="266"/>
      <c r="F25" s="267"/>
      <c r="G25" s="257"/>
      <c r="H25" s="257"/>
      <c r="I25" s="263"/>
      <c r="J25" s="198"/>
      <c r="N25" s="188">
        <f t="shared" si="0"/>
        <v>0</v>
      </c>
    </row>
    <row r="26" spans="1:14" x14ac:dyDescent="0.3">
      <c r="A26" s="301"/>
      <c r="B26" s="73"/>
      <c r="C26" s="74"/>
      <c r="D26" s="73"/>
      <c r="E26" s="266"/>
      <c r="F26" s="267"/>
      <c r="G26" s="257"/>
      <c r="H26" s="257"/>
      <c r="I26" s="263"/>
      <c r="J26" s="198"/>
      <c r="N26" s="188">
        <f t="shared" si="0"/>
        <v>0</v>
      </c>
    </row>
    <row r="27" spans="1:14" x14ac:dyDescent="0.3">
      <c r="A27" s="301" t="s">
        <v>155</v>
      </c>
      <c r="B27" s="73"/>
      <c r="C27" s="77"/>
      <c r="D27" s="78"/>
      <c r="E27" s="266"/>
      <c r="F27" s="267"/>
      <c r="G27" s="257"/>
      <c r="H27" s="257"/>
      <c r="I27" s="263"/>
      <c r="J27" s="198"/>
      <c r="N27" s="188">
        <f t="shared" si="0"/>
        <v>0</v>
      </c>
    </row>
    <row r="28" spans="1:14" ht="26" x14ac:dyDescent="0.3">
      <c r="A28" s="301" t="s">
        <v>156</v>
      </c>
      <c r="B28" s="73"/>
      <c r="C28" s="77"/>
      <c r="D28" s="78"/>
      <c r="E28" s="266"/>
      <c r="F28" s="267"/>
      <c r="G28" s="257"/>
      <c r="H28" s="257"/>
      <c r="I28" s="263"/>
      <c r="J28" s="198"/>
      <c r="N28" s="188">
        <f t="shared" si="0"/>
        <v>0</v>
      </c>
    </row>
    <row r="29" spans="1:14" x14ac:dyDescent="0.3">
      <c r="A29" s="301" t="s">
        <v>157</v>
      </c>
      <c r="B29" s="78"/>
      <c r="C29" s="77"/>
      <c r="D29" s="78"/>
      <c r="E29" s="266"/>
      <c r="F29" s="267"/>
      <c r="G29" s="257"/>
      <c r="H29" s="257"/>
      <c r="I29" s="263"/>
      <c r="J29" s="198"/>
      <c r="N29" s="188">
        <f t="shared" si="0"/>
        <v>0</v>
      </c>
    </row>
    <row r="30" spans="1:14" ht="26.15" customHeight="1" x14ac:dyDescent="0.3">
      <c r="A30" s="305" t="s">
        <v>301</v>
      </c>
      <c r="B30" s="257"/>
      <c r="C30" s="159"/>
      <c r="D30" s="257"/>
      <c r="E30" s="266"/>
      <c r="F30" s="257"/>
      <c r="G30" s="257"/>
      <c r="H30" s="257"/>
      <c r="I30" s="263"/>
      <c r="N30" s="188">
        <f t="shared" si="0"/>
        <v>0</v>
      </c>
    </row>
    <row r="31" spans="1:14" ht="26.15" customHeight="1" x14ac:dyDescent="0.3">
      <c r="A31" s="303" t="s">
        <v>160</v>
      </c>
      <c r="B31" s="257">
        <v>2</v>
      </c>
      <c r="C31" s="159">
        <v>1</v>
      </c>
      <c r="D31" s="257">
        <f>B31*C31</f>
        <v>2</v>
      </c>
      <c r="E31" s="266">
        <f>E14</f>
        <v>5.53</v>
      </c>
      <c r="F31" s="257">
        <f t="shared" ref="F31:F32" si="13">D31*E31</f>
        <v>11.06</v>
      </c>
      <c r="G31" s="257">
        <f t="shared" ref="G31:G32" si="14">F31*0.05</f>
        <v>0.55300000000000005</v>
      </c>
      <c r="H31" s="257">
        <f t="shared" ref="H31:H32" si="15">F31*0.1</f>
        <v>1.1060000000000001</v>
      </c>
      <c r="I31" s="262">
        <f t="shared" ref="I31:I32" si="16">F31*$L$8+G31*$L$7+H31*$L$9</f>
        <v>1572.5395559999999</v>
      </c>
      <c r="N31" s="188">
        <f t="shared" si="0"/>
        <v>5.53</v>
      </c>
    </row>
    <row r="32" spans="1:14" ht="26" x14ac:dyDescent="0.3">
      <c r="A32" s="303" t="s">
        <v>302</v>
      </c>
      <c r="B32" s="257">
        <v>2</v>
      </c>
      <c r="C32" s="159">
        <v>1</v>
      </c>
      <c r="D32" s="257">
        <f>B32*C32</f>
        <v>2</v>
      </c>
      <c r="E32" s="266">
        <f>E14</f>
        <v>5.53</v>
      </c>
      <c r="F32" s="257">
        <f t="shared" si="13"/>
        <v>11.06</v>
      </c>
      <c r="G32" s="257">
        <f t="shared" si="14"/>
        <v>0.55300000000000005</v>
      </c>
      <c r="H32" s="257">
        <f t="shared" si="15"/>
        <v>1.1060000000000001</v>
      </c>
      <c r="I32" s="262">
        <f t="shared" si="16"/>
        <v>1572.5395559999999</v>
      </c>
      <c r="N32" s="188">
        <f t="shared" si="0"/>
        <v>5.53</v>
      </c>
    </row>
    <row r="33" spans="1:14" x14ac:dyDescent="0.3">
      <c r="A33" s="301" t="s">
        <v>212</v>
      </c>
      <c r="B33" s="73">
        <v>2</v>
      </c>
      <c r="C33" s="74">
        <v>1</v>
      </c>
      <c r="D33" s="73">
        <v>2</v>
      </c>
      <c r="E33" s="266">
        <f>$L$15</f>
        <v>5.53</v>
      </c>
      <c r="F33" s="257">
        <f t="shared" ref="F33:F35" si="17">D33*E33</f>
        <v>11.06</v>
      </c>
      <c r="G33" s="257">
        <f t="shared" ref="G33:G35" si="18">F33*0.05</f>
        <v>0.55300000000000005</v>
      </c>
      <c r="H33" s="257">
        <f t="shared" ref="H33:H35" si="19">F33*0.1</f>
        <v>1.1060000000000001</v>
      </c>
      <c r="I33" s="262">
        <f t="shared" ref="I33:I35" si="20">F33*$L$8+G33*$L$7+H33*$L$9</f>
        <v>1572.5395559999999</v>
      </c>
      <c r="N33" s="188">
        <f t="shared" si="0"/>
        <v>5.53</v>
      </c>
    </row>
    <row r="34" spans="1:14" ht="26" x14ac:dyDescent="0.3">
      <c r="A34" s="301" t="s">
        <v>303</v>
      </c>
      <c r="B34" s="73">
        <v>2</v>
      </c>
      <c r="C34" s="74">
        <v>1</v>
      </c>
      <c r="D34" s="73">
        <v>2</v>
      </c>
      <c r="E34" s="266">
        <f t="shared" ref="E34" si="21">E16</f>
        <v>5.53</v>
      </c>
      <c r="F34" s="257">
        <f t="shared" si="17"/>
        <v>11.06</v>
      </c>
      <c r="G34" s="257">
        <f t="shared" si="18"/>
        <v>0.55300000000000005</v>
      </c>
      <c r="H34" s="257">
        <f t="shared" si="19"/>
        <v>1.1060000000000001</v>
      </c>
      <c r="I34" s="262">
        <f t="shared" si="20"/>
        <v>1572.5395559999999</v>
      </c>
      <c r="N34" s="188">
        <f t="shared" si="0"/>
        <v>5.53</v>
      </c>
    </row>
    <row r="35" spans="1:14" ht="26" x14ac:dyDescent="0.3">
      <c r="A35" s="301" t="s">
        <v>304</v>
      </c>
      <c r="B35" s="73">
        <v>2</v>
      </c>
      <c r="C35" s="74">
        <v>1</v>
      </c>
      <c r="D35" s="73">
        <v>2</v>
      </c>
      <c r="E35" s="266">
        <f>$L$15</f>
        <v>5.53</v>
      </c>
      <c r="F35" s="257">
        <f t="shared" si="17"/>
        <v>11.06</v>
      </c>
      <c r="G35" s="257">
        <f t="shared" si="18"/>
        <v>0.55300000000000005</v>
      </c>
      <c r="H35" s="257">
        <f t="shared" si="19"/>
        <v>1.1060000000000001</v>
      </c>
      <c r="I35" s="262">
        <f t="shared" si="20"/>
        <v>1572.5395559999999</v>
      </c>
      <c r="N35" s="188">
        <f t="shared" si="0"/>
        <v>5.53</v>
      </c>
    </row>
    <row r="36" spans="1:14" ht="26" x14ac:dyDescent="0.3">
      <c r="A36" s="303" t="s">
        <v>166</v>
      </c>
      <c r="B36" s="257">
        <v>1</v>
      </c>
      <c r="C36" s="159">
        <v>1</v>
      </c>
      <c r="D36" s="257">
        <f>B36*C36</f>
        <v>1</v>
      </c>
      <c r="E36" s="266">
        <f>$L$15</f>
        <v>5.53</v>
      </c>
      <c r="F36" s="257">
        <f t="shared" ref="F36" si="22">D36*E36</f>
        <v>5.53</v>
      </c>
      <c r="G36" s="257">
        <f t="shared" ref="G36" si="23">F36*0.05</f>
        <v>0.27650000000000002</v>
      </c>
      <c r="H36" s="257">
        <f t="shared" ref="H36" si="24">F36*0.1</f>
        <v>0.55300000000000005</v>
      </c>
      <c r="I36" s="262">
        <f t="shared" ref="I36" si="25">F36*$L$8+G36*$L$7+H36*$L$9</f>
        <v>786.26977799999997</v>
      </c>
      <c r="N36" s="188">
        <f t="shared" si="0"/>
        <v>5.53</v>
      </c>
    </row>
    <row r="37" spans="1:14" x14ac:dyDescent="0.3">
      <c r="A37" s="305" t="s">
        <v>306</v>
      </c>
      <c r="B37" s="261"/>
      <c r="C37" s="260"/>
      <c r="D37" s="261"/>
      <c r="E37" s="268"/>
      <c r="F37" s="261"/>
      <c r="G37" s="261"/>
      <c r="H37" s="261"/>
      <c r="I37" s="261"/>
      <c r="N37" s="188">
        <f t="shared" si="0"/>
        <v>0</v>
      </c>
    </row>
    <row r="38" spans="1:14" x14ac:dyDescent="0.3">
      <c r="A38" s="303" t="s">
        <v>307</v>
      </c>
      <c r="B38" s="257">
        <v>2</v>
      </c>
      <c r="C38" s="159">
        <v>1</v>
      </c>
      <c r="D38" s="257">
        <f>B38*C38</f>
        <v>2</v>
      </c>
      <c r="E38" s="266">
        <f>$L$16</f>
        <v>79</v>
      </c>
      <c r="F38" s="257">
        <f>D38*E38</f>
        <v>158</v>
      </c>
      <c r="G38" s="257">
        <f>F38*0.05</f>
        <v>7.9</v>
      </c>
      <c r="H38" s="257">
        <f>F38*0.1</f>
        <v>15.8</v>
      </c>
      <c r="I38" s="262">
        <f>F38*$L$8+G38*$L$7+H38*$L$9</f>
        <v>22464.8508</v>
      </c>
      <c r="N38" s="188">
        <f t="shared" si="0"/>
        <v>79</v>
      </c>
    </row>
    <row r="39" spans="1:14" ht="57" customHeight="1" x14ac:dyDescent="0.3">
      <c r="A39" s="303" t="s">
        <v>308</v>
      </c>
      <c r="B39" s="257">
        <v>2</v>
      </c>
      <c r="C39" s="159">
        <v>1</v>
      </c>
      <c r="D39" s="257">
        <f>B39*C39</f>
        <v>2</v>
      </c>
      <c r="E39" s="266">
        <f>E38</f>
        <v>79</v>
      </c>
      <c r="F39" s="257">
        <f>D39*E39</f>
        <v>158</v>
      </c>
      <c r="G39" s="257">
        <f>F39*0.05</f>
        <v>7.9</v>
      </c>
      <c r="H39" s="257">
        <f>F39*0.1</f>
        <v>15.8</v>
      </c>
      <c r="I39" s="262">
        <f>F39*$L$8+G39*$L$7+H39*$L$9</f>
        <v>22464.8508</v>
      </c>
      <c r="N39" s="188">
        <f t="shared" si="0"/>
        <v>79</v>
      </c>
    </row>
    <row r="40" spans="1:14" ht="21.65" customHeight="1" x14ac:dyDescent="0.3">
      <c r="A40" s="301" t="s">
        <v>212</v>
      </c>
      <c r="B40" s="190">
        <v>2</v>
      </c>
      <c r="C40" s="115">
        <v>1</v>
      </c>
      <c r="D40" s="190">
        <v>2</v>
      </c>
      <c r="E40" s="266">
        <f>$L$16</f>
        <v>79</v>
      </c>
      <c r="F40" s="257">
        <f t="shared" ref="F40:F42" si="26">D40*E40</f>
        <v>158</v>
      </c>
      <c r="G40" s="257">
        <f t="shared" ref="G40:G42" si="27">F40*0.05</f>
        <v>7.9</v>
      </c>
      <c r="H40" s="257">
        <f t="shared" ref="H40:H42" si="28">F40*0.1</f>
        <v>15.8</v>
      </c>
      <c r="I40" s="262">
        <f t="shared" ref="I40:I42" si="29">F40*$L$8+G40*$L$7+H40*$L$9</f>
        <v>22464.8508</v>
      </c>
      <c r="N40" s="188">
        <f t="shared" si="0"/>
        <v>79</v>
      </c>
    </row>
    <row r="41" spans="1:14" ht="24.65" customHeight="1" x14ac:dyDescent="0.3">
      <c r="A41" s="301" t="s">
        <v>303</v>
      </c>
      <c r="B41" s="190">
        <v>2</v>
      </c>
      <c r="C41" s="115">
        <v>1</v>
      </c>
      <c r="D41" s="190">
        <v>2</v>
      </c>
      <c r="E41" s="266">
        <f>$L$16</f>
        <v>79</v>
      </c>
      <c r="F41" s="257">
        <f t="shared" si="26"/>
        <v>158</v>
      </c>
      <c r="G41" s="257">
        <f t="shared" si="27"/>
        <v>7.9</v>
      </c>
      <c r="H41" s="257">
        <f t="shared" si="28"/>
        <v>15.8</v>
      </c>
      <c r="I41" s="262">
        <f t="shared" si="29"/>
        <v>22464.8508</v>
      </c>
      <c r="N41" s="188">
        <f t="shared" si="0"/>
        <v>79</v>
      </c>
    </row>
    <row r="42" spans="1:14" ht="22.5" customHeight="1" x14ac:dyDescent="0.3">
      <c r="A42" s="301" t="s">
        <v>309</v>
      </c>
      <c r="B42" s="190">
        <v>2</v>
      </c>
      <c r="C42" s="115">
        <v>1</v>
      </c>
      <c r="D42" s="190">
        <v>2</v>
      </c>
      <c r="E42" s="266">
        <f>$L$16</f>
        <v>79</v>
      </c>
      <c r="F42" s="257">
        <f t="shared" si="26"/>
        <v>158</v>
      </c>
      <c r="G42" s="257">
        <f t="shared" si="27"/>
        <v>7.9</v>
      </c>
      <c r="H42" s="257">
        <f t="shared" si="28"/>
        <v>15.8</v>
      </c>
      <c r="I42" s="262">
        <f t="shared" si="29"/>
        <v>22464.8508</v>
      </c>
      <c r="N42" s="188">
        <f t="shared" si="0"/>
        <v>79</v>
      </c>
    </row>
    <row r="43" spans="1:14" ht="22.5" customHeight="1" x14ac:dyDescent="0.3">
      <c r="A43" s="301"/>
      <c r="B43" s="73"/>
      <c r="C43" s="74"/>
      <c r="D43" s="73"/>
      <c r="E43" s="266"/>
      <c r="F43" s="257"/>
      <c r="G43" s="257"/>
      <c r="H43" s="257"/>
      <c r="I43" s="263"/>
      <c r="N43" s="188">
        <f t="shared" si="0"/>
        <v>0</v>
      </c>
    </row>
    <row r="44" spans="1:14" x14ac:dyDescent="0.3">
      <c r="A44" s="303"/>
      <c r="B44" s="283"/>
      <c r="C44" s="284"/>
      <c r="D44" s="283"/>
      <c r="E44" s="266"/>
      <c r="F44" s="257"/>
      <c r="G44" s="257"/>
      <c r="H44" s="257"/>
      <c r="I44" s="263"/>
      <c r="N44" s="188">
        <f t="shared" si="0"/>
        <v>0</v>
      </c>
    </row>
    <row r="45" spans="1:14" ht="13.5" x14ac:dyDescent="0.3">
      <c r="A45" s="269" t="s">
        <v>167</v>
      </c>
      <c r="B45" s="270"/>
      <c r="C45" s="271"/>
      <c r="D45" s="270"/>
      <c r="E45" s="272"/>
      <c r="F45" s="273">
        <f>SUM(F8:H44)</f>
        <v>2498.2841500000013</v>
      </c>
      <c r="G45" s="273"/>
      <c r="H45" s="273"/>
      <c r="I45" s="274">
        <f>SUM(I8:I44)</f>
        <v>308880.46607460006</v>
      </c>
      <c r="N45" s="188">
        <f t="shared" si="0"/>
        <v>0</v>
      </c>
    </row>
    <row r="46" spans="1:14" ht="26" x14ac:dyDescent="0.3">
      <c r="A46" s="259" t="s">
        <v>168</v>
      </c>
      <c r="B46" s="261"/>
      <c r="C46" s="260"/>
      <c r="D46" s="261"/>
      <c r="E46" s="268"/>
      <c r="F46" s="261"/>
      <c r="G46" s="261"/>
      <c r="H46" s="261"/>
      <c r="I46" s="261"/>
      <c r="N46" s="188">
        <f t="shared" si="0"/>
        <v>0</v>
      </c>
    </row>
    <row r="47" spans="1:14" ht="26" x14ac:dyDescent="0.3">
      <c r="A47" s="303" t="s">
        <v>132</v>
      </c>
      <c r="B47" s="257"/>
      <c r="C47" s="260"/>
      <c r="D47" s="261"/>
      <c r="E47" s="260"/>
      <c r="F47" s="261"/>
      <c r="G47" s="261"/>
      <c r="H47" s="261"/>
      <c r="I47" s="261"/>
      <c r="N47" s="188">
        <f t="shared" si="0"/>
        <v>0</v>
      </c>
    </row>
    <row r="48" spans="1:14" x14ac:dyDescent="0.3">
      <c r="A48" s="303" t="s">
        <v>169</v>
      </c>
      <c r="B48" s="257"/>
      <c r="C48" s="260"/>
      <c r="D48" s="261"/>
      <c r="E48" s="260"/>
      <c r="F48" s="261"/>
      <c r="G48" s="261"/>
      <c r="H48" s="261"/>
      <c r="I48" s="261"/>
      <c r="N48" s="188">
        <f t="shared" si="0"/>
        <v>0</v>
      </c>
    </row>
    <row r="49" spans="1:15" x14ac:dyDescent="0.3">
      <c r="A49" s="303" t="s">
        <v>170</v>
      </c>
      <c r="B49" s="257"/>
      <c r="C49" s="260"/>
      <c r="D49" s="261"/>
      <c r="E49" s="260"/>
      <c r="F49" s="261"/>
      <c r="G49" s="261"/>
      <c r="H49" s="261"/>
      <c r="I49" s="261"/>
      <c r="N49" s="188">
        <f t="shared" si="0"/>
        <v>0</v>
      </c>
    </row>
    <row r="50" spans="1:15" x14ac:dyDescent="0.3">
      <c r="A50" s="303" t="s">
        <v>171</v>
      </c>
      <c r="B50" s="257" t="s">
        <v>122</v>
      </c>
      <c r="C50" s="260"/>
      <c r="D50" s="261"/>
      <c r="E50" s="260"/>
      <c r="F50" s="261"/>
      <c r="G50" s="261"/>
      <c r="H50" s="261"/>
      <c r="I50" s="261"/>
      <c r="N50" s="188">
        <f t="shared" si="0"/>
        <v>0</v>
      </c>
    </row>
    <row r="51" spans="1:15" ht="26" x14ac:dyDescent="0.3">
      <c r="A51" s="303" t="s">
        <v>172</v>
      </c>
      <c r="B51" s="261"/>
      <c r="C51" s="260"/>
      <c r="D51" s="261"/>
      <c r="E51" s="260"/>
      <c r="F51" s="261"/>
      <c r="G51" s="261"/>
      <c r="H51" s="261"/>
      <c r="I51" s="261"/>
      <c r="N51" s="188">
        <f t="shared" si="0"/>
        <v>0</v>
      </c>
    </row>
    <row r="52" spans="1:15" x14ac:dyDescent="0.3">
      <c r="A52" s="305" t="s">
        <v>163</v>
      </c>
      <c r="B52" s="261"/>
      <c r="C52" s="260"/>
      <c r="D52" s="261"/>
      <c r="E52" s="260"/>
      <c r="F52" s="261"/>
      <c r="G52" s="261"/>
      <c r="H52" s="261"/>
      <c r="I52" s="261"/>
      <c r="N52" s="188">
        <f t="shared" si="0"/>
        <v>0</v>
      </c>
    </row>
    <row r="53" spans="1:15" x14ac:dyDescent="0.3">
      <c r="A53" s="303" t="s">
        <v>173</v>
      </c>
      <c r="B53" s="257">
        <v>0.1</v>
      </c>
      <c r="C53" s="159">
        <v>1</v>
      </c>
      <c r="D53" s="73">
        <f t="shared" ref="D53:D55" si="30">B53*C53</f>
        <v>0.1</v>
      </c>
      <c r="E53" s="266">
        <f>$L$16</f>
        <v>79</v>
      </c>
      <c r="F53" s="267">
        <f t="shared" ref="F53:F60" si="31">D53*E53</f>
        <v>7.9</v>
      </c>
      <c r="G53" s="257">
        <f t="shared" ref="G53:G60" si="32">F53*0.05</f>
        <v>0.39500000000000002</v>
      </c>
      <c r="H53" s="257">
        <f t="shared" ref="H53:H60" si="33">F53*0.1</f>
        <v>0.79</v>
      </c>
      <c r="I53" s="262">
        <f>F53*$L$8+G53*$L$7+H53*$L$9</f>
        <v>1123.2425400000002</v>
      </c>
      <c r="N53" s="188">
        <f t="shared" si="0"/>
        <v>79</v>
      </c>
    </row>
    <row r="54" spans="1:15" x14ac:dyDescent="0.3">
      <c r="A54" s="303" t="s">
        <v>310</v>
      </c>
      <c r="B54" s="257">
        <v>0.1</v>
      </c>
      <c r="C54" s="159">
        <v>1</v>
      </c>
      <c r="D54" s="73">
        <f t="shared" si="30"/>
        <v>0.1</v>
      </c>
      <c r="E54" s="266">
        <f>$L$16</f>
        <v>79</v>
      </c>
      <c r="F54" s="267">
        <f t="shared" si="31"/>
        <v>7.9</v>
      </c>
      <c r="G54" s="257">
        <f t="shared" si="32"/>
        <v>0.39500000000000002</v>
      </c>
      <c r="H54" s="257">
        <f t="shared" si="33"/>
        <v>0.79</v>
      </c>
      <c r="I54" s="262">
        <f>F54*$L$8+G54*$L$7+H54*$L$9</f>
        <v>1123.2425400000002</v>
      </c>
      <c r="N54" s="188">
        <f t="shared" si="0"/>
        <v>79</v>
      </c>
    </row>
    <row r="55" spans="1:15" ht="26" x14ac:dyDescent="0.3">
      <c r="A55" s="301" t="s">
        <v>311</v>
      </c>
      <c r="B55" s="73">
        <v>0.1</v>
      </c>
      <c r="C55" s="74">
        <v>330</v>
      </c>
      <c r="D55" s="73">
        <f t="shared" si="30"/>
        <v>33</v>
      </c>
      <c r="E55" s="266">
        <f>$L$16</f>
        <v>79</v>
      </c>
      <c r="F55" s="89">
        <f t="shared" si="31"/>
        <v>2607</v>
      </c>
      <c r="G55" s="73">
        <f t="shared" si="32"/>
        <v>130.35</v>
      </c>
      <c r="H55" s="73">
        <f t="shared" si="33"/>
        <v>260.7</v>
      </c>
      <c r="I55" s="262">
        <f>F55*$L$8+G55*$L$7+H55*$L$9</f>
        <v>370670.03820000001</v>
      </c>
      <c r="N55" s="188">
        <f t="shared" si="0"/>
        <v>26070</v>
      </c>
    </row>
    <row r="56" spans="1:15" x14ac:dyDescent="0.3">
      <c r="A56" s="305" t="s">
        <v>158</v>
      </c>
      <c r="B56" s="257"/>
      <c r="C56" s="159"/>
      <c r="D56" s="257"/>
      <c r="E56" s="266"/>
      <c r="F56" s="267"/>
      <c r="G56" s="257"/>
      <c r="H56" s="257"/>
      <c r="I56" s="263"/>
      <c r="N56" s="188">
        <f t="shared" si="0"/>
        <v>0</v>
      </c>
    </row>
    <row r="57" spans="1:15" x14ac:dyDescent="0.3">
      <c r="A57" s="303" t="s">
        <v>173</v>
      </c>
      <c r="B57" s="257">
        <v>0</v>
      </c>
      <c r="C57" s="159">
        <v>0</v>
      </c>
      <c r="D57" s="257">
        <f>B57*C57</f>
        <v>0</v>
      </c>
      <c r="E57" s="266">
        <f>$L$14</f>
        <v>0</v>
      </c>
      <c r="F57" s="267">
        <f t="shared" ref="F57:F58" si="34">D57*E57</f>
        <v>0</v>
      </c>
      <c r="G57" s="257">
        <f t="shared" ref="G57:G58" si="35">F57*0.05</f>
        <v>0</v>
      </c>
      <c r="H57" s="257">
        <f t="shared" ref="H57:H58" si="36">F57*0.1</f>
        <v>0</v>
      </c>
      <c r="I57" s="262">
        <f>F57*$L$8+G57*$L$7+H57*$L$9</f>
        <v>0</v>
      </c>
      <c r="N57" s="188">
        <f t="shared" si="0"/>
        <v>0</v>
      </c>
    </row>
    <row r="58" spans="1:15" x14ac:dyDescent="0.3">
      <c r="A58" s="303" t="s">
        <v>310</v>
      </c>
      <c r="B58" s="257">
        <v>0</v>
      </c>
      <c r="C58" s="159">
        <v>0</v>
      </c>
      <c r="D58" s="257">
        <f t="shared" ref="D58:D60" si="37">B58*C58</f>
        <v>0</v>
      </c>
      <c r="E58" s="266">
        <f>$L$14</f>
        <v>0</v>
      </c>
      <c r="F58" s="267">
        <f t="shared" si="34"/>
        <v>0</v>
      </c>
      <c r="G58" s="257">
        <f t="shared" si="35"/>
        <v>0</v>
      </c>
      <c r="H58" s="257">
        <f t="shared" si="36"/>
        <v>0</v>
      </c>
      <c r="I58" s="262">
        <f>F58*$L$8+G58*$L$7+H58*$L$9</f>
        <v>0</v>
      </c>
      <c r="N58" s="188">
        <f t="shared" si="0"/>
        <v>0</v>
      </c>
    </row>
    <row r="59" spans="1:15" x14ac:dyDescent="0.3">
      <c r="A59" s="301" t="s">
        <v>312</v>
      </c>
      <c r="B59" s="257">
        <v>0</v>
      </c>
      <c r="C59" s="159">
        <v>0</v>
      </c>
      <c r="D59" s="73">
        <f t="shared" si="37"/>
        <v>0</v>
      </c>
      <c r="E59" s="266">
        <f>$L$14</f>
        <v>0</v>
      </c>
      <c r="F59" s="267">
        <f t="shared" ref="F59" si="38">D59*E59</f>
        <v>0</v>
      </c>
      <c r="G59" s="257">
        <f t="shared" ref="G59" si="39">F59*0.05</f>
        <v>0</v>
      </c>
      <c r="H59" s="257">
        <f t="shared" ref="H59" si="40">F59*0.1</f>
        <v>0</v>
      </c>
      <c r="I59" s="262">
        <f>F59*$L$8+G59*$L$7+H59*$L$9</f>
        <v>0</v>
      </c>
      <c r="N59" s="188">
        <f t="shared" si="0"/>
        <v>0</v>
      </c>
    </row>
    <row r="60" spans="1:15" ht="17.25" customHeight="1" x14ac:dyDescent="0.3">
      <c r="A60" s="303" t="s">
        <v>313</v>
      </c>
      <c r="B60" s="257">
        <v>0</v>
      </c>
      <c r="C60" s="159">
        <v>0</v>
      </c>
      <c r="D60" s="257">
        <f t="shared" si="37"/>
        <v>0</v>
      </c>
      <c r="E60" s="266">
        <f>$L$14</f>
        <v>0</v>
      </c>
      <c r="F60" s="267">
        <f t="shared" si="31"/>
        <v>0</v>
      </c>
      <c r="G60" s="257">
        <f t="shared" si="32"/>
        <v>0</v>
      </c>
      <c r="H60" s="257">
        <f t="shared" si="33"/>
        <v>0</v>
      </c>
      <c r="I60" s="262">
        <f>F60*$L$8+G60*$L$7+H60*$L$9</f>
        <v>0</v>
      </c>
      <c r="N60" s="188">
        <f>SUM(N6:N59)</f>
        <v>26912.692999999999</v>
      </c>
      <c r="O60" s="188" t="s">
        <v>248</v>
      </c>
    </row>
    <row r="61" spans="1:15" x14ac:dyDescent="0.3">
      <c r="A61" s="303" t="s">
        <v>186</v>
      </c>
      <c r="B61" s="257" t="s">
        <v>122</v>
      </c>
      <c r="C61" s="260"/>
      <c r="D61" s="261"/>
      <c r="E61" s="260"/>
      <c r="F61" s="261"/>
      <c r="G61" s="261"/>
      <c r="H61" s="261"/>
      <c r="I61" s="261"/>
      <c r="K61" s="282">
        <f>F63/212</f>
        <v>25.943396226415093</v>
      </c>
      <c r="L61" s="188" t="s">
        <v>190</v>
      </c>
    </row>
    <row r="62" spans="1:15" ht="27" x14ac:dyDescent="0.3">
      <c r="A62" s="269" t="s">
        <v>188</v>
      </c>
      <c r="B62" s="275"/>
      <c r="C62" s="276"/>
      <c r="D62" s="275"/>
      <c r="E62" s="277"/>
      <c r="F62" s="273">
        <f>SUM(F53:H60)</f>
        <v>3016.22</v>
      </c>
      <c r="G62" s="273"/>
      <c r="H62" s="273"/>
      <c r="I62" s="274">
        <f>SUM(I53:I61)</f>
        <v>372916.52328000002</v>
      </c>
    </row>
    <row r="63" spans="1:15" ht="28" x14ac:dyDescent="0.3">
      <c r="A63" s="278" t="s">
        <v>314</v>
      </c>
      <c r="B63" s="279"/>
      <c r="C63" s="169"/>
      <c r="D63" s="279"/>
      <c r="E63" s="280"/>
      <c r="F63" s="469">
        <f>ROUND(F62+F45, -2)</f>
        <v>5500</v>
      </c>
      <c r="G63" s="469"/>
      <c r="H63" s="469"/>
      <c r="I63" s="281">
        <f>ROUND(I62+I45, -4)</f>
        <v>680000</v>
      </c>
    </row>
    <row r="64" spans="1:15" ht="28" x14ac:dyDescent="0.3">
      <c r="A64" s="168" t="s">
        <v>315</v>
      </c>
      <c r="B64" s="261"/>
      <c r="C64" s="260"/>
      <c r="D64" s="261"/>
      <c r="E64" s="260"/>
      <c r="F64" s="261"/>
      <c r="G64" s="261"/>
      <c r="H64" s="261"/>
      <c r="I64" s="281">
        <f>'CCOM4-6'!$H$16</f>
        <v>170000</v>
      </c>
    </row>
    <row r="65" spans="1:9" ht="15" x14ac:dyDescent="0.3">
      <c r="A65" s="168" t="s">
        <v>316</v>
      </c>
      <c r="B65" s="261"/>
      <c r="C65" s="260"/>
      <c r="D65" s="261"/>
      <c r="E65" s="260"/>
      <c r="F65" s="261"/>
      <c r="G65" s="261"/>
      <c r="H65" s="261"/>
      <c r="I65" s="281">
        <f>ROUND(I63+I64, -5)</f>
        <v>900000</v>
      </c>
    </row>
    <row r="66" spans="1:9" ht="10.5" customHeight="1" x14ac:dyDescent="0.3"/>
    <row r="67" spans="1:9" ht="15.65" customHeight="1" x14ac:dyDescent="0.3">
      <c r="A67" s="467" t="s">
        <v>317</v>
      </c>
      <c r="B67" s="467"/>
      <c r="C67" s="467"/>
      <c r="D67" s="467"/>
      <c r="E67" s="467"/>
      <c r="F67" s="467"/>
      <c r="G67" s="467"/>
      <c r="H67" s="467"/>
      <c r="I67" s="467"/>
    </row>
    <row r="68" spans="1:9" ht="74.5" customHeight="1" x14ac:dyDescent="0.3">
      <c r="A68" s="446" t="s">
        <v>194</v>
      </c>
      <c r="B68" s="446"/>
      <c r="C68" s="446"/>
      <c r="D68" s="446"/>
      <c r="E68" s="446"/>
      <c r="F68" s="446"/>
      <c r="G68" s="446"/>
      <c r="H68" s="446"/>
      <c r="I68" s="446"/>
    </row>
    <row r="69" spans="1:9" ht="18.75" customHeight="1" x14ac:dyDescent="0.3">
      <c r="A69" s="467" t="s">
        <v>318</v>
      </c>
      <c r="B69" s="467"/>
      <c r="C69" s="467"/>
      <c r="D69" s="467"/>
      <c r="E69" s="467"/>
      <c r="F69" s="467"/>
      <c r="G69" s="467"/>
      <c r="H69" s="467"/>
      <c r="I69" s="467"/>
    </row>
    <row r="70" spans="1:9" ht="15.5" customHeight="1" x14ac:dyDescent="0.3">
      <c r="A70" s="470" t="s">
        <v>515</v>
      </c>
      <c r="B70" s="470"/>
      <c r="C70" s="470"/>
      <c r="D70" s="470"/>
      <c r="E70" s="470"/>
      <c r="F70" s="470"/>
      <c r="G70" s="470"/>
      <c r="H70" s="470"/>
      <c r="I70" s="470"/>
    </row>
    <row r="71" spans="1:9" ht="21.65" customHeight="1" x14ac:dyDescent="0.3">
      <c r="A71" s="466" t="s">
        <v>319</v>
      </c>
      <c r="B71" s="466"/>
      <c r="C71" s="466"/>
      <c r="D71" s="466"/>
      <c r="E71" s="466"/>
      <c r="F71" s="466"/>
      <c r="G71" s="466"/>
      <c r="H71" s="466"/>
      <c r="I71" s="466"/>
    </row>
  </sheetData>
  <mergeCells count="9">
    <mergeCell ref="A70:I70"/>
    <mergeCell ref="A71:I71"/>
    <mergeCell ref="A1:I1"/>
    <mergeCell ref="A3:I3"/>
    <mergeCell ref="K6:L6"/>
    <mergeCell ref="F63:H63"/>
    <mergeCell ref="A67:I67"/>
    <mergeCell ref="A68:I68"/>
    <mergeCell ref="A69:I69"/>
  </mergeCells>
  <pageMargins left="0.7" right="0.7" top="0.75" bottom="0.75" header="0.3" footer="0.3"/>
  <pageSetup scale="4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5167-4E7A-497A-B6F9-CCCAC2F9C3CA}">
  <sheetPr>
    <pageSetUpPr fitToPage="1"/>
  </sheetPr>
  <dimension ref="A1:O71"/>
  <sheetViews>
    <sheetView zoomScale="80" zoomScaleNormal="80" workbookViewId="0">
      <pane xSplit="9" ySplit="5" topLeftCell="J6" activePane="bottomRight" state="frozen"/>
      <selection activeCell="A25" sqref="A25:I25"/>
      <selection pane="topRight" activeCell="A25" sqref="A25:I25"/>
      <selection pane="bottomLeft" activeCell="A25" sqref="A25:I25"/>
      <selection pane="bottomRight" activeCell="I15" sqref="I15"/>
    </sheetView>
  </sheetViews>
  <sheetFormatPr defaultColWidth="9.1796875" defaultRowHeight="13" x14ac:dyDescent="0.3"/>
  <cols>
    <col min="1" max="1" width="31.816406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327</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59" si="0">C7*E7</f>
        <v>0</v>
      </c>
    </row>
    <row r="8" spans="1:14" ht="56.15" customHeight="1" x14ac:dyDescent="0.3">
      <c r="A8" s="259" t="s">
        <v>127</v>
      </c>
      <c r="B8" s="257">
        <v>0</v>
      </c>
      <c r="C8" s="159">
        <v>0</v>
      </c>
      <c r="D8" s="257">
        <f>B8*C8</f>
        <v>0</v>
      </c>
      <c r="E8" s="159">
        <f>L14</f>
        <v>0</v>
      </c>
      <c r="F8" s="257">
        <f>D8*E8</f>
        <v>0</v>
      </c>
      <c r="G8" s="257">
        <f>F8*0.05</f>
        <v>0</v>
      </c>
      <c r="H8" s="257">
        <f>F8*0.1</f>
        <v>0</v>
      </c>
      <c r="I8" s="262">
        <f>F8*$L$8+G8*$L$7+H8*$L$9</f>
        <v>0</v>
      </c>
      <c r="K8" s="157" t="s">
        <v>128</v>
      </c>
      <c r="L8" s="195">
        <f>60.8*2.1</f>
        <v>127.67999999999999</v>
      </c>
      <c r="M8" s="198"/>
      <c r="N8" s="188">
        <f t="shared" si="0"/>
        <v>0</v>
      </c>
    </row>
    <row r="9" spans="1:14" x14ac:dyDescent="0.3">
      <c r="A9" s="259" t="s">
        <v>129</v>
      </c>
      <c r="B9" s="257"/>
      <c r="C9" s="159"/>
      <c r="D9" s="257"/>
      <c r="E9" s="159"/>
      <c r="F9" s="257"/>
      <c r="G9" s="257"/>
      <c r="H9" s="257"/>
      <c r="I9" s="261"/>
      <c r="K9" s="157" t="s">
        <v>130</v>
      </c>
      <c r="L9" s="195">
        <f>30.58*2.1</f>
        <v>64.218000000000004</v>
      </c>
      <c r="M9" s="198"/>
      <c r="N9" s="188">
        <f t="shared" si="0"/>
        <v>0</v>
      </c>
    </row>
    <row r="10" spans="1:14" ht="26" x14ac:dyDescent="0.3">
      <c r="A10" s="303" t="s">
        <v>132</v>
      </c>
      <c r="B10" s="257">
        <v>0</v>
      </c>
      <c r="C10" s="159">
        <v>0</v>
      </c>
      <c r="D10" s="257">
        <f>B10*C10</f>
        <v>0</v>
      </c>
      <c r="E10" s="159">
        <v>0</v>
      </c>
      <c r="F10" s="257">
        <f>D10*E10</f>
        <v>0</v>
      </c>
      <c r="G10" s="257">
        <f>F10*0.05</f>
        <v>0</v>
      </c>
      <c r="H10" s="257">
        <f>F10*0.1</f>
        <v>0</v>
      </c>
      <c r="I10" s="263">
        <f>F10*$L$8+G10*$L$7+H10*$L$9</f>
        <v>0</v>
      </c>
      <c r="K10" s="264"/>
      <c r="N10" s="188">
        <f t="shared" si="0"/>
        <v>0</v>
      </c>
    </row>
    <row r="11" spans="1:14" ht="24.65" customHeight="1" x14ac:dyDescent="0.3">
      <c r="A11" s="303" t="s">
        <v>289</v>
      </c>
      <c r="B11" s="257">
        <v>0</v>
      </c>
      <c r="C11" s="159">
        <v>0</v>
      </c>
      <c r="D11" s="257">
        <f>B11*C11</f>
        <v>0</v>
      </c>
      <c r="E11" s="159">
        <v>0</v>
      </c>
      <c r="F11" s="257">
        <f>D11*E11</f>
        <v>0</v>
      </c>
      <c r="G11" s="257">
        <f>F11*0.05</f>
        <v>0</v>
      </c>
      <c r="H11" s="257">
        <f>F11*0.1</f>
        <v>0</v>
      </c>
      <c r="I11" s="263">
        <f>F11*$L$8+G11*$L$7+H11*$L$9</f>
        <v>0</v>
      </c>
      <c r="K11" s="264"/>
      <c r="N11" s="188">
        <f t="shared" si="0"/>
        <v>0</v>
      </c>
    </row>
    <row r="12" spans="1:14" ht="15.75" customHeight="1" x14ac:dyDescent="0.3">
      <c r="A12" s="303" t="s">
        <v>133</v>
      </c>
      <c r="B12" s="257"/>
      <c r="C12" s="159"/>
      <c r="D12" s="257"/>
      <c r="E12" s="159"/>
      <c r="F12" s="257"/>
      <c r="G12" s="257"/>
      <c r="H12" s="257"/>
      <c r="I12" s="263"/>
      <c r="N12" s="188">
        <f t="shared" si="0"/>
        <v>0</v>
      </c>
    </row>
    <row r="13" spans="1:14" ht="15.5" x14ac:dyDescent="0.3">
      <c r="A13" s="304" t="s">
        <v>290</v>
      </c>
      <c r="B13" s="257"/>
      <c r="C13" s="159"/>
      <c r="D13" s="257"/>
      <c r="E13" s="266"/>
      <c r="F13" s="267"/>
      <c r="G13" s="257"/>
      <c r="H13" s="257"/>
      <c r="I13" s="263"/>
      <c r="K13" s="265"/>
      <c r="L13" s="265" t="s">
        <v>291</v>
      </c>
      <c r="N13" s="188">
        <f t="shared" si="0"/>
        <v>0</v>
      </c>
    </row>
    <row r="14" spans="1:14" ht="25" customHeight="1" x14ac:dyDescent="0.3">
      <c r="A14" s="253" t="s">
        <v>292</v>
      </c>
      <c r="B14" s="159">
        <v>6</v>
      </c>
      <c r="C14" s="159">
        <v>1</v>
      </c>
      <c r="D14" s="257">
        <f>B14*C14</f>
        <v>6</v>
      </c>
      <c r="E14" s="266">
        <f>L$15</f>
        <v>5.53</v>
      </c>
      <c r="F14" s="267">
        <f>D14*E14</f>
        <v>33.18</v>
      </c>
      <c r="G14" s="257">
        <f>F14*0.05</f>
        <v>1.659</v>
      </c>
      <c r="H14" s="257">
        <f>F14*0.1</f>
        <v>3.3180000000000001</v>
      </c>
      <c r="I14" s="262">
        <f>F14*$L$8+G14*$L$7+H14*$L$9</f>
        <v>4717.6186680000001</v>
      </c>
      <c r="K14" s="265"/>
      <c r="L14" s="265">
        <v>0</v>
      </c>
      <c r="N14" s="188">
        <f t="shared" si="0"/>
        <v>5.53</v>
      </c>
    </row>
    <row r="15" spans="1:14" ht="26" x14ac:dyDescent="0.3">
      <c r="A15" s="253" t="s">
        <v>293</v>
      </c>
      <c r="B15" s="159">
        <v>6</v>
      </c>
      <c r="C15" s="159">
        <v>1</v>
      </c>
      <c r="D15" s="257">
        <f t="shared" ref="D15" si="1">B15*C15</f>
        <v>6</v>
      </c>
      <c r="E15" s="266">
        <f>E14*0.05</f>
        <v>0.27650000000000002</v>
      </c>
      <c r="F15" s="267">
        <f t="shared" ref="F15:F23" si="2">D15*E15</f>
        <v>1.6590000000000003</v>
      </c>
      <c r="G15" s="257">
        <f t="shared" ref="G15:G23" si="3">F15*0.05</f>
        <v>8.2950000000000024E-2</v>
      </c>
      <c r="H15" s="257">
        <f t="shared" ref="H15:H23" si="4">F15*0.1</f>
        <v>0.16590000000000005</v>
      </c>
      <c r="I15" s="262">
        <f t="shared" ref="I15:I23" si="5">F15*$L$8+G15*$L$7+H15*$L$9</f>
        <v>235.8809334</v>
      </c>
      <c r="J15" s="264"/>
      <c r="K15" s="265" t="s">
        <v>136</v>
      </c>
      <c r="L15" s="265">
        <f>L14+L16*0.07</f>
        <v>5.53</v>
      </c>
      <c r="M15" s="264" t="s">
        <v>294</v>
      </c>
      <c r="N15" s="188">
        <f t="shared" si="0"/>
        <v>0.27650000000000002</v>
      </c>
    </row>
    <row r="16" spans="1:14" x14ac:dyDescent="0.3">
      <c r="A16" s="301" t="s">
        <v>295</v>
      </c>
      <c r="B16" s="73">
        <v>8</v>
      </c>
      <c r="C16" s="74">
        <v>1</v>
      </c>
      <c r="D16" s="73">
        <f>B16*C16</f>
        <v>8</v>
      </c>
      <c r="E16" s="266">
        <f>$L$15</f>
        <v>5.53</v>
      </c>
      <c r="F16" s="267">
        <f t="shared" ref="F16:F20" si="6">D16*E16</f>
        <v>44.24</v>
      </c>
      <c r="G16" s="257">
        <f t="shared" ref="G16:G20" si="7">F16*0.05</f>
        <v>2.2120000000000002</v>
      </c>
      <c r="H16" s="257">
        <f t="shared" ref="H16:H20" si="8">F16*0.1</f>
        <v>4.4240000000000004</v>
      </c>
      <c r="I16" s="262">
        <f t="shared" ref="I16:I20" si="9">F16*$L$8+G16*$L$7+H16*$L$9</f>
        <v>6290.1582239999998</v>
      </c>
      <c r="J16" s="264"/>
      <c r="K16" s="265" t="s">
        <v>141</v>
      </c>
      <c r="L16" s="265">
        <v>79</v>
      </c>
      <c r="N16" s="188">
        <f t="shared" si="0"/>
        <v>5.53</v>
      </c>
    </row>
    <row r="17" spans="1:14" x14ac:dyDescent="0.3">
      <c r="A17" s="301" t="s">
        <v>296</v>
      </c>
      <c r="B17" s="74">
        <v>8</v>
      </c>
      <c r="C17" s="74">
        <v>1</v>
      </c>
      <c r="D17" s="73">
        <f t="shared" ref="D17" si="10">B17*C17</f>
        <v>8</v>
      </c>
      <c r="E17" s="296">
        <f>E16*0.05</f>
        <v>0.27650000000000002</v>
      </c>
      <c r="F17" s="267">
        <f t="shared" si="6"/>
        <v>2.2120000000000002</v>
      </c>
      <c r="G17" s="257">
        <f t="shared" si="7"/>
        <v>0.11060000000000002</v>
      </c>
      <c r="H17" s="257">
        <f t="shared" si="8"/>
        <v>0.22120000000000004</v>
      </c>
      <c r="I17" s="262">
        <f t="shared" si="9"/>
        <v>314.50791120000002</v>
      </c>
      <c r="J17" s="264"/>
      <c r="N17" s="188">
        <f t="shared" si="0"/>
        <v>0.27650000000000002</v>
      </c>
    </row>
    <row r="18" spans="1:14" ht="15.5" x14ac:dyDescent="0.3">
      <c r="A18" s="306" t="s">
        <v>297</v>
      </c>
      <c r="B18" s="74">
        <v>0</v>
      </c>
      <c r="C18" s="74">
        <v>0</v>
      </c>
      <c r="D18" s="73">
        <v>0</v>
      </c>
      <c r="E18" s="266">
        <v>0</v>
      </c>
      <c r="F18" s="267">
        <f t="shared" si="6"/>
        <v>0</v>
      </c>
      <c r="G18" s="257">
        <f t="shared" si="7"/>
        <v>0</v>
      </c>
      <c r="H18" s="257">
        <f t="shared" si="8"/>
        <v>0</v>
      </c>
      <c r="I18" s="263">
        <f t="shared" si="9"/>
        <v>0</v>
      </c>
      <c r="J18" s="264"/>
      <c r="N18" s="188">
        <f t="shared" si="0"/>
        <v>0</v>
      </c>
    </row>
    <row r="19" spans="1:14" x14ac:dyDescent="0.3">
      <c r="A19" s="301" t="s">
        <v>295</v>
      </c>
      <c r="B19" s="74">
        <v>0</v>
      </c>
      <c r="C19" s="74">
        <v>0</v>
      </c>
      <c r="D19" s="73">
        <f>B19*C19</f>
        <v>0</v>
      </c>
      <c r="E19" s="266">
        <v>0</v>
      </c>
      <c r="F19" s="267">
        <f t="shared" si="6"/>
        <v>0</v>
      </c>
      <c r="G19" s="257">
        <f t="shared" si="7"/>
        <v>0</v>
      </c>
      <c r="H19" s="257">
        <f t="shared" si="8"/>
        <v>0</v>
      </c>
      <c r="I19" s="263">
        <f t="shared" si="9"/>
        <v>0</v>
      </c>
      <c r="J19" s="264"/>
      <c r="N19" s="188">
        <f t="shared" si="0"/>
        <v>0</v>
      </c>
    </row>
    <row r="20" spans="1:14" x14ac:dyDescent="0.3">
      <c r="A20" s="301" t="s">
        <v>296</v>
      </c>
      <c r="B20" s="74">
        <v>0</v>
      </c>
      <c r="C20" s="74">
        <v>0</v>
      </c>
      <c r="D20" s="73">
        <f t="shared" ref="D20" si="11">B20*C20</f>
        <v>0</v>
      </c>
      <c r="E20" s="88">
        <f>E19*0.05</f>
        <v>0</v>
      </c>
      <c r="F20" s="267">
        <f t="shared" si="6"/>
        <v>0</v>
      </c>
      <c r="G20" s="257">
        <f t="shared" si="7"/>
        <v>0</v>
      </c>
      <c r="H20" s="257">
        <f t="shared" si="8"/>
        <v>0</v>
      </c>
      <c r="I20" s="263">
        <f t="shared" si="9"/>
        <v>0</v>
      </c>
      <c r="J20" s="264"/>
      <c r="N20" s="188">
        <f t="shared" si="0"/>
        <v>0</v>
      </c>
    </row>
    <row r="21" spans="1:14" ht="15.5" x14ac:dyDescent="0.3">
      <c r="A21" s="304" t="s">
        <v>298</v>
      </c>
      <c r="B21" s="257"/>
      <c r="C21" s="159"/>
      <c r="D21" s="257"/>
      <c r="E21" s="159"/>
      <c r="F21" s="267"/>
      <c r="G21" s="257"/>
      <c r="H21" s="257"/>
      <c r="I21" s="263"/>
      <c r="M21" s="264"/>
      <c r="N21" s="188">
        <f t="shared" si="0"/>
        <v>0</v>
      </c>
    </row>
    <row r="22" spans="1:14" x14ac:dyDescent="0.3">
      <c r="A22" s="303" t="s">
        <v>299</v>
      </c>
      <c r="B22" s="257">
        <v>6</v>
      </c>
      <c r="C22" s="159">
        <v>1</v>
      </c>
      <c r="D22" s="257">
        <f>B22*C22</f>
        <v>6</v>
      </c>
      <c r="E22" s="266">
        <f>L$16</f>
        <v>79</v>
      </c>
      <c r="F22" s="267">
        <f t="shared" si="2"/>
        <v>474</v>
      </c>
      <c r="G22" s="257">
        <f t="shared" si="3"/>
        <v>23.700000000000003</v>
      </c>
      <c r="H22" s="257">
        <f t="shared" si="4"/>
        <v>47.400000000000006</v>
      </c>
      <c r="I22" s="262">
        <f t="shared" si="5"/>
        <v>67394.5524</v>
      </c>
      <c r="J22" s="198"/>
      <c r="N22" s="188">
        <f t="shared" si="0"/>
        <v>79</v>
      </c>
    </row>
    <row r="23" spans="1:14" x14ac:dyDescent="0.3">
      <c r="A23" s="303" t="s">
        <v>300</v>
      </c>
      <c r="B23" s="159">
        <v>6</v>
      </c>
      <c r="C23" s="159">
        <v>1</v>
      </c>
      <c r="D23" s="257">
        <f t="shared" ref="D23" si="12">B23*C23</f>
        <v>6</v>
      </c>
      <c r="E23" s="266">
        <f>E22*0.05</f>
        <v>3.95</v>
      </c>
      <c r="F23" s="267">
        <f t="shared" si="2"/>
        <v>23.700000000000003</v>
      </c>
      <c r="G23" s="257">
        <f t="shared" si="3"/>
        <v>1.1850000000000003</v>
      </c>
      <c r="H23" s="257">
        <f t="shared" si="4"/>
        <v>2.3700000000000006</v>
      </c>
      <c r="I23" s="262">
        <f t="shared" si="5"/>
        <v>3369.7276200000001</v>
      </c>
      <c r="J23" s="198"/>
      <c r="N23" s="188">
        <f t="shared" si="0"/>
        <v>3.95</v>
      </c>
    </row>
    <row r="24" spans="1:14" ht="28.5" x14ac:dyDescent="0.3">
      <c r="A24" s="306" t="s">
        <v>151</v>
      </c>
      <c r="B24" s="92"/>
      <c r="C24" s="93"/>
      <c r="D24" s="92"/>
      <c r="E24" s="266"/>
      <c r="F24" s="267"/>
      <c r="G24" s="257"/>
      <c r="H24" s="257"/>
      <c r="I24" s="263"/>
      <c r="J24" s="198"/>
      <c r="N24" s="188">
        <f t="shared" si="0"/>
        <v>0</v>
      </c>
    </row>
    <row r="25" spans="1:14" x14ac:dyDescent="0.3">
      <c r="A25" s="301"/>
      <c r="B25" s="73"/>
      <c r="C25" s="74"/>
      <c r="D25" s="73"/>
      <c r="E25" s="266"/>
      <c r="F25" s="267"/>
      <c r="G25" s="257"/>
      <c r="H25" s="257"/>
      <c r="I25" s="263"/>
      <c r="J25" s="198"/>
      <c r="N25" s="188">
        <f t="shared" si="0"/>
        <v>0</v>
      </c>
    </row>
    <row r="26" spans="1:14" x14ac:dyDescent="0.3">
      <c r="A26" s="301"/>
      <c r="B26" s="73"/>
      <c r="C26" s="74"/>
      <c r="D26" s="73"/>
      <c r="E26" s="266"/>
      <c r="F26" s="267"/>
      <c r="G26" s="257"/>
      <c r="H26" s="257"/>
      <c r="I26" s="263"/>
      <c r="J26" s="198"/>
      <c r="N26" s="188">
        <f t="shared" si="0"/>
        <v>0</v>
      </c>
    </row>
    <row r="27" spans="1:14" x14ac:dyDescent="0.3">
      <c r="A27" s="301" t="s">
        <v>155</v>
      </c>
      <c r="B27" s="73"/>
      <c r="C27" s="77"/>
      <c r="D27" s="78"/>
      <c r="E27" s="266"/>
      <c r="F27" s="267"/>
      <c r="G27" s="257"/>
      <c r="H27" s="257"/>
      <c r="I27" s="263"/>
      <c r="J27" s="198"/>
      <c r="N27" s="188">
        <f t="shared" si="0"/>
        <v>0</v>
      </c>
    </row>
    <row r="28" spans="1:14" ht="26" x14ac:dyDescent="0.3">
      <c r="A28" s="301" t="s">
        <v>156</v>
      </c>
      <c r="B28" s="73"/>
      <c r="C28" s="77"/>
      <c r="D28" s="78"/>
      <c r="E28" s="266"/>
      <c r="F28" s="267"/>
      <c r="G28" s="257"/>
      <c r="H28" s="257"/>
      <c r="I28" s="263"/>
      <c r="J28" s="198"/>
      <c r="N28" s="188">
        <f t="shared" si="0"/>
        <v>0</v>
      </c>
    </row>
    <row r="29" spans="1:14" x14ac:dyDescent="0.3">
      <c r="A29" s="301" t="s">
        <v>157</v>
      </c>
      <c r="B29" s="78"/>
      <c r="C29" s="77"/>
      <c r="D29" s="78"/>
      <c r="E29" s="266"/>
      <c r="F29" s="267"/>
      <c r="G29" s="257"/>
      <c r="H29" s="257"/>
      <c r="I29" s="263"/>
      <c r="J29" s="198"/>
      <c r="N29" s="188">
        <f t="shared" si="0"/>
        <v>0</v>
      </c>
    </row>
    <row r="30" spans="1:14" ht="26.15" customHeight="1" x14ac:dyDescent="0.3">
      <c r="A30" s="305" t="s">
        <v>301</v>
      </c>
      <c r="B30" s="257"/>
      <c r="C30" s="159"/>
      <c r="D30" s="257"/>
      <c r="E30" s="266"/>
      <c r="F30" s="257"/>
      <c r="G30" s="257"/>
      <c r="H30" s="257"/>
      <c r="I30" s="263"/>
      <c r="N30" s="188">
        <f t="shared" si="0"/>
        <v>0</v>
      </c>
    </row>
    <row r="31" spans="1:14" ht="26.15" customHeight="1" x14ac:dyDescent="0.3">
      <c r="A31" s="303" t="s">
        <v>160</v>
      </c>
      <c r="B31" s="257">
        <v>2</v>
      </c>
      <c r="C31" s="159">
        <v>1</v>
      </c>
      <c r="D31" s="257">
        <f>B31*C31</f>
        <v>2</v>
      </c>
      <c r="E31" s="266">
        <f>E14</f>
        <v>5.53</v>
      </c>
      <c r="F31" s="257">
        <f t="shared" ref="F31:F32" si="13">D31*E31</f>
        <v>11.06</v>
      </c>
      <c r="G31" s="257">
        <f t="shared" ref="G31:G32" si="14">F31*0.05</f>
        <v>0.55300000000000005</v>
      </c>
      <c r="H31" s="257">
        <f t="shared" ref="H31:H32" si="15">F31*0.1</f>
        <v>1.1060000000000001</v>
      </c>
      <c r="I31" s="262">
        <f t="shared" ref="I31:I32" si="16">F31*$L$8+G31*$L$7+H31*$L$9</f>
        <v>1572.5395559999999</v>
      </c>
      <c r="N31" s="188">
        <f t="shared" si="0"/>
        <v>5.53</v>
      </c>
    </row>
    <row r="32" spans="1:14" ht="26" x14ac:dyDescent="0.3">
      <c r="A32" s="303" t="s">
        <v>302</v>
      </c>
      <c r="B32" s="257">
        <v>2</v>
      </c>
      <c r="C32" s="159">
        <v>1</v>
      </c>
      <c r="D32" s="257">
        <f>B32*C32</f>
        <v>2</v>
      </c>
      <c r="E32" s="266">
        <f>E14</f>
        <v>5.53</v>
      </c>
      <c r="F32" s="257">
        <f t="shared" si="13"/>
        <v>11.06</v>
      </c>
      <c r="G32" s="257">
        <f t="shared" si="14"/>
        <v>0.55300000000000005</v>
      </c>
      <c r="H32" s="257">
        <f t="shared" si="15"/>
        <v>1.1060000000000001</v>
      </c>
      <c r="I32" s="262">
        <f t="shared" si="16"/>
        <v>1572.5395559999999</v>
      </c>
      <c r="N32" s="188">
        <f t="shared" si="0"/>
        <v>5.53</v>
      </c>
    </row>
    <row r="33" spans="1:14" x14ac:dyDescent="0.3">
      <c r="A33" s="301" t="s">
        <v>212</v>
      </c>
      <c r="B33" s="73">
        <v>2</v>
      </c>
      <c r="C33" s="74">
        <v>1</v>
      </c>
      <c r="D33" s="73">
        <v>2</v>
      </c>
      <c r="E33" s="266">
        <f t="shared" ref="E33:E35" si="17">E15</f>
        <v>0.27650000000000002</v>
      </c>
      <c r="F33" s="257">
        <f t="shared" ref="F33:F35" si="18">D33*E33</f>
        <v>0.55300000000000005</v>
      </c>
      <c r="G33" s="257">
        <f t="shared" ref="G33:G35" si="19">F33*0.05</f>
        <v>2.7650000000000004E-2</v>
      </c>
      <c r="H33" s="257">
        <f t="shared" ref="H33:H35" si="20">F33*0.1</f>
        <v>5.5300000000000009E-2</v>
      </c>
      <c r="I33" s="263">
        <f t="shared" ref="I33:I35" si="21">F33*$L$8+G33*$L$7+H33*$L$9</f>
        <v>78.626977800000006</v>
      </c>
      <c r="N33" s="188">
        <f t="shared" si="0"/>
        <v>0.27650000000000002</v>
      </c>
    </row>
    <row r="34" spans="1:14" ht="26" x14ac:dyDescent="0.3">
      <c r="A34" s="301" t="s">
        <v>303</v>
      </c>
      <c r="B34" s="73">
        <v>2</v>
      </c>
      <c r="C34" s="74">
        <v>1</v>
      </c>
      <c r="D34" s="73">
        <v>2</v>
      </c>
      <c r="E34" s="266">
        <f t="shared" si="17"/>
        <v>5.53</v>
      </c>
      <c r="F34" s="257">
        <f t="shared" si="18"/>
        <v>11.06</v>
      </c>
      <c r="G34" s="257">
        <f t="shared" si="19"/>
        <v>0.55300000000000005</v>
      </c>
      <c r="H34" s="257">
        <f t="shared" si="20"/>
        <v>1.1060000000000001</v>
      </c>
      <c r="I34" s="262">
        <f t="shared" si="21"/>
        <v>1572.5395559999999</v>
      </c>
      <c r="N34" s="188">
        <f t="shared" si="0"/>
        <v>5.53</v>
      </c>
    </row>
    <row r="35" spans="1:14" ht="26" x14ac:dyDescent="0.3">
      <c r="A35" s="301" t="s">
        <v>304</v>
      </c>
      <c r="B35" s="73">
        <v>2</v>
      </c>
      <c r="C35" s="74">
        <v>1</v>
      </c>
      <c r="D35" s="73">
        <v>2</v>
      </c>
      <c r="E35" s="266">
        <f t="shared" si="17"/>
        <v>0.27650000000000002</v>
      </c>
      <c r="F35" s="257">
        <f t="shared" si="18"/>
        <v>0.55300000000000005</v>
      </c>
      <c r="G35" s="257">
        <f t="shared" si="19"/>
        <v>2.7650000000000004E-2</v>
      </c>
      <c r="H35" s="257">
        <f t="shared" si="20"/>
        <v>5.5300000000000009E-2</v>
      </c>
      <c r="I35" s="262">
        <f t="shared" si="21"/>
        <v>78.626977800000006</v>
      </c>
      <c r="N35" s="188">
        <f t="shared" si="0"/>
        <v>0.27650000000000002</v>
      </c>
    </row>
    <row r="36" spans="1:14" ht="26" x14ac:dyDescent="0.3">
      <c r="A36" s="303" t="s">
        <v>166</v>
      </c>
      <c r="B36" s="257">
        <v>1</v>
      </c>
      <c r="C36" s="159">
        <v>1</v>
      </c>
      <c r="D36" s="257">
        <f>B36*C36</f>
        <v>1</v>
      </c>
      <c r="E36" s="266">
        <f>E15</f>
        <v>0.27650000000000002</v>
      </c>
      <c r="F36" s="257">
        <f t="shared" ref="F36" si="22">D36*E36</f>
        <v>0.27650000000000002</v>
      </c>
      <c r="G36" s="257">
        <f t="shared" ref="G36" si="23">F36*0.05</f>
        <v>1.3825000000000002E-2</v>
      </c>
      <c r="H36" s="257">
        <f t="shared" ref="H36" si="24">F36*0.1</f>
        <v>2.7650000000000004E-2</v>
      </c>
      <c r="I36" s="262">
        <f t="shared" ref="I36" si="25">F36*$L$8+G36*$L$7+H36*$L$9</f>
        <v>39.313488900000003</v>
      </c>
      <c r="N36" s="188">
        <f t="shared" si="0"/>
        <v>0.27650000000000002</v>
      </c>
    </row>
    <row r="37" spans="1:14" x14ac:dyDescent="0.3">
      <c r="A37" s="305" t="s">
        <v>306</v>
      </c>
      <c r="B37" s="261"/>
      <c r="C37" s="260"/>
      <c r="D37" s="261"/>
      <c r="E37" s="268"/>
      <c r="F37" s="261"/>
      <c r="G37" s="261"/>
      <c r="H37" s="261"/>
      <c r="I37" s="261"/>
      <c r="N37" s="188">
        <f t="shared" si="0"/>
        <v>0</v>
      </c>
    </row>
    <row r="38" spans="1:14" x14ac:dyDescent="0.3">
      <c r="A38" s="303" t="s">
        <v>307</v>
      </c>
      <c r="B38" s="257">
        <v>2</v>
      </c>
      <c r="C38" s="159">
        <v>1</v>
      </c>
      <c r="D38" s="257">
        <f>B38*C38</f>
        <v>2</v>
      </c>
      <c r="E38" s="266">
        <f>$L$16</f>
        <v>79</v>
      </c>
      <c r="F38" s="257">
        <f>D38*E38</f>
        <v>158</v>
      </c>
      <c r="G38" s="257">
        <f>F38*0.05</f>
        <v>7.9</v>
      </c>
      <c r="H38" s="257">
        <f>F38*0.1</f>
        <v>15.8</v>
      </c>
      <c r="I38" s="262">
        <f>F38*$L$8+G38*$L$7+H38*$L$9</f>
        <v>22464.8508</v>
      </c>
      <c r="N38" s="188">
        <f t="shared" si="0"/>
        <v>79</v>
      </c>
    </row>
    <row r="39" spans="1:14" ht="57" customHeight="1" x14ac:dyDescent="0.3">
      <c r="A39" s="303" t="s">
        <v>308</v>
      </c>
      <c r="B39" s="257">
        <v>2</v>
      </c>
      <c r="C39" s="159">
        <v>1</v>
      </c>
      <c r="D39" s="257">
        <f>B39*C39</f>
        <v>2</v>
      </c>
      <c r="E39" s="266">
        <f>E38</f>
        <v>79</v>
      </c>
      <c r="F39" s="257">
        <f>D39*E39</f>
        <v>158</v>
      </c>
      <c r="G39" s="257">
        <f>F39*0.05</f>
        <v>7.9</v>
      </c>
      <c r="H39" s="257">
        <f>F39*0.1</f>
        <v>15.8</v>
      </c>
      <c r="I39" s="262">
        <f>F39*$L$8+G39*$L$7+H39*$L$9</f>
        <v>22464.8508</v>
      </c>
      <c r="N39" s="188">
        <f t="shared" si="0"/>
        <v>79</v>
      </c>
    </row>
    <row r="40" spans="1:14" ht="21.65" customHeight="1" x14ac:dyDescent="0.3">
      <c r="A40" s="301" t="s">
        <v>212</v>
      </c>
      <c r="B40" s="190">
        <v>0</v>
      </c>
      <c r="C40" s="115">
        <v>0</v>
      </c>
      <c r="D40" s="257">
        <f t="shared" ref="D40:D42" si="26">B40*C40</f>
        <v>0</v>
      </c>
      <c r="E40" s="266">
        <v>0</v>
      </c>
      <c r="F40" s="257">
        <f t="shared" ref="F40:F42" si="27">D40*E40</f>
        <v>0</v>
      </c>
      <c r="G40" s="257">
        <f t="shared" ref="G40:G42" si="28">F40*0.05</f>
        <v>0</v>
      </c>
      <c r="H40" s="257">
        <f t="shared" ref="H40:H42" si="29">F40*0.1</f>
        <v>0</v>
      </c>
      <c r="I40" s="263">
        <f t="shared" ref="I40:I42" si="30">F40*$L$8+G40*$L$7+H40*$L$9</f>
        <v>0</v>
      </c>
      <c r="N40" s="188">
        <f t="shared" si="0"/>
        <v>0</v>
      </c>
    </row>
    <row r="41" spans="1:14" ht="24.65" customHeight="1" x14ac:dyDescent="0.3">
      <c r="A41" s="301" t="s">
        <v>303</v>
      </c>
      <c r="B41" s="190">
        <v>0</v>
      </c>
      <c r="C41" s="115">
        <v>0</v>
      </c>
      <c r="D41" s="257">
        <f t="shared" si="26"/>
        <v>0</v>
      </c>
      <c r="E41" s="266">
        <v>0</v>
      </c>
      <c r="F41" s="257">
        <f t="shared" si="27"/>
        <v>0</v>
      </c>
      <c r="G41" s="257">
        <f t="shared" si="28"/>
        <v>0</v>
      </c>
      <c r="H41" s="257">
        <f t="shared" si="29"/>
        <v>0</v>
      </c>
      <c r="I41" s="263">
        <f t="shared" si="30"/>
        <v>0</v>
      </c>
      <c r="N41" s="188">
        <f t="shared" si="0"/>
        <v>0</v>
      </c>
    </row>
    <row r="42" spans="1:14" ht="22.5" customHeight="1" x14ac:dyDescent="0.3">
      <c r="A42" s="301" t="s">
        <v>325</v>
      </c>
      <c r="B42" s="190">
        <v>0</v>
      </c>
      <c r="C42" s="115">
        <v>0</v>
      </c>
      <c r="D42" s="257">
        <f t="shared" si="26"/>
        <v>0</v>
      </c>
      <c r="E42" s="266">
        <v>0</v>
      </c>
      <c r="F42" s="257">
        <f t="shared" si="27"/>
        <v>0</v>
      </c>
      <c r="G42" s="257">
        <f t="shared" si="28"/>
        <v>0</v>
      </c>
      <c r="H42" s="257">
        <f t="shared" si="29"/>
        <v>0</v>
      </c>
      <c r="I42" s="263">
        <f t="shared" si="30"/>
        <v>0</v>
      </c>
      <c r="N42" s="188">
        <f t="shared" si="0"/>
        <v>0</v>
      </c>
    </row>
    <row r="43" spans="1:14" ht="22.5" customHeight="1" x14ac:dyDescent="0.3">
      <c r="A43" s="301"/>
      <c r="B43" s="73"/>
      <c r="C43" s="74"/>
      <c r="D43" s="73"/>
      <c r="E43" s="266"/>
      <c r="F43" s="257"/>
      <c r="G43" s="257"/>
      <c r="H43" s="257"/>
      <c r="I43" s="263"/>
      <c r="N43" s="188">
        <f t="shared" si="0"/>
        <v>0</v>
      </c>
    </row>
    <row r="44" spans="1:14" x14ac:dyDescent="0.3">
      <c r="A44" s="303"/>
      <c r="B44" s="283"/>
      <c r="C44" s="284"/>
      <c r="D44" s="283"/>
      <c r="E44" s="266"/>
      <c r="F44" s="257"/>
      <c r="G44" s="257"/>
      <c r="H44" s="257"/>
      <c r="I44" s="263"/>
      <c r="N44" s="188">
        <f t="shared" si="0"/>
        <v>0</v>
      </c>
    </row>
    <row r="45" spans="1:14" ht="13.5" x14ac:dyDescent="0.3">
      <c r="A45" s="269" t="s">
        <v>167</v>
      </c>
      <c r="B45" s="270"/>
      <c r="C45" s="271"/>
      <c r="D45" s="270"/>
      <c r="E45" s="272"/>
      <c r="F45" s="273">
        <f>SUM(F8:H44)</f>
        <v>1068.9865249999998</v>
      </c>
      <c r="G45" s="273"/>
      <c r="H45" s="273"/>
      <c r="I45" s="274">
        <f>SUM(I8:I44)</f>
        <v>132166.33346910001</v>
      </c>
      <c r="N45" s="188">
        <f t="shared" si="0"/>
        <v>0</v>
      </c>
    </row>
    <row r="46" spans="1:14" ht="26" x14ac:dyDescent="0.3">
      <c r="A46" s="259" t="s">
        <v>168</v>
      </c>
      <c r="B46" s="261"/>
      <c r="C46" s="260"/>
      <c r="D46" s="261"/>
      <c r="E46" s="268"/>
      <c r="F46" s="261"/>
      <c r="G46" s="261"/>
      <c r="H46" s="261"/>
      <c r="I46" s="261"/>
      <c r="N46" s="188">
        <f t="shared" si="0"/>
        <v>0</v>
      </c>
    </row>
    <row r="47" spans="1:14" ht="26" x14ac:dyDescent="0.3">
      <c r="A47" s="303" t="s">
        <v>132</v>
      </c>
      <c r="B47" s="257"/>
      <c r="C47" s="260"/>
      <c r="D47" s="261"/>
      <c r="E47" s="260"/>
      <c r="F47" s="261"/>
      <c r="G47" s="261"/>
      <c r="H47" s="261"/>
      <c r="I47" s="261"/>
      <c r="N47" s="188">
        <f t="shared" si="0"/>
        <v>0</v>
      </c>
    </row>
    <row r="48" spans="1:14" x14ac:dyDescent="0.3">
      <c r="A48" s="303" t="s">
        <v>169</v>
      </c>
      <c r="B48" s="257"/>
      <c r="C48" s="260"/>
      <c r="D48" s="261"/>
      <c r="E48" s="260"/>
      <c r="F48" s="261"/>
      <c r="G48" s="261"/>
      <c r="H48" s="261"/>
      <c r="I48" s="261"/>
      <c r="N48" s="188">
        <f t="shared" si="0"/>
        <v>0</v>
      </c>
    </row>
    <row r="49" spans="1:15" x14ac:dyDescent="0.3">
      <c r="A49" s="303" t="s">
        <v>170</v>
      </c>
      <c r="B49" s="257"/>
      <c r="C49" s="260"/>
      <c r="D49" s="261"/>
      <c r="E49" s="260"/>
      <c r="F49" s="261"/>
      <c r="G49" s="261"/>
      <c r="H49" s="261"/>
      <c r="I49" s="261"/>
      <c r="N49" s="188">
        <f t="shared" si="0"/>
        <v>0</v>
      </c>
    </row>
    <row r="50" spans="1:15" x14ac:dyDescent="0.3">
      <c r="A50" s="303" t="s">
        <v>171</v>
      </c>
      <c r="B50" s="257" t="s">
        <v>122</v>
      </c>
      <c r="C50" s="260"/>
      <c r="D50" s="261"/>
      <c r="E50" s="260"/>
      <c r="F50" s="261"/>
      <c r="G50" s="261"/>
      <c r="H50" s="261"/>
      <c r="I50" s="261"/>
      <c r="N50" s="188">
        <f t="shared" si="0"/>
        <v>0</v>
      </c>
    </row>
    <row r="51" spans="1:15" ht="26" x14ac:dyDescent="0.3">
      <c r="A51" s="303" t="s">
        <v>172</v>
      </c>
      <c r="B51" s="261"/>
      <c r="C51" s="260"/>
      <c r="D51" s="261"/>
      <c r="E51" s="260"/>
      <c r="F51" s="261"/>
      <c r="G51" s="261"/>
      <c r="H51" s="261"/>
      <c r="I51" s="261"/>
      <c r="N51" s="188">
        <f t="shared" si="0"/>
        <v>0</v>
      </c>
    </row>
    <row r="52" spans="1:15" x14ac:dyDescent="0.3">
      <c r="A52" s="305" t="s">
        <v>163</v>
      </c>
      <c r="B52" s="261"/>
      <c r="C52" s="260"/>
      <c r="D52" s="261"/>
      <c r="E52" s="260"/>
      <c r="F52" s="261"/>
      <c r="G52" s="261"/>
      <c r="H52" s="261"/>
      <c r="I52" s="261"/>
      <c r="N52" s="188">
        <f t="shared" si="0"/>
        <v>0</v>
      </c>
    </row>
    <row r="53" spans="1:15" x14ac:dyDescent="0.3">
      <c r="A53" s="303" t="s">
        <v>173</v>
      </c>
      <c r="B53" s="257">
        <v>0.1</v>
      </c>
      <c r="C53" s="159">
        <v>1</v>
      </c>
      <c r="D53" s="73">
        <f t="shared" ref="D53:D55" si="31">B53*C53</f>
        <v>0.1</v>
      </c>
      <c r="E53" s="266">
        <f>$L$16</f>
        <v>79</v>
      </c>
      <c r="F53" s="267">
        <f t="shared" ref="F53:F60" si="32">D53*E53</f>
        <v>7.9</v>
      </c>
      <c r="G53" s="257">
        <f t="shared" ref="G53:G60" si="33">F53*0.05</f>
        <v>0.39500000000000002</v>
      </c>
      <c r="H53" s="257">
        <f t="shared" ref="H53:H60" si="34">F53*0.1</f>
        <v>0.79</v>
      </c>
      <c r="I53" s="262">
        <f>F53*$L$8+G53*$L$7+H53*$L$9</f>
        <v>1123.2425400000002</v>
      </c>
      <c r="N53" s="188">
        <f t="shared" si="0"/>
        <v>79</v>
      </c>
    </row>
    <row r="54" spans="1:15" x14ac:dyDescent="0.3">
      <c r="A54" s="303" t="s">
        <v>310</v>
      </c>
      <c r="B54" s="257">
        <v>0.1</v>
      </c>
      <c r="C54" s="159">
        <v>1</v>
      </c>
      <c r="D54" s="73">
        <f t="shared" si="31"/>
        <v>0.1</v>
      </c>
      <c r="E54" s="266">
        <f t="shared" ref="E54:E55" si="35">$L$16</f>
        <v>79</v>
      </c>
      <c r="F54" s="267">
        <f t="shared" si="32"/>
        <v>7.9</v>
      </c>
      <c r="G54" s="257">
        <f t="shared" si="33"/>
        <v>0.39500000000000002</v>
      </c>
      <c r="H54" s="257">
        <f t="shared" si="34"/>
        <v>0.79</v>
      </c>
      <c r="I54" s="262">
        <f>F54*$L$8+G54*$L$7+H54*$L$9</f>
        <v>1123.2425400000002</v>
      </c>
      <c r="N54" s="188">
        <f t="shared" si="0"/>
        <v>79</v>
      </c>
    </row>
    <row r="55" spans="1:15" ht="26" x14ac:dyDescent="0.3">
      <c r="A55" s="301" t="s">
        <v>311</v>
      </c>
      <c r="B55" s="73">
        <v>0.1</v>
      </c>
      <c r="C55" s="74">
        <v>330</v>
      </c>
      <c r="D55" s="73">
        <f t="shared" si="31"/>
        <v>33</v>
      </c>
      <c r="E55" s="266">
        <f t="shared" si="35"/>
        <v>79</v>
      </c>
      <c r="F55" s="89">
        <f t="shared" si="32"/>
        <v>2607</v>
      </c>
      <c r="G55" s="73">
        <f t="shared" si="33"/>
        <v>130.35</v>
      </c>
      <c r="H55" s="73">
        <f t="shared" si="34"/>
        <v>260.7</v>
      </c>
      <c r="I55" s="262">
        <f>F55*$L$8+G55*$L$7+H55*$L$9</f>
        <v>370670.03820000001</v>
      </c>
      <c r="N55" s="188">
        <f t="shared" si="0"/>
        <v>26070</v>
      </c>
    </row>
    <row r="56" spans="1:15" x14ac:dyDescent="0.3">
      <c r="A56" s="305" t="s">
        <v>158</v>
      </c>
      <c r="B56" s="257"/>
      <c r="C56" s="159"/>
      <c r="D56" s="257"/>
      <c r="E56" s="266"/>
      <c r="F56" s="267"/>
      <c r="G56" s="257"/>
      <c r="H56" s="257"/>
      <c r="I56" s="263"/>
      <c r="N56" s="188">
        <f t="shared" si="0"/>
        <v>0</v>
      </c>
    </row>
    <row r="57" spans="1:15" x14ac:dyDescent="0.3">
      <c r="A57" s="303" t="s">
        <v>173</v>
      </c>
      <c r="B57" s="257">
        <v>0</v>
      </c>
      <c r="C57" s="159">
        <v>0</v>
      </c>
      <c r="D57" s="257">
        <f>B57*C57</f>
        <v>0</v>
      </c>
      <c r="E57" s="266">
        <f>$L$14</f>
        <v>0</v>
      </c>
      <c r="F57" s="267">
        <f t="shared" ref="F57:F58" si="36">D57*E57</f>
        <v>0</v>
      </c>
      <c r="G57" s="257">
        <f t="shared" ref="G57:G58" si="37">F57*0.05</f>
        <v>0</v>
      </c>
      <c r="H57" s="257">
        <f t="shared" ref="H57:H58" si="38">F57*0.1</f>
        <v>0</v>
      </c>
      <c r="I57" s="262">
        <f>F57*$L$8+G57*$L$7+H57*$L$9</f>
        <v>0</v>
      </c>
      <c r="N57" s="188">
        <f t="shared" si="0"/>
        <v>0</v>
      </c>
    </row>
    <row r="58" spans="1:15" x14ac:dyDescent="0.3">
      <c r="A58" s="303" t="s">
        <v>310</v>
      </c>
      <c r="B58" s="257">
        <v>0</v>
      </c>
      <c r="C58" s="159">
        <v>0</v>
      </c>
      <c r="D58" s="257">
        <f t="shared" ref="D58:D60" si="39">B58*C58</f>
        <v>0</v>
      </c>
      <c r="E58" s="266">
        <f>$L$14</f>
        <v>0</v>
      </c>
      <c r="F58" s="267">
        <f t="shared" si="36"/>
        <v>0</v>
      </c>
      <c r="G58" s="257">
        <f t="shared" si="37"/>
        <v>0</v>
      </c>
      <c r="H58" s="257">
        <f t="shared" si="38"/>
        <v>0</v>
      </c>
      <c r="I58" s="262">
        <f>F58*$L$8+G58*$L$7+H58*$L$9</f>
        <v>0</v>
      </c>
      <c r="N58" s="188">
        <f t="shared" si="0"/>
        <v>0</v>
      </c>
    </row>
    <row r="59" spans="1:15" x14ac:dyDescent="0.3">
      <c r="A59" s="301" t="s">
        <v>312</v>
      </c>
      <c r="B59" s="257">
        <v>0</v>
      </c>
      <c r="C59" s="159">
        <v>0</v>
      </c>
      <c r="D59" s="73">
        <f t="shared" si="39"/>
        <v>0</v>
      </c>
      <c r="E59" s="266">
        <f>$L$14</f>
        <v>0</v>
      </c>
      <c r="F59" s="267">
        <f t="shared" ref="F59" si="40">D59*E59</f>
        <v>0</v>
      </c>
      <c r="G59" s="257">
        <f t="shared" ref="G59" si="41">F59*0.05</f>
        <v>0</v>
      </c>
      <c r="H59" s="257">
        <f t="shared" ref="H59" si="42">F59*0.1</f>
        <v>0</v>
      </c>
      <c r="I59" s="262">
        <f>F59*$L$8+G59*$L$7+H59*$L$9</f>
        <v>0</v>
      </c>
      <c r="N59" s="188">
        <f t="shared" si="0"/>
        <v>0</v>
      </c>
    </row>
    <row r="60" spans="1:15" ht="17.25" customHeight="1" x14ac:dyDescent="0.3">
      <c r="A60" s="303" t="s">
        <v>313</v>
      </c>
      <c r="B60" s="257">
        <v>0</v>
      </c>
      <c r="C60" s="159">
        <v>0</v>
      </c>
      <c r="D60" s="257">
        <f t="shared" si="39"/>
        <v>0</v>
      </c>
      <c r="E60" s="266">
        <f>$L$14</f>
        <v>0</v>
      </c>
      <c r="F60" s="267">
        <f t="shared" si="32"/>
        <v>0</v>
      </c>
      <c r="G60" s="257">
        <f t="shared" si="33"/>
        <v>0</v>
      </c>
      <c r="H60" s="257">
        <f t="shared" si="34"/>
        <v>0</v>
      </c>
      <c r="I60" s="262">
        <f>F60*$L$8+G60*$L$7+H60*$L$9</f>
        <v>0</v>
      </c>
      <c r="N60" s="188">
        <f>SUM(N6:N59)</f>
        <v>26497.982499999998</v>
      </c>
      <c r="O60" s="188" t="s">
        <v>248</v>
      </c>
    </row>
    <row r="61" spans="1:15" x14ac:dyDescent="0.3">
      <c r="A61" s="303" t="s">
        <v>186</v>
      </c>
      <c r="B61" s="257" t="s">
        <v>122</v>
      </c>
      <c r="C61" s="260"/>
      <c r="D61" s="261"/>
      <c r="E61" s="260"/>
      <c r="F61" s="261"/>
      <c r="G61" s="261"/>
      <c r="H61" s="261"/>
      <c r="I61" s="261"/>
      <c r="K61" s="282">
        <f>F63/212</f>
        <v>19.339622641509433</v>
      </c>
      <c r="L61" s="188" t="s">
        <v>190</v>
      </c>
    </row>
    <row r="62" spans="1:15" ht="27" x14ac:dyDescent="0.3">
      <c r="A62" s="269" t="s">
        <v>188</v>
      </c>
      <c r="B62" s="275"/>
      <c r="C62" s="276"/>
      <c r="D62" s="275"/>
      <c r="E62" s="277"/>
      <c r="F62" s="273">
        <f>SUM(F53:H60)</f>
        <v>3016.22</v>
      </c>
      <c r="G62" s="273"/>
      <c r="H62" s="273"/>
      <c r="I62" s="274">
        <f>SUM(I53:I61)</f>
        <v>372916.52328000002</v>
      </c>
    </row>
    <row r="63" spans="1:15" ht="28" x14ac:dyDescent="0.3">
      <c r="A63" s="278" t="s">
        <v>314</v>
      </c>
      <c r="B63" s="279"/>
      <c r="C63" s="169"/>
      <c r="D63" s="279"/>
      <c r="E63" s="280"/>
      <c r="F63" s="469">
        <f>ROUND(F62+F45, -2)</f>
        <v>4100</v>
      </c>
      <c r="G63" s="469"/>
      <c r="H63" s="469"/>
      <c r="I63" s="281">
        <f>ROUND(I62+I45, -4)</f>
        <v>510000</v>
      </c>
    </row>
    <row r="64" spans="1:15" ht="28" x14ac:dyDescent="0.3">
      <c r="A64" s="168" t="s">
        <v>315</v>
      </c>
      <c r="B64" s="261"/>
      <c r="C64" s="260"/>
      <c r="D64" s="261"/>
      <c r="E64" s="260"/>
      <c r="F64" s="261"/>
      <c r="G64" s="261"/>
      <c r="H64" s="261"/>
      <c r="I64" s="281">
        <f>'CCOM4-6'!$H$16</f>
        <v>170000</v>
      </c>
    </row>
    <row r="65" spans="1:9" ht="15" x14ac:dyDescent="0.3">
      <c r="A65" s="168" t="s">
        <v>316</v>
      </c>
      <c r="B65" s="261"/>
      <c r="C65" s="260"/>
      <c r="D65" s="261"/>
      <c r="E65" s="260"/>
      <c r="F65" s="261"/>
      <c r="G65" s="261"/>
      <c r="H65" s="261"/>
      <c r="I65" s="281">
        <f>ROUND(I63+I64, -5)</f>
        <v>700000</v>
      </c>
    </row>
    <row r="66" spans="1:9" ht="10.5" customHeight="1" x14ac:dyDescent="0.3"/>
    <row r="67" spans="1:9" ht="15.65" customHeight="1" x14ac:dyDescent="0.3">
      <c r="A67" s="467" t="s">
        <v>317</v>
      </c>
      <c r="B67" s="467"/>
      <c r="C67" s="467"/>
      <c r="D67" s="467"/>
      <c r="E67" s="467"/>
      <c r="F67" s="467"/>
      <c r="G67" s="467"/>
      <c r="H67" s="467"/>
      <c r="I67" s="467"/>
    </row>
    <row r="68" spans="1:9" ht="74.5" customHeight="1" x14ac:dyDescent="0.3">
      <c r="A68" s="446" t="s">
        <v>194</v>
      </c>
      <c r="B68" s="446"/>
      <c r="C68" s="446"/>
      <c r="D68" s="446"/>
      <c r="E68" s="446"/>
      <c r="F68" s="446"/>
      <c r="G68" s="446"/>
      <c r="H68" s="446"/>
      <c r="I68" s="446"/>
    </row>
    <row r="69" spans="1:9" ht="18.75" customHeight="1" x14ac:dyDescent="0.3">
      <c r="A69" s="467" t="s">
        <v>318</v>
      </c>
      <c r="B69" s="467"/>
      <c r="C69" s="467"/>
      <c r="D69" s="467"/>
      <c r="E69" s="467"/>
      <c r="F69" s="467"/>
      <c r="G69" s="467"/>
      <c r="H69" s="467"/>
      <c r="I69" s="467"/>
    </row>
    <row r="70" spans="1:9" ht="15.5" customHeight="1" x14ac:dyDescent="0.3">
      <c r="A70" s="470" t="s">
        <v>515</v>
      </c>
      <c r="B70" s="470"/>
      <c r="C70" s="470"/>
      <c r="D70" s="470"/>
      <c r="E70" s="470"/>
      <c r="F70" s="470"/>
      <c r="G70" s="470"/>
      <c r="H70" s="470"/>
      <c r="I70" s="470"/>
    </row>
    <row r="71" spans="1:9" ht="21.65" customHeight="1" x14ac:dyDescent="0.3">
      <c r="A71" s="466" t="s">
        <v>319</v>
      </c>
      <c r="B71" s="466"/>
      <c r="C71" s="466"/>
      <c r="D71" s="466"/>
      <c r="E71" s="466"/>
      <c r="F71" s="466"/>
      <c r="G71" s="466"/>
      <c r="H71" s="466"/>
      <c r="I71" s="466"/>
    </row>
  </sheetData>
  <mergeCells count="9">
    <mergeCell ref="A70:I70"/>
    <mergeCell ref="A71:I71"/>
    <mergeCell ref="A1:I1"/>
    <mergeCell ref="A3:I3"/>
    <mergeCell ref="K6:L6"/>
    <mergeCell ref="F63:H63"/>
    <mergeCell ref="A67:I67"/>
    <mergeCell ref="A68:I68"/>
    <mergeCell ref="A69:I69"/>
  </mergeCells>
  <pageMargins left="0.7" right="0.7" top="0.75" bottom="0.75" header="0.3" footer="0.3"/>
  <pageSetup scale="4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3495-10A2-4528-A9C5-FE9AEA1474E9}">
  <sheetPr>
    <pageSetUpPr fitToPage="1"/>
  </sheetPr>
  <dimension ref="A1:O71"/>
  <sheetViews>
    <sheetView zoomScale="80" zoomScaleNormal="80" workbookViewId="0">
      <pane xSplit="9" ySplit="5" topLeftCell="J66" activePane="bottomRight" state="frozen"/>
      <selection activeCell="A25" sqref="A25:I25"/>
      <selection pane="topRight" activeCell="A25" sqref="A25:I25"/>
      <selection pane="bottomLeft" activeCell="A25" sqref="A25:I25"/>
      <selection pane="bottomRight" activeCell="I55" sqref="I55"/>
    </sheetView>
  </sheetViews>
  <sheetFormatPr defaultColWidth="9.1796875" defaultRowHeight="13" x14ac:dyDescent="0.3"/>
  <cols>
    <col min="1" max="1" width="31.816406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7.1796875" style="188" customWidth="1"/>
    <col min="11" max="11" width="19.453125" style="188" customWidth="1"/>
    <col min="12" max="12" width="12.81640625" style="188" customWidth="1"/>
    <col min="13" max="13" width="39" style="188" customWidth="1"/>
    <col min="14" max="14" width="16.453125" style="188" customWidth="1"/>
    <col min="15" max="15" width="14.1796875" style="188" customWidth="1"/>
    <col min="16" max="16384" width="9.1796875" style="188"/>
  </cols>
  <sheetData>
    <row r="1" spans="1:14" ht="15" x14ac:dyDescent="0.3">
      <c r="A1" s="462" t="s">
        <v>328</v>
      </c>
      <c r="B1" s="462"/>
      <c r="C1" s="462"/>
      <c r="D1" s="462"/>
      <c r="E1" s="462"/>
      <c r="F1" s="462"/>
      <c r="G1" s="462"/>
      <c r="H1" s="462"/>
      <c r="I1" s="462"/>
    </row>
    <row r="2" spans="1:14" ht="15" x14ac:dyDescent="0.3">
      <c r="A2" s="423" t="s">
        <v>286</v>
      </c>
      <c r="B2" s="423"/>
      <c r="C2" s="423"/>
      <c r="D2" s="423"/>
      <c r="E2" s="423"/>
      <c r="F2" s="423"/>
      <c r="G2" s="423"/>
      <c r="H2" s="423"/>
      <c r="I2" s="423"/>
    </row>
    <row r="3" spans="1:14" ht="33" customHeight="1" x14ac:dyDescent="0.3">
      <c r="A3" s="462" t="s">
        <v>287</v>
      </c>
      <c r="B3" s="462"/>
      <c r="C3" s="462"/>
      <c r="D3" s="462"/>
      <c r="E3" s="462"/>
      <c r="F3" s="462"/>
      <c r="G3" s="462"/>
      <c r="H3" s="462"/>
      <c r="I3" s="462"/>
      <c r="K3" s="188" t="s">
        <v>288</v>
      </c>
    </row>
    <row r="5" spans="1:14" ht="65" x14ac:dyDescent="0.3">
      <c r="A5" s="256" t="s">
        <v>111</v>
      </c>
      <c r="B5" s="257" t="s">
        <v>112</v>
      </c>
      <c r="C5" s="159" t="s">
        <v>113</v>
      </c>
      <c r="D5" s="257" t="s">
        <v>114</v>
      </c>
      <c r="E5" s="159" t="s">
        <v>115</v>
      </c>
      <c r="F5" s="257" t="s">
        <v>116</v>
      </c>
      <c r="G5" s="257" t="s">
        <v>117</v>
      </c>
      <c r="H5" s="257" t="s">
        <v>118</v>
      </c>
      <c r="I5" s="257" t="s">
        <v>119</v>
      </c>
      <c r="J5" s="258"/>
      <c r="N5" s="188" t="s">
        <v>120</v>
      </c>
    </row>
    <row r="6" spans="1:14" x14ac:dyDescent="0.3">
      <c r="A6" s="259" t="s">
        <v>121</v>
      </c>
      <c r="B6" s="257" t="s">
        <v>122</v>
      </c>
      <c r="C6" s="260"/>
      <c r="D6" s="261"/>
      <c r="E6" s="260"/>
      <c r="F6" s="261"/>
      <c r="G6" s="261"/>
      <c r="H6" s="261"/>
      <c r="I6" s="261"/>
      <c r="K6" s="468" t="s">
        <v>123</v>
      </c>
      <c r="L6" s="468"/>
      <c r="N6" s="188">
        <f>C6*E6</f>
        <v>0</v>
      </c>
    </row>
    <row r="7" spans="1:14" ht="36" customHeight="1" x14ac:dyDescent="0.3">
      <c r="A7" s="259" t="s">
        <v>124</v>
      </c>
      <c r="B7" s="257" t="s">
        <v>122</v>
      </c>
      <c r="C7" s="260"/>
      <c r="D7" s="261"/>
      <c r="E7" s="260"/>
      <c r="F7" s="261"/>
      <c r="G7" s="261"/>
      <c r="H7" s="261"/>
      <c r="I7" s="261"/>
      <c r="K7" s="157" t="s">
        <v>125</v>
      </c>
      <c r="L7" s="195">
        <f>76.96*2.1</f>
        <v>161.61599999999999</v>
      </c>
      <c r="M7" s="144" t="s">
        <v>126</v>
      </c>
      <c r="N7" s="188">
        <f t="shared" ref="N7:N59" si="0">C7*E7</f>
        <v>0</v>
      </c>
    </row>
    <row r="8" spans="1:14" ht="56.15" customHeight="1" x14ac:dyDescent="0.3">
      <c r="A8" s="259" t="s">
        <v>127</v>
      </c>
      <c r="B8" s="257">
        <v>0</v>
      </c>
      <c r="C8" s="159">
        <v>0</v>
      </c>
      <c r="D8" s="257">
        <f>B8*C8</f>
        <v>0</v>
      </c>
      <c r="E8" s="159">
        <f>L14</f>
        <v>0</v>
      </c>
      <c r="F8" s="257">
        <f>D8*E8</f>
        <v>0</v>
      </c>
      <c r="G8" s="257">
        <f>F8*0.05</f>
        <v>0</v>
      </c>
      <c r="H8" s="257">
        <f>F8*0.1</f>
        <v>0</v>
      </c>
      <c r="I8" s="262">
        <f>F8*$L$8+G8*$L$7+H8*$L$9</f>
        <v>0</v>
      </c>
      <c r="K8" s="157" t="s">
        <v>128</v>
      </c>
      <c r="L8" s="195">
        <f>60.8*2.1</f>
        <v>127.67999999999999</v>
      </c>
      <c r="M8" s="198"/>
      <c r="N8" s="188">
        <f t="shared" si="0"/>
        <v>0</v>
      </c>
    </row>
    <row r="9" spans="1:14" x14ac:dyDescent="0.3">
      <c r="A9" s="259" t="s">
        <v>129</v>
      </c>
      <c r="B9" s="257"/>
      <c r="C9" s="159"/>
      <c r="D9" s="257"/>
      <c r="E9" s="159"/>
      <c r="F9" s="257"/>
      <c r="G9" s="257"/>
      <c r="H9" s="257"/>
      <c r="I9" s="261"/>
      <c r="K9" s="157" t="s">
        <v>130</v>
      </c>
      <c r="L9" s="195">
        <f>30.58*2.1</f>
        <v>64.218000000000004</v>
      </c>
      <c r="M9" s="198"/>
      <c r="N9" s="188">
        <f t="shared" si="0"/>
        <v>0</v>
      </c>
    </row>
    <row r="10" spans="1:14" ht="26" x14ac:dyDescent="0.3">
      <c r="A10" s="303" t="s">
        <v>132</v>
      </c>
      <c r="B10" s="257">
        <v>0</v>
      </c>
      <c r="C10" s="159">
        <v>0</v>
      </c>
      <c r="D10" s="257">
        <f>B10*C10</f>
        <v>0</v>
      </c>
      <c r="E10" s="159">
        <v>0</v>
      </c>
      <c r="F10" s="257">
        <f>D10*E10</f>
        <v>0</v>
      </c>
      <c r="G10" s="257">
        <f>F10*0.05</f>
        <v>0</v>
      </c>
      <c r="H10" s="257">
        <f>F10*0.1</f>
        <v>0</v>
      </c>
      <c r="I10" s="263">
        <f>F10*$L$8+G10*$L$7+H10*$L$9</f>
        <v>0</v>
      </c>
      <c r="K10" s="264"/>
      <c r="N10" s="188">
        <f t="shared" si="0"/>
        <v>0</v>
      </c>
    </row>
    <row r="11" spans="1:14" x14ac:dyDescent="0.3">
      <c r="A11" s="303" t="s">
        <v>289</v>
      </c>
      <c r="B11" s="257">
        <v>0</v>
      </c>
      <c r="C11" s="159">
        <v>0</v>
      </c>
      <c r="D11" s="257">
        <f>B11*C11</f>
        <v>0</v>
      </c>
      <c r="E11" s="159">
        <v>0</v>
      </c>
      <c r="F11" s="257">
        <f>D11*E11</f>
        <v>0</v>
      </c>
      <c r="G11" s="257">
        <f>F11*0.05</f>
        <v>0</v>
      </c>
      <c r="H11" s="257">
        <f>F11*0.1</f>
        <v>0</v>
      </c>
      <c r="I11" s="263">
        <f>F11*$L$8+G11*$L$7+H11*$L$9</f>
        <v>0</v>
      </c>
      <c r="K11" s="264"/>
      <c r="N11" s="188">
        <f t="shared" si="0"/>
        <v>0</v>
      </c>
    </row>
    <row r="12" spans="1:14" ht="15.75" customHeight="1" x14ac:dyDescent="0.3">
      <c r="A12" s="303" t="s">
        <v>133</v>
      </c>
      <c r="B12" s="257"/>
      <c r="C12" s="159"/>
      <c r="D12" s="257"/>
      <c r="E12" s="159"/>
      <c r="F12" s="257"/>
      <c r="G12" s="257"/>
      <c r="H12" s="257"/>
      <c r="I12" s="263"/>
      <c r="N12" s="188">
        <f t="shared" si="0"/>
        <v>0</v>
      </c>
    </row>
    <row r="13" spans="1:14" ht="15.5" x14ac:dyDescent="0.3">
      <c r="A13" s="304" t="s">
        <v>290</v>
      </c>
      <c r="B13" s="257"/>
      <c r="C13" s="159"/>
      <c r="D13" s="257"/>
      <c r="E13" s="266"/>
      <c r="F13" s="267"/>
      <c r="G13" s="257"/>
      <c r="H13" s="257"/>
      <c r="I13" s="263"/>
      <c r="K13" s="265"/>
      <c r="L13" s="265" t="s">
        <v>291</v>
      </c>
      <c r="N13" s="188">
        <f t="shared" si="0"/>
        <v>0</v>
      </c>
    </row>
    <row r="14" spans="1:14" ht="25" customHeight="1" x14ac:dyDescent="0.3">
      <c r="A14" s="253" t="s">
        <v>292</v>
      </c>
      <c r="B14" s="159">
        <v>6</v>
      </c>
      <c r="C14" s="159">
        <v>1</v>
      </c>
      <c r="D14" s="257">
        <f>B14*C14</f>
        <v>6</v>
      </c>
      <c r="E14" s="266">
        <f>L$15</f>
        <v>5.53</v>
      </c>
      <c r="F14" s="267">
        <f>D14*E14</f>
        <v>33.18</v>
      </c>
      <c r="G14" s="257">
        <f>F14*0.05</f>
        <v>1.659</v>
      </c>
      <c r="H14" s="257">
        <f>F14*0.1</f>
        <v>3.3180000000000001</v>
      </c>
      <c r="I14" s="262">
        <f>F14*$L$8+G14*$L$7+H14*$L$9</f>
        <v>4717.6186680000001</v>
      </c>
      <c r="K14" s="265"/>
      <c r="L14" s="265">
        <v>0</v>
      </c>
      <c r="N14" s="188">
        <f t="shared" si="0"/>
        <v>5.53</v>
      </c>
    </row>
    <row r="15" spans="1:14" ht="26" x14ac:dyDescent="0.3">
      <c r="A15" s="253" t="s">
        <v>293</v>
      </c>
      <c r="B15" s="159">
        <v>6</v>
      </c>
      <c r="C15" s="159">
        <v>1</v>
      </c>
      <c r="D15" s="257">
        <f t="shared" ref="D15" si="1">B15*C15</f>
        <v>6</v>
      </c>
      <c r="E15" s="266">
        <f>E14*0.05</f>
        <v>0.27650000000000002</v>
      </c>
      <c r="F15" s="267">
        <f t="shared" ref="F15:F23" si="2">D15*E15</f>
        <v>1.6590000000000003</v>
      </c>
      <c r="G15" s="257">
        <f t="shared" ref="G15:G23" si="3">F15*0.05</f>
        <v>8.2950000000000024E-2</v>
      </c>
      <c r="H15" s="257">
        <f t="shared" ref="H15:H23" si="4">F15*0.1</f>
        <v>0.16590000000000005</v>
      </c>
      <c r="I15" s="262">
        <f t="shared" ref="I15:I23" si="5">F15*$L$8+G15*$L$7+H15*$L$9</f>
        <v>235.8809334</v>
      </c>
      <c r="J15" s="264"/>
      <c r="K15" s="265" t="s">
        <v>136</v>
      </c>
      <c r="L15" s="265">
        <f>L14+L16*0.07</f>
        <v>5.53</v>
      </c>
      <c r="M15" s="264" t="s">
        <v>294</v>
      </c>
      <c r="N15" s="188">
        <f t="shared" si="0"/>
        <v>0.27650000000000002</v>
      </c>
    </row>
    <row r="16" spans="1:14" x14ac:dyDescent="0.3">
      <c r="A16" s="301" t="s">
        <v>295</v>
      </c>
      <c r="B16" s="73">
        <v>8</v>
      </c>
      <c r="C16" s="74">
        <v>1</v>
      </c>
      <c r="D16" s="73">
        <f>B16*C16</f>
        <v>8</v>
      </c>
      <c r="E16" s="266">
        <f>$L$15</f>
        <v>5.53</v>
      </c>
      <c r="F16" s="267">
        <f t="shared" si="2"/>
        <v>44.24</v>
      </c>
      <c r="G16" s="257">
        <f t="shared" si="3"/>
        <v>2.2120000000000002</v>
      </c>
      <c r="H16" s="257">
        <f t="shared" si="4"/>
        <v>4.4240000000000004</v>
      </c>
      <c r="I16" s="262">
        <f t="shared" si="5"/>
        <v>6290.1582239999998</v>
      </c>
      <c r="J16" s="264"/>
      <c r="K16" s="265" t="s">
        <v>141</v>
      </c>
      <c r="L16" s="265">
        <v>79</v>
      </c>
      <c r="N16" s="188">
        <f t="shared" si="0"/>
        <v>5.53</v>
      </c>
    </row>
    <row r="17" spans="1:14" x14ac:dyDescent="0.3">
      <c r="A17" s="301" t="s">
        <v>296</v>
      </c>
      <c r="B17" s="74">
        <v>8</v>
      </c>
      <c r="C17" s="74">
        <v>1</v>
      </c>
      <c r="D17" s="73">
        <f t="shared" ref="D17" si="6">B17*C17</f>
        <v>8</v>
      </c>
      <c r="E17" s="296">
        <f>E16*0.05</f>
        <v>0.27650000000000002</v>
      </c>
      <c r="F17" s="267">
        <f t="shared" si="2"/>
        <v>2.2120000000000002</v>
      </c>
      <c r="G17" s="257">
        <f t="shared" si="3"/>
        <v>0.11060000000000002</v>
      </c>
      <c r="H17" s="257">
        <f t="shared" si="4"/>
        <v>0.22120000000000004</v>
      </c>
      <c r="I17" s="262">
        <f t="shared" si="5"/>
        <v>314.50791120000002</v>
      </c>
      <c r="J17" s="264"/>
      <c r="N17" s="188">
        <f t="shared" si="0"/>
        <v>0.27650000000000002</v>
      </c>
    </row>
    <row r="18" spans="1:14" ht="15.5" x14ac:dyDescent="0.3">
      <c r="A18" s="306" t="s">
        <v>297</v>
      </c>
      <c r="B18" s="74"/>
      <c r="C18" s="74"/>
      <c r="D18" s="73"/>
      <c r="E18" s="266"/>
      <c r="F18" s="267"/>
      <c r="G18" s="257"/>
      <c r="H18" s="257"/>
      <c r="I18" s="263"/>
      <c r="J18" s="264"/>
      <c r="N18" s="188">
        <f t="shared" si="0"/>
        <v>0</v>
      </c>
    </row>
    <row r="19" spans="1:14" x14ac:dyDescent="0.3">
      <c r="A19" s="301" t="s">
        <v>295</v>
      </c>
      <c r="B19" s="73">
        <v>0</v>
      </c>
      <c r="C19" s="74">
        <v>0</v>
      </c>
      <c r="D19" s="73">
        <f>B19*C19</f>
        <v>0</v>
      </c>
      <c r="E19" s="266">
        <v>0</v>
      </c>
      <c r="F19" s="267">
        <f t="shared" ref="F19:F20" si="7">D19*E19</f>
        <v>0</v>
      </c>
      <c r="G19" s="257">
        <f t="shared" ref="G19:G20" si="8">F19*0.05</f>
        <v>0</v>
      </c>
      <c r="H19" s="257">
        <f t="shared" ref="H19:H20" si="9">F19*0.1</f>
        <v>0</v>
      </c>
      <c r="I19" s="263">
        <f t="shared" ref="I19:I20" si="10">F19*$L$8+G19*$L$7+H19*$L$9</f>
        <v>0</v>
      </c>
      <c r="J19" s="264"/>
      <c r="N19" s="188">
        <f t="shared" si="0"/>
        <v>0</v>
      </c>
    </row>
    <row r="20" spans="1:14" x14ac:dyDescent="0.3">
      <c r="A20" s="301" t="s">
        <v>296</v>
      </c>
      <c r="B20" s="74">
        <v>0</v>
      </c>
      <c r="C20" s="74">
        <v>0</v>
      </c>
      <c r="D20" s="73">
        <f t="shared" ref="D20" si="11">B20*C20</f>
        <v>0</v>
      </c>
      <c r="E20" s="88">
        <f>E19*0.05</f>
        <v>0</v>
      </c>
      <c r="F20" s="267">
        <f t="shared" si="7"/>
        <v>0</v>
      </c>
      <c r="G20" s="257">
        <f t="shared" si="8"/>
        <v>0</v>
      </c>
      <c r="H20" s="257">
        <f t="shared" si="9"/>
        <v>0</v>
      </c>
      <c r="I20" s="263">
        <f t="shared" si="10"/>
        <v>0</v>
      </c>
      <c r="J20" s="264"/>
      <c r="N20" s="188">
        <f t="shared" si="0"/>
        <v>0</v>
      </c>
    </row>
    <row r="21" spans="1:14" ht="15.5" x14ac:dyDescent="0.3">
      <c r="A21" s="304" t="s">
        <v>298</v>
      </c>
      <c r="B21" s="257"/>
      <c r="C21" s="159"/>
      <c r="D21" s="257"/>
      <c r="E21" s="159"/>
      <c r="F21" s="267"/>
      <c r="G21" s="257"/>
      <c r="H21" s="257"/>
      <c r="I21" s="263"/>
      <c r="M21" s="264"/>
      <c r="N21" s="188">
        <f t="shared" si="0"/>
        <v>0</v>
      </c>
    </row>
    <row r="22" spans="1:14" x14ac:dyDescent="0.3">
      <c r="A22" s="303" t="s">
        <v>329</v>
      </c>
      <c r="B22" s="257">
        <v>6</v>
      </c>
      <c r="C22" s="159">
        <v>1</v>
      </c>
      <c r="D22" s="257">
        <f>B22*C22</f>
        <v>6</v>
      </c>
      <c r="E22" s="266">
        <f>L$16</f>
        <v>79</v>
      </c>
      <c r="F22" s="267">
        <f t="shared" si="2"/>
        <v>474</v>
      </c>
      <c r="G22" s="257">
        <f t="shared" si="3"/>
        <v>23.700000000000003</v>
      </c>
      <c r="H22" s="257">
        <f t="shared" si="4"/>
        <v>47.400000000000006</v>
      </c>
      <c r="I22" s="262">
        <f t="shared" si="5"/>
        <v>67394.5524</v>
      </c>
      <c r="J22" s="198"/>
      <c r="N22" s="188">
        <f t="shared" si="0"/>
        <v>79</v>
      </c>
    </row>
    <row r="23" spans="1:14" x14ac:dyDescent="0.3">
      <c r="A23" s="303" t="s">
        <v>300</v>
      </c>
      <c r="B23" s="159">
        <v>6</v>
      </c>
      <c r="C23" s="159">
        <v>1</v>
      </c>
      <c r="D23" s="257">
        <f t="shared" ref="D23" si="12">B23*C23</f>
        <v>6</v>
      </c>
      <c r="E23" s="266">
        <f>E22*0.05</f>
        <v>3.95</v>
      </c>
      <c r="F23" s="267">
        <f t="shared" si="2"/>
        <v>23.700000000000003</v>
      </c>
      <c r="G23" s="257">
        <f t="shared" si="3"/>
        <v>1.1850000000000003</v>
      </c>
      <c r="H23" s="257">
        <f t="shared" si="4"/>
        <v>2.3700000000000006</v>
      </c>
      <c r="I23" s="262">
        <f t="shared" si="5"/>
        <v>3369.7276200000001</v>
      </c>
      <c r="J23" s="198"/>
      <c r="N23" s="188">
        <f t="shared" si="0"/>
        <v>3.95</v>
      </c>
    </row>
    <row r="24" spans="1:14" ht="28.5" x14ac:dyDescent="0.3">
      <c r="A24" s="306" t="s">
        <v>151</v>
      </c>
      <c r="B24" s="92"/>
      <c r="C24" s="93"/>
      <c r="D24" s="92"/>
      <c r="E24" s="266"/>
      <c r="F24" s="267"/>
      <c r="G24" s="257"/>
      <c r="H24" s="257"/>
      <c r="I24" s="262"/>
      <c r="J24" s="198"/>
      <c r="N24" s="188">
        <f t="shared" si="0"/>
        <v>0</v>
      </c>
    </row>
    <row r="25" spans="1:14" x14ac:dyDescent="0.3">
      <c r="A25" s="301"/>
      <c r="B25" s="73"/>
      <c r="C25" s="74"/>
      <c r="D25" s="73"/>
      <c r="E25" s="266"/>
      <c r="F25" s="267"/>
      <c r="G25" s="257"/>
      <c r="H25" s="257"/>
      <c r="I25" s="263"/>
      <c r="J25" s="198"/>
      <c r="N25" s="188">
        <f t="shared" si="0"/>
        <v>0</v>
      </c>
    </row>
    <row r="26" spans="1:14" x14ac:dyDescent="0.3">
      <c r="A26" s="301"/>
      <c r="B26" s="73"/>
      <c r="C26" s="74"/>
      <c r="D26" s="73"/>
      <c r="E26" s="266"/>
      <c r="F26" s="267"/>
      <c r="G26" s="257"/>
      <c r="H26" s="257"/>
      <c r="I26" s="263"/>
      <c r="J26" s="198"/>
      <c r="N26" s="188">
        <f t="shared" si="0"/>
        <v>0</v>
      </c>
    </row>
    <row r="27" spans="1:14" x14ac:dyDescent="0.3">
      <c r="A27" s="301" t="s">
        <v>155</v>
      </c>
      <c r="B27" s="73"/>
      <c r="C27" s="77"/>
      <c r="D27" s="78"/>
      <c r="E27" s="266"/>
      <c r="F27" s="267"/>
      <c r="G27" s="257"/>
      <c r="H27" s="257"/>
      <c r="I27" s="263"/>
      <c r="J27" s="198"/>
      <c r="N27" s="188">
        <f t="shared" si="0"/>
        <v>0</v>
      </c>
    </row>
    <row r="28" spans="1:14" ht="26" x14ac:dyDescent="0.3">
      <c r="A28" s="301" t="s">
        <v>156</v>
      </c>
      <c r="B28" s="73"/>
      <c r="C28" s="77"/>
      <c r="D28" s="78"/>
      <c r="E28" s="266"/>
      <c r="F28" s="267"/>
      <c r="G28" s="257"/>
      <c r="H28" s="257"/>
      <c r="I28" s="263"/>
      <c r="J28" s="198"/>
      <c r="N28" s="188">
        <f t="shared" si="0"/>
        <v>0</v>
      </c>
    </row>
    <row r="29" spans="1:14" x14ac:dyDescent="0.3">
      <c r="A29" s="301" t="s">
        <v>157</v>
      </c>
      <c r="B29" s="78"/>
      <c r="C29" s="77"/>
      <c r="D29" s="78"/>
      <c r="E29" s="266"/>
      <c r="F29" s="267"/>
      <c r="G29" s="257"/>
      <c r="H29" s="257"/>
      <c r="I29" s="263"/>
      <c r="J29" s="198"/>
      <c r="N29" s="188">
        <f t="shared" si="0"/>
        <v>0</v>
      </c>
    </row>
    <row r="30" spans="1:14" ht="26.15" customHeight="1" x14ac:dyDescent="0.3">
      <c r="A30" s="305" t="s">
        <v>301</v>
      </c>
      <c r="B30" s="257"/>
      <c r="C30" s="159"/>
      <c r="D30" s="257"/>
      <c r="E30" s="266"/>
      <c r="F30" s="257"/>
      <c r="G30" s="257"/>
      <c r="H30" s="257"/>
      <c r="I30" s="263"/>
      <c r="N30" s="188">
        <f t="shared" si="0"/>
        <v>0</v>
      </c>
    </row>
    <row r="31" spans="1:14" ht="26.15" customHeight="1" x14ac:dyDescent="0.3">
      <c r="A31" s="303" t="s">
        <v>160</v>
      </c>
      <c r="B31" s="257">
        <v>2</v>
      </c>
      <c r="C31" s="159">
        <v>1</v>
      </c>
      <c r="D31" s="257">
        <f>B31*C31</f>
        <v>2</v>
      </c>
      <c r="E31" s="266">
        <f>E14</f>
        <v>5.53</v>
      </c>
      <c r="F31" s="257">
        <f t="shared" ref="F31:F37" si="13">D31*E31</f>
        <v>11.06</v>
      </c>
      <c r="G31" s="257">
        <f t="shared" ref="G31:G37" si="14">F31*0.05</f>
        <v>0.55300000000000005</v>
      </c>
      <c r="H31" s="257">
        <f t="shared" ref="H31:H37" si="15">F31*0.1</f>
        <v>1.1060000000000001</v>
      </c>
      <c r="I31" s="262">
        <f t="shared" ref="I31:I37" si="16">F31*$L$8+G31*$L$7+H31*$L$9</f>
        <v>1572.5395559999999</v>
      </c>
      <c r="N31" s="188">
        <f t="shared" si="0"/>
        <v>5.53</v>
      </c>
    </row>
    <row r="32" spans="1:14" ht="26" x14ac:dyDescent="0.3">
      <c r="A32" s="303" t="s">
        <v>302</v>
      </c>
      <c r="B32" s="257">
        <v>2</v>
      </c>
      <c r="C32" s="159">
        <v>1</v>
      </c>
      <c r="D32" s="257">
        <f>B32*C32</f>
        <v>2</v>
      </c>
      <c r="E32" s="266">
        <f>E14</f>
        <v>5.53</v>
      </c>
      <c r="F32" s="257">
        <f t="shared" si="13"/>
        <v>11.06</v>
      </c>
      <c r="G32" s="257">
        <f t="shared" si="14"/>
        <v>0.55300000000000005</v>
      </c>
      <c r="H32" s="257">
        <f t="shared" si="15"/>
        <v>1.1060000000000001</v>
      </c>
      <c r="I32" s="262">
        <f t="shared" si="16"/>
        <v>1572.5395559999999</v>
      </c>
      <c r="N32" s="188">
        <f t="shared" si="0"/>
        <v>5.53</v>
      </c>
    </row>
    <row r="33" spans="1:14" x14ac:dyDescent="0.3">
      <c r="A33" s="301" t="s">
        <v>212</v>
      </c>
      <c r="B33" s="73">
        <v>2</v>
      </c>
      <c r="C33" s="74">
        <v>1</v>
      </c>
      <c r="D33" s="73">
        <v>2</v>
      </c>
      <c r="E33" s="266">
        <f>$L$15</f>
        <v>5.53</v>
      </c>
      <c r="F33" s="257">
        <f t="shared" si="13"/>
        <v>11.06</v>
      </c>
      <c r="G33" s="257">
        <f t="shared" si="14"/>
        <v>0.55300000000000005</v>
      </c>
      <c r="H33" s="257">
        <f t="shared" si="15"/>
        <v>1.1060000000000001</v>
      </c>
      <c r="I33" s="262">
        <f t="shared" si="16"/>
        <v>1572.5395559999999</v>
      </c>
      <c r="N33" s="188">
        <f t="shared" si="0"/>
        <v>5.53</v>
      </c>
    </row>
    <row r="34" spans="1:14" ht="26" x14ac:dyDescent="0.3">
      <c r="A34" s="301" t="s">
        <v>330</v>
      </c>
      <c r="B34" s="73">
        <v>2</v>
      </c>
      <c r="C34" s="74">
        <v>1</v>
      </c>
      <c r="D34" s="73">
        <v>2</v>
      </c>
      <c r="E34" s="266">
        <f>$L$15</f>
        <v>5.53</v>
      </c>
      <c r="F34" s="257">
        <f t="shared" si="13"/>
        <v>11.06</v>
      </c>
      <c r="G34" s="257">
        <f t="shared" si="14"/>
        <v>0.55300000000000005</v>
      </c>
      <c r="H34" s="257">
        <f t="shared" si="15"/>
        <v>1.1060000000000001</v>
      </c>
      <c r="I34" s="262">
        <f t="shared" si="16"/>
        <v>1572.5395559999999</v>
      </c>
      <c r="N34" s="188">
        <f t="shared" si="0"/>
        <v>5.53</v>
      </c>
    </row>
    <row r="35" spans="1:14" ht="26" x14ac:dyDescent="0.3">
      <c r="A35" s="301" t="s">
        <v>304</v>
      </c>
      <c r="B35" s="73">
        <v>2</v>
      </c>
      <c r="C35" s="74">
        <v>1</v>
      </c>
      <c r="D35" s="73">
        <v>2</v>
      </c>
      <c r="E35" s="266">
        <f>$L$15</f>
        <v>5.53</v>
      </c>
      <c r="F35" s="257">
        <f t="shared" si="13"/>
        <v>11.06</v>
      </c>
      <c r="G35" s="257">
        <f t="shared" si="14"/>
        <v>0.55300000000000005</v>
      </c>
      <c r="H35" s="257">
        <f t="shared" si="15"/>
        <v>1.1060000000000001</v>
      </c>
      <c r="I35" s="262">
        <f t="shared" si="16"/>
        <v>1572.5395559999999</v>
      </c>
      <c r="N35" s="188">
        <f t="shared" si="0"/>
        <v>5.53</v>
      </c>
    </row>
    <row r="36" spans="1:14" x14ac:dyDescent="0.3">
      <c r="A36" s="301"/>
      <c r="B36" s="73"/>
      <c r="C36" s="74"/>
      <c r="D36" s="73"/>
      <c r="E36" s="266"/>
      <c r="F36" s="257"/>
      <c r="G36" s="257"/>
      <c r="H36" s="257"/>
      <c r="I36" s="263"/>
      <c r="N36" s="188">
        <f t="shared" si="0"/>
        <v>0</v>
      </c>
    </row>
    <row r="37" spans="1:14" ht="26" x14ac:dyDescent="0.3">
      <c r="A37" s="303" t="s">
        <v>166</v>
      </c>
      <c r="B37" s="257">
        <v>1</v>
      </c>
      <c r="C37" s="159">
        <v>1</v>
      </c>
      <c r="D37" s="257">
        <f>B37*C37</f>
        <v>1</v>
      </c>
      <c r="E37" s="266">
        <f>$L$15</f>
        <v>5.53</v>
      </c>
      <c r="F37" s="257">
        <f t="shared" si="13"/>
        <v>5.53</v>
      </c>
      <c r="G37" s="257">
        <f t="shared" si="14"/>
        <v>0.27650000000000002</v>
      </c>
      <c r="H37" s="257">
        <f t="shared" si="15"/>
        <v>0.55300000000000005</v>
      </c>
      <c r="I37" s="262">
        <f t="shared" si="16"/>
        <v>786.26977799999997</v>
      </c>
      <c r="N37" s="188">
        <f t="shared" si="0"/>
        <v>5.53</v>
      </c>
    </row>
    <row r="38" spans="1:14" x14ac:dyDescent="0.3">
      <c r="A38" s="305" t="s">
        <v>306</v>
      </c>
      <c r="B38" s="261"/>
      <c r="C38" s="260"/>
      <c r="D38" s="261"/>
      <c r="E38" s="268"/>
      <c r="F38" s="261"/>
      <c r="G38" s="261"/>
      <c r="H38" s="261"/>
      <c r="I38" s="261"/>
      <c r="N38" s="188">
        <f t="shared" si="0"/>
        <v>0</v>
      </c>
    </row>
    <row r="39" spans="1:14" x14ac:dyDescent="0.3">
      <c r="A39" s="303" t="s">
        <v>307</v>
      </c>
      <c r="B39" s="257">
        <v>2</v>
      </c>
      <c r="C39" s="159">
        <v>1</v>
      </c>
      <c r="D39" s="257">
        <f>B39*C39</f>
        <v>2</v>
      </c>
      <c r="E39" s="266">
        <f>L16</f>
        <v>79</v>
      </c>
      <c r="F39" s="257">
        <f>D39*E39</f>
        <v>158</v>
      </c>
      <c r="G39" s="257">
        <f>F39*0.05</f>
        <v>7.9</v>
      </c>
      <c r="H39" s="257">
        <f>F39*0.1</f>
        <v>15.8</v>
      </c>
      <c r="I39" s="262">
        <f>F39*$L$8+G39*$L$7+H39*$L$9</f>
        <v>22464.8508</v>
      </c>
      <c r="N39" s="188">
        <f t="shared" si="0"/>
        <v>79</v>
      </c>
    </row>
    <row r="40" spans="1:14" ht="57" customHeight="1" x14ac:dyDescent="0.3">
      <c r="A40" s="303" t="s">
        <v>308</v>
      </c>
      <c r="B40" s="257">
        <v>2</v>
      </c>
      <c r="C40" s="159">
        <v>1</v>
      </c>
      <c r="D40" s="257">
        <f>B40*C40</f>
        <v>2</v>
      </c>
      <c r="E40" s="266">
        <f>E39</f>
        <v>79</v>
      </c>
      <c r="F40" s="257">
        <f>D40*E40</f>
        <v>158</v>
      </c>
      <c r="G40" s="257">
        <f>F40*0.05</f>
        <v>7.9</v>
      </c>
      <c r="H40" s="257">
        <f>F40*0.1</f>
        <v>15.8</v>
      </c>
      <c r="I40" s="262">
        <f>F40*$L$8+G40*$L$7+H40*$L$9</f>
        <v>22464.8508</v>
      </c>
      <c r="N40" s="188">
        <f t="shared" si="0"/>
        <v>79</v>
      </c>
    </row>
    <row r="41" spans="1:14" ht="21.65" customHeight="1" x14ac:dyDescent="0.3">
      <c r="A41" s="301" t="s">
        <v>212</v>
      </c>
      <c r="B41" s="190">
        <v>0</v>
      </c>
      <c r="C41" s="115">
        <v>0</v>
      </c>
      <c r="D41" s="190">
        <v>2</v>
      </c>
      <c r="E41" s="266">
        <v>0</v>
      </c>
      <c r="F41" s="257">
        <f t="shared" ref="F41:F43" si="17">D41*E41</f>
        <v>0</v>
      </c>
      <c r="G41" s="257">
        <f t="shared" ref="G41:G43" si="18">F41*0.05</f>
        <v>0</v>
      </c>
      <c r="H41" s="257">
        <f t="shared" ref="H41:H43" si="19">F41*0.1</f>
        <v>0</v>
      </c>
      <c r="I41" s="263">
        <f t="shared" ref="I41:I43" si="20">F41*$L$8+G41*$L$7+H41*$L$9</f>
        <v>0</v>
      </c>
      <c r="N41" s="188">
        <f t="shared" si="0"/>
        <v>0</v>
      </c>
    </row>
    <row r="42" spans="1:14" ht="24.65" customHeight="1" x14ac:dyDescent="0.3">
      <c r="A42" s="301" t="s">
        <v>303</v>
      </c>
      <c r="B42" s="190">
        <v>0</v>
      </c>
      <c r="C42" s="115">
        <v>0</v>
      </c>
      <c r="D42" s="190">
        <v>2</v>
      </c>
      <c r="E42" s="266">
        <v>0</v>
      </c>
      <c r="F42" s="257">
        <f t="shared" si="17"/>
        <v>0</v>
      </c>
      <c r="G42" s="257">
        <f t="shared" si="18"/>
        <v>0</v>
      </c>
      <c r="H42" s="257">
        <f t="shared" si="19"/>
        <v>0</v>
      </c>
      <c r="I42" s="263">
        <f t="shared" si="20"/>
        <v>0</v>
      </c>
      <c r="N42" s="188">
        <f t="shared" si="0"/>
        <v>0</v>
      </c>
    </row>
    <row r="43" spans="1:14" ht="30" customHeight="1" x14ac:dyDescent="0.3">
      <c r="A43" s="301" t="s">
        <v>309</v>
      </c>
      <c r="B43" s="190">
        <v>0</v>
      </c>
      <c r="C43" s="115">
        <v>0</v>
      </c>
      <c r="D43" s="190">
        <v>2</v>
      </c>
      <c r="E43" s="266">
        <v>0</v>
      </c>
      <c r="F43" s="257">
        <f t="shared" si="17"/>
        <v>0</v>
      </c>
      <c r="G43" s="257">
        <f t="shared" si="18"/>
        <v>0</v>
      </c>
      <c r="H43" s="257">
        <f t="shared" si="19"/>
        <v>0</v>
      </c>
      <c r="I43" s="263">
        <f t="shared" si="20"/>
        <v>0</v>
      </c>
      <c r="N43" s="188">
        <f t="shared" si="0"/>
        <v>0</v>
      </c>
    </row>
    <row r="44" spans="1:14" ht="26" x14ac:dyDescent="0.3">
      <c r="A44" s="303" t="s">
        <v>166</v>
      </c>
      <c r="B44" s="283">
        <v>1</v>
      </c>
      <c r="C44" s="284">
        <v>1</v>
      </c>
      <c r="D44" s="283">
        <f>B44*C44</f>
        <v>1</v>
      </c>
      <c r="E44" s="266">
        <f>E40</f>
        <v>79</v>
      </c>
      <c r="F44" s="257">
        <f>D44*E44</f>
        <v>79</v>
      </c>
      <c r="G44" s="257">
        <f>F44*0.05</f>
        <v>3.95</v>
      </c>
      <c r="H44" s="257">
        <f>F44*0.1</f>
        <v>7.9</v>
      </c>
      <c r="I44" s="262">
        <f>F44*$L$8+G44*$L$7+H44*$L$9</f>
        <v>11232.4254</v>
      </c>
      <c r="N44" s="188">
        <f t="shared" si="0"/>
        <v>79</v>
      </c>
    </row>
    <row r="45" spans="1:14" ht="13.5" x14ac:dyDescent="0.3">
      <c r="A45" s="269" t="s">
        <v>167</v>
      </c>
      <c r="B45" s="270"/>
      <c r="C45" s="271"/>
      <c r="D45" s="270"/>
      <c r="E45" s="272"/>
      <c r="F45" s="273">
        <f>SUM(F8:H44)</f>
        <v>1190.0441499999997</v>
      </c>
      <c r="G45" s="273"/>
      <c r="H45" s="273"/>
      <c r="I45" s="274">
        <f>SUM(I8:I44)</f>
        <v>147133.54031460005</v>
      </c>
      <c r="N45" s="188">
        <f t="shared" si="0"/>
        <v>0</v>
      </c>
    </row>
    <row r="46" spans="1:14" ht="26" x14ac:dyDescent="0.3">
      <c r="A46" s="259" t="s">
        <v>168</v>
      </c>
      <c r="B46" s="261"/>
      <c r="C46" s="260"/>
      <c r="D46" s="261"/>
      <c r="E46" s="268"/>
      <c r="F46" s="261"/>
      <c r="G46" s="261"/>
      <c r="H46" s="261"/>
      <c r="I46" s="261"/>
      <c r="N46" s="188">
        <f t="shared" si="0"/>
        <v>0</v>
      </c>
    </row>
    <row r="47" spans="1:14" ht="26" x14ac:dyDescent="0.3">
      <c r="A47" s="303" t="s">
        <v>132</v>
      </c>
      <c r="B47" s="257"/>
      <c r="C47" s="260"/>
      <c r="D47" s="261"/>
      <c r="E47" s="260"/>
      <c r="F47" s="261"/>
      <c r="G47" s="261"/>
      <c r="H47" s="261"/>
      <c r="I47" s="261"/>
      <c r="N47" s="188">
        <f t="shared" si="0"/>
        <v>0</v>
      </c>
    </row>
    <row r="48" spans="1:14" x14ac:dyDescent="0.3">
      <c r="A48" s="303" t="s">
        <v>169</v>
      </c>
      <c r="B48" s="257"/>
      <c r="C48" s="260"/>
      <c r="D48" s="261"/>
      <c r="E48" s="260"/>
      <c r="F48" s="261"/>
      <c r="G48" s="261"/>
      <c r="H48" s="261"/>
      <c r="I48" s="261"/>
      <c r="N48" s="188">
        <f t="shared" si="0"/>
        <v>0</v>
      </c>
    </row>
    <row r="49" spans="1:15" x14ac:dyDescent="0.3">
      <c r="A49" s="303" t="s">
        <v>170</v>
      </c>
      <c r="B49" s="257"/>
      <c r="C49" s="260"/>
      <c r="D49" s="261"/>
      <c r="E49" s="260"/>
      <c r="F49" s="261"/>
      <c r="G49" s="261"/>
      <c r="H49" s="261"/>
      <c r="I49" s="261"/>
      <c r="N49" s="188">
        <f t="shared" si="0"/>
        <v>0</v>
      </c>
    </row>
    <row r="50" spans="1:15" x14ac:dyDescent="0.3">
      <c r="A50" s="303" t="s">
        <v>171</v>
      </c>
      <c r="B50" s="257" t="s">
        <v>122</v>
      </c>
      <c r="C50" s="260"/>
      <c r="D50" s="261"/>
      <c r="E50" s="260"/>
      <c r="F50" s="261"/>
      <c r="G50" s="261"/>
      <c r="H50" s="261"/>
      <c r="I50" s="261"/>
      <c r="N50" s="188">
        <f t="shared" si="0"/>
        <v>0</v>
      </c>
    </row>
    <row r="51" spans="1:15" ht="26" x14ac:dyDescent="0.3">
      <c r="A51" s="303" t="s">
        <v>172</v>
      </c>
      <c r="B51" s="261"/>
      <c r="C51" s="260"/>
      <c r="D51" s="261"/>
      <c r="E51" s="260"/>
      <c r="F51" s="261"/>
      <c r="G51" s="261"/>
      <c r="H51" s="261"/>
      <c r="I51" s="261"/>
      <c r="N51" s="188">
        <f t="shared" si="0"/>
        <v>0</v>
      </c>
    </row>
    <row r="52" spans="1:15" x14ac:dyDescent="0.3">
      <c r="A52" s="305" t="s">
        <v>163</v>
      </c>
      <c r="B52" s="261"/>
      <c r="C52" s="260"/>
      <c r="D52" s="261"/>
      <c r="E52" s="260"/>
      <c r="F52" s="261"/>
      <c r="G52" s="261"/>
      <c r="H52" s="261"/>
      <c r="I52" s="261"/>
      <c r="N52" s="188">
        <f t="shared" si="0"/>
        <v>0</v>
      </c>
    </row>
    <row r="53" spans="1:15" x14ac:dyDescent="0.3">
      <c r="A53" s="303" t="s">
        <v>173</v>
      </c>
      <c r="B53" s="257">
        <v>0.1</v>
      </c>
      <c r="C53" s="159">
        <v>1</v>
      </c>
      <c r="D53" s="73">
        <f t="shared" ref="D53:D55" si="21">B53*C53</f>
        <v>0.1</v>
      </c>
      <c r="E53" s="266">
        <f>$L$16</f>
        <v>79</v>
      </c>
      <c r="F53" s="267">
        <f t="shared" ref="F53:F60" si="22">D53*E53</f>
        <v>7.9</v>
      </c>
      <c r="G53" s="257">
        <f t="shared" ref="G53:G60" si="23">F53*0.05</f>
        <v>0.39500000000000002</v>
      </c>
      <c r="H53" s="257">
        <f t="shared" ref="H53:H60" si="24">F53*0.1</f>
        <v>0.79</v>
      </c>
      <c r="I53" s="262">
        <f>F53*$L$8+G53*$L$7+H53*$L$9</f>
        <v>1123.2425400000002</v>
      </c>
      <c r="N53" s="188">
        <f t="shared" si="0"/>
        <v>79</v>
      </c>
    </row>
    <row r="54" spans="1:15" x14ac:dyDescent="0.3">
      <c r="A54" s="303" t="s">
        <v>310</v>
      </c>
      <c r="B54" s="257">
        <v>0.1</v>
      </c>
      <c r="C54" s="159">
        <v>1</v>
      </c>
      <c r="D54" s="73">
        <f t="shared" si="21"/>
        <v>0.1</v>
      </c>
      <c r="E54" s="266">
        <f>E53</f>
        <v>79</v>
      </c>
      <c r="F54" s="267">
        <f t="shared" si="22"/>
        <v>7.9</v>
      </c>
      <c r="G54" s="257">
        <f t="shared" si="23"/>
        <v>0.39500000000000002</v>
      </c>
      <c r="H54" s="257">
        <f t="shared" si="24"/>
        <v>0.79</v>
      </c>
      <c r="I54" s="262">
        <f>F54*$L$8+G54*$L$7+H54*$L$9</f>
        <v>1123.2425400000002</v>
      </c>
      <c r="N54" s="188">
        <f t="shared" si="0"/>
        <v>79</v>
      </c>
    </row>
    <row r="55" spans="1:15" ht="26" x14ac:dyDescent="0.3">
      <c r="A55" s="301" t="s">
        <v>311</v>
      </c>
      <c r="B55" s="73">
        <v>0.1</v>
      </c>
      <c r="C55" s="74">
        <v>330</v>
      </c>
      <c r="D55" s="73">
        <f t="shared" si="21"/>
        <v>33</v>
      </c>
      <c r="E55" s="266">
        <f>$L$16</f>
        <v>79</v>
      </c>
      <c r="F55" s="89">
        <f t="shared" si="22"/>
        <v>2607</v>
      </c>
      <c r="G55" s="73">
        <f t="shared" si="23"/>
        <v>130.35</v>
      </c>
      <c r="H55" s="73">
        <f t="shared" si="24"/>
        <v>260.7</v>
      </c>
      <c r="I55" s="262">
        <f>F55*$L$8+G55*$L$7+H55*$L$9</f>
        <v>370670.03820000001</v>
      </c>
      <c r="N55" s="188">
        <f t="shared" si="0"/>
        <v>26070</v>
      </c>
    </row>
    <row r="56" spans="1:15" x14ac:dyDescent="0.3">
      <c r="A56" s="305" t="s">
        <v>158</v>
      </c>
      <c r="B56" s="257"/>
      <c r="C56" s="159"/>
      <c r="D56" s="257"/>
      <c r="E56" s="266"/>
      <c r="F56" s="267"/>
      <c r="G56" s="257"/>
      <c r="H56" s="257"/>
      <c r="I56" s="263"/>
      <c r="N56" s="188">
        <f t="shared" si="0"/>
        <v>0</v>
      </c>
    </row>
    <row r="57" spans="1:15" x14ac:dyDescent="0.3">
      <c r="A57" s="303" t="s">
        <v>173</v>
      </c>
      <c r="B57" s="257">
        <v>0</v>
      </c>
      <c r="C57" s="159">
        <v>0</v>
      </c>
      <c r="D57" s="257">
        <f>B57*C57</f>
        <v>0</v>
      </c>
      <c r="E57" s="266">
        <f>$L$14</f>
        <v>0</v>
      </c>
      <c r="F57" s="267">
        <f t="shared" ref="F57:F58" si="25">D57*E57</f>
        <v>0</v>
      </c>
      <c r="G57" s="257">
        <f t="shared" ref="G57:G58" si="26">F57*0.05</f>
        <v>0</v>
      </c>
      <c r="H57" s="257">
        <f t="shared" ref="H57:H58" si="27">F57*0.1</f>
        <v>0</v>
      </c>
      <c r="I57" s="262">
        <f>F57*$L$8+G57*$L$7+H57*$L$9</f>
        <v>0</v>
      </c>
      <c r="N57" s="188">
        <f t="shared" si="0"/>
        <v>0</v>
      </c>
    </row>
    <row r="58" spans="1:15" x14ac:dyDescent="0.3">
      <c r="A58" s="303" t="s">
        <v>310</v>
      </c>
      <c r="B58" s="257">
        <v>0</v>
      </c>
      <c r="C58" s="159">
        <v>0</v>
      </c>
      <c r="D58" s="257">
        <f t="shared" ref="D58:D60" si="28">B58*C58</f>
        <v>0</v>
      </c>
      <c r="E58" s="266">
        <f>$L$14</f>
        <v>0</v>
      </c>
      <c r="F58" s="267">
        <f t="shared" si="25"/>
        <v>0</v>
      </c>
      <c r="G58" s="257">
        <f t="shared" si="26"/>
        <v>0</v>
      </c>
      <c r="H58" s="257">
        <f t="shared" si="27"/>
        <v>0</v>
      </c>
      <c r="I58" s="262">
        <f>F58*$L$8+G58*$L$7+H58*$L$9</f>
        <v>0</v>
      </c>
      <c r="N58" s="188">
        <f t="shared" si="0"/>
        <v>0</v>
      </c>
    </row>
    <row r="59" spans="1:15" x14ac:dyDescent="0.3">
      <c r="A59" s="301" t="s">
        <v>312</v>
      </c>
      <c r="B59" s="257">
        <v>0</v>
      </c>
      <c r="C59" s="159">
        <v>0</v>
      </c>
      <c r="D59" s="73">
        <f t="shared" si="28"/>
        <v>0</v>
      </c>
      <c r="E59" s="266">
        <f>$L$14</f>
        <v>0</v>
      </c>
      <c r="F59" s="267">
        <f t="shared" ref="F59" si="29">D59*E59</f>
        <v>0</v>
      </c>
      <c r="G59" s="257">
        <f t="shared" ref="G59" si="30">F59*0.05</f>
        <v>0</v>
      </c>
      <c r="H59" s="257">
        <f t="shared" ref="H59" si="31">F59*0.1</f>
        <v>0</v>
      </c>
      <c r="I59" s="262">
        <f>F59*$L$8+G59*$L$7+H59*$L$9</f>
        <v>0</v>
      </c>
      <c r="N59" s="188">
        <f t="shared" si="0"/>
        <v>0</v>
      </c>
    </row>
    <row r="60" spans="1:15" ht="17.25" customHeight="1" x14ac:dyDescent="0.3">
      <c r="A60" s="303" t="s">
        <v>313</v>
      </c>
      <c r="B60" s="257">
        <v>0</v>
      </c>
      <c r="C60" s="159">
        <v>0</v>
      </c>
      <c r="D60" s="257">
        <f t="shared" si="28"/>
        <v>0</v>
      </c>
      <c r="E60" s="266">
        <f>$L$14</f>
        <v>0</v>
      </c>
      <c r="F60" s="267">
        <f t="shared" si="22"/>
        <v>0</v>
      </c>
      <c r="G60" s="257">
        <f t="shared" si="23"/>
        <v>0</v>
      </c>
      <c r="H60" s="257">
        <f t="shared" si="24"/>
        <v>0</v>
      </c>
      <c r="I60" s="262">
        <f>F60*$L$8+G60*$L$7+H60*$L$9</f>
        <v>0</v>
      </c>
      <c r="N60" s="188">
        <f>SUM(N6:N59)</f>
        <v>26592.742999999999</v>
      </c>
      <c r="O60" s="188" t="s">
        <v>248</v>
      </c>
    </row>
    <row r="61" spans="1:15" x14ac:dyDescent="0.3">
      <c r="A61" s="303" t="s">
        <v>186</v>
      </c>
      <c r="B61" s="257" t="s">
        <v>122</v>
      </c>
      <c r="C61" s="260"/>
      <c r="D61" s="261"/>
      <c r="E61" s="260"/>
      <c r="F61" s="261"/>
      <c r="G61" s="261"/>
      <c r="H61" s="261"/>
      <c r="I61" s="261"/>
      <c r="K61" s="282">
        <f>F63/212</f>
        <v>19.811320754716981</v>
      </c>
      <c r="L61" s="188" t="s">
        <v>190</v>
      </c>
    </row>
    <row r="62" spans="1:15" ht="27" x14ac:dyDescent="0.3">
      <c r="A62" s="269" t="s">
        <v>188</v>
      </c>
      <c r="B62" s="275"/>
      <c r="C62" s="276"/>
      <c r="D62" s="275"/>
      <c r="E62" s="277"/>
      <c r="F62" s="273">
        <f>SUM(F53:H60)</f>
        <v>3016.22</v>
      </c>
      <c r="G62" s="273"/>
      <c r="H62" s="273"/>
      <c r="I62" s="274">
        <f>SUM(I53:I61)</f>
        <v>372916.52328000002</v>
      </c>
    </row>
    <row r="63" spans="1:15" ht="28" x14ac:dyDescent="0.3">
      <c r="A63" s="278" t="s">
        <v>314</v>
      </c>
      <c r="B63" s="279"/>
      <c r="C63" s="169"/>
      <c r="D63" s="279"/>
      <c r="E63" s="280"/>
      <c r="F63" s="469">
        <f>ROUND(F62+F45, -2)</f>
        <v>4200</v>
      </c>
      <c r="G63" s="469"/>
      <c r="H63" s="469"/>
      <c r="I63" s="281">
        <f>ROUND(I62+I45, -4)</f>
        <v>520000</v>
      </c>
    </row>
    <row r="64" spans="1:15" ht="28" x14ac:dyDescent="0.3">
      <c r="A64" s="168" t="s">
        <v>315</v>
      </c>
      <c r="B64" s="261"/>
      <c r="C64" s="260"/>
      <c r="D64" s="261"/>
      <c r="E64" s="260"/>
      <c r="F64" s="261"/>
      <c r="G64" s="261"/>
      <c r="H64" s="261"/>
      <c r="I64" s="281">
        <f>'CCOM4-6'!$H$16</f>
        <v>170000</v>
      </c>
    </row>
    <row r="65" spans="1:9" ht="15" x14ac:dyDescent="0.3">
      <c r="A65" s="168" t="s">
        <v>316</v>
      </c>
      <c r="B65" s="261"/>
      <c r="C65" s="260"/>
      <c r="D65" s="261"/>
      <c r="E65" s="260"/>
      <c r="F65" s="261"/>
      <c r="G65" s="261"/>
      <c r="H65" s="261"/>
      <c r="I65" s="281">
        <f>ROUND(I63+I64, -5)</f>
        <v>700000</v>
      </c>
    </row>
    <row r="66" spans="1:9" ht="10.5" customHeight="1" x14ac:dyDescent="0.3"/>
    <row r="67" spans="1:9" ht="15.65" customHeight="1" x14ac:dyDescent="0.3">
      <c r="A67" s="467" t="s">
        <v>317</v>
      </c>
      <c r="B67" s="467"/>
      <c r="C67" s="467"/>
      <c r="D67" s="467"/>
      <c r="E67" s="467"/>
      <c r="F67" s="467"/>
      <c r="G67" s="467"/>
      <c r="H67" s="467"/>
      <c r="I67" s="467"/>
    </row>
    <row r="68" spans="1:9" ht="74.5" customHeight="1" x14ac:dyDescent="0.3">
      <c r="A68" s="446" t="s">
        <v>194</v>
      </c>
      <c r="B68" s="446"/>
      <c r="C68" s="446"/>
      <c r="D68" s="446"/>
      <c r="E68" s="446"/>
      <c r="F68" s="446"/>
      <c r="G68" s="446"/>
      <c r="H68" s="446"/>
      <c r="I68" s="446"/>
    </row>
    <row r="69" spans="1:9" ht="18.75" customHeight="1" x14ac:dyDescent="0.3">
      <c r="A69" s="467" t="s">
        <v>318</v>
      </c>
      <c r="B69" s="467"/>
      <c r="C69" s="467"/>
      <c r="D69" s="467"/>
      <c r="E69" s="467"/>
      <c r="F69" s="467"/>
      <c r="G69" s="467"/>
      <c r="H69" s="467"/>
      <c r="I69" s="467"/>
    </row>
    <row r="70" spans="1:9" ht="15.5" customHeight="1" x14ac:dyDescent="0.3">
      <c r="A70" s="470" t="s">
        <v>515</v>
      </c>
      <c r="B70" s="470"/>
      <c r="C70" s="470"/>
      <c r="D70" s="470"/>
      <c r="E70" s="470"/>
      <c r="F70" s="470"/>
      <c r="G70" s="470"/>
      <c r="H70" s="470"/>
      <c r="I70" s="470"/>
    </row>
    <row r="71" spans="1:9" ht="21.65" customHeight="1" x14ac:dyDescent="0.3">
      <c r="A71" s="466" t="s">
        <v>319</v>
      </c>
      <c r="B71" s="466"/>
      <c r="C71" s="466"/>
      <c r="D71" s="466"/>
      <c r="E71" s="466"/>
      <c r="F71" s="466"/>
      <c r="G71" s="466"/>
      <c r="H71" s="466"/>
      <c r="I71" s="466"/>
    </row>
  </sheetData>
  <mergeCells count="9">
    <mergeCell ref="A70:I70"/>
    <mergeCell ref="A71:I71"/>
    <mergeCell ref="A1:I1"/>
    <mergeCell ref="A3:I3"/>
    <mergeCell ref="K6:L6"/>
    <mergeCell ref="F63:H63"/>
    <mergeCell ref="A67:I67"/>
    <mergeCell ref="A68:I68"/>
    <mergeCell ref="A69:I69"/>
  </mergeCells>
  <pageMargins left="0.7" right="0.7" top="0.75" bottom="0.75" header="0.3" footer="0.3"/>
  <pageSetup scale="4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8457-30AA-4A09-93DC-20868E2C728A}">
  <sheetPr codeName="Sheet14"/>
  <dimension ref="A1:P33"/>
  <sheetViews>
    <sheetView zoomScale="80" zoomScaleNormal="80" workbookViewId="0">
      <selection activeCell="I14" sqref="I14"/>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331</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0.5</v>
      </c>
      <c r="C8" s="155">
        <v>1</v>
      </c>
      <c r="D8" s="159">
        <f>B8*C8</f>
        <v>0.5</v>
      </c>
      <c r="E8" s="159">
        <f>'CI-Y1'!$L$17</f>
        <v>79</v>
      </c>
      <c r="F8" s="160">
        <f>D8*E8</f>
        <v>39.5</v>
      </c>
      <c r="G8" s="160">
        <f>F8*0.05</f>
        <v>1.9750000000000001</v>
      </c>
      <c r="H8" s="160">
        <f>F8*0.1</f>
        <v>3.95</v>
      </c>
      <c r="I8" s="164">
        <f>(F8*$L$8)+(G8*$L$7)+(H8*$L$9)</f>
        <v>2269.4724999999999</v>
      </c>
      <c r="K8" s="157" t="s">
        <v>128</v>
      </c>
      <c r="L8" s="162">
        <v>51.23</v>
      </c>
      <c r="M8" s="231"/>
      <c r="O8" s="156">
        <f t="shared" ref="O8:O19" si="0">C8*E8</f>
        <v>79</v>
      </c>
    </row>
    <row r="9" spans="1:15" ht="15.5" x14ac:dyDescent="0.35">
      <c r="A9" s="252" t="s">
        <v>333</v>
      </c>
      <c r="B9" s="159">
        <v>0</v>
      </c>
      <c r="C9" s="159">
        <v>0</v>
      </c>
      <c r="D9" s="159">
        <f>B9*C9</f>
        <v>0</v>
      </c>
      <c r="E9" s="159">
        <f>'CI-Y1'!E32</f>
        <v>0</v>
      </c>
      <c r="F9" s="160">
        <f>D9*E9</f>
        <v>0</v>
      </c>
      <c r="G9" s="160">
        <f>F9*0.05</f>
        <v>0</v>
      </c>
      <c r="H9" s="160">
        <f>F9*0.1</f>
        <v>0</v>
      </c>
      <c r="I9" s="164">
        <f>(F9*$L$8)+(G9*$L$7)+(H9*$L$9)</f>
        <v>0</v>
      </c>
      <c r="K9" s="157" t="s">
        <v>130</v>
      </c>
      <c r="L9" s="162">
        <v>27.73</v>
      </c>
      <c r="M9" s="231"/>
      <c r="O9" s="156">
        <f t="shared" si="0"/>
        <v>0</v>
      </c>
    </row>
    <row r="10" spans="1:15" ht="15.5" x14ac:dyDescent="0.35">
      <c r="A10" s="252" t="s">
        <v>334</v>
      </c>
      <c r="B10" s="159">
        <v>0</v>
      </c>
      <c r="C10" s="159">
        <v>0</v>
      </c>
      <c r="D10" s="159">
        <f>B10*C10</f>
        <v>0</v>
      </c>
      <c r="E10" s="159">
        <v>0</v>
      </c>
      <c r="F10" s="163">
        <f>D10*E10</f>
        <v>0</v>
      </c>
      <c r="G10" s="163">
        <f>F10*0.05</f>
        <v>0</v>
      </c>
      <c r="H10" s="163">
        <f>F10*0.1</f>
        <v>0</v>
      </c>
      <c r="I10" s="164">
        <f>(F10*$L$8)+(G10*$L$7)+(H10*$L$9)</f>
        <v>0</v>
      </c>
      <c r="O10" s="156">
        <f t="shared" si="0"/>
        <v>0</v>
      </c>
    </row>
    <row r="11" spans="1:15" ht="15.5" x14ac:dyDescent="0.35">
      <c r="A11" s="228" t="s">
        <v>335</v>
      </c>
      <c r="B11" s="159">
        <v>0</v>
      </c>
      <c r="C11" s="159">
        <v>0</v>
      </c>
      <c r="D11" s="74">
        <f>B11*C11</f>
        <v>0</v>
      </c>
      <c r="E11" s="159">
        <v>0</v>
      </c>
      <c r="F11" s="163">
        <f t="shared" ref="F11:F12" si="1">D11*E11</f>
        <v>0</v>
      </c>
      <c r="G11" s="163">
        <f t="shared" ref="G11:G12" si="2">F11*0.05</f>
        <v>0</v>
      </c>
      <c r="H11" s="163">
        <f t="shared" ref="H11:H12" si="3">F11*0.1</f>
        <v>0</v>
      </c>
      <c r="I11" s="164">
        <f t="shared" ref="I11:I12" si="4">(F11*$L$8)+(G11*$L$7)+(H11*$L$9)</f>
        <v>0</v>
      </c>
      <c r="O11" s="156">
        <f t="shared" si="0"/>
        <v>0</v>
      </c>
    </row>
    <row r="12" spans="1:15" ht="37.5" customHeight="1" x14ac:dyDescent="0.35">
      <c r="A12" s="114" t="s">
        <v>336</v>
      </c>
      <c r="B12" s="159">
        <v>0</v>
      </c>
      <c r="C12" s="159">
        <v>0</v>
      </c>
      <c r="D12" s="74">
        <f>B12*C12</f>
        <v>0</v>
      </c>
      <c r="E12" s="159">
        <v>0</v>
      </c>
      <c r="F12" s="163">
        <f t="shared" si="1"/>
        <v>0</v>
      </c>
      <c r="G12" s="163">
        <f t="shared" si="2"/>
        <v>0</v>
      </c>
      <c r="H12" s="163">
        <f t="shared" si="3"/>
        <v>0</v>
      </c>
      <c r="I12" s="164">
        <f t="shared" si="4"/>
        <v>0</v>
      </c>
      <c r="O12" s="156">
        <f t="shared" si="0"/>
        <v>0</v>
      </c>
    </row>
    <row r="13" spans="1:15" ht="19" customHeight="1" x14ac:dyDescent="0.35">
      <c r="A13" s="325" t="s">
        <v>243</v>
      </c>
      <c r="B13" s="159"/>
      <c r="C13" s="159"/>
      <c r="D13" s="159"/>
      <c r="E13" s="159"/>
      <c r="F13" s="160"/>
      <c r="G13" s="160"/>
      <c r="H13" s="160"/>
      <c r="I13" s="165"/>
      <c r="O13" s="156">
        <f t="shared" si="0"/>
        <v>0</v>
      </c>
    </row>
    <row r="14" spans="1:15" ht="39" x14ac:dyDescent="0.35">
      <c r="A14" s="182" t="s">
        <v>244</v>
      </c>
      <c r="B14" s="58">
        <v>8</v>
      </c>
      <c r="C14" s="58">
        <v>1</v>
      </c>
      <c r="D14" s="159">
        <f>B14*C14</f>
        <v>8</v>
      </c>
      <c r="E14" s="159">
        <f>'CI-Y1'!$L$17*0.01</f>
        <v>0.79</v>
      </c>
      <c r="F14" s="160">
        <f t="shared" ref="F14" si="5">D14*E14</f>
        <v>6.32</v>
      </c>
      <c r="G14" s="160">
        <f t="shared" ref="G14" si="6">F14*0.05</f>
        <v>0.31600000000000006</v>
      </c>
      <c r="H14" s="160">
        <f t="shared" ref="H14" si="7">F14*0.1</f>
        <v>0.63200000000000012</v>
      </c>
      <c r="I14" s="164">
        <f t="shared" ref="I14" si="8">(F14*$L$8)+(G14*$L$7)+(H14*$L$9)</f>
        <v>363.11559999999997</v>
      </c>
    </row>
    <row r="15" spans="1:15" ht="20.25" customHeight="1" x14ac:dyDescent="0.35">
      <c r="A15" s="253" t="s">
        <v>337</v>
      </c>
      <c r="B15" s="159">
        <v>0</v>
      </c>
      <c r="C15" s="159">
        <v>0</v>
      </c>
      <c r="D15" s="159">
        <f t="shared" ref="D15:D18" si="9">B15*C15</f>
        <v>0</v>
      </c>
      <c r="E15" s="159">
        <v>0</v>
      </c>
      <c r="F15" s="160">
        <f t="shared" ref="F15:F16" si="10">D15*E15</f>
        <v>0</v>
      </c>
      <c r="G15" s="160">
        <f t="shared" ref="G15:G16" si="11">F15*0.05</f>
        <v>0</v>
      </c>
      <c r="H15" s="160">
        <f t="shared" ref="H15:H16" si="12">F15*0.1</f>
        <v>0</v>
      </c>
      <c r="I15" s="161">
        <f t="shared" ref="I15:I16" si="13">(F15*$L$8)+(G15*$L$7)+(H15*$L$9)</f>
        <v>0</v>
      </c>
      <c r="O15" s="156">
        <f t="shared" si="0"/>
        <v>0</v>
      </c>
    </row>
    <row r="16" spans="1:15" x14ac:dyDescent="0.35">
      <c r="A16" s="253" t="s">
        <v>338</v>
      </c>
      <c r="B16" s="159">
        <v>0</v>
      </c>
      <c r="C16" s="159">
        <v>0</v>
      </c>
      <c r="D16" s="159">
        <f t="shared" si="9"/>
        <v>0</v>
      </c>
      <c r="E16" s="159">
        <v>0</v>
      </c>
      <c r="F16" s="160">
        <f t="shared" si="10"/>
        <v>0</v>
      </c>
      <c r="G16" s="167">
        <f t="shared" si="11"/>
        <v>0</v>
      </c>
      <c r="H16" s="167">
        <f t="shared" si="12"/>
        <v>0</v>
      </c>
      <c r="I16" s="161">
        <f t="shared" si="13"/>
        <v>0</v>
      </c>
      <c r="O16" s="156">
        <f t="shared" si="0"/>
        <v>0</v>
      </c>
    </row>
    <row r="17" spans="1:16" ht="28.5" x14ac:dyDescent="0.35">
      <c r="A17" s="114" t="s">
        <v>339</v>
      </c>
      <c r="B17" s="159">
        <v>0</v>
      </c>
      <c r="C17" s="159">
        <v>0</v>
      </c>
      <c r="D17" s="74">
        <f t="shared" si="9"/>
        <v>0</v>
      </c>
      <c r="E17" s="159">
        <v>0</v>
      </c>
      <c r="F17" s="160">
        <f t="shared" ref="F17:F18" si="14">D17*E17</f>
        <v>0</v>
      </c>
      <c r="G17" s="167">
        <f t="shared" ref="G17:G18" si="15">F17*0.05</f>
        <v>0</v>
      </c>
      <c r="H17" s="167">
        <f t="shared" ref="H17:H18" si="16">F17*0.1</f>
        <v>0</v>
      </c>
      <c r="I17" s="161">
        <f t="shared" ref="I17:I18" si="17">(F17*$L$8)+(G17*$L$7)+(H17*$L$9)</f>
        <v>0</v>
      </c>
      <c r="O17" s="156">
        <f t="shared" si="0"/>
        <v>0</v>
      </c>
    </row>
    <row r="18" spans="1:16" ht="28.5" x14ac:dyDescent="0.35">
      <c r="A18" s="114" t="s">
        <v>340</v>
      </c>
      <c r="B18" s="159">
        <v>0</v>
      </c>
      <c r="C18" s="159">
        <v>0</v>
      </c>
      <c r="D18" s="74">
        <f t="shared" si="9"/>
        <v>0</v>
      </c>
      <c r="E18" s="159">
        <v>0</v>
      </c>
      <c r="F18" s="160">
        <f t="shared" si="14"/>
        <v>0</v>
      </c>
      <c r="G18" s="167">
        <f t="shared" si="15"/>
        <v>0</v>
      </c>
      <c r="H18" s="167">
        <f t="shared" si="16"/>
        <v>0</v>
      </c>
      <c r="I18" s="161">
        <f t="shared" si="17"/>
        <v>0</v>
      </c>
      <c r="O18" s="156">
        <f t="shared" si="0"/>
        <v>0</v>
      </c>
    </row>
    <row r="19" spans="1:16" x14ac:dyDescent="0.35">
      <c r="A19" s="116"/>
      <c r="B19" s="74"/>
      <c r="C19" s="74"/>
      <c r="D19" s="74"/>
      <c r="E19" s="159"/>
      <c r="F19" s="160"/>
      <c r="G19" s="167"/>
      <c r="H19" s="167"/>
      <c r="I19" s="161">
        <f t="shared" ref="I19" si="18">(F19*$L$8)+(G19*$L$7)+(H19*$L$9)</f>
        <v>0</v>
      </c>
      <c r="O19" s="156">
        <f t="shared" si="0"/>
        <v>0</v>
      </c>
    </row>
    <row r="20" spans="1:16" ht="15" x14ac:dyDescent="0.35">
      <c r="A20" s="168" t="s">
        <v>247</v>
      </c>
      <c r="B20" s="168"/>
      <c r="C20" s="168"/>
      <c r="D20" s="168"/>
      <c r="E20" s="168"/>
      <c r="F20" s="169">
        <f>ROUND(SUM(F8:H19), -1)</f>
        <v>50</v>
      </c>
      <c r="G20" s="170"/>
      <c r="H20" s="170"/>
      <c r="I20" s="171">
        <f>ROUND(SUM(I8:I19), -2)</f>
        <v>2600</v>
      </c>
      <c r="O20" s="156">
        <f>SUM(O8:O19)</f>
        <v>79</v>
      </c>
      <c r="P20" s="156" t="s">
        <v>248</v>
      </c>
    </row>
    <row r="21" spans="1:16" ht="16" customHeight="1" x14ac:dyDescent="0.35">
      <c r="A21" s="254"/>
      <c r="G21" s="172"/>
    </row>
    <row r="22" spans="1:16" ht="20.149999999999999" customHeight="1" x14ac:dyDescent="0.35">
      <c r="A22" s="254" t="s">
        <v>249</v>
      </c>
    </row>
    <row r="23" spans="1:16" ht="25" customHeight="1" x14ac:dyDescent="0.35">
      <c r="A23" s="475" t="s">
        <v>341</v>
      </c>
      <c r="B23" s="475"/>
      <c r="C23" s="475"/>
      <c r="D23" s="475"/>
      <c r="E23" s="475"/>
      <c r="F23" s="475"/>
      <c r="G23" s="475"/>
      <c r="H23" s="475"/>
      <c r="I23" s="475"/>
    </row>
    <row r="24" spans="1:16" ht="52.5" customHeight="1" x14ac:dyDescent="0.35">
      <c r="A24" s="475" t="s">
        <v>251</v>
      </c>
      <c r="B24" s="475"/>
      <c r="C24" s="475"/>
      <c r="D24" s="475"/>
      <c r="E24" s="475"/>
      <c r="F24" s="475"/>
      <c r="G24" s="475"/>
      <c r="H24" s="475"/>
      <c r="I24" s="475"/>
    </row>
    <row r="25" spans="1:16" ht="30.65" customHeight="1" x14ac:dyDescent="0.35">
      <c r="A25" s="476" t="s">
        <v>383</v>
      </c>
      <c r="B25" s="476"/>
      <c r="C25" s="476"/>
      <c r="D25" s="476"/>
      <c r="E25" s="476"/>
      <c r="F25" s="476"/>
      <c r="G25" s="476"/>
      <c r="H25" s="476"/>
      <c r="I25" s="476"/>
    </row>
    <row r="26" spans="1:16" ht="29.15" customHeight="1" x14ac:dyDescent="0.35">
      <c r="A26" s="476" t="s">
        <v>253</v>
      </c>
      <c r="B26" s="476"/>
      <c r="C26" s="476"/>
      <c r="D26" s="476"/>
      <c r="E26" s="476"/>
      <c r="F26" s="476"/>
      <c r="G26" s="476"/>
      <c r="H26" s="476"/>
      <c r="I26" s="476"/>
    </row>
    <row r="27" spans="1:16" ht="15.5" x14ac:dyDescent="0.35">
      <c r="A27" s="471" t="s">
        <v>421</v>
      </c>
      <c r="B27" s="471"/>
      <c r="C27" s="471"/>
      <c r="D27" s="471"/>
      <c r="E27" s="471"/>
      <c r="F27" s="471"/>
      <c r="G27" s="471"/>
      <c r="H27" s="471"/>
      <c r="I27" s="471"/>
    </row>
    <row r="28" spans="1:16" ht="15.5" x14ac:dyDescent="0.35">
      <c r="A28" s="471" t="s">
        <v>255</v>
      </c>
      <c r="B28" s="471"/>
      <c r="C28" s="471"/>
      <c r="D28" s="471"/>
      <c r="E28" s="471"/>
      <c r="F28" s="471"/>
      <c r="G28" s="471"/>
      <c r="H28" s="471"/>
      <c r="I28" s="471"/>
    </row>
    <row r="30" spans="1:16" x14ac:dyDescent="0.35">
      <c r="A30" s="255"/>
    </row>
    <row r="31" spans="1:16" x14ac:dyDescent="0.35">
      <c r="A31" s="255"/>
    </row>
    <row r="32" spans="1:16" x14ac:dyDescent="0.35">
      <c r="A32" s="255"/>
    </row>
    <row r="33" spans="1:1" x14ac:dyDescent="0.35">
      <c r="A33" s="255"/>
    </row>
  </sheetData>
  <mergeCells count="11">
    <mergeCell ref="K6:L6"/>
    <mergeCell ref="A23:I23"/>
    <mergeCell ref="A24:I24"/>
    <mergeCell ref="A25:I25"/>
    <mergeCell ref="A26:I26"/>
    <mergeCell ref="A1:I1"/>
    <mergeCell ref="A27:I27"/>
    <mergeCell ref="A28:I28"/>
    <mergeCell ref="A3:I3"/>
    <mergeCell ref="A4:I4"/>
    <mergeCell ref="A5:A7"/>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44AA6-ADB2-4CEE-8535-5DB8D7B46088}">
  <dimension ref="A1:P32"/>
  <sheetViews>
    <sheetView zoomScale="80" zoomScaleNormal="80" workbookViewId="0">
      <selection activeCell="A26" sqref="A26:I26"/>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342</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v>
      </c>
      <c r="C8" s="155">
        <v>0</v>
      </c>
      <c r="D8" s="159">
        <f>B8*C8</f>
        <v>0</v>
      </c>
      <c r="E8" s="159">
        <v>0</v>
      </c>
      <c r="F8" s="160">
        <f>D8*E8</f>
        <v>0</v>
      </c>
      <c r="G8" s="160">
        <f>F8*0.05</f>
        <v>0</v>
      </c>
      <c r="H8" s="160">
        <f>F8*0.1</f>
        <v>0</v>
      </c>
      <c r="I8" s="161">
        <f>(F8*$L$8)+(G8*$L$7)+(H8*$L$9)</f>
        <v>0</v>
      </c>
      <c r="K8" s="157" t="s">
        <v>128</v>
      </c>
      <c r="L8" s="162">
        <v>51.23</v>
      </c>
      <c r="M8" s="231"/>
      <c r="O8" s="156">
        <f t="shared" ref="O8:O9" si="0">C8*E8</f>
        <v>0</v>
      </c>
    </row>
    <row r="9" spans="1:15" ht="15.5" x14ac:dyDescent="0.35">
      <c r="A9" s="252" t="s">
        <v>333</v>
      </c>
      <c r="B9" s="155">
        <v>0</v>
      </c>
      <c r="C9" s="155">
        <v>0</v>
      </c>
      <c r="D9" s="159">
        <f>B9*C9</f>
        <v>0</v>
      </c>
      <c r="E9" s="159">
        <v>0</v>
      </c>
      <c r="F9" s="160">
        <f>D9*E9</f>
        <v>0</v>
      </c>
      <c r="G9" s="160">
        <f>F9*0.05</f>
        <v>0</v>
      </c>
      <c r="H9" s="160">
        <f>F9*0.1</f>
        <v>0</v>
      </c>
      <c r="I9" s="161">
        <f>(F9*$L$8)+(G9*$L$7)+(H9*$L$9)</f>
        <v>0</v>
      </c>
      <c r="K9" s="157" t="s">
        <v>130</v>
      </c>
      <c r="L9" s="162">
        <v>27.73</v>
      </c>
      <c r="M9" s="231"/>
      <c r="O9" s="156">
        <f t="shared" si="0"/>
        <v>0</v>
      </c>
    </row>
    <row r="10" spans="1:15" ht="15.5" x14ac:dyDescent="0.35">
      <c r="A10" s="252" t="s">
        <v>334</v>
      </c>
      <c r="B10" s="155">
        <v>0</v>
      </c>
      <c r="C10" s="155">
        <v>0</v>
      </c>
      <c r="D10" s="159">
        <f>B10*C10</f>
        <v>0</v>
      </c>
      <c r="E10" s="159">
        <v>0</v>
      </c>
      <c r="F10" s="163">
        <f>D10*E10</f>
        <v>0</v>
      </c>
      <c r="G10" s="163">
        <f>F10*0.05</f>
        <v>0</v>
      </c>
      <c r="H10" s="163">
        <f>F10*0.1</f>
        <v>0</v>
      </c>
      <c r="I10" s="164">
        <f>(F10*$L$8)+(G10*$L$7)+(H10*$L$9)</f>
        <v>0</v>
      </c>
      <c r="O10" s="156">
        <f>C10*E10</f>
        <v>0</v>
      </c>
    </row>
    <row r="11" spans="1:15" ht="15.5" x14ac:dyDescent="0.35">
      <c r="A11" s="228" t="s">
        <v>335</v>
      </c>
      <c r="B11" s="155">
        <v>0</v>
      </c>
      <c r="C11" s="155">
        <v>0</v>
      </c>
      <c r="D11" s="74">
        <f>B11*C11</f>
        <v>0</v>
      </c>
      <c r="E11" s="159">
        <v>0</v>
      </c>
      <c r="F11" s="163">
        <f t="shared" ref="F11:F12" si="1">D11*E11</f>
        <v>0</v>
      </c>
      <c r="G11" s="163">
        <f t="shared" ref="G11:G12" si="2">F11*0.05</f>
        <v>0</v>
      </c>
      <c r="H11" s="163">
        <f t="shared" ref="H11:H12" si="3">F11*0.1</f>
        <v>0</v>
      </c>
      <c r="I11" s="164">
        <f t="shared" ref="I11:I12" si="4">(F11*$L$8)+(G11*$L$7)+(H11*$L$9)</f>
        <v>0</v>
      </c>
      <c r="O11" s="156">
        <f t="shared" ref="O11:O18" si="5">C11*E11</f>
        <v>0</v>
      </c>
    </row>
    <row r="12" spans="1:15" ht="15.5" x14ac:dyDescent="0.35">
      <c r="A12" s="114" t="s">
        <v>336</v>
      </c>
      <c r="B12" s="155">
        <v>0</v>
      </c>
      <c r="C12" s="155">
        <v>0</v>
      </c>
      <c r="D12" s="74">
        <f>B12*C12</f>
        <v>0</v>
      </c>
      <c r="E12" s="159">
        <v>0</v>
      </c>
      <c r="F12" s="163">
        <f t="shared" si="1"/>
        <v>0</v>
      </c>
      <c r="G12" s="163">
        <f t="shared" si="2"/>
        <v>0</v>
      </c>
      <c r="H12" s="163">
        <f t="shared" si="3"/>
        <v>0</v>
      </c>
      <c r="I12" s="164">
        <f t="shared" si="4"/>
        <v>0</v>
      </c>
      <c r="O12" s="156">
        <f t="shared" si="5"/>
        <v>0</v>
      </c>
    </row>
    <row r="13" spans="1:15" x14ac:dyDescent="0.35">
      <c r="A13" s="325" t="s">
        <v>243</v>
      </c>
      <c r="B13" s="159"/>
      <c r="C13" s="159"/>
      <c r="D13" s="159"/>
      <c r="E13" s="159"/>
      <c r="F13" s="160"/>
      <c r="G13" s="160"/>
      <c r="H13" s="160"/>
      <c r="I13" s="165"/>
      <c r="O13" s="156">
        <f t="shared" si="5"/>
        <v>0</v>
      </c>
    </row>
    <row r="14" spans="1:15" ht="20.25" customHeight="1" x14ac:dyDescent="0.35">
      <c r="A14" s="253" t="s">
        <v>337</v>
      </c>
      <c r="B14" s="155">
        <v>0</v>
      </c>
      <c r="C14" s="155">
        <v>0</v>
      </c>
      <c r="D14" s="159">
        <f t="shared" ref="D14:D17" si="6">B14*C14</f>
        <v>0</v>
      </c>
      <c r="E14" s="159">
        <v>0</v>
      </c>
      <c r="F14" s="160">
        <f t="shared" ref="F14:F17" si="7">D14*E14</f>
        <v>0</v>
      </c>
      <c r="G14" s="160">
        <f t="shared" ref="G14:G17" si="8">F14*0.05</f>
        <v>0</v>
      </c>
      <c r="H14" s="160">
        <f t="shared" ref="H14:H17" si="9">F14*0.1</f>
        <v>0</v>
      </c>
      <c r="I14" s="161">
        <f t="shared" ref="I14:I17" si="10">(F14*$L$8)+(G14*$L$7)+(H14*$L$9)</f>
        <v>0</v>
      </c>
      <c r="O14" s="156">
        <f t="shared" si="5"/>
        <v>0</v>
      </c>
    </row>
    <row r="15" spans="1:15" x14ac:dyDescent="0.35">
      <c r="A15" s="253" t="s">
        <v>338</v>
      </c>
      <c r="B15" s="155">
        <v>0</v>
      </c>
      <c r="C15" s="155">
        <v>0</v>
      </c>
      <c r="D15" s="159">
        <f t="shared" si="6"/>
        <v>0</v>
      </c>
      <c r="E15" s="159">
        <v>0</v>
      </c>
      <c r="F15" s="160">
        <f t="shared" si="7"/>
        <v>0</v>
      </c>
      <c r="G15" s="167">
        <f t="shared" si="8"/>
        <v>0</v>
      </c>
      <c r="H15" s="167">
        <f t="shared" si="9"/>
        <v>0</v>
      </c>
      <c r="I15" s="161">
        <f t="shared" si="10"/>
        <v>0</v>
      </c>
      <c r="O15" s="156">
        <f t="shared" si="5"/>
        <v>0</v>
      </c>
    </row>
    <row r="16" spans="1:15" ht="28.5" x14ac:dyDescent="0.35">
      <c r="A16" s="114" t="s">
        <v>339</v>
      </c>
      <c r="B16" s="155">
        <v>0</v>
      </c>
      <c r="C16" s="155">
        <v>0</v>
      </c>
      <c r="D16" s="74">
        <f t="shared" si="6"/>
        <v>0</v>
      </c>
      <c r="E16" s="159">
        <v>0</v>
      </c>
      <c r="F16" s="160">
        <f t="shared" si="7"/>
        <v>0</v>
      </c>
      <c r="G16" s="167">
        <f t="shared" si="8"/>
        <v>0</v>
      </c>
      <c r="H16" s="167">
        <f t="shared" si="9"/>
        <v>0</v>
      </c>
      <c r="I16" s="161">
        <f t="shared" si="10"/>
        <v>0</v>
      </c>
      <c r="O16" s="156">
        <f t="shared" si="5"/>
        <v>0</v>
      </c>
    </row>
    <row r="17" spans="1:16" ht="28.5" x14ac:dyDescent="0.35">
      <c r="A17" s="114" t="s">
        <v>340</v>
      </c>
      <c r="B17" s="155">
        <v>0</v>
      </c>
      <c r="C17" s="155">
        <v>0</v>
      </c>
      <c r="D17" s="74">
        <f t="shared" si="6"/>
        <v>0</v>
      </c>
      <c r="E17" s="159">
        <v>0</v>
      </c>
      <c r="F17" s="160">
        <f t="shared" si="7"/>
        <v>0</v>
      </c>
      <c r="G17" s="167">
        <f t="shared" si="8"/>
        <v>0</v>
      </c>
      <c r="H17" s="167">
        <f t="shared" si="9"/>
        <v>0</v>
      </c>
      <c r="I17" s="161">
        <f t="shared" si="10"/>
        <v>0</v>
      </c>
      <c r="O17" s="156">
        <f t="shared" si="5"/>
        <v>0</v>
      </c>
    </row>
    <row r="18" spans="1:16" x14ac:dyDescent="0.35">
      <c r="A18" s="116"/>
      <c r="B18" s="74"/>
      <c r="C18" s="74"/>
      <c r="D18" s="74"/>
      <c r="E18" s="159"/>
      <c r="F18" s="160"/>
      <c r="G18" s="167"/>
      <c r="H18" s="167"/>
      <c r="I18" s="161"/>
      <c r="O18" s="156">
        <f t="shared" si="5"/>
        <v>0</v>
      </c>
    </row>
    <row r="19" spans="1:16" ht="15" x14ac:dyDescent="0.35">
      <c r="A19" s="168" t="s">
        <v>247</v>
      </c>
      <c r="B19" s="168"/>
      <c r="C19" s="168"/>
      <c r="D19" s="168"/>
      <c r="E19" s="168"/>
      <c r="F19" s="169">
        <f>ROUND(SUM(F8:H18), -1)</f>
        <v>0</v>
      </c>
      <c r="G19" s="170"/>
      <c r="H19" s="170"/>
      <c r="I19" s="171">
        <f>ROUND(SUM(I8:I18), -2)</f>
        <v>0</v>
      </c>
      <c r="O19" s="156">
        <f>SUM(O8:O18)</f>
        <v>0</v>
      </c>
      <c r="P19" s="156" t="s">
        <v>248</v>
      </c>
    </row>
    <row r="20" spans="1:16" ht="16" customHeight="1" x14ac:dyDescent="0.35">
      <c r="A20" s="254"/>
      <c r="G20" s="172"/>
    </row>
    <row r="21" spans="1:16" ht="20.149999999999999" customHeight="1" x14ac:dyDescent="0.35">
      <c r="A21" s="254" t="s">
        <v>249</v>
      </c>
    </row>
    <row r="22" spans="1:16" ht="24.65" customHeight="1" x14ac:dyDescent="0.35">
      <c r="A22" s="475" t="s">
        <v>341</v>
      </c>
      <c r="B22" s="475"/>
      <c r="C22" s="475"/>
      <c r="D22" s="475"/>
      <c r="E22" s="475"/>
      <c r="F22" s="475"/>
      <c r="G22" s="475"/>
      <c r="H22" s="475"/>
      <c r="I22" s="475"/>
    </row>
    <row r="23" spans="1:16" ht="52.5" customHeight="1" x14ac:dyDescent="0.35">
      <c r="A23" s="475" t="s">
        <v>251</v>
      </c>
      <c r="B23" s="475"/>
      <c r="C23" s="475"/>
      <c r="D23" s="475"/>
      <c r="E23" s="475"/>
      <c r="F23" s="475"/>
      <c r="G23" s="475"/>
      <c r="H23" s="475"/>
      <c r="I23" s="475"/>
    </row>
    <row r="24" spans="1:16" ht="30.6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71" t="s">
        <v>255</v>
      </c>
      <c r="B27" s="471"/>
      <c r="C27" s="471"/>
      <c r="D27" s="471"/>
      <c r="E27" s="471"/>
      <c r="F27" s="471"/>
      <c r="G27" s="471"/>
      <c r="H27" s="471"/>
      <c r="I27" s="471"/>
    </row>
    <row r="29" spans="1:16" x14ac:dyDescent="0.35">
      <c r="A29" s="255"/>
    </row>
    <row r="30" spans="1:16" x14ac:dyDescent="0.35">
      <c r="A30" s="255"/>
    </row>
    <row r="31" spans="1:16" x14ac:dyDescent="0.35">
      <c r="A31" s="255"/>
    </row>
    <row r="32" spans="1:16" x14ac:dyDescent="0.35">
      <c r="A32" s="255"/>
    </row>
  </sheetData>
  <mergeCells count="11">
    <mergeCell ref="A1:I1"/>
    <mergeCell ref="A3:I3"/>
    <mergeCell ref="A4:I4"/>
    <mergeCell ref="A5:A7"/>
    <mergeCell ref="A27:I27"/>
    <mergeCell ref="K6:L6"/>
    <mergeCell ref="A23:I23"/>
    <mergeCell ref="A24:I24"/>
    <mergeCell ref="A25:I25"/>
    <mergeCell ref="A26:I26"/>
    <mergeCell ref="A22:I2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5140-2608-4C66-B307-C1B892D30F54}">
  <dimension ref="A1:P33"/>
  <sheetViews>
    <sheetView zoomScale="80" zoomScaleNormal="80" workbookViewId="0">
      <selection activeCell="A27" sqref="A27:I27"/>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324</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v>
      </c>
      <c r="C8" s="155">
        <v>0</v>
      </c>
      <c r="D8" s="159">
        <f>B8*C8</f>
        <v>0</v>
      </c>
      <c r="E8" s="159">
        <v>0</v>
      </c>
      <c r="F8" s="160">
        <f>D8*E8</f>
        <v>0</v>
      </c>
      <c r="G8" s="160">
        <f>F8*0.05</f>
        <v>0</v>
      </c>
      <c r="H8" s="160">
        <f>F8*0.1</f>
        <v>0</v>
      </c>
      <c r="I8" s="161">
        <f>(F8*$L$8)+(G8*$L$7)+(H8*$L$9)</f>
        <v>0</v>
      </c>
      <c r="K8" s="157" t="s">
        <v>128</v>
      </c>
      <c r="L8" s="162">
        <v>51.23</v>
      </c>
      <c r="M8" s="231"/>
      <c r="O8" s="156">
        <f t="shared" ref="O8:O19" si="0">C8*E8</f>
        <v>0</v>
      </c>
    </row>
    <row r="9" spans="1:15" ht="15.5" x14ac:dyDescent="0.35">
      <c r="A9" s="252" t="s">
        <v>333</v>
      </c>
      <c r="B9" s="155">
        <v>0</v>
      </c>
      <c r="C9" s="155">
        <v>0</v>
      </c>
      <c r="D9" s="159">
        <f>B9*C9</f>
        <v>0</v>
      </c>
      <c r="E9" s="159">
        <v>0</v>
      </c>
      <c r="F9" s="160">
        <f>D9*E9</f>
        <v>0</v>
      </c>
      <c r="G9" s="160">
        <f>F9*0.05</f>
        <v>0</v>
      </c>
      <c r="H9" s="160">
        <f>F9*0.1</f>
        <v>0</v>
      </c>
      <c r="I9" s="161">
        <f>(F9*$L$8)+(G9*$L$7)+(H9*$L$9)</f>
        <v>0</v>
      </c>
      <c r="K9" s="157" t="s">
        <v>130</v>
      </c>
      <c r="L9" s="162">
        <v>27.73</v>
      </c>
      <c r="M9" s="231"/>
      <c r="O9" s="156">
        <f t="shared" si="0"/>
        <v>0</v>
      </c>
    </row>
    <row r="10" spans="1:15" ht="15.5" x14ac:dyDescent="0.35">
      <c r="A10" s="252" t="s">
        <v>334</v>
      </c>
      <c r="B10" s="155">
        <v>0</v>
      </c>
      <c r="C10" s="155">
        <v>0</v>
      </c>
      <c r="D10" s="159">
        <f>B10*C10</f>
        <v>0</v>
      </c>
      <c r="E10" s="159">
        <v>0</v>
      </c>
      <c r="F10" s="163">
        <f>D10*E10</f>
        <v>0</v>
      </c>
      <c r="G10" s="163">
        <f>F10*0.05</f>
        <v>0</v>
      </c>
      <c r="H10" s="163">
        <f>F10*0.1</f>
        <v>0</v>
      </c>
      <c r="I10" s="164">
        <f>(F10*$L$8)+(G10*$L$7)+(H10*$L$9)</f>
        <v>0</v>
      </c>
      <c r="O10" s="156">
        <f t="shared" si="0"/>
        <v>0</v>
      </c>
    </row>
    <row r="11" spans="1:15" ht="15.5" x14ac:dyDescent="0.35">
      <c r="A11" s="228" t="s">
        <v>335</v>
      </c>
      <c r="B11" s="155">
        <v>0</v>
      </c>
      <c r="C11" s="155">
        <v>0</v>
      </c>
      <c r="D11" s="74">
        <f>B11*C11</f>
        <v>0</v>
      </c>
      <c r="E11" s="159">
        <v>0</v>
      </c>
      <c r="F11" s="163">
        <f t="shared" ref="F11:F12" si="1">D11*E11</f>
        <v>0</v>
      </c>
      <c r="G11" s="163">
        <f t="shared" ref="G11:G12" si="2">F11*0.05</f>
        <v>0</v>
      </c>
      <c r="H11" s="163">
        <f t="shared" ref="H11:H12" si="3">F11*0.1</f>
        <v>0</v>
      </c>
      <c r="I11" s="164">
        <f t="shared" ref="I11:I12" si="4">(F11*$L$8)+(G11*$L$7)+(H11*$L$9)</f>
        <v>0</v>
      </c>
      <c r="O11" s="156">
        <f t="shared" si="0"/>
        <v>0</v>
      </c>
    </row>
    <row r="12" spans="1:15" ht="15.5" x14ac:dyDescent="0.35">
      <c r="A12" s="114" t="s">
        <v>336</v>
      </c>
      <c r="B12" s="155">
        <v>0</v>
      </c>
      <c r="C12" s="155">
        <v>0</v>
      </c>
      <c r="D12" s="74">
        <f>B12*C12</f>
        <v>0</v>
      </c>
      <c r="E12" s="159">
        <v>0</v>
      </c>
      <c r="F12" s="163">
        <f t="shared" si="1"/>
        <v>0</v>
      </c>
      <c r="G12" s="163">
        <f t="shared" si="2"/>
        <v>0</v>
      </c>
      <c r="H12" s="163">
        <f t="shared" si="3"/>
        <v>0</v>
      </c>
      <c r="I12" s="164">
        <f t="shared" si="4"/>
        <v>0</v>
      </c>
      <c r="O12" s="156">
        <f t="shared" si="0"/>
        <v>0</v>
      </c>
    </row>
    <row r="13" spans="1:15" x14ac:dyDescent="0.35">
      <c r="A13" s="325" t="s">
        <v>243</v>
      </c>
      <c r="B13" s="159"/>
      <c r="C13" s="159"/>
      <c r="D13" s="159"/>
      <c r="E13" s="159"/>
      <c r="F13" s="160"/>
      <c r="G13" s="160"/>
      <c r="H13" s="160"/>
      <c r="I13" s="165"/>
      <c r="O13" s="156">
        <f t="shared" si="0"/>
        <v>0</v>
      </c>
    </row>
    <row r="14" spans="1:15" ht="39" x14ac:dyDescent="0.35">
      <c r="A14" s="182" t="s">
        <v>261</v>
      </c>
      <c r="B14" s="58">
        <v>8</v>
      </c>
      <c r="C14" s="58">
        <v>1</v>
      </c>
      <c r="D14" s="159">
        <f>B14*C14</f>
        <v>8</v>
      </c>
      <c r="E14" s="159">
        <f>'CI-Y1'!$L$17*0.01</f>
        <v>0.79</v>
      </c>
      <c r="F14" s="160">
        <f t="shared" ref="F14" si="5">D14*E14</f>
        <v>6.32</v>
      </c>
      <c r="G14" s="160">
        <f t="shared" ref="G14" si="6">F14*0.05</f>
        <v>0.31600000000000006</v>
      </c>
      <c r="H14" s="160">
        <f t="shared" ref="H14" si="7">F14*0.1</f>
        <v>0.63200000000000012</v>
      </c>
      <c r="I14" s="161">
        <f t="shared" ref="I14" si="8">(F14*$L$8)+(G14*$L$7)+(H14*$L$9)</f>
        <v>363.11559999999997</v>
      </c>
    </row>
    <row r="15" spans="1:15" ht="20.25" customHeight="1" x14ac:dyDescent="0.35">
      <c r="A15" s="253" t="s">
        <v>337</v>
      </c>
      <c r="B15" s="155">
        <v>0</v>
      </c>
      <c r="C15" s="155">
        <v>0</v>
      </c>
      <c r="D15" s="159">
        <f t="shared" ref="D15:D18" si="9">B15*C15</f>
        <v>0</v>
      </c>
      <c r="E15" s="159">
        <v>0</v>
      </c>
      <c r="F15" s="160">
        <f t="shared" ref="F15:F18" si="10">D15*E15</f>
        <v>0</v>
      </c>
      <c r="G15" s="160">
        <f t="shared" ref="G15:G18" si="11">F15*0.05</f>
        <v>0</v>
      </c>
      <c r="H15" s="160">
        <f t="shared" ref="H15:H18" si="12">F15*0.1</f>
        <v>0</v>
      </c>
      <c r="I15" s="161">
        <f t="shared" ref="I15:I18" si="13">(F15*$L$8)+(G15*$L$7)+(H15*$L$9)</f>
        <v>0</v>
      </c>
      <c r="O15" s="156">
        <f t="shared" si="0"/>
        <v>0</v>
      </c>
    </row>
    <row r="16" spans="1:15" x14ac:dyDescent="0.35">
      <c r="A16" s="253" t="s">
        <v>338</v>
      </c>
      <c r="B16" s="155">
        <v>0</v>
      </c>
      <c r="C16" s="155">
        <v>0</v>
      </c>
      <c r="D16" s="159">
        <f t="shared" si="9"/>
        <v>0</v>
      </c>
      <c r="E16" s="159">
        <v>0</v>
      </c>
      <c r="F16" s="160">
        <f t="shared" si="10"/>
        <v>0</v>
      </c>
      <c r="G16" s="167">
        <f t="shared" si="11"/>
        <v>0</v>
      </c>
      <c r="H16" s="167">
        <f t="shared" si="12"/>
        <v>0</v>
      </c>
      <c r="I16" s="161">
        <f t="shared" si="13"/>
        <v>0</v>
      </c>
      <c r="O16" s="156">
        <f t="shared" si="0"/>
        <v>0</v>
      </c>
    </row>
    <row r="17" spans="1:16" ht="28.5" x14ac:dyDescent="0.35">
      <c r="A17" s="114" t="s">
        <v>339</v>
      </c>
      <c r="B17" s="155">
        <v>0</v>
      </c>
      <c r="C17" s="155">
        <v>0</v>
      </c>
      <c r="D17" s="74">
        <f t="shared" si="9"/>
        <v>0</v>
      </c>
      <c r="E17" s="159">
        <v>0</v>
      </c>
      <c r="F17" s="160">
        <f t="shared" si="10"/>
        <v>0</v>
      </c>
      <c r="G17" s="167">
        <f t="shared" si="11"/>
        <v>0</v>
      </c>
      <c r="H17" s="167">
        <f t="shared" si="12"/>
        <v>0</v>
      </c>
      <c r="I17" s="161">
        <f t="shared" si="13"/>
        <v>0</v>
      </c>
      <c r="O17" s="156">
        <f t="shared" si="0"/>
        <v>0</v>
      </c>
    </row>
    <row r="18" spans="1:16" ht="28.5" x14ac:dyDescent="0.35">
      <c r="A18" s="114" t="s">
        <v>340</v>
      </c>
      <c r="B18" s="155">
        <v>0</v>
      </c>
      <c r="C18" s="155">
        <v>0</v>
      </c>
      <c r="D18" s="74">
        <f t="shared" si="9"/>
        <v>0</v>
      </c>
      <c r="E18" s="159">
        <v>0</v>
      </c>
      <c r="F18" s="160">
        <f t="shared" si="10"/>
        <v>0</v>
      </c>
      <c r="G18" s="167">
        <f t="shared" si="11"/>
        <v>0</v>
      </c>
      <c r="H18" s="167">
        <f t="shared" si="12"/>
        <v>0</v>
      </c>
      <c r="I18" s="161">
        <f t="shared" si="13"/>
        <v>0</v>
      </c>
      <c r="O18" s="156">
        <f t="shared" si="0"/>
        <v>0</v>
      </c>
    </row>
    <row r="19" spans="1:16" x14ac:dyDescent="0.35">
      <c r="A19" s="116"/>
      <c r="B19" s="74"/>
      <c r="C19" s="74"/>
      <c r="D19" s="74"/>
      <c r="E19" s="159"/>
      <c r="F19" s="160"/>
      <c r="G19" s="167"/>
      <c r="H19" s="167"/>
      <c r="I19" s="161"/>
      <c r="O19" s="156">
        <f t="shared" si="0"/>
        <v>0</v>
      </c>
    </row>
    <row r="20" spans="1:16" ht="15" x14ac:dyDescent="0.35">
      <c r="A20" s="168" t="s">
        <v>247</v>
      </c>
      <c r="B20" s="168"/>
      <c r="C20" s="168"/>
      <c r="D20" s="168"/>
      <c r="E20" s="168"/>
      <c r="F20" s="169">
        <f>ROUND(SUM(F8:H19), -1)</f>
        <v>10</v>
      </c>
      <c r="G20" s="170"/>
      <c r="H20" s="170"/>
      <c r="I20" s="171">
        <f>ROUND(SUM(I8:I19), -2)</f>
        <v>400</v>
      </c>
      <c r="O20" s="156">
        <f>SUM(O8:O19)</f>
        <v>0</v>
      </c>
      <c r="P20" s="156" t="s">
        <v>248</v>
      </c>
    </row>
    <row r="21" spans="1:16" ht="16" customHeight="1" x14ac:dyDescent="0.35">
      <c r="A21" s="254"/>
      <c r="G21" s="172"/>
    </row>
    <row r="22" spans="1:16" ht="20.149999999999999" customHeight="1" x14ac:dyDescent="0.35">
      <c r="A22" s="254" t="s">
        <v>249</v>
      </c>
    </row>
    <row r="23" spans="1:16" ht="22" customHeight="1" x14ac:dyDescent="0.35">
      <c r="A23" s="475" t="s">
        <v>341</v>
      </c>
      <c r="B23" s="475"/>
      <c r="C23" s="475"/>
      <c r="D23" s="475"/>
      <c r="E23" s="475"/>
      <c r="F23" s="475"/>
      <c r="G23" s="475"/>
      <c r="H23" s="475"/>
      <c r="I23" s="475"/>
    </row>
    <row r="24" spans="1:16" ht="52.5" customHeight="1" x14ac:dyDescent="0.35">
      <c r="A24" s="475" t="s">
        <v>251</v>
      </c>
      <c r="B24" s="475"/>
      <c r="C24" s="475"/>
      <c r="D24" s="475"/>
      <c r="E24" s="475"/>
      <c r="F24" s="475"/>
      <c r="G24" s="475"/>
      <c r="H24" s="475"/>
      <c r="I24" s="475"/>
    </row>
    <row r="25" spans="1:16" ht="30.65" customHeight="1" x14ac:dyDescent="0.35">
      <c r="A25" s="476" t="s">
        <v>383</v>
      </c>
      <c r="B25" s="476"/>
      <c r="C25" s="476"/>
      <c r="D25" s="476"/>
      <c r="E25" s="476"/>
      <c r="F25" s="476"/>
      <c r="G25" s="476"/>
      <c r="H25" s="476"/>
      <c r="I25" s="476"/>
    </row>
    <row r="26" spans="1:16" ht="15.5" x14ac:dyDescent="0.35">
      <c r="A26" s="477" t="s">
        <v>253</v>
      </c>
      <c r="B26" s="477"/>
      <c r="C26" s="477"/>
      <c r="D26" s="477"/>
      <c r="E26" s="477"/>
      <c r="F26" s="477"/>
      <c r="G26" s="477"/>
      <c r="H26" s="477"/>
      <c r="I26" s="477"/>
    </row>
    <row r="27" spans="1:16" ht="15.5" x14ac:dyDescent="0.35">
      <c r="A27" s="471" t="s">
        <v>421</v>
      </c>
      <c r="B27" s="471"/>
      <c r="C27" s="471"/>
      <c r="D27" s="471"/>
      <c r="E27" s="471"/>
      <c r="F27" s="471"/>
      <c r="G27" s="471"/>
      <c r="H27" s="471"/>
      <c r="I27" s="471"/>
    </row>
    <row r="28" spans="1:16" ht="15.5" x14ac:dyDescent="0.35">
      <c r="A28" s="471" t="s">
        <v>255</v>
      </c>
      <c r="B28" s="471"/>
      <c r="C28" s="471"/>
      <c r="D28" s="471"/>
      <c r="E28" s="471"/>
      <c r="F28" s="471"/>
      <c r="G28" s="471"/>
      <c r="H28" s="471"/>
      <c r="I28" s="471"/>
    </row>
    <row r="30" spans="1:16" x14ac:dyDescent="0.35">
      <c r="A30" s="255"/>
    </row>
    <row r="31" spans="1:16" x14ac:dyDescent="0.35">
      <c r="A31" s="255"/>
    </row>
    <row r="32" spans="1:16" x14ac:dyDescent="0.35">
      <c r="A32" s="255"/>
    </row>
    <row r="33" spans="1:1" x14ac:dyDescent="0.35">
      <c r="A33" s="255"/>
    </row>
  </sheetData>
  <mergeCells count="11">
    <mergeCell ref="A1:I1"/>
    <mergeCell ref="A3:I3"/>
    <mergeCell ref="A4:I4"/>
    <mergeCell ref="A5:A7"/>
    <mergeCell ref="A28:I28"/>
    <mergeCell ref="K6:L6"/>
    <mergeCell ref="A24:I24"/>
    <mergeCell ref="A25:I25"/>
    <mergeCell ref="A26:I26"/>
    <mergeCell ref="A27:I27"/>
    <mergeCell ref="A23:I23"/>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75AF1-A079-416A-A784-B8D0B305459D}">
  <dimension ref="A1:P32"/>
  <sheetViews>
    <sheetView topLeftCell="A7" zoomScale="80" zoomScaleNormal="80" workbookViewId="0">
      <selection activeCell="I17" sqref="I17"/>
    </sheetView>
  </sheetViews>
  <sheetFormatPr defaultColWidth="9.1796875" defaultRowHeight="14.5" x14ac:dyDescent="0.35"/>
  <cols>
    <col min="1" max="1" width="39.1796875" style="156" customWidth="1"/>
    <col min="2" max="2" width="9.81640625" style="156" customWidth="1"/>
    <col min="3" max="8" width="9.1796875" style="156"/>
    <col min="9" max="9" width="15.4531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343</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v>
      </c>
      <c r="C8" s="155">
        <v>0</v>
      </c>
      <c r="D8" s="159">
        <f>B8*C8</f>
        <v>0</v>
      </c>
      <c r="E8" s="159">
        <v>0</v>
      </c>
      <c r="F8" s="160">
        <f>D8*E8</f>
        <v>0</v>
      </c>
      <c r="G8" s="160">
        <f>F8*0.05</f>
        <v>0</v>
      </c>
      <c r="H8" s="160">
        <f>F8*0.1</f>
        <v>0</v>
      </c>
      <c r="I8" s="161">
        <f>(F8*$L$8)+(G8*$L$7)+(H8*$L$9)</f>
        <v>0</v>
      </c>
      <c r="K8" s="157" t="s">
        <v>128</v>
      </c>
      <c r="L8" s="162">
        <v>51.23</v>
      </c>
      <c r="M8" s="231"/>
      <c r="O8" s="156">
        <f t="shared" ref="O8:O18" si="0">C8*E8</f>
        <v>0</v>
      </c>
    </row>
    <row r="9" spans="1:15" ht="15.5" x14ac:dyDescent="0.35">
      <c r="A9" s="252" t="s">
        <v>333</v>
      </c>
      <c r="B9" s="159">
        <v>24</v>
      </c>
      <c r="C9" s="159">
        <v>1</v>
      </c>
      <c r="D9" s="159">
        <f>B9*C9</f>
        <v>24</v>
      </c>
      <c r="E9" s="159">
        <f>'CI-Y4'!$L$16</f>
        <v>79</v>
      </c>
      <c r="F9" s="160">
        <f>D9*E9</f>
        <v>1896</v>
      </c>
      <c r="G9" s="160">
        <f>F9*0.05</f>
        <v>94.800000000000011</v>
      </c>
      <c r="H9" s="160">
        <f>F9*0.1</f>
        <v>189.60000000000002</v>
      </c>
      <c r="I9" s="164">
        <f>(F9*$L$8)+(G9*$L$7)+(H9*$L$9)</f>
        <v>108934.68</v>
      </c>
      <c r="K9" s="157" t="s">
        <v>130</v>
      </c>
      <c r="L9" s="162">
        <v>27.73</v>
      </c>
      <c r="M9" s="231"/>
      <c r="O9" s="156">
        <f t="shared" si="0"/>
        <v>79</v>
      </c>
    </row>
    <row r="10" spans="1:15" ht="15.5" x14ac:dyDescent="0.35">
      <c r="A10" s="252" t="s">
        <v>334</v>
      </c>
      <c r="B10" s="159">
        <v>0</v>
      </c>
      <c r="C10" s="159">
        <v>0</v>
      </c>
      <c r="D10" s="159">
        <f>B10*C10</f>
        <v>0</v>
      </c>
      <c r="E10" s="159">
        <v>0</v>
      </c>
      <c r="F10" s="163">
        <f>D10*E10</f>
        <v>0</v>
      </c>
      <c r="G10" s="163">
        <f>F10*0.05</f>
        <v>0</v>
      </c>
      <c r="H10" s="163">
        <f>F10*0.1</f>
        <v>0</v>
      </c>
      <c r="I10" s="164">
        <f>(F10*$L$8)+(G10*$L$7)+(H10*$L$9)</f>
        <v>0</v>
      </c>
      <c r="O10" s="156">
        <f t="shared" si="0"/>
        <v>0</v>
      </c>
    </row>
    <row r="11" spans="1:15" ht="15.5" x14ac:dyDescent="0.35">
      <c r="A11" s="228" t="s">
        <v>335</v>
      </c>
      <c r="B11" s="74">
        <v>4</v>
      </c>
      <c r="C11" s="74">
        <v>1</v>
      </c>
      <c r="D11" s="74">
        <f>B11*C11</f>
        <v>4</v>
      </c>
      <c r="E11" s="159">
        <f>'CI-Y4'!$L$16</f>
        <v>79</v>
      </c>
      <c r="F11" s="163">
        <f t="shared" ref="F11:F12" si="1">D11*E11</f>
        <v>316</v>
      </c>
      <c r="G11" s="163">
        <f t="shared" ref="G11:G12" si="2">F11*0.05</f>
        <v>15.8</v>
      </c>
      <c r="H11" s="163">
        <f t="shared" ref="H11:H12" si="3">F11*0.1</f>
        <v>31.6</v>
      </c>
      <c r="I11" s="164">
        <f t="shared" ref="I11:I12" si="4">(F11*$L$8)+(G11*$L$7)+(H11*$L$9)</f>
        <v>18155.78</v>
      </c>
      <c r="O11" s="156">
        <f t="shared" si="0"/>
        <v>79</v>
      </c>
    </row>
    <row r="12" spans="1:15" ht="15.5" x14ac:dyDescent="0.35">
      <c r="A12" s="114" t="s">
        <v>336</v>
      </c>
      <c r="B12" s="74">
        <v>0</v>
      </c>
      <c r="C12" s="74">
        <v>0</v>
      </c>
      <c r="D12" s="74">
        <f>B12*C12</f>
        <v>0</v>
      </c>
      <c r="E12" s="159">
        <v>0</v>
      </c>
      <c r="F12" s="163">
        <f t="shared" si="1"/>
        <v>0</v>
      </c>
      <c r="G12" s="163">
        <f t="shared" si="2"/>
        <v>0</v>
      </c>
      <c r="H12" s="163">
        <f t="shared" si="3"/>
        <v>0</v>
      </c>
      <c r="I12" s="164">
        <f t="shared" si="4"/>
        <v>0</v>
      </c>
      <c r="O12" s="156">
        <f t="shared" si="0"/>
        <v>0</v>
      </c>
    </row>
    <row r="13" spans="1:15" x14ac:dyDescent="0.35">
      <c r="A13" s="325" t="s">
        <v>243</v>
      </c>
      <c r="B13" s="159"/>
      <c r="C13" s="159"/>
      <c r="D13" s="159"/>
      <c r="E13" s="159"/>
      <c r="F13" s="160"/>
      <c r="G13" s="160"/>
      <c r="H13" s="160"/>
      <c r="I13" s="165"/>
      <c r="O13" s="156">
        <f t="shared" si="0"/>
        <v>0</v>
      </c>
    </row>
    <row r="14" spans="1:15" ht="20.25" customHeight="1" x14ac:dyDescent="0.35">
      <c r="A14" s="253" t="s">
        <v>337</v>
      </c>
      <c r="B14" s="159">
        <v>0.5</v>
      </c>
      <c r="C14" s="159">
        <v>1.1000000000000001</v>
      </c>
      <c r="D14" s="159">
        <f t="shared" ref="D14:D17" si="5">B14*C14</f>
        <v>0.55000000000000004</v>
      </c>
      <c r="E14" s="159">
        <f>'CI-Y4'!$L$16</f>
        <v>79</v>
      </c>
      <c r="F14" s="160">
        <f t="shared" ref="F14:F17" si="6">D14*E14</f>
        <v>43.45</v>
      </c>
      <c r="G14" s="160">
        <f t="shared" ref="G14:G17" si="7">F14*0.05</f>
        <v>2.1725000000000003</v>
      </c>
      <c r="H14" s="160">
        <f t="shared" ref="H14:H17" si="8">F14*0.1</f>
        <v>4.3450000000000006</v>
      </c>
      <c r="I14" s="164">
        <f t="shared" ref="I14:I17" si="9">(F14*$L$8)+(G14*$L$7)+(H14*$L$9)</f>
        <v>2496.41975</v>
      </c>
      <c r="O14" s="156">
        <f t="shared" si="0"/>
        <v>86.9</v>
      </c>
    </row>
    <row r="15" spans="1:15" x14ac:dyDescent="0.35">
      <c r="A15" s="253" t="s">
        <v>338</v>
      </c>
      <c r="B15" s="159">
        <v>2</v>
      </c>
      <c r="C15" s="159">
        <v>2</v>
      </c>
      <c r="D15" s="159">
        <f t="shared" si="5"/>
        <v>4</v>
      </c>
      <c r="E15" s="159">
        <f>'CI-Y4'!$L$16</f>
        <v>79</v>
      </c>
      <c r="F15" s="160">
        <f t="shared" si="6"/>
        <v>316</v>
      </c>
      <c r="G15" s="167">
        <f t="shared" si="7"/>
        <v>15.8</v>
      </c>
      <c r="H15" s="167">
        <f t="shared" si="8"/>
        <v>31.6</v>
      </c>
      <c r="I15" s="164">
        <f t="shared" si="9"/>
        <v>18155.78</v>
      </c>
      <c r="O15" s="156">
        <f t="shared" si="0"/>
        <v>158</v>
      </c>
    </row>
    <row r="16" spans="1:15" ht="28.5" x14ac:dyDescent="0.35">
      <c r="A16" s="114" t="s">
        <v>339</v>
      </c>
      <c r="B16" s="74">
        <v>0.5</v>
      </c>
      <c r="C16" s="74">
        <v>1.1000000000000001</v>
      </c>
      <c r="D16" s="74">
        <f t="shared" si="5"/>
        <v>0.55000000000000004</v>
      </c>
      <c r="E16" s="159">
        <f>'CI-Y4'!$L$16</f>
        <v>79</v>
      </c>
      <c r="F16" s="160">
        <f t="shared" si="6"/>
        <v>43.45</v>
      </c>
      <c r="G16" s="167">
        <f t="shared" si="7"/>
        <v>2.1725000000000003</v>
      </c>
      <c r="H16" s="167">
        <f t="shared" si="8"/>
        <v>4.3450000000000006</v>
      </c>
      <c r="I16" s="164">
        <f t="shared" si="9"/>
        <v>2496.41975</v>
      </c>
      <c r="O16" s="156">
        <f t="shared" si="0"/>
        <v>86.9</v>
      </c>
    </row>
    <row r="17" spans="1:16" ht="28.5" x14ac:dyDescent="0.35">
      <c r="A17" s="114" t="s">
        <v>340</v>
      </c>
      <c r="B17" s="74">
        <v>2</v>
      </c>
      <c r="C17" s="74">
        <v>1</v>
      </c>
      <c r="D17" s="74">
        <f t="shared" si="5"/>
        <v>2</v>
      </c>
      <c r="E17" s="159">
        <f>'CI-Y4'!$L$16</f>
        <v>79</v>
      </c>
      <c r="F17" s="160">
        <f t="shared" si="6"/>
        <v>158</v>
      </c>
      <c r="G17" s="167">
        <f t="shared" si="7"/>
        <v>7.9</v>
      </c>
      <c r="H17" s="167">
        <f t="shared" si="8"/>
        <v>15.8</v>
      </c>
      <c r="I17" s="164">
        <f t="shared" si="9"/>
        <v>9077.89</v>
      </c>
      <c r="O17" s="156">
        <f t="shared" si="0"/>
        <v>79</v>
      </c>
    </row>
    <row r="18" spans="1:16" x14ac:dyDescent="0.35">
      <c r="A18" s="116"/>
      <c r="B18" s="74"/>
      <c r="C18" s="74"/>
      <c r="D18" s="74"/>
      <c r="E18" s="159"/>
      <c r="F18" s="160"/>
      <c r="G18" s="167"/>
      <c r="H18" s="167"/>
      <c r="I18" s="161"/>
      <c r="O18" s="156">
        <f t="shared" si="0"/>
        <v>0</v>
      </c>
    </row>
    <row r="19" spans="1:16" ht="15" x14ac:dyDescent="0.35">
      <c r="A19" s="168" t="s">
        <v>247</v>
      </c>
      <c r="B19" s="168"/>
      <c r="C19" s="168"/>
      <c r="D19" s="168"/>
      <c r="E19" s="168"/>
      <c r="F19" s="169">
        <f>ROUND(SUM(F8:H18), -1)</f>
        <v>3190</v>
      </c>
      <c r="G19" s="170"/>
      <c r="H19" s="170"/>
      <c r="I19" s="171">
        <f>ROUND(SUM(I8:I18), -2)</f>
        <v>159300</v>
      </c>
      <c r="O19" s="156">
        <f>SUM(O8:O18)</f>
        <v>568.79999999999995</v>
      </c>
      <c r="P19" s="156" t="s">
        <v>248</v>
      </c>
    </row>
    <row r="20" spans="1:16" ht="16" customHeight="1" x14ac:dyDescent="0.35">
      <c r="A20" s="254"/>
      <c r="G20" s="172"/>
    </row>
    <row r="21" spans="1:16" ht="20.149999999999999" customHeight="1" x14ac:dyDescent="0.35">
      <c r="A21" s="254" t="s">
        <v>249</v>
      </c>
    </row>
    <row r="22" spans="1:16" ht="24.65" customHeight="1" x14ac:dyDescent="0.35">
      <c r="A22" s="475" t="s">
        <v>341</v>
      </c>
      <c r="B22" s="475"/>
      <c r="C22" s="475"/>
      <c r="D22" s="475"/>
      <c r="E22" s="475"/>
      <c r="F22" s="475"/>
      <c r="G22" s="475"/>
      <c r="H22" s="475"/>
      <c r="I22" s="475"/>
    </row>
    <row r="23" spans="1:16" ht="52.5" customHeight="1" x14ac:dyDescent="0.35">
      <c r="A23" s="475" t="s">
        <v>251</v>
      </c>
      <c r="B23" s="475"/>
      <c r="C23" s="475"/>
      <c r="D23" s="475"/>
      <c r="E23" s="475"/>
      <c r="F23" s="475"/>
      <c r="G23" s="475"/>
      <c r="H23" s="475"/>
      <c r="I23" s="475"/>
    </row>
    <row r="24" spans="1:16" ht="30.6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71" t="s">
        <v>255</v>
      </c>
      <c r="B27" s="471"/>
      <c r="C27" s="471"/>
      <c r="D27" s="471"/>
      <c r="E27" s="471"/>
      <c r="F27" s="471"/>
      <c r="G27" s="471"/>
      <c r="H27" s="471"/>
      <c r="I27" s="471"/>
    </row>
    <row r="29" spans="1:16" x14ac:dyDescent="0.35">
      <c r="A29" s="255"/>
    </row>
    <row r="30" spans="1:16" x14ac:dyDescent="0.35">
      <c r="A30" s="255"/>
    </row>
    <row r="31" spans="1:16" x14ac:dyDescent="0.35">
      <c r="A31" s="255"/>
    </row>
    <row r="32" spans="1:16" x14ac:dyDescent="0.35">
      <c r="A32" s="255"/>
    </row>
  </sheetData>
  <mergeCells count="11">
    <mergeCell ref="A1:I1"/>
    <mergeCell ref="A3:I3"/>
    <mergeCell ref="A4:I4"/>
    <mergeCell ref="A5:A7"/>
    <mergeCell ref="A27:I27"/>
    <mergeCell ref="K6:L6"/>
    <mergeCell ref="A23:I23"/>
    <mergeCell ref="A24:I24"/>
    <mergeCell ref="A25:I25"/>
    <mergeCell ref="A26:I26"/>
    <mergeCell ref="A22:I2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1A12B-4F0E-4683-845B-B15DC442EA84}">
  <dimension ref="A1:P32"/>
  <sheetViews>
    <sheetView topLeftCell="A7" zoomScale="80" zoomScaleNormal="80" workbookViewId="0">
      <selection activeCell="I17" sqref="I17"/>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344</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v>
      </c>
      <c r="C8" s="155">
        <v>0</v>
      </c>
      <c r="D8" s="159">
        <f>B8*C8</f>
        <v>0</v>
      </c>
      <c r="E8" s="159">
        <v>0</v>
      </c>
      <c r="F8" s="160">
        <f>D8*E8</f>
        <v>0</v>
      </c>
      <c r="G8" s="160">
        <f>F8*0.05</f>
        <v>0</v>
      </c>
      <c r="H8" s="160">
        <f>F8*0.1</f>
        <v>0</v>
      </c>
      <c r="I8" s="161">
        <f>(F8*$L$8)+(G8*$L$7)+(H8*$L$9)</f>
        <v>0</v>
      </c>
      <c r="K8" s="157" t="s">
        <v>128</v>
      </c>
      <c r="L8" s="162">
        <v>51.23</v>
      </c>
      <c r="M8" s="231"/>
      <c r="O8" s="156">
        <f t="shared" ref="O8:O9" si="0">C8*E8</f>
        <v>0</v>
      </c>
    </row>
    <row r="9" spans="1:15" ht="15.5" x14ac:dyDescent="0.35">
      <c r="A9" s="252" t="s">
        <v>333</v>
      </c>
      <c r="B9" s="159">
        <v>24</v>
      </c>
      <c r="C9" s="159">
        <v>1</v>
      </c>
      <c r="D9" s="159">
        <f>B9*C9</f>
        <v>24</v>
      </c>
      <c r="E9" s="159">
        <f>'CI-Y1'!$L$16</f>
        <v>5.53</v>
      </c>
      <c r="F9" s="160">
        <f>D9*E9</f>
        <v>132.72</v>
      </c>
      <c r="G9" s="160">
        <f>F9*0.05</f>
        <v>6.6360000000000001</v>
      </c>
      <c r="H9" s="160">
        <f>F9*0.1</f>
        <v>13.272</v>
      </c>
      <c r="I9" s="164">
        <f>(F9*$L$8)+(G9*$L$7)+(H9*$L$9)</f>
        <v>7625.4275999999991</v>
      </c>
      <c r="K9" s="157" t="s">
        <v>130</v>
      </c>
      <c r="L9" s="162">
        <v>27.73</v>
      </c>
      <c r="M9" s="231"/>
      <c r="O9" s="156">
        <f t="shared" si="0"/>
        <v>5.53</v>
      </c>
    </row>
    <row r="10" spans="1:15" ht="15.5" x14ac:dyDescent="0.35">
      <c r="A10" s="252" t="s">
        <v>334</v>
      </c>
      <c r="B10" s="159">
        <v>0</v>
      </c>
      <c r="C10" s="159">
        <v>0</v>
      </c>
      <c r="D10" s="159">
        <f>B10*C10</f>
        <v>0</v>
      </c>
      <c r="E10" s="159">
        <v>0</v>
      </c>
      <c r="F10" s="163">
        <f>D10*E10</f>
        <v>0</v>
      </c>
      <c r="G10" s="163">
        <f>F10*0.05</f>
        <v>0</v>
      </c>
      <c r="H10" s="163">
        <f>F10*0.1</f>
        <v>0</v>
      </c>
      <c r="I10" s="164">
        <f>(F10*$L$8)+(G10*$L$7)+(H10*$L$9)</f>
        <v>0</v>
      </c>
      <c r="O10" s="156">
        <f>C10*E10</f>
        <v>0</v>
      </c>
    </row>
    <row r="11" spans="1:15" ht="15.5" x14ac:dyDescent="0.35">
      <c r="A11" s="228" t="s">
        <v>335</v>
      </c>
      <c r="B11" s="74">
        <v>4</v>
      </c>
      <c r="C11" s="74">
        <v>1</v>
      </c>
      <c r="D11" s="74">
        <f>B11*C11</f>
        <v>4</v>
      </c>
      <c r="E11" s="159">
        <f>'CI-Y1'!$L$16</f>
        <v>5.53</v>
      </c>
      <c r="F11" s="163">
        <f t="shared" ref="F11:F12" si="1">D11*E11</f>
        <v>22.12</v>
      </c>
      <c r="G11" s="163">
        <f t="shared" ref="G11:G12" si="2">F11*0.05</f>
        <v>1.1060000000000001</v>
      </c>
      <c r="H11" s="163">
        <f t="shared" ref="H11:H12" si="3">F11*0.1</f>
        <v>2.2120000000000002</v>
      </c>
      <c r="I11" s="164">
        <f t="shared" ref="I11:I12" si="4">(F11*$L$8)+(G11*$L$7)+(H11*$L$9)</f>
        <v>1270.9046000000001</v>
      </c>
      <c r="O11" s="156">
        <f t="shared" ref="O11:O18" si="5">C11*E11</f>
        <v>5.53</v>
      </c>
    </row>
    <row r="12" spans="1:15" ht="15.5" x14ac:dyDescent="0.35">
      <c r="A12" s="114" t="s">
        <v>336</v>
      </c>
      <c r="B12" s="74">
        <v>0</v>
      </c>
      <c r="C12" s="74">
        <v>0</v>
      </c>
      <c r="D12" s="74">
        <f>B12*C12</f>
        <v>0</v>
      </c>
      <c r="E12" s="159">
        <v>0</v>
      </c>
      <c r="F12" s="163">
        <f t="shared" si="1"/>
        <v>0</v>
      </c>
      <c r="G12" s="163">
        <f t="shared" si="2"/>
        <v>0</v>
      </c>
      <c r="H12" s="163">
        <f t="shared" si="3"/>
        <v>0</v>
      </c>
      <c r="I12" s="164">
        <f t="shared" si="4"/>
        <v>0</v>
      </c>
      <c r="O12" s="156">
        <f t="shared" si="5"/>
        <v>0</v>
      </c>
    </row>
    <row r="13" spans="1:15" x14ac:dyDescent="0.35">
      <c r="A13" s="325" t="s">
        <v>243</v>
      </c>
      <c r="B13" s="159"/>
      <c r="C13" s="159"/>
      <c r="D13" s="159"/>
      <c r="E13" s="159"/>
      <c r="F13" s="160"/>
      <c r="G13" s="160"/>
      <c r="H13" s="160"/>
      <c r="I13" s="165"/>
      <c r="O13" s="156">
        <f t="shared" si="5"/>
        <v>0</v>
      </c>
    </row>
    <row r="14" spans="1:15" ht="20.25" customHeight="1" x14ac:dyDescent="0.35">
      <c r="A14" s="253" t="s">
        <v>337</v>
      </c>
      <c r="B14" s="159">
        <v>0.5</v>
      </c>
      <c r="C14" s="159">
        <v>1.1000000000000001</v>
      </c>
      <c r="D14" s="159">
        <f t="shared" ref="D14:D17" si="6">B14*C14</f>
        <v>0.55000000000000004</v>
      </c>
      <c r="E14" s="159">
        <f>'CI-Y5'!$L$16</f>
        <v>79</v>
      </c>
      <c r="F14" s="160">
        <f t="shared" ref="F14:F17" si="7">D14*E14</f>
        <v>43.45</v>
      </c>
      <c r="G14" s="160">
        <f t="shared" ref="G14:G17" si="8">F14*0.05</f>
        <v>2.1725000000000003</v>
      </c>
      <c r="H14" s="160">
        <f t="shared" ref="H14:H17" si="9">F14*0.1</f>
        <v>4.3450000000000006</v>
      </c>
      <c r="I14" s="164">
        <f t="shared" ref="I14:I17" si="10">(F14*$L$8)+(G14*$L$7)+(H14*$L$9)</f>
        <v>2496.41975</v>
      </c>
      <c r="O14" s="156">
        <f t="shared" si="5"/>
        <v>86.9</v>
      </c>
    </row>
    <row r="15" spans="1:15" x14ac:dyDescent="0.35">
      <c r="A15" s="253" t="s">
        <v>338</v>
      </c>
      <c r="B15" s="159">
        <v>2</v>
      </c>
      <c r="C15" s="159">
        <v>2</v>
      </c>
      <c r="D15" s="159">
        <f t="shared" si="6"/>
        <v>4</v>
      </c>
      <c r="E15" s="159">
        <f>'CI-Y5'!$L$16</f>
        <v>79</v>
      </c>
      <c r="F15" s="160">
        <f t="shared" si="7"/>
        <v>316</v>
      </c>
      <c r="G15" s="167">
        <f t="shared" si="8"/>
        <v>15.8</v>
      </c>
      <c r="H15" s="167">
        <f t="shared" si="9"/>
        <v>31.6</v>
      </c>
      <c r="I15" s="164">
        <f t="shared" si="10"/>
        <v>18155.78</v>
      </c>
      <c r="O15" s="156">
        <f t="shared" si="5"/>
        <v>158</v>
      </c>
    </row>
    <row r="16" spans="1:15" ht="28.5" x14ac:dyDescent="0.35">
      <c r="A16" s="114" t="s">
        <v>339</v>
      </c>
      <c r="B16" s="74">
        <v>0.5</v>
      </c>
      <c r="C16" s="74">
        <v>1.1000000000000001</v>
      </c>
      <c r="D16" s="74">
        <f t="shared" si="6"/>
        <v>0.55000000000000004</v>
      </c>
      <c r="E16" s="159">
        <f>'CI-Y5'!$L$16</f>
        <v>79</v>
      </c>
      <c r="F16" s="160">
        <f t="shared" si="7"/>
        <v>43.45</v>
      </c>
      <c r="G16" s="167">
        <f t="shared" si="8"/>
        <v>2.1725000000000003</v>
      </c>
      <c r="H16" s="167">
        <f t="shared" si="9"/>
        <v>4.3450000000000006</v>
      </c>
      <c r="I16" s="164">
        <f t="shared" si="10"/>
        <v>2496.41975</v>
      </c>
      <c r="O16" s="156">
        <f t="shared" si="5"/>
        <v>86.9</v>
      </c>
    </row>
    <row r="17" spans="1:16" ht="28.5" x14ac:dyDescent="0.35">
      <c r="A17" s="114" t="s">
        <v>340</v>
      </c>
      <c r="B17" s="74">
        <v>2</v>
      </c>
      <c r="C17" s="74">
        <v>1</v>
      </c>
      <c r="D17" s="74">
        <f t="shared" si="6"/>
        <v>2</v>
      </c>
      <c r="E17" s="159">
        <f>'CI-Y5'!$L$16</f>
        <v>79</v>
      </c>
      <c r="F17" s="160">
        <f t="shared" si="7"/>
        <v>158</v>
      </c>
      <c r="G17" s="167">
        <f t="shared" si="8"/>
        <v>7.9</v>
      </c>
      <c r="H17" s="167">
        <f t="shared" si="9"/>
        <v>15.8</v>
      </c>
      <c r="I17" s="164">
        <f t="shared" si="10"/>
        <v>9077.89</v>
      </c>
      <c r="O17" s="156">
        <f t="shared" si="5"/>
        <v>79</v>
      </c>
    </row>
    <row r="18" spans="1:16" x14ac:dyDescent="0.35">
      <c r="A18" s="116"/>
      <c r="B18" s="74"/>
      <c r="C18" s="74"/>
      <c r="D18" s="74"/>
      <c r="E18" s="159"/>
      <c r="F18" s="160"/>
      <c r="G18" s="167"/>
      <c r="H18" s="167"/>
      <c r="I18" s="161"/>
      <c r="O18" s="156">
        <f t="shared" si="5"/>
        <v>0</v>
      </c>
    </row>
    <row r="19" spans="1:16" ht="15" x14ac:dyDescent="0.35">
      <c r="A19" s="168" t="s">
        <v>247</v>
      </c>
      <c r="B19" s="168"/>
      <c r="C19" s="168"/>
      <c r="D19" s="168"/>
      <c r="E19" s="168"/>
      <c r="F19" s="169">
        <f>ROUND(SUM(F8:H18), -1)</f>
        <v>820</v>
      </c>
      <c r="G19" s="170"/>
      <c r="H19" s="170"/>
      <c r="I19" s="171">
        <f>ROUND(SUM(I8:I18), -2)</f>
        <v>41100</v>
      </c>
      <c r="O19" s="156">
        <f>SUM(O8:O18)</f>
        <v>421.86</v>
      </c>
      <c r="P19" s="156" t="s">
        <v>248</v>
      </c>
    </row>
    <row r="20" spans="1:16" ht="16" customHeight="1" x14ac:dyDescent="0.35">
      <c r="A20" s="254"/>
      <c r="G20" s="172"/>
    </row>
    <row r="21" spans="1:16" ht="20.149999999999999" customHeight="1" x14ac:dyDescent="0.35">
      <c r="A21" s="254" t="s">
        <v>249</v>
      </c>
    </row>
    <row r="22" spans="1:16" ht="26.15" customHeight="1" x14ac:dyDescent="0.35">
      <c r="A22" s="475" t="s">
        <v>341</v>
      </c>
      <c r="B22" s="475"/>
      <c r="C22" s="475"/>
      <c r="D22" s="475"/>
      <c r="E22" s="475"/>
      <c r="F22" s="475"/>
      <c r="G22" s="475"/>
      <c r="H22" s="475"/>
      <c r="I22" s="475"/>
    </row>
    <row r="23" spans="1:16" ht="52.5" customHeight="1" x14ac:dyDescent="0.35">
      <c r="A23" s="475" t="s">
        <v>251</v>
      </c>
      <c r="B23" s="475"/>
      <c r="C23" s="475"/>
      <c r="D23" s="475"/>
      <c r="E23" s="475"/>
      <c r="F23" s="475"/>
      <c r="G23" s="475"/>
      <c r="H23" s="475"/>
      <c r="I23" s="475"/>
    </row>
    <row r="24" spans="1:16" ht="30.6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71" t="s">
        <v>255</v>
      </c>
      <c r="B27" s="471"/>
      <c r="C27" s="471"/>
      <c r="D27" s="471"/>
      <c r="E27" s="471"/>
      <c r="F27" s="471"/>
      <c r="G27" s="471"/>
      <c r="H27" s="471"/>
      <c r="I27" s="471"/>
    </row>
    <row r="29" spans="1:16" x14ac:dyDescent="0.35">
      <c r="A29" s="255"/>
    </row>
    <row r="30" spans="1:16" x14ac:dyDescent="0.35">
      <c r="A30" s="255"/>
    </row>
    <row r="31" spans="1:16" x14ac:dyDescent="0.35">
      <c r="A31" s="255"/>
    </row>
    <row r="32" spans="1:16" x14ac:dyDescent="0.35">
      <c r="A32" s="255"/>
    </row>
  </sheetData>
  <mergeCells count="11">
    <mergeCell ref="A1:I1"/>
    <mergeCell ref="A3:I3"/>
    <mergeCell ref="A4:I4"/>
    <mergeCell ref="A5:A7"/>
    <mergeCell ref="A27:I27"/>
    <mergeCell ref="K6:L6"/>
    <mergeCell ref="A23:I23"/>
    <mergeCell ref="A24:I24"/>
    <mergeCell ref="A25:I25"/>
    <mergeCell ref="A26:I26"/>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AC63-B9BB-4984-BB49-7749544740A2}">
  <sheetPr codeName="Sheet4"/>
  <dimension ref="A1:T54"/>
  <sheetViews>
    <sheetView zoomScale="80" zoomScaleNormal="80" workbookViewId="0">
      <pane xSplit="8" ySplit="3" topLeftCell="K16" activePane="bottomRight" state="frozen"/>
      <selection activeCell="A25" sqref="A25:I25"/>
      <selection pane="topRight" activeCell="A25" sqref="A25:I25"/>
      <selection pane="bottomLeft" activeCell="A25" sqref="A25:I25"/>
      <selection pane="bottomRight" activeCell="A25" sqref="A25:I25"/>
    </sheetView>
  </sheetViews>
  <sheetFormatPr defaultColWidth="9.1796875" defaultRowHeight="13" x14ac:dyDescent="0.3"/>
  <cols>
    <col min="1" max="1" width="37.54296875" style="36" customWidth="1"/>
    <col min="2" max="2" width="9.81640625" style="36" customWidth="1"/>
    <col min="3" max="3" width="11" style="36" customWidth="1"/>
    <col min="4" max="4" width="8.54296875" style="36" customWidth="1"/>
    <col min="5" max="5" width="10.453125" style="36" customWidth="1"/>
    <col min="6" max="6" width="11.81640625" style="36" customWidth="1"/>
    <col min="7" max="7" width="13" style="36" customWidth="1"/>
    <col min="8" max="8" width="13.1796875" style="36" customWidth="1"/>
    <col min="9" max="9" width="7" style="36" customWidth="1"/>
    <col min="10" max="10" width="39.453125" style="36" customWidth="1"/>
    <col min="11" max="11" width="10.453125" style="36" bestFit="1" customWidth="1"/>
    <col min="12" max="12" width="12.453125" style="36" customWidth="1"/>
    <col min="13" max="13" width="9.1796875" style="36"/>
    <col min="14" max="15" width="11.453125" style="36" customWidth="1"/>
    <col min="16" max="16" width="19.1796875" style="36" customWidth="1"/>
    <col min="17" max="17" width="14.453125" style="36" customWidth="1"/>
    <col min="18" max="16384" width="9.1796875" style="36"/>
  </cols>
  <sheetData>
    <row r="1" spans="1:17" ht="58" customHeight="1" x14ac:dyDescent="0.3">
      <c r="A1" s="434" t="s">
        <v>74</v>
      </c>
      <c r="B1" s="434"/>
      <c r="C1" s="434"/>
      <c r="D1" s="434"/>
      <c r="E1" s="434"/>
      <c r="F1" s="434"/>
      <c r="G1" s="434"/>
      <c r="H1" s="434"/>
    </row>
    <row r="2" spans="1:17" ht="29.5" customHeight="1" x14ac:dyDescent="0.3">
      <c r="A2" s="435" t="s">
        <v>75</v>
      </c>
      <c r="B2" s="436"/>
      <c r="C2" s="436"/>
      <c r="D2" s="436"/>
      <c r="E2" s="436"/>
      <c r="F2" s="436"/>
      <c r="G2" s="436"/>
      <c r="H2" s="436"/>
      <c r="J2" s="435" t="s">
        <v>76</v>
      </c>
      <c r="K2" s="436"/>
      <c r="L2" s="436"/>
      <c r="M2" s="436"/>
      <c r="N2" s="436"/>
      <c r="O2" s="436"/>
      <c r="P2" s="436"/>
      <c r="Q2" s="436"/>
    </row>
    <row r="3" spans="1:17" ht="78.75" customHeight="1" thickBot="1" x14ac:dyDescent="0.35">
      <c r="A3" s="42" t="s">
        <v>77</v>
      </c>
      <c r="B3" s="42" t="s">
        <v>78</v>
      </c>
      <c r="C3" s="42" t="s">
        <v>79</v>
      </c>
      <c r="D3" s="42" t="s">
        <v>80</v>
      </c>
      <c r="E3" s="42" t="s">
        <v>81</v>
      </c>
      <c r="F3" s="42" t="s">
        <v>82</v>
      </c>
      <c r="G3" s="48" t="s">
        <v>83</v>
      </c>
      <c r="H3" s="42" t="s">
        <v>84</v>
      </c>
      <c r="J3" s="42" t="s">
        <v>77</v>
      </c>
      <c r="K3" s="42" t="s">
        <v>78</v>
      </c>
      <c r="L3" s="42" t="s">
        <v>79</v>
      </c>
      <c r="M3" s="42" t="s">
        <v>80</v>
      </c>
      <c r="N3" s="42" t="s">
        <v>81</v>
      </c>
      <c r="O3" s="42" t="s">
        <v>82</v>
      </c>
      <c r="P3" s="48" t="s">
        <v>83</v>
      </c>
      <c r="Q3" s="42" t="s">
        <v>84</v>
      </c>
    </row>
    <row r="4" spans="1:17" ht="17.5" customHeight="1" thickTop="1" x14ac:dyDescent="0.3">
      <c r="A4" s="120" t="s">
        <v>85</v>
      </c>
      <c r="B4" s="47"/>
      <c r="C4" s="47"/>
      <c r="D4" s="47"/>
      <c r="E4" s="47"/>
      <c r="F4" s="47"/>
      <c r="G4" s="49"/>
      <c r="H4" s="47"/>
      <c r="J4" s="120" t="s">
        <v>85</v>
      </c>
      <c r="K4" s="47"/>
      <c r="L4" s="47"/>
      <c r="M4" s="47"/>
      <c r="N4" s="47"/>
      <c r="O4" s="47"/>
      <c r="P4" s="49"/>
      <c r="Q4" s="47"/>
    </row>
    <row r="5" spans="1:17" x14ac:dyDescent="0.3">
      <c r="A5" s="121" t="s">
        <v>86</v>
      </c>
      <c r="B5" s="52">
        <f>SUM('RI-Y1'!$F$6:$F$35)+SUM('RI-Y1'!$F$38:$F$59)</f>
        <v>9285.7752</v>
      </c>
      <c r="C5" s="52">
        <f>SUM('RI-Y1'!$G$6:$G$35)+SUM('RI-Y1'!$G$38:$G$59)</f>
        <v>464.28875999999997</v>
      </c>
      <c r="D5" s="52">
        <f>SUM('RI-Y1'!$H$6:$H$35)+SUM('RI-Y1'!$H$38:$H$59)</f>
        <v>928.57751999999994</v>
      </c>
      <c r="E5" s="52">
        <f>SUM(B5:D5)</f>
        <v>10678.64148</v>
      </c>
      <c r="F5" s="124">
        <f>'RI-Y1'!$I$36+'RI-Y1'!$I$60</f>
        <v>1320275.6609515196</v>
      </c>
      <c r="G5" s="151">
        <f>'RCOM1-3'!H7</f>
        <v>0</v>
      </c>
      <c r="H5" s="124">
        <f>F5+G5</f>
        <v>1320275.6609515196</v>
      </c>
      <c r="J5" s="121" t="s">
        <v>86</v>
      </c>
      <c r="K5" s="52"/>
      <c r="L5" s="52"/>
      <c r="M5" s="52"/>
      <c r="N5" s="52"/>
      <c r="O5" s="124"/>
      <c r="P5" s="151"/>
      <c r="Q5" s="124"/>
    </row>
    <row r="6" spans="1:17" x14ac:dyDescent="0.3">
      <c r="A6" s="121" t="s">
        <v>87</v>
      </c>
      <c r="B6" s="52">
        <f>SUM('RI-Y2'!$F$6:$F$34)+SUM('RI-Y2'!$F$37:$F$58)</f>
        <v>0</v>
      </c>
      <c r="C6" s="52">
        <f>SUM('RI-Y2'!$G$6:$G$34)+SUM('RI-Y2'!$G$37:$G$58)</f>
        <v>0</v>
      </c>
      <c r="D6" s="52">
        <f>SUM('RI-Y2'!$H$6:$H$34)+SUM('RI-Y2'!$H$37:$H$58)</f>
        <v>0</v>
      </c>
      <c r="E6" s="52">
        <f t="shared" ref="E6:E42" si="0">SUM(B6:D6)</f>
        <v>0</v>
      </c>
      <c r="F6" s="124">
        <f>'RI-Y2'!$I$35+'RI-Y2'!$I$59</f>
        <v>0</v>
      </c>
      <c r="G6" s="152">
        <f>'RCOM1-3'!H8+'RCOM1-3'!H9+'RCOM1-3'!H10</f>
        <v>0</v>
      </c>
      <c r="H6" s="124">
        <f>F6+G6</f>
        <v>0</v>
      </c>
      <c r="J6" s="121" t="s">
        <v>87</v>
      </c>
      <c r="K6" s="52"/>
      <c r="L6" s="52"/>
      <c r="M6" s="52"/>
      <c r="N6" s="52"/>
      <c r="O6" s="124"/>
      <c r="P6" s="152"/>
      <c r="Q6" s="124"/>
    </row>
    <row r="7" spans="1:17" x14ac:dyDescent="0.3">
      <c r="A7" s="121" t="s">
        <v>88</v>
      </c>
      <c r="B7" s="52">
        <f>SUM('RI-Y3'!$F$6:$F$35)+SUM('RI-Y3'!$F$38:$F$59)</f>
        <v>8850.1841999999997</v>
      </c>
      <c r="C7" s="52">
        <f>SUM('RI-Y3'!$G$6:$G$35)+SUM('RI-Y3'!$G$38:$G$59)</f>
        <v>442.50921000000005</v>
      </c>
      <c r="D7" s="52">
        <f>SUM('RI-Y3'!$H$6:$H$35)+SUM('RI-Y3'!$H$38:$H$59)</f>
        <v>885.01842000000011</v>
      </c>
      <c r="E7" s="52">
        <f t="shared" si="0"/>
        <v>10177.71183</v>
      </c>
      <c r="F7" s="124">
        <f>'RI-Y3'!$I$36+'RI-Y3'!$I$60</f>
        <v>1258342.2000349199</v>
      </c>
      <c r="G7" s="53">
        <f>'RCOM1-3'!H12+'RCOM1-3'!H13</f>
        <v>334397.5</v>
      </c>
      <c r="H7" s="124">
        <f>F7+G7</f>
        <v>1592739.7000349199</v>
      </c>
      <c r="J7" s="121" t="s">
        <v>88</v>
      </c>
      <c r="K7" s="52"/>
      <c r="L7" s="52"/>
      <c r="M7" s="52"/>
      <c r="N7" s="52"/>
      <c r="O7" s="124"/>
      <c r="P7" s="53"/>
      <c r="Q7" s="124"/>
    </row>
    <row r="8" spans="1:17" x14ac:dyDescent="0.3">
      <c r="A8" s="121" t="s">
        <v>89</v>
      </c>
      <c r="B8" s="35"/>
      <c r="C8" s="35"/>
      <c r="D8" s="35"/>
      <c r="E8" s="35"/>
      <c r="F8" s="41"/>
      <c r="G8" s="344"/>
      <c r="H8" s="124"/>
      <c r="J8" s="121" t="s">
        <v>89</v>
      </c>
      <c r="K8" s="52">
        <f>SUM('RI-Y4'!$F$6:$F$34)+SUM('RI-Y4'!$F$37:$F$58)</f>
        <v>33636.530599999998</v>
      </c>
      <c r="L8" s="52">
        <f>SUM('RI-Y4'!$G$6:$G$34)+SUM('RI-Y4'!$G$37:$G$58)</f>
        <v>1681.8265300000003</v>
      </c>
      <c r="M8" s="52">
        <f>SUM('RI-Y4'!$H$6:$H$34)+SUM('RI-Y4'!$H$37:$H$58)</f>
        <v>3363.6530600000006</v>
      </c>
      <c r="N8" s="52">
        <f>SUM(K8:M8)</f>
        <v>38682.010190000001</v>
      </c>
      <c r="O8" s="124">
        <f>'RI-Y4'!$I$35+'RI-Y4'!$I$59</f>
        <v>4782529.3756875601</v>
      </c>
      <c r="P8" s="53">
        <f>SUM('RCOM4-6'!H7:H8)</f>
        <v>157696.25</v>
      </c>
      <c r="Q8" s="124">
        <f>O8+P8</f>
        <v>4940225.6256875601</v>
      </c>
    </row>
    <row r="9" spans="1:17" x14ac:dyDescent="0.3">
      <c r="A9" s="121" t="s">
        <v>90</v>
      </c>
      <c r="B9" s="35"/>
      <c r="C9" s="35"/>
      <c r="D9" s="35"/>
      <c r="E9" s="35"/>
      <c r="F9" s="41"/>
      <c r="G9" s="344"/>
      <c r="H9" s="124"/>
      <c r="J9" s="121" t="s">
        <v>90</v>
      </c>
      <c r="K9" s="52">
        <f>SUM('RI-Y5'!$F$6:$F$34)+SUM('RI-Y5'!$F$37:$F$58)</f>
        <v>27278.792399999998</v>
      </c>
      <c r="L9" s="52">
        <f>SUM('RI-Y5'!$G$6:$G$34)+SUM('RI-Y5'!$G$37:$G$58)</f>
        <v>1363.9396200000001</v>
      </c>
      <c r="M9" s="52">
        <f>SUM('RI-Y5'!$H$6:$H$34)+SUM('RI-Y5'!$H$37:$H$58)</f>
        <v>2727.8792400000002</v>
      </c>
      <c r="N9" s="52">
        <f t="shared" ref="N9:N10" si="1">SUM(K9:M9)</f>
        <v>31370.611259999998</v>
      </c>
      <c r="O9" s="124">
        <f>'RI-Y5'!$I$35+'RI-Y5'!$I$59</f>
        <v>3878569.6282922393</v>
      </c>
      <c r="P9" s="53">
        <f>SUM('RCOM4-6'!H9:H10)</f>
        <v>157696.25</v>
      </c>
      <c r="Q9" s="124">
        <f>O9+P9</f>
        <v>4036265.8782922393</v>
      </c>
    </row>
    <row r="10" spans="1:17" x14ac:dyDescent="0.3">
      <c r="A10" s="121" t="s">
        <v>91</v>
      </c>
      <c r="B10" s="35"/>
      <c r="C10" s="35"/>
      <c r="D10" s="35"/>
      <c r="E10" s="35"/>
      <c r="F10" s="41"/>
      <c r="G10" s="344"/>
      <c r="H10" s="124"/>
      <c r="J10" s="121" t="s">
        <v>91</v>
      </c>
      <c r="K10" s="52">
        <f>SUM('RI-Y6'!$F$6:$F$34)+SUM('RI-Y6'!$F$37:$F$58)</f>
        <v>31714.062525000001</v>
      </c>
      <c r="L10" s="52">
        <f>SUM('RI-Y6'!$G$6:$G$34)+SUM('RI-Y6'!$G$37:$G$58)</f>
        <v>1585.7031262500002</v>
      </c>
      <c r="M10" s="52">
        <f>SUM('RI-Y6'!$H$6:$H$34)+SUM('RI-Y6'!$H$37:$H$58)</f>
        <v>3171.4062525000004</v>
      </c>
      <c r="N10" s="52">
        <f t="shared" si="1"/>
        <v>36471.171903750001</v>
      </c>
      <c r="O10" s="124">
        <f>'RI-Y6'!$I$35+'RI-Y6'!$I$59</f>
        <v>4509187.8663670644</v>
      </c>
      <c r="P10" s="53">
        <f>SUM('RCOM4-6'!H11:H13)</f>
        <v>157696.25</v>
      </c>
      <c r="Q10" s="124">
        <f>O10+P10</f>
        <v>4666884.1163670644</v>
      </c>
    </row>
    <row r="11" spans="1:17" ht="28" customHeight="1" x14ac:dyDescent="0.3">
      <c r="A11" s="123" t="s">
        <v>92</v>
      </c>
      <c r="B11" s="45"/>
      <c r="C11" s="45"/>
      <c r="D11" s="45"/>
      <c r="E11" s="52"/>
      <c r="F11" s="46"/>
      <c r="G11" s="53"/>
      <c r="H11" s="124"/>
      <c r="J11" s="123" t="s">
        <v>92</v>
      </c>
      <c r="K11" s="45"/>
      <c r="L11" s="45"/>
      <c r="M11" s="45"/>
      <c r="N11" s="52"/>
      <c r="O11" s="46"/>
      <c r="P11" s="53"/>
      <c r="Q11" s="124"/>
    </row>
    <row r="12" spans="1:17" x14ac:dyDescent="0.3">
      <c r="A12" s="121" t="s">
        <v>86</v>
      </c>
      <c r="B12" s="45">
        <f>SUM('CI-Y1'!$F$6:$F$45)+SUM('CI-Y1'!$F$48:$F$62)</f>
        <v>960.64</v>
      </c>
      <c r="C12" s="45">
        <f>SUM('CI-Y1'!$G$6:$G$45)+SUM('CI-Y1'!$G$48:$G$62)</f>
        <v>48.032000000000004</v>
      </c>
      <c r="D12" s="45">
        <f>SUM('CI-Y1'!$H$6:$H$45)+SUM('CI-Y1'!$H$48:$H$62)</f>
        <v>96.064000000000007</v>
      </c>
      <c r="E12" s="52">
        <f t="shared" si="0"/>
        <v>1104.7360000000001</v>
      </c>
      <c r="F12" s="326">
        <f>'CI-Y1'!$I$46+'CI-Y1'!$I$63</f>
        <v>136586.29286399999</v>
      </c>
      <c r="G12" s="53">
        <f>SUM('CCOM1-3'!H7:H8)</f>
        <v>0</v>
      </c>
      <c r="H12" s="124">
        <f>F12+G12</f>
        <v>136586.29286399999</v>
      </c>
      <c r="J12" s="121" t="s">
        <v>86</v>
      </c>
      <c r="K12" s="45"/>
      <c r="L12" s="45"/>
      <c r="M12" s="45"/>
      <c r="N12" s="52"/>
      <c r="O12" s="326"/>
      <c r="P12" s="53"/>
      <c r="Q12" s="124"/>
    </row>
    <row r="13" spans="1:17" x14ac:dyDescent="0.3">
      <c r="A13" s="121" t="s">
        <v>87</v>
      </c>
      <c r="B13" s="45">
        <f>SUM('CI-Y2'!$F$6:$F$44)+SUM('CI-Y2'!$F$47:$F$61)</f>
        <v>0</v>
      </c>
      <c r="C13" s="45">
        <f>SUM('CI-Y2'!$G$12:$G$44)+SUM('CI-Y2'!$G$47:$G$61)</f>
        <v>0</v>
      </c>
      <c r="D13" s="45">
        <f>SUM('CI-Y2'!$H$12:$H$44)+SUM('CI-Y2'!$H$47:$H$61)</f>
        <v>0</v>
      </c>
      <c r="E13" s="52">
        <f t="shared" si="0"/>
        <v>0</v>
      </c>
      <c r="F13" s="326">
        <f>'CI-Y2'!I45+'CI-Y2'!I62</f>
        <v>0</v>
      </c>
      <c r="G13" s="53">
        <f>SUM('CCOM1-3'!H9:H10)</f>
        <v>0</v>
      </c>
      <c r="H13" s="124">
        <f>F13+G13</f>
        <v>0</v>
      </c>
      <c r="J13" s="121" t="s">
        <v>87</v>
      </c>
      <c r="K13" s="45"/>
      <c r="L13" s="45"/>
      <c r="M13" s="45"/>
      <c r="N13" s="52"/>
      <c r="O13" s="326"/>
      <c r="P13" s="53"/>
      <c r="Q13" s="124"/>
    </row>
    <row r="14" spans="1:17" x14ac:dyDescent="0.3">
      <c r="A14" s="121" t="s">
        <v>88</v>
      </c>
      <c r="B14" s="45">
        <f>SUM('CI-Y3'!$F$6:$F$45)+SUM('CI-Y3'!$F$48:$F$62)</f>
        <v>218.435</v>
      </c>
      <c r="C14" s="45">
        <f>SUM('CI-Y3'!$G$13:$G$45)+SUM('CI-Y3'!$G$48:$G$62)</f>
        <v>0.80974999999999997</v>
      </c>
      <c r="D14" s="45">
        <f>SUM('CI-Y3'!$H$13:$H$45)+SUM('CI-Y3'!$H$48:$H$62)</f>
        <v>1.6194999999999999</v>
      </c>
      <c r="E14" s="52">
        <f t="shared" si="0"/>
        <v>220.86425</v>
      </c>
      <c r="F14" s="326">
        <f>'CI-Y3'!I46+'CI-Y3'!I63</f>
        <v>31057.656231000001</v>
      </c>
      <c r="G14" s="53">
        <f>SUM('CCOM1-3'!H11:H13)</f>
        <v>116762</v>
      </c>
      <c r="H14" s="124">
        <f>F14+G14</f>
        <v>147819.656231</v>
      </c>
      <c r="J14" s="121" t="s">
        <v>88</v>
      </c>
      <c r="K14" s="45"/>
      <c r="L14" s="45"/>
      <c r="M14" s="45"/>
      <c r="N14" s="52"/>
      <c r="O14" s="326"/>
      <c r="P14" s="53"/>
      <c r="Q14" s="124"/>
    </row>
    <row r="15" spans="1:17" x14ac:dyDescent="0.3">
      <c r="A15" s="121" t="s">
        <v>89</v>
      </c>
      <c r="B15" s="45"/>
      <c r="C15" s="45"/>
      <c r="D15" s="45"/>
      <c r="E15" s="52"/>
      <c r="F15" s="326"/>
      <c r="G15" s="53"/>
      <c r="H15" s="124"/>
      <c r="J15" s="121" t="s">
        <v>89</v>
      </c>
      <c r="K15" s="45">
        <f>SUM('CI-Y4'!$F$6:$F$44)+SUM('CI-Y4'!$F$47:$F$61)</f>
        <v>4795.2209999999995</v>
      </c>
      <c r="L15" s="45">
        <f>SUM('CI-Y4'!$G$6:$G$44)+SUM('CI-Y4'!$G$47:$G$61)</f>
        <v>239.76105000000001</v>
      </c>
      <c r="M15" s="45">
        <f>SUM('CI-Y4'!$H$6:$H$44)+SUM('CI-Y4'!$H$47:$H$61)</f>
        <v>479.52210000000002</v>
      </c>
      <c r="N15" s="52">
        <f t="shared" ref="N15:N17" si="2">SUM(K15:M15)</f>
        <v>5514.5041499999998</v>
      </c>
      <c r="O15" s="326">
        <f>'CI-Y4'!$I$45+'CI-Y4'!$I$62</f>
        <v>681796.98935460008</v>
      </c>
      <c r="P15" s="53">
        <f>SUM('CCOM4-6'!H7:H8)</f>
        <v>55063</v>
      </c>
      <c r="Q15" s="124">
        <f t="shared" ref="Q15:Q17" si="3">O15+P15</f>
        <v>736859.98935460008</v>
      </c>
    </row>
    <row r="16" spans="1:17" x14ac:dyDescent="0.3">
      <c r="A16" s="121" t="s">
        <v>90</v>
      </c>
      <c r="B16" s="45"/>
      <c r="C16" s="45"/>
      <c r="D16" s="45"/>
      <c r="E16" s="52"/>
      <c r="F16" s="326"/>
      <c r="G16" s="53"/>
      <c r="H16" s="124"/>
      <c r="J16" s="121" t="s">
        <v>90</v>
      </c>
      <c r="K16" s="45">
        <f>SUM('CI-Y5'!$F$6:$F$44)+SUM('CI-Y5'!$F$47:$F$61)</f>
        <v>3552.3535000000002</v>
      </c>
      <c r="L16" s="45">
        <f>SUM('CI-Y5'!$G$12:$G$44)+SUM('CI-Y5'!$G$47:$G$61)</f>
        <v>177.61767499999999</v>
      </c>
      <c r="M16" s="45">
        <f>SUM('CI-Y5'!$H$12:$H$44)+SUM('CI-Y5'!$H$47:$H$61)</f>
        <v>355.23534999999998</v>
      </c>
      <c r="N16" s="52">
        <f t="shared" si="2"/>
        <v>4085.2065250000001</v>
      </c>
      <c r="O16" s="326">
        <f>'CI-Y5'!$I$45+'CI-Y5'!$I$62</f>
        <v>505082.85674910003</v>
      </c>
      <c r="P16" s="53">
        <f>SUM('CCOM4-6'!H9:H10)</f>
        <v>55063</v>
      </c>
      <c r="Q16" s="124">
        <f t="shared" si="3"/>
        <v>560145.85674910003</v>
      </c>
    </row>
    <row r="17" spans="1:20" x14ac:dyDescent="0.3">
      <c r="A17" s="121" t="s">
        <v>91</v>
      </c>
      <c r="B17" s="45"/>
      <c r="C17" s="45"/>
      <c r="D17" s="45"/>
      <c r="E17" s="52"/>
      <c r="F17" s="326"/>
      <c r="G17" s="53"/>
      <c r="H17" s="124"/>
      <c r="J17" s="121" t="s">
        <v>91</v>
      </c>
      <c r="K17" s="45">
        <f>SUM('CI-Y6'!$F$6:$F$44)+SUM('CI-Y6'!$F$47:$F$61)</f>
        <v>3657.6210000000001</v>
      </c>
      <c r="L17" s="45">
        <f>SUM('CI-Y6'!$G$12:$G$44)+SUM('CI-Y6'!$G$47:$G$61)</f>
        <v>182.88104999999999</v>
      </c>
      <c r="M17" s="45">
        <f>SUM('CI-Y6'!$H$12:$H$44)+SUM('CI-Y6'!$H$47:$H$61)</f>
        <v>365.76209999999998</v>
      </c>
      <c r="N17" s="52">
        <f t="shared" si="2"/>
        <v>4206.26415</v>
      </c>
      <c r="O17" s="326">
        <f>'CI-Y6'!$I$45+'CI-Y6'!$I$62</f>
        <v>520050.06359460007</v>
      </c>
      <c r="P17" s="53">
        <f>SUM('CCOM4-6'!H11:H13)</f>
        <v>55063</v>
      </c>
      <c r="Q17" s="124">
        <f t="shared" si="3"/>
        <v>575113.06359460007</v>
      </c>
    </row>
    <row r="18" spans="1:20" ht="25.5" customHeight="1" x14ac:dyDescent="0.3">
      <c r="A18" s="123" t="s">
        <v>93</v>
      </c>
      <c r="B18" s="45"/>
      <c r="C18" s="45"/>
      <c r="D18" s="45"/>
      <c r="E18" s="52"/>
      <c r="F18" s="46"/>
      <c r="G18" s="53"/>
      <c r="H18" s="124"/>
      <c r="J18" s="123" t="s">
        <v>93</v>
      </c>
      <c r="K18" s="45"/>
      <c r="L18" s="45"/>
      <c r="M18" s="45"/>
      <c r="N18" s="52"/>
      <c r="O18" s="46"/>
      <c r="P18" s="53"/>
      <c r="Q18" s="124"/>
    </row>
    <row r="19" spans="1:20" x14ac:dyDescent="0.3">
      <c r="A19" s="121" t="s">
        <v>86</v>
      </c>
      <c r="B19" s="45">
        <f>SUM('II-Y1'!F6:F39)+SUM('II-Y1'!F42:F54)</f>
        <v>500.685</v>
      </c>
      <c r="C19" s="45">
        <f>SUM('II-Y1'!G6:G39)+SUM('II-Y1'!G42:G54)</f>
        <v>25.03425</v>
      </c>
      <c r="D19" s="45">
        <f>SUM('II-Y1'!H6:H39)+SUM('II-Y1'!H42:H54)</f>
        <v>50.0685</v>
      </c>
      <c r="E19" s="52">
        <f t="shared" si="0"/>
        <v>575.78774999999996</v>
      </c>
      <c r="F19" s="46">
        <f>'II-Y1'!$I$40+'II-Y1'!$I$55</f>
        <v>71188.695080999998</v>
      </c>
      <c r="G19" s="53">
        <f>SUM('ICOM1-3'!H7:H8)</f>
        <v>0</v>
      </c>
      <c r="H19" s="124">
        <f>F19+G19</f>
        <v>71188.695080999998</v>
      </c>
      <c r="J19" s="121" t="s">
        <v>86</v>
      </c>
      <c r="K19" s="45"/>
      <c r="L19" s="45"/>
      <c r="M19" s="45"/>
      <c r="N19" s="52"/>
      <c r="O19" s="46"/>
      <c r="P19" s="53"/>
      <c r="Q19" s="124"/>
    </row>
    <row r="20" spans="1:20" x14ac:dyDescent="0.3">
      <c r="A20" s="121" t="s">
        <v>87</v>
      </c>
      <c r="B20" s="45">
        <f>SUM('II-Y2'!F6:F33)+SUM('II-Y2'!F36:F48)</f>
        <v>148.04499999999999</v>
      </c>
      <c r="C20" s="45">
        <f>SUM('II-Y2'!G6:G33)+SUM('II-Y2'!G36:G48)</f>
        <v>7.4022500000000004</v>
      </c>
      <c r="D20" s="45">
        <f>SUM('II-Y2'!H6:H33)+SUM('II-Y2'!H36:H48)</f>
        <v>14.804500000000001</v>
      </c>
      <c r="E20" s="52">
        <f t="shared" si="0"/>
        <v>170.25174999999999</v>
      </c>
      <c r="F20" s="46">
        <f>'II-Y2'!I34+'II-Y2'!I49</f>
        <v>21049.423016999997</v>
      </c>
      <c r="G20" s="53">
        <f>SUM('ICOM1-3'!H9:H10)</f>
        <v>0</v>
      </c>
      <c r="H20" s="124">
        <f>F20+G20</f>
        <v>21049.423016999997</v>
      </c>
      <c r="J20" s="121" t="s">
        <v>87</v>
      </c>
      <c r="K20" s="45"/>
      <c r="L20" s="45"/>
      <c r="M20" s="45"/>
      <c r="N20" s="52"/>
      <c r="O20" s="46"/>
      <c r="P20" s="53"/>
      <c r="Q20" s="124"/>
    </row>
    <row r="21" spans="1:20" x14ac:dyDescent="0.3">
      <c r="A21" s="121" t="s">
        <v>88</v>
      </c>
      <c r="B21" s="45">
        <f>SUM('II-Y3'!F6:F36)+SUM('II-Y3'!F40:F52)</f>
        <v>631.18500000000006</v>
      </c>
      <c r="C21" s="45">
        <f>SUM('II-Y3'!G6:G36)+SUM('II-Y3'!G40:G52)</f>
        <v>31.559249999999999</v>
      </c>
      <c r="D21" s="45">
        <f>SUM('II-Y3'!H6:H36)+SUM('II-Y3'!H40:H52)</f>
        <v>63.118499999999997</v>
      </c>
      <c r="E21" s="52">
        <f t="shared" si="0"/>
        <v>725.86275000000012</v>
      </c>
      <c r="F21" s="46">
        <f>'II-Y3'!I38+'II-Y3'!I53</f>
        <v>89743.524380999996</v>
      </c>
      <c r="G21" s="53">
        <f>SUM('ICOM1-3'!H11:H13)</f>
        <v>42862</v>
      </c>
      <c r="H21" s="124">
        <f>F21+G21</f>
        <v>132605.524381</v>
      </c>
      <c r="J21" s="121" t="s">
        <v>88</v>
      </c>
      <c r="K21" s="45"/>
      <c r="L21" s="45"/>
      <c r="M21" s="45"/>
      <c r="N21" s="52"/>
      <c r="O21" s="46"/>
      <c r="P21" s="53"/>
      <c r="Q21" s="124"/>
    </row>
    <row r="22" spans="1:20" x14ac:dyDescent="0.3">
      <c r="A22" s="121" t="s">
        <v>89</v>
      </c>
      <c r="B22" s="45"/>
      <c r="C22" s="45"/>
      <c r="D22" s="45"/>
      <c r="E22" s="52"/>
      <c r="F22" s="46"/>
      <c r="G22" s="53"/>
      <c r="H22" s="124"/>
      <c r="J22" s="121" t="s">
        <v>89</v>
      </c>
      <c r="K22" s="359">
        <f>SUM('II-Y4'!F6:F41)+SUM('II-Y4'!F50:F56)</f>
        <v>2253.2218999999996</v>
      </c>
      <c r="L22" s="359">
        <f>SUM('II-Y4'!G6:G41)+SUM('II-Y4'!G50:G56)</f>
        <v>33.718299999999999</v>
      </c>
      <c r="M22" s="359">
        <f>SUM('II-Y4'!H6:H41)+SUM('II-Y4'!H50:H56)</f>
        <v>67.436599999999999</v>
      </c>
      <c r="N22" s="52">
        <f t="shared" ref="N22:N24" si="4">SUM(K22:M22)</f>
        <v>2354.3767999999995</v>
      </c>
      <c r="O22" s="326">
        <f>'II-Y4'!$I$40+'II-Y4'!$I$55</f>
        <v>96295.440771600028</v>
      </c>
      <c r="P22" s="53">
        <f>SUM('ICOM4-6'!H8:H9)</f>
        <v>20213</v>
      </c>
      <c r="Q22" s="124">
        <f t="shared" ref="Q22:Q24" si="5">O22+P22</f>
        <v>116508.44077160003</v>
      </c>
      <c r="R22" s="360"/>
      <c r="S22" s="360"/>
      <c r="T22" s="360"/>
    </row>
    <row r="23" spans="1:20" x14ac:dyDescent="0.3">
      <c r="A23" s="121" t="s">
        <v>90</v>
      </c>
      <c r="B23" s="45"/>
      <c r="C23" s="45"/>
      <c r="D23" s="45"/>
      <c r="E23" s="52"/>
      <c r="F23" s="46"/>
      <c r="G23" s="53"/>
      <c r="H23" s="124"/>
      <c r="J23" s="121" t="s">
        <v>90</v>
      </c>
      <c r="K23" s="359">
        <f>SUM('II-Y5'!F6:F35)+SUM('II-Y5'!F38:F50)</f>
        <v>522.44515000000001</v>
      </c>
      <c r="L23" s="359">
        <f>SUM('II-Y5'!G6:G35)+SUM('II-Y5'!G38:G50)</f>
        <v>11.533300000000001</v>
      </c>
      <c r="M23" s="359">
        <f>SUM('II-Y5'!H6:H35)+SUM('II-Y5'!H38:H50)</f>
        <v>23.066600000000001</v>
      </c>
      <c r="N23" s="52">
        <f t="shared" si="4"/>
        <v>557.04505000000006</v>
      </c>
      <c r="O23" s="326">
        <f>'II-Y5'!$I$39+'II-Y5'!$I$54</f>
        <v>36919.987011599995</v>
      </c>
      <c r="P23" s="53">
        <f>SUM('ICOM4-6'!H10:H11)</f>
        <v>20213</v>
      </c>
      <c r="Q23" s="124">
        <f t="shared" si="5"/>
        <v>57132.987011599995</v>
      </c>
      <c r="R23" s="360"/>
      <c r="S23" s="360"/>
      <c r="T23" s="360"/>
    </row>
    <row r="24" spans="1:20" x14ac:dyDescent="0.3">
      <c r="A24" s="121" t="s">
        <v>91</v>
      </c>
      <c r="B24" s="45"/>
      <c r="C24" s="45"/>
      <c r="D24" s="45"/>
      <c r="E24" s="52"/>
      <c r="F24" s="46"/>
      <c r="G24" s="53"/>
      <c r="H24" s="124"/>
      <c r="J24" s="121" t="s">
        <v>91</v>
      </c>
      <c r="K24" s="359">
        <f>SUM('II-Y6'!F6:F38)+SUM('II-Y6'!F41:F53)</f>
        <v>357.10599999999999</v>
      </c>
      <c r="L24" s="359">
        <f>SUM('II-Y6'!G6:G38)+SUM('II-Y6'!G41:G53)</f>
        <v>17.8553</v>
      </c>
      <c r="M24" s="359">
        <f>SUM('II-Y6'!H6:H38)+SUM('II-Y6'!H41:H53)</f>
        <v>35.710599999999999</v>
      </c>
      <c r="N24" s="52">
        <f t="shared" si="4"/>
        <v>410.67189999999999</v>
      </c>
      <c r="O24" s="326">
        <f>'II-Y6'!$I$39+'II-Y6'!$I$54</f>
        <v>50774.259555600001</v>
      </c>
      <c r="P24" s="53">
        <f>SUM('ICOM4-6'!H12:H14)</f>
        <v>20213</v>
      </c>
      <c r="Q24" s="124">
        <f t="shared" si="5"/>
        <v>70987.259555600001</v>
      </c>
      <c r="R24" s="360"/>
      <c r="S24" s="360"/>
      <c r="T24" s="360"/>
    </row>
    <row r="25" spans="1:20" ht="20.5" customHeight="1" x14ac:dyDescent="0.3">
      <c r="A25" s="123" t="s">
        <v>94</v>
      </c>
      <c r="B25" s="45"/>
      <c r="C25" s="45"/>
      <c r="D25" s="45"/>
      <c r="E25" s="52"/>
      <c r="F25" s="46"/>
      <c r="G25" s="53"/>
      <c r="H25" s="124"/>
      <c r="J25" s="123" t="s">
        <v>94</v>
      </c>
      <c r="K25" s="45"/>
      <c r="L25" s="45"/>
      <c r="M25" s="45"/>
      <c r="N25" s="52"/>
      <c r="O25" s="46"/>
      <c r="P25" s="53"/>
      <c r="Q25" s="124"/>
    </row>
    <row r="26" spans="1:20" x14ac:dyDescent="0.3">
      <c r="A26" s="121" t="s">
        <v>86</v>
      </c>
      <c r="B26" s="45">
        <f>SUM('SI-Y1'!$F$6:$F$43)+SUM('SI-Y1'!$F$46:$F$60)</f>
        <v>1033.5999999999999</v>
      </c>
      <c r="C26" s="45">
        <f>SUM('SI-Y1'!G6:G43)+SUM('SI-Y1'!G46:G60)</f>
        <v>51.679999999999993</v>
      </c>
      <c r="D26" s="45">
        <f>SUM('SI-Y1'!H6:H43)+SUM('SI-Y1'!H46:H60)</f>
        <v>103.35999999999999</v>
      </c>
      <c r="E26" s="52">
        <f t="shared" si="0"/>
        <v>1188.6399999999999</v>
      </c>
      <c r="F26" s="46">
        <f>'SI-Y1'!$I$44+'SI-Y1'!$I$61</f>
        <v>146959.93536</v>
      </c>
      <c r="G26" s="53">
        <f>SUM('SS1-3'!H7:H8)</f>
        <v>0</v>
      </c>
      <c r="H26" s="124">
        <f>F26+G26</f>
        <v>146959.93536</v>
      </c>
      <c r="J26" s="121" t="s">
        <v>86</v>
      </c>
      <c r="K26" s="45"/>
      <c r="L26" s="45"/>
      <c r="M26" s="45"/>
      <c r="N26" s="52"/>
      <c r="O26" s="46"/>
      <c r="P26" s="53"/>
      <c r="Q26" s="124"/>
    </row>
    <row r="27" spans="1:20" x14ac:dyDescent="0.3">
      <c r="A27" s="121" t="s">
        <v>87</v>
      </c>
      <c r="B27" s="45">
        <f>SUM('SI-Y2'!F6:F42)+SUM('SI-Y2'!F45:F59)</f>
        <v>0</v>
      </c>
      <c r="C27" s="45">
        <f>SUM('SI-Y2'!G6:G42)+SUM('SI-Y2'!G45:G59)</f>
        <v>0</v>
      </c>
      <c r="D27" s="45">
        <f>SUM('SI-Y2'!H6:H42)+SUM('SI-Y2'!H45:H59)</f>
        <v>0</v>
      </c>
      <c r="E27" s="52">
        <f t="shared" si="0"/>
        <v>0</v>
      </c>
      <c r="F27" s="46">
        <f>'SI-Y2'!I43+'SI-Y2'!I60</f>
        <v>0</v>
      </c>
      <c r="G27" s="53">
        <f>SUM('SS1-3'!H9:H10)</f>
        <v>0</v>
      </c>
      <c r="H27" s="124">
        <f>F27+G27</f>
        <v>0</v>
      </c>
      <c r="J27" s="121" t="s">
        <v>87</v>
      </c>
      <c r="K27" s="45"/>
      <c r="L27" s="45"/>
      <c r="M27" s="45"/>
      <c r="N27" s="52"/>
      <c r="O27" s="46"/>
      <c r="P27" s="53"/>
      <c r="Q27" s="124"/>
    </row>
    <row r="28" spans="1:20" x14ac:dyDescent="0.3">
      <c r="A28" s="121" t="s">
        <v>88</v>
      </c>
      <c r="B28" s="45">
        <f>SUM('SI-Y3'!F6:F43)+SUM('SI-Y3'!F46:F60)</f>
        <v>141.1</v>
      </c>
      <c r="C28" s="45">
        <f>SUM('SI-Y3'!G6:G43)+SUM('SI-Y3'!G46:G60)</f>
        <v>7.0549999999999997</v>
      </c>
      <c r="D28" s="45">
        <f>SUM('SI-Y3'!H6:H43)+SUM('SI-Y3'!H46:H60)</f>
        <v>14.11</v>
      </c>
      <c r="E28" s="52">
        <f t="shared" si="0"/>
        <v>162.26499999999999</v>
      </c>
      <c r="F28" s="46">
        <f>'SI-Y3'!I44+'SI-Y3'!I61</f>
        <v>20061.96486</v>
      </c>
      <c r="G28" s="53">
        <f>SUM('SS1-3'!H11:H18)</f>
        <v>212415</v>
      </c>
      <c r="H28" s="124">
        <f>F28+G28</f>
        <v>232476.96486000001</v>
      </c>
      <c r="J28" s="121" t="s">
        <v>88</v>
      </c>
      <c r="K28" s="45"/>
      <c r="L28" s="45"/>
      <c r="M28" s="45"/>
      <c r="N28" s="52"/>
      <c r="O28" s="46"/>
      <c r="P28" s="53"/>
      <c r="Q28" s="124"/>
    </row>
    <row r="29" spans="1:20" x14ac:dyDescent="0.3">
      <c r="A29" s="121" t="s">
        <v>89</v>
      </c>
      <c r="B29" s="45"/>
      <c r="C29" s="45"/>
      <c r="D29" s="45"/>
      <c r="E29" s="52"/>
      <c r="F29" s="46"/>
      <c r="G29" s="53"/>
      <c r="H29" s="124"/>
      <c r="J29" s="121" t="s">
        <v>89</v>
      </c>
      <c r="K29" s="45">
        <f>SUM('SI-Y4'!$F$6:$F$42)+SUM('SI-Y4'!$F$45:$F$59)</f>
        <v>6649.4650000000001</v>
      </c>
      <c r="L29" s="45">
        <f>SUM('SI-Y4'!$G$6:$G$42)+SUM('SI-Y4'!$G$45:$G$59)</f>
        <v>332.47325000000001</v>
      </c>
      <c r="M29" s="45">
        <f>SUM('SI-Y4'!$H$6:$H$42)+SUM('SI-Y4'!$H$45:$H$59)</f>
        <v>664.94650000000001</v>
      </c>
      <c r="N29" s="52">
        <f t="shared" ref="N29:N38" si="6">SUM(K29:M29)</f>
        <v>7646.8847500000002</v>
      </c>
      <c r="O29" s="46">
        <f>'SI-Y4'!$I$43+'SI-Y4'!$I$60</f>
        <v>945438.22230899998</v>
      </c>
      <c r="P29" s="53">
        <f>SUM('SS4-6'!H7:H9)</f>
        <v>146030</v>
      </c>
      <c r="Q29" s="124">
        <f t="shared" ref="Q29:Q38" si="7">O29+P29</f>
        <v>1091468.2223089999</v>
      </c>
    </row>
    <row r="30" spans="1:20" x14ac:dyDescent="0.3">
      <c r="A30" s="121" t="s">
        <v>90</v>
      </c>
      <c r="B30" s="45"/>
      <c r="C30" s="45"/>
      <c r="D30" s="45"/>
      <c r="E30" s="52"/>
      <c r="F30" s="46"/>
      <c r="G30" s="53"/>
      <c r="H30" s="124"/>
      <c r="J30" s="121" t="s">
        <v>90</v>
      </c>
      <c r="K30" s="45">
        <f>SUM('SI-Y5'!$F$6:$F$42)+SUM('SI-Y5'!$F$45:$F$59)</f>
        <v>5875.9650000000001</v>
      </c>
      <c r="L30" s="45">
        <f>SUM('SI-Y5'!$G$6:$G$42)+SUM('SI-Y5'!$G$45:$G$59)</f>
        <v>293.79825</v>
      </c>
      <c r="M30" s="45">
        <f>SUM('SI-Y5'!$H$6:$H$42)+SUM('SI-Y5'!$H$45:$H$59)</f>
        <v>587.59649999999999</v>
      </c>
      <c r="N30" s="52">
        <f t="shared" si="6"/>
        <v>6757.3597499999996</v>
      </c>
      <c r="O30" s="46">
        <f>'SI-Y5'!$I$43+'SI-Y5'!$I$60</f>
        <v>835459.98120899987</v>
      </c>
      <c r="P30" s="53">
        <f>SUM('SS4-6'!H10:H12)</f>
        <v>146030</v>
      </c>
      <c r="Q30" s="124">
        <f t="shared" si="7"/>
        <v>981489.98120899987</v>
      </c>
    </row>
    <row r="31" spans="1:20" x14ac:dyDescent="0.3">
      <c r="A31" s="121" t="s">
        <v>91</v>
      </c>
      <c r="B31" s="45"/>
      <c r="C31" s="45"/>
      <c r="D31" s="45"/>
      <c r="E31" s="52"/>
      <c r="F31" s="46"/>
      <c r="G31" s="53"/>
      <c r="H31" s="124"/>
      <c r="J31" s="121" t="s">
        <v>91</v>
      </c>
      <c r="K31" s="45">
        <f>SUM('SI-Y6'!$F$6:$F$42)+SUM('SI-Y6'!$F$45:$F$59)</f>
        <v>8672.4650000000001</v>
      </c>
      <c r="L31" s="45">
        <f>SUM('SI-Y6'!$G$6:$G$42)+SUM('SI-Y6'!$G$45:$G$59)</f>
        <v>433.62324999999998</v>
      </c>
      <c r="M31" s="45">
        <f>SUM('SI-Y6'!$H$6:$H$42)+SUM('SI-Y6'!$H$45:$H$59)</f>
        <v>867.24649999999997</v>
      </c>
      <c r="N31" s="52">
        <f t="shared" si="6"/>
        <v>9973.33475</v>
      </c>
      <c r="O31" s="46">
        <f>'SI-Y6'!$I$43+'SI-Y6'!$I$60</f>
        <v>1233073.6221089999</v>
      </c>
      <c r="P31" s="53">
        <f>SUM('SS4-6'!H13:H14)</f>
        <v>146030</v>
      </c>
      <c r="Q31" s="124">
        <f t="shared" si="7"/>
        <v>1379103.6221089999</v>
      </c>
    </row>
    <row r="32" spans="1:20" x14ac:dyDescent="0.3">
      <c r="A32" s="123" t="s">
        <v>62</v>
      </c>
      <c r="B32" s="45"/>
      <c r="C32" s="45"/>
      <c r="D32" s="45"/>
      <c r="E32" s="52"/>
      <c r="F32" s="46"/>
      <c r="G32" s="53"/>
      <c r="H32" s="124"/>
      <c r="J32" s="123" t="s">
        <v>62</v>
      </c>
      <c r="K32" s="45"/>
      <c r="L32" s="45"/>
      <c r="M32" s="45"/>
      <c r="N32" s="52"/>
      <c r="O32" s="46"/>
      <c r="P32" s="53"/>
      <c r="Q32" s="124"/>
    </row>
    <row r="33" spans="1:19" x14ac:dyDescent="0.3">
      <c r="A33" s="121" t="s">
        <v>86</v>
      </c>
      <c r="B33" s="45">
        <f>SUM('MWCI-Y1'!F8:F33)+SUM('MWCI-Y1'!F36:F48)</f>
        <v>1308.8</v>
      </c>
      <c r="C33" s="45">
        <f>SUM('MWCI-Y1'!G8:G33)+SUM('MWCI-Y1'!G36:G48)</f>
        <v>65.44</v>
      </c>
      <c r="D33" s="45">
        <f>SUM('MWCI-Y1'!H8:H33)+SUM('MWCI-Y1'!H36:H48)</f>
        <v>130.88</v>
      </c>
      <c r="E33" s="45">
        <f>SUM(B33:D33)</f>
        <v>1505.12</v>
      </c>
      <c r="F33" s="46">
        <f>'MWCI-Y1'!I34+'MWCI-Y1'!I49</f>
        <v>186088.58688000002</v>
      </c>
      <c r="G33" s="53">
        <f>SUM('MWCCOM1-3'!H7:H8)</f>
        <v>0</v>
      </c>
      <c r="H33" s="124">
        <f t="shared" ref="H33:H35" si="8">F33+G33</f>
        <v>186088.58688000002</v>
      </c>
      <c r="J33" s="121" t="s">
        <v>86</v>
      </c>
      <c r="K33" s="45"/>
      <c r="L33" s="45"/>
      <c r="M33" s="45"/>
      <c r="N33" s="52"/>
      <c r="O33" s="46"/>
      <c r="P33" s="53"/>
      <c r="Q33" s="124"/>
    </row>
    <row r="34" spans="1:19" x14ac:dyDescent="0.3">
      <c r="A34" s="121" t="s">
        <v>87</v>
      </c>
      <c r="B34" s="45">
        <f>SUM('MWCI-Y2'!F8:F32)+SUM('MWCI-Y2'!F35:F47)</f>
        <v>384.00000000000006</v>
      </c>
      <c r="C34" s="45">
        <f>SUM('MWCI-Y2'!G8:G32)+SUM('MWCI-Y2'!G35:G47)</f>
        <v>19.200000000000003</v>
      </c>
      <c r="D34" s="45">
        <f>SUM('MWCI-Y2'!H8:H32)+SUM('MWCI-Y2'!H35:H47)</f>
        <v>38.400000000000006</v>
      </c>
      <c r="E34" s="45">
        <f t="shared" ref="E34:E35" si="9">SUM(B34:D34)</f>
        <v>441.6</v>
      </c>
      <c r="F34" s="46">
        <f>'MWCI-Y2'!I33+'MWCI-Y2'!I48</f>
        <v>54598.118399999999</v>
      </c>
      <c r="G34" s="53">
        <f>SUM('MWCCOM1-3'!H9:H10)</f>
        <v>0</v>
      </c>
      <c r="H34" s="124">
        <f t="shared" si="8"/>
        <v>54598.118399999999</v>
      </c>
      <c r="J34" s="121" t="s">
        <v>87</v>
      </c>
      <c r="K34" s="45"/>
      <c r="L34" s="45"/>
      <c r="M34" s="45"/>
      <c r="N34" s="52"/>
      <c r="O34" s="46"/>
      <c r="P34" s="53"/>
      <c r="Q34" s="124"/>
    </row>
    <row r="35" spans="1:19" x14ac:dyDescent="0.3">
      <c r="A35" s="121" t="s">
        <v>88</v>
      </c>
      <c r="B35" s="45">
        <f>SUM('MWCI-Y3'!F7:F33)+SUM('MWCI-Y3'!F36:F48)</f>
        <v>1600.6</v>
      </c>
      <c r="C35" s="45">
        <f>SUM('MWCI-Y3'!G7:G33)+SUM('MWCI-Y3'!G36:G48)</f>
        <v>80.03</v>
      </c>
      <c r="D35" s="45">
        <f>SUM('MWCI-Y3'!H7:H33)+SUM('MWCI-Y3'!H36:H48)</f>
        <v>160.06</v>
      </c>
      <c r="E35" s="374">
        <f t="shared" si="9"/>
        <v>1840.6899999999998</v>
      </c>
      <c r="F35" s="46">
        <f>'MWCI-Y3'!I34+'MWCI-Y3'!I49</f>
        <v>227577.46956000003</v>
      </c>
      <c r="G35" s="53">
        <f>SUM('MWCCOM1-3'!H12:H16)</f>
        <v>1189656</v>
      </c>
      <c r="H35" s="124">
        <f t="shared" si="8"/>
        <v>1417233.4695600001</v>
      </c>
      <c r="J35" s="121" t="s">
        <v>88</v>
      </c>
      <c r="K35" s="45"/>
      <c r="L35" s="45"/>
      <c r="M35" s="45"/>
      <c r="N35" s="52"/>
      <c r="O35" s="46"/>
      <c r="P35" s="53"/>
      <c r="Q35" s="124"/>
    </row>
    <row r="36" spans="1:19" x14ac:dyDescent="0.3">
      <c r="A36" s="121" t="s">
        <v>89</v>
      </c>
      <c r="B36" s="45"/>
      <c r="C36" s="45"/>
      <c r="D36" s="45"/>
      <c r="E36" s="52"/>
      <c r="F36" s="46"/>
      <c r="G36" s="53"/>
      <c r="H36" s="124"/>
      <c r="J36" s="121" t="s">
        <v>89</v>
      </c>
      <c r="K36" s="45">
        <f>SUM('MWCI-Y4'!F7:F32)+SUM('MWCI-Y4'!F35:F47)</f>
        <v>3499.8</v>
      </c>
      <c r="L36" s="45">
        <f>SUM('MWCI-Y4'!G7:G32)+SUM('MWCI-Y4'!G35:G47)</f>
        <v>174.99</v>
      </c>
      <c r="M36" s="45">
        <f>SUM('MWCI-Y4'!H7:H32)+SUM('MWCI-Y4'!H35:H47)</f>
        <v>349.98</v>
      </c>
      <c r="N36" s="52">
        <f t="shared" si="6"/>
        <v>4024.77</v>
      </c>
      <c r="O36" s="46">
        <f>'MWCI-Y4'!I33+'MWCI-Y4'!I48</f>
        <v>497610.66347999999</v>
      </c>
      <c r="P36" s="53">
        <f>SUM('MWCCOM4-6'!H7:H12)</f>
        <v>311232</v>
      </c>
      <c r="Q36" s="124">
        <f t="shared" si="7"/>
        <v>808842.66347999999</v>
      </c>
    </row>
    <row r="37" spans="1:19" x14ac:dyDescent="0.3">
      <c r="A37" s="121" t="s">
        <v>90</v>
      </c>
      <c r="B37" s="45"/>
      <c r="C37" s="45"/>
      <c r="D37" s="45"/>
      <c r="E37" s="52"/>
      <c r="F37" s="46"/>
      <c r="G37" s="53"/>
      <c r="H37" s="124"/>
      <c r="J37" s="121" t="s">
        <v>90</v>
      </c>
      <c r="K37" s="45">
        <f>SUM('MWCI-Y5'!F7:F32)+SUM('MWCI-Y4'!F35:F47)</f>
        <v>3462</v>
      </c>
      <c r="L37" s="45">
        <f>SUM('MWCI-Y5'!G7:G32)+SUM('MWCI-Y4'!G35:G47)</f>
        <v>173.1</v>
      </c>
      <c r="M37" s="45">
        <f>SUM('MWCI-Y5'!H7:H32)+SUM('MWCI-Y4'!H35:H47)</f>
        <v>346.2</v>
      </c>
      <c r="N37" s="52">
        <f t="shared" si="6"/>
        <v>3981.2999999999997</v>
      </c>
      <c r="O37" s="46">
        <f>'MWCI-Y5'!I33+'MWCI-Y5'!I48</f>
        <v>492236.16119999997</v>
      </c>
      <c r="P37" s="53">
        <f>SUM('MWCCOM4-6'!H13:H18)</f>
        <v>311232</v>
      </c>
      <c r="Q37" s="124">
        <f t="shared" si="7"/>
        <v>803468.16119999997</v>
      </c>
    </row>
    <row r="38" spans="1:19" x14ac:dyDescent="0.3">
      <c r="A38" s="121" t="s">
        <v>91</v>
      </c>
      <c r="B38" s="45"/>
      <c r="C38" s="45"/>
      <c r="D38" s="45"/>
      <c r="E38" s="52"/>
      <c r="F38" s="46"/>
      <c r="G38" s="53"/>
      <c r="H38" s="124"/>
      <c r="J38" s="121" t="s">
        <v>91</v>
      </c>
      <c r="K38" s="45">
        <f>SUM('MWCI-Y6'!F7:F32)+SUM('MWCI-Y6'!F35:F47)</f>
        <v>3438</v>
      </c>
      <c r="L38" s="45">
        <f>SUM('MWCI-Y6'!G7:G32)+SUM('MWCI-Y6'!G35:G47)</f>
        <v>171.9</v>
      </c>
      <c r="M38" s="45">
        <f>SUM('MWCI-Y6'!H7:H32)+SUM('MWCI-Y6'!H35:H47)</f>
        <v>343.8</v>
      </c>
      <c r="N38" s="52">
        <f t="shared" si="6"/>
        <v>3953.7000000000003</v>
      </c>
      <c r="O38" s="46">
        <f>'MWCI-Y6'!I33+'MWCI-Y6'!I48</f>
        <v>488823.77879999997</v>
      </c>
      <c r="P38" s="53">
        <f>SUM('MWCCOM4-6'!H19:H24)</f>
        <v>311232</v>
      </c>
      <c r="Q38" s="124">
        <f t="shared" si="7"/>
        <v>800055.77879999997</v>
      </c>
    </row>
    <row r="39" spans="1:19" ht="52.5" customHeight="1" x14ac:dyDescent="0.3">
      <c r="A39" s="123" t="s">
        <v>95</v>
      </c>
      <c r="B39" s="45"/>
      <c r="C39" s="45"/>
      <c r="D39" s="45"/>
      <c r="E39" s="52"/>
      <c r="F39" s="46"/>
      <c r="G39" s="53"/>
      <c r="H39" s="124"/>
      <c r="J39" s="123" t="s">
        <v>96</v>
      </c>
      <c r="K39" s="45"/>
      <c r="L39" s="45"/>
      <c r="M39" s="45"/>
      <c r="N39" s="52"/>
      <c r="O39" s="46"/>
      <c r="P39" s="53"/>
      <c r="Q39" s="124"/>
    </row>
    <row r="40" spans="1:19" x14ac:dyDescent="0.3">
      <c r="A40" s="121" t="s">
        <v>86</v>
      </c>
      <c r="B40" s="45">
        <f>SUM('BPPI-Y1'!F6:F33)+SUM('BPPI-Y1'!F36:F48)</f>
        <v>2487.6799999999998</v>
      </c>
      <c r="C40" s="45">
        <f>SUM('BPPI-Y1'!G6:G33)+SUM('BPPI-Y1'!G36:G48)</f>
        <v>124.384</v>
      </c>
      <c r="D40" s="45">
        <f>SUM('BPPI-Y1'!H6:H33)+SUM('BPPI-Y1'!H36:H48)</f>
        <v>248.768</v>
      </c>
      <c r="E40" s="52">
        <f t="shared" si="0"/>
        <v>2860.8319999999999</v>
      </c>
      <c r="F40" s="46">
        <f>'BPPI-Y1'!I34+'BPPI-Y1'!I49</f>
        <v>353704.81036799995</v>
      </c>
      <c r="G40" s="53">
        <f>SUM('BPPCOM1-3'!$H$7:$H$8)</f>
        <v>0</v>
      </c>
      <c r="H40" s="124">
        <f>F40+G40</f>
        <v>353704.81036799995</v>
      </c>
      <c r="J40" s="121" t="s">
        <v>86</v>
      </c>
      <c r="K40" s="45"/>
      <c r="L40" s="45"/>
      <c r="M40" s="45"/>
      <c r="N40" s="52"/>
      <c r="O40" s="46"/>
      <c r="P40" s="53"/>
      <c r="Q40" s="124"/>
    </row>
    <row r="41" spans="1:19" x14ac:dyDescent="0.3">
      <c r="A41" s="121" t="s">
        <v>87</v>
      </c>
      <c r="B41" s="45">
        <f>SUM('BPPI-Y2'!F6:F32)+SUM('BPPI-Y2'!F35:F47)</f>
        <v>0</v>
      </c>
      <c r="C41" s="45">
        <f>SUM('BPPI-Y2'!G6:G32)+SUM('BPPI-Y2'!G35:G47)</f>
        <v>0</v>
      </c>
      <c r="D41" s="45">
        <f>SUM('BPPI-Y2'!H6:H32)+SUM('BPPI-Y2'!H35:H47)</f>
        <v>0</v>
      </c>
      <c r="E41" s="52">
        <f t="shared" si="0"/>
        <v>0</v>
      </c>
      <c r="F41" s="46">
        <f>'BPPI-Y2'!I33+'BPPI-Y2'!I48</f>
        <v>0</v>
      </c>
      <c r="G41" s="53">
        <f>SUM('BPPCOM1-3'!H9:H10)</f>
        <v>0</v>
      </c>
      <c r="H41" s="124">
        <f>F41+G41</f>
        <v>0</v>
      </c>
      <c r="J41" s="121" t="s">
        <v>87</v>
      </c>
      <c r="K41" s="45"/>
      <c r="L41" s="45"/>
      <c r="M41" s="45"/>
      <c r="N41" s="52"/>
      <c r="O41" s="46"/>
      <c r="P41" s="53"/>
      <c r="Q41" s="124"/>
      <c r="S41" s="361"/>
    </row>
    <row r="42" spans="1:19" x14ac:dyDescent="0.3">
      <c r="A42" s="335" t="s">
        <v>88</v>
      </c>
      <c r="B42" s="341">
        <f>SUM('BPPI-Y3'!$F$6:$F$35)+SUM('BPPI-Y3'!$F$38:$F$50)</f>
        <v>2425.2800000000002</v>
      </c>
      <c r="C42" s="341">
        <f>SUM('BPPI-Y3'!G6:G35)+SUM('BPPI-Y3'!G38:G50)</f>
        <v>121.26400000000001</v>
      </c>
      <c r="D42" s="341">
        <f>SUM('BPPI-Y3'!H6:H35)+SUM('BPPI-Y3'!H38:H50)</f>
        <v>242.52800000000002</v>
      </c>
      <c r="E42" s="341">
        <f t="shared" si="0"/>
        <v>2789.0720000000001</v>
      </c>
      <c r="F42" s="336">
        <f>'BPPI-Y3'!I36+'BPPI-Y3'!I51</f>
        <v>344832.61612799997</v>
      </c>
      <c r="G42" s="336">
        <f>SUM('BPPCOM1-3'!H11:H19)</f>
        <v>5308888</v>
      </c>
      <c r="H42" s="336">
        <f>F42+G42</f>
        <v>5653720.6161279995</v>
      </c>
      <c r="J42" s="335" t="s">
        <v>88</v>
      </c>
      <c r="K42" s="335"/>
      <c r="L42" s="335"/>
      <c r="M42" s="335"/>
      <c r="N42" s="337"/>
      <c r="O42" s="336"/>
      <c r="P42" s="336"/>
      <c r="Q42" s="338"/>
    </row>
    <row r="43" spans="1:19" x14ac:dyDescent="0.3">
      <c r="A43" s="335" t="s">
        <v>89</v>
      </c>
      <c r="B43" s="337"/>
      <c r="C43" s="337"/>
      <c r="D43" s="337"/>
      <c r="E43" s="337"/>
      <c r="F43" s="338"/>
      <c r="G43" s="338"/>
      <c r="H43" s="338"/>
      <c r="J43" s="335" t="s">
        <v>89</v>
      </c>
      <c r="K43" s="341">
        <f>SUM('BPPI-Y4'!$F$6:$F$34)+SUM('BPPI-Y4'!$F$37:$F$49)</f>
        <v>20810.712</v>
      </c>
      <c r="L43" s="341">
        <f>SUM('BPPI-Y4'!$G$6:$G$34)+SUM('BPPI-Y4'!$G$37:$G$49)</f>
        <v>1040.5356000000002</v>
      </c>
      <c r="M43" s="341">
        <f>SUM('BPPI-Y4'!$H$6:$H$34)+SUM('BPPI-Y4'!$H$37:$H$49)</f>
        <v>2081.0712000000003</v>
      </c>
      <c r="N43" s="52">
        <f t="shared" ref="N43:N45" si="10">SUM(K43:M43)</f>
        <v>23932.318800000001</v>
      </c>
      <c r="O43" s="46">
        <f>'BPPI-Y4'!I35+'BPPI-Y4'!I50</f>
        <v>2958921.1400112002</v>
      </c>
      <c r="P43" s="338">
        <f>SUM('BPPCOM4-6'!H7:H11)</f>
        <v>1502384</v>
      </c>
      <c r="Q43" s="124">
        <f>O43+P43</f>
        <v>4461305.1400112007</v>
      </c>
    </row>
    <row r="44" spans="1:19" x14ac:dyDescent="0.3">
      <c r="A44" s="335" t="s">
        <v>90</v>
      </c>
      <c r="B44" s="337"/>
      <c r="C44" s="337"/>
      <c r="D44" s="337"/>
      <c r="E44" s="337"/>
      <c r="F44" s="338"/>
      <c r="G44" s="338"/>
      <c r="H44" s="338"/>
      <c r="J44" s="335" t="s">
        <v>90</v>
      </c>
      <c r="K44" s="341">
        <f>SUM('BPPI-Y5'!$F$6:$F$34)+SUM('BPPI-Y5'!$F$37:$F$49)</f>
        <v>17509.127999999997</v>
      </c>
      <c r="L44" s="341">
        <f>SUM('BPPI-Y5'!$G$6:$G$34)+SUM('BPPI-Y5'!$G$37:$G$49)</f>
        <v>875.45640000000003</v>
      </c>
      <c r="M44" s="341">
        <f>SUM('BPPI-Y5'!$H$6:$H$34)+SUM('BPPI-Y5'!$H$37:$H$49)</f>
        <v>1750.9128000000001</v>
      </c>
      <c r="N44" s="52">
        <f t="shared" si="10"/>
        <v>20135.497199999998</v>
      </c>
      <c r="O44" s="46">
        <f>'BPPI-Y5'!I35+'BPPI-Y5'!I50</f>
        <v>2489493.3427728</v>
      </c>
      <c r="P44" s="338">
        <f>SUM('BPPCOM4-6'!H12:H16)</f>
        <v>1502384</v>
      </c>
      <c r="Q44" s="124">
        <f>O44+P44</f>
        <v>3991877.3427728</v>
      </c>
    </row>
    <row r="45" spans="1:19" ht="13.5" thickBot="1" x14ac:dyDescent="0.35">
      <c r="A45" s="339" t="s">
        <v>91</v>
      </c>
      <c r="B45" s="339"/>
      <c r="C45" s="339"/>
      <c r="D45" s="339"/>
      <c r="E45" s="339"/>
      <c r="F45" s="340"/>
      <c r="G45" s="340"/>
      <c r="H45" s="340"/>
      <c r="J45" s="339" t="s">
        <v>91</v>
      </c>
      <c r="K45" s="343">
        <f>SUM('BPPI-Y6'!$F$6:$F$34)+SUM('BPPI-Y6'!$F$37:$F$49)</f>
        <v>10663.328</v>
      </c>
      <c r="L45" s="343">
        <f>SUM('BPPI-Y6'!$G$6:$G$34)+SUM('BPPI-Y6'!$G$37:$G$49)</f>
        <v>533.16640000000007</v>
      </c>
      <c r="M45" s="343">
        <f>SUM('BPPI-Y6'!$H$6:$H$34)+SUM('BPPI-Y6'!$H$37:$H$49)</f>
        <v>1066.3328000000001</v>
      </c>
      <c r="N45" s="343">
        <f t="shared" si="10"/>
        <v>12262.8272</v>
      </c>
      <c r="O45" s="340">
        <f>'BPPI-Y6'!I35+'BPPI-Y6'!I50</f>
        <v>1516139.6996927999</v>
      </c>
      <c r="P45" s="340">
        <f>SUM('BPPCOM4-6'!H17:H25)</f>
        <v>1502384</v>
      </c>
      <c r="Q45" s="364">
        <f>O45+P45</f>
        <v>3018523.6996927997</v>
      </c>
    </row>
    <row r="46" spans="1:19" x14ac:dyDescent="0.3">
      <c r="A46" s="121" t="s">
        <v>97</v>
      </c>
      <c r="B46" s="37">
        <f>SUM(B5:B45)</f>
        <v>29976.009399999995</v>
      </c>
      <c r="C46" s="37">
        <f t="shared" ref="C46:E46" si="11">SUM(C5:C45)</f>
        <v>1488.6884700000005</v>
      </c>
      <c r="D46" s="37">
        <f t="shared" si="11"/>
        <v>2977.376940000001</v>
      </c>
      <c r="E46" s="37">
        <f t="shared" si="11"/>
        <v>34442.074809999991</v>
      </c>
      <c r="F46" s="38">
        <f>ROUND(SUM(F5:F45),-3)</f>
        <v>4262000</v>
      </c>
      <c r="G46" s="50">
        <f>ROUND(SUM(G5:G45),-4)</f>
        <v>7200000</v>
      </c>
      <c r="H46" s="38">
        <f>ROUND(SUM(H5:H45),-4)</f>
        <v>11470000</v>
      </c>
      <c r="J46" s="121" t="s">
        <v>97</v>
      </c>
      <c r="K46" s="37">
        <f>SUM(K5:K45)</f>
        <v>188348.21707499999</v>
      </c>
      <c r="L46" s="37">
        <f t="shared" ref="L46:N46" si="12">SUM(L5:L45)</f>
        <v>9323.8791012500005</v>
      </c>
      <c r="M46" s="37">
        <f t="shared" si="12"/>
        <v>18647.758202500001</v>
      </c>
      <c r="N46" s="37">
        <f t="shared" si="12"/>
        <v>216319.85437875002</v>
      </c>
      <c r="O46" s="38">
        <f>ROUND(SUM(O5:O45),-3)</f>
        <v>26518000</v>
      </c>
      <c r="P46" s="50">
        <f>ROUND(SUM(P5:P45),-4)</f>
        <v>6580000</v>
      </c>
      <c r="Q46" s="38">
        <f>ROUND(SUM(Q5:Q45),-4)</f>
        <v>33100000</v>
      </c>
    </row>
    <row r="47" spans="1:19" x14ac:dyDescent="0.3">
      <c r="A47" s="122" t="s">
        <v>98</v>
      </c>
      <c r="B47" s="45">
        <f>B46/3</f>
        <v>9992.0031333333318</v>
      </c>
      <c r="C47" s="45">
        <f t="shared" ref="C47:D47" si="13">C46/3</f>
        <v>496.22949000000017</v>
      </c>
      <c r="D47" s="45">
        <f t="shared" si="13"/>
        <v>992.45898000000034</v>
      </c>
      <c r="E47" s="45">
        <f>E46/3</f>
        <v>11480.691603333331</v>
      </c>
      <c r="F47" s="46">
        <f>ROUND(F46/3,-3)</f>
        <v>1421000</v>
      </c>
      <c r="G47" s="51">
        <f>ROUND(G46/3,-3)</f>
        <v>2400000</v>
      </c>
      <c r="H47" s="46">
        <f>ROUND(H46/3,-3)</f>
        <v>3823000</v>
      </c>
      <c r="J47" s="408" t="s">
        <v>98</v>
      </c>
      <c r="K47" s="35">
        <f>K46/3</f>
        <v>62782.739024999995</v>
      </c>
      <c r="L47" s="35">
        <f t="shared" ref="L47:M47" si="14">L46/3</f>
        <v>3107.9597004166667</v>
      </c>
      <c r="M47" s="374">
        <f t="shared" si="14"/>
        <v>6215.9194008333334</v>
      </c>
      <c r="N47" s="374">
        <f>N46/3</f>
        <v>72106.618126250003</v>
      </c>
      <c r="O47" s="39">
        <f>ROUND(O46/3,-3)</f>
        <v>8839000</v>
      </c>
      <c r="P47" s="375">
        <f>ROUND(P46/3,-3)</f>
        <v>2193000</v>
      </c>
      <c r="Q47" s="39">
        <f>ROUND(Q46/3,-3)</f>
        <v>11033000</v>
      </c>
    </row>
    <row r="48" spans="1:19" x14ac:dyDescent="0.3">
      <c r="A48" s="127"/>
      <c r="B48" s="128"/>
      <c r="C48" s="128"/>
      <c r="D48" s="128"/>
      <c r="E48" s="128"/>
      <c r="F48" s="128"/>
      <c r="G48" s="129"/>
      <c r="H48" s="130"/>
      <c r="J48" s="360"/>
      <c r="K48" s="360"/>
      <c r="L48" s="360"/>
    </row>
    <row r="49" spans="1:14" x14ac:dyDescent="0.3">
      <c r="A49" s="36" t="s">
        <v>99</v>
      </c>
      <c r="B49" s="345">
        <f>'RI-Y1'!$O$59+'RI-Y2'!$O$58+'RI-Y3'!$O$59+'II-Y1'!$N$54+'II-Y2'!$N$52+'II-Y3'!$N$49+'CI-Y1'!$N$61+'CI-Y2'!$N$60+'CI-Y3'!$N$61+'SI-Y1'!$O$61+'SI-Y2'!$O$60+'SI-Y3'!$O$61+'BPPI-Y1'!$O$49+'BPPI-Y2'!$O$48+'BPPI-Y3'!$N$51+'MWCI-Y1'!O49+'MWCI-Y2'!O48+'MWCI-Y3'!O49</f>
        <v>45869.349199999997</v>
      </c>
      <c r="D49" s="147"/>
      <c r="J49" s="360" t="s">
        <v>100</v>
      </c>
      <c r="K49" s="409">
        <f>'RI-Y4'!$O$58+'RI-Y5'!$O$58+'RI-Y6'!$O$58+'II-Y4'!N51+'II-Y5'!N50+'II-Y6'!N50+'CI-Y4'!$N$60+'CI-Y5'!$N$60+'CI-Y6'!$N$60+'SI-Y4'!$O$60+'SI-Y5'!O60+'SI-Y6'!$O$60+'MWCI-Y4'!O48+'MWCI-Y5'!O48+'MWCI-Y6'!O48+'BPPI-Y4'!N51+'BPPI-Y5'!N51+'MWCA-Y4'!N51</f>
        <v>1158900.7554000001</v>
      </c>
      <c r="L49" s="360"/>
    </row>
    <row r="50" spans="1:14" x14ac:dyDescent="0.3">
      <c r="A50" s="36" t="s">
        <v>101</v>
      </c>
      <c r="B50" s="345">
        <f>B49/3</f>
        <v>15289.783066666665</v>
      </c>
      <c r="J50" s="360" t="s">
        <v>102</v>
      </c>
      <c r="K50" s="409">
        <f>K49/3</f>
        <v>386300.25180000003</v>
      </c>
      <c r="L50" s="360"/>
    </row>
    <row r="51" spans="1:14" x14ac:dyDescent="0.3">
      <c r="J51" s="360"/>
      <c r="K51" s="360"/>
      <c r="L51" s="360"/>
      <c r="N51" s="411"/>
    </row>
    <row r="52" spans="1:14" x14ac:dyDescent="0.3">
      <c r="E52" s="346"/>
      <c r="J52" s="360"/>
      <c r="K52" s="360"/>
      <c r="L52" s="360"/>
      <c r="N52" s="411"/>
    </row>
    <row r="53" spans="1:14" x14ac:dyDescent="0.3">
      <c r="J53" s="360"/>
      <c r="K53" s="360"/>
      <c r="L53" s="360"/>
      <c r="N53" s="346"/>
    </row>
    <row r="54" spans="1:14" x14ac:dyDescent="0.3">
      <c r="J54" s="360"/>
      <c r="K54" s="360"/>
      <c r="L54" s="360"/>
    </row>
  </sheetData>
  <mergeCells count="3">
    <mergeCell ref="A1:H1"/>
    <mergeCell ref="A2:H2"/>
    <mergeCell ref="J2:Q2"/>
  </mergeCells>
  <phoneticPr fontId="50" type="noConversion"/>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69FA-65B5-4975-801A-9C619132057C}">
  <dimension ref="A1:P32"/>
  <sheetViews>
    <sheetView topLeftCell="A7" zoomScale="80" zoomScaleNormal="80" workbookViewId="0">
      <selection activeCell="I17" sqref="I17"/>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328</v>
      </c>
      <c r="B1" s="462"/>
      <c r="C1" s="462"/>
      <c r="D1" s="462"/>
      <c r="E1" s="462"/>
      <c r="F1" s="462"/>
      <c r="G1" s="462"/>
      <c r="H1" s="462"/>
      <c r="I1" s="462"/>
    </row>
    <row r="2" spans="1:15" ht="19" customHeight="1" x14ac:dyDescent="0.35">
      <c r="A2" s="423" t="s">
        <v>286</v>
      </c>
      <c r="B2" s="423"/>
      <c r="C2" s="423"/>
      <c r="D2" s="423"/>
      <c r="E2" s="423"/>
      <c r="F2" s="423"/>
      <c r="G2" s="423"/>
      <c r="H2" s="423"/>
      <c r="I2" s="423"/>
    </row>
    <row r="3" spans="1:15" ht="34.5" customHeight="1" x14ac:dyDescent="0.35">
      <c r="A3" s="472" t="s">
        <v>332</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c r="K6" s="468" t="s">
        <v>123</v>
      </c>
      <c r="L6" s="468"/>
      <c r="M6" s="251"/>
    </row>
    <row r="7" spans="1:15" ht="78.5" x14ac:dyDescent="0.35">
      <c r="A7" s="474"/>
      <c r="B7" s="155"/>
      <c r="C7" s="155"/>
      <c r="D7" s="424" t="s">
        <v>236</v>
      </c>
      <c r="E7" s="155"/>
      <c r="F7" s="424" t="s">
        <v>237</v>
      </c>
      <c r="G7" s="424" t="s">
        <v>238</v>
      </c>
      <c r="H7" s="424" t="s">
        <v>239</v>
      </c>
      <c r="I7" s="155"/>
      <c r="K7" s="157" t="s">
        <v>125</v>
      </c>
      <c r="L7" s="158">
        <v>69.040000000000006</v>
      </c>
      <c r="M7" s="196" t="s">
        <v>240</v>
      </c>
      <c r="O7" s="156" t="s">
        <v>120</v>
      </c>
    </row>
    <row r="8" spans="1:15" x14ac:dyDescent="0.35">
      <c r="A8" s="159" t="s">
        <v>289</v>
      </c>
      <c r="B8" s="155">
        <v>0</v>
      </c>
      <c r="C8" s="155">
        <v>0</v>
      </c>
      <c r="D8" s="159">
        <f>B8*C8</f>
        <v>0</v>
      </c>
      <c r="E8" s="159">
        <v>0</v>
      </c>
      <c r="F8" s="160">
        <f>D8*E8</f>
        <v>0</v>
      </c>
      <c r="G8" s="160">
        <f>F8*0.05</f>
        <v>0</v>
      </c>
      <c r="H8" s="160">
        <f>F8*0.1</f>
        <v>0</v>
      </c>
      <c r="I8" s="161">
        <f>(F8*$L$8)+(G8*$L$7)+(H8*$L$9)</f>
        <v>0</v>
      </c>
      <c r="K8" s="157" t="s">
        <v>128</v>
      </c>
      <c r="L8" s="162">
        <v>51.23</v>
      </c>
      <c r="M8" s="231"/>
      <c r="O8" s="156">
        <f t="shared" ref="O8:O18" si="0">C8*E8</f>
        <v>0</v>
      </c>
    </row>
    <row r="9" spans="1:15" ht="15.5" x14ac:dyDescent="0.35">
      <c r="A9" s="252" t="s">
        <v>333</v>
      </c>
      <c r="B9" s="159">
        <v>24</v>
      </c>
      <c r="C9" s="159">
        <v>1</v>
      </c>
      <c r="D9" s="159">
        <f>B9*C9</f>
        <v>24</v>
      </c>
      <c r="E9" s="159">
        <f>'CI-Y1'!$L$16</f>
        <v>5.53</v>
      </c>
      <c r="F9" s="160">
        <f>D9*E9</f>
        <v>132.72</v>
      </c>
      <c r="G9" s="160">
        <f>F9*0.05</f>
        <v>6.6360000000000001</v>
      </c>
      <c r="H9" s="160">
        <f>F9*0.1</f>
        <v>13.272</v>
      </c>
      <c r="I9" s="164">
        <f>(F9*$L$8)+(G9*$L$7)+(H9*$L$9)</f>
        <v>7625.4275999999991</v>
      </c>
      <c r="K9" s="157" t="s">
        <v>130</v>
      </c>
      <c r="L9" s="162">
        <v>27.73</v>
      </c>
      <c r="M9" s="231"/>
      <c r="O9" s="156">
        <f t="shared" si="0"/>
        <v>5.53</v>
      </c>
    </row>
    <row r="10" spans="1:15" ht="15.5" x14ac:dyDescent="0.35">
      <c r="A10" s="252" t="s">
        <v>334</v>
      </c>
      <c r="B10" s="159">
        <v>0</v>
      </c>
      <c r="C10" s="159">
        <v>0</v>
      </c>
      <c r="D10" s="159">
        <f>B10*C10</f>
        <v>0</v>
      </c>
      <c r="E10" s="159">
        <v>0</v>
      </c>
      <c r="F10" s="163">
        <f>D10*E10</f>
        <v>0</v>
      </c>
      <c r="G10" s="163">
        <f>F10*0.05</f>
        <v>0</v>
      </c>
      <c r="H10" s="163">
        <f>F10*0.1</f>
        <v>0</v>
      </c>
      <c r="I10" s="164">
        <f>(F10*$L$8)+(G10*$L$7)+(H10*$L$9)</f>
        <v>0</v>
      </c>
      <c r="O10" s="156">
        <f t="shared" si="0"/>
        <v>0</v>
      </c>
    </row>
    <row r="11" spans="1:15" ht="15.5" x14ac:dyDescent="0.35">
      <c r="A11" s="228" t="s">
        <v>335</v>
      </c>
      <c r="B11" s="74">
        <v>4</v>
      </c>
      <c r="C11" s="74">
        <v>1</v>
      </c>
      <c r="D11" s="74">
        <f>B11*C11</f>
        <v>4</v>
      </c>
      <c r="E11" s="159">
        <f>'CI-Y1'!$L$16</f>
        <v>5.53</v>
      </c>
      <c r="F11" s="163">
        <f t="shared" ref="F11:F12" si="1">D11*E11</f>
        <v>22.12</v>
      </c>
      <c r="G11" s="163">
        <f t="shared" ref="G11:G12" si="2">F11*0.05</f>
        <v>1.1060000000000001</v>
      </c>
      <c r="H11" s="163">
        <f t="shared" ref="H11:H12" si="3">F11*0.1</f>
        <v>2.2120000000000002</v>
      </c>
      <c r="I11" s="164">
        <f t="shared" ref="I11:I12" si="4">(F11*$L$8)+(G11*$L$7)+(H11*$L$9)</f>
        <v>1270.9046000000001</v>
      </c>
      <c r="O11" s="156">
        <f t="shared" si="0"/>
        <v>5.53</v>
      </c>
    </row>
    <row r="12" spans="1:15" ht="25.5" customHeight="1" x14ac:dyDescent="0.35">
      <c r="A12" s="114" t="s">
        <v>336</v>
      </c>
      <c r="B12" s="74">
        <v>0</v>
      </c>
      <c r="C12" s="74">
        <v>0</v>
      </c>
      <c r="D12" s="74">
        <f>B12*C12</f>
        <v>0</v>
      </c>
      <c r="E12" s="159">
        <v>0</v>
      </c>
      <c r="F12" s="163">
        <f t="shared" si="1"/>
        <v>0</v>
      </c>
      <c r="G12" s="163">
        <f t="shared" si="2"/>
        <v>0</v>
      </c>
      <c r="H12" s="163">
        <f t="shared" si="3"/>
        <v>0</v>
      </c>
      <c r="I12" s="164">
        <f t="shared" si="4"/>
        <v>0</v>
      </c>
      <c r="O12" s="156">
        <f t="shared" si="0"/>
        <v>0</v>
      </c>
    </row>
    <row r="13" spans="1:15" x14ac:dyDescent="0.35">
      <c r="A13" s="325" t="s">
        <v>243</v>
      </c>
      <c r="B13" s="159"/>
      <c r="C13" s="159"/>
      <c r="D13" s="159"/>
      <c r="E13" s="159"/>
      <c r="F13" s="160"/>
      <c r="G13" s="160"/>
      <c r="H13" s="160"/>
      <c r="I13" s="165"/>
      <c r="O13" s="156">
        <f t="shared" si="0"/>
        <v>0</v>
      </c>
    </row>
    <row r="14" spans="1:15" ht="20.25" customHeight="1" x14ac:dyDescent="0.35">
      <c r="A14" s="253" t="s">
        <v>337</v>
      </c>
      <c r="B14" s="159">
        <v>0.5</v>
      </c>
      <c r="C14" s="159">
        <v>1.1000000000000001</v>
      </c>
      <c r="D14" s="159">
        <f t="shared" ref="D14:D17" si="5">B14*C14</f>
        <v>0.55000000000000004</v>
      </c>
      <c r="E14" s="159">
        <f>'CI-Y4'!$L$16</f>
        <v>79</v>
      </c>
      <c r="F14" s="160">
        <f t="shared" ref="F14:F17" si="6">D14*E14</f>
        <v>43.45</v>
      </c>
      <c r="G14" s="160">
        <f t="shared" ref="G14:G17" si="7">F14*0.05</f>
        <v>2.1725000000000003</v>
      </c>
      <c r="H14" s="160">
        <f t="shared" ref="H14:H17" si="8">F14*0.1</f>
        <v>4.3450000000000006</v>
      </c>
      <c r="I14" s="164">
        <f t="shared" ref="I14:I17" si="9">(F14*$L$8)+(G14*$L$7)+(H14*$L$9)</f>
        <v>2496.41975</v>
      </c>
      <c r="O14" s="156">
        <f t="shared" si="0"/>
        <v>86.9</v>
      </c>
    </row>
    <row r="15" spans="1:15" x14ac:dyDescent="0.35">
      <c r="A15" s="253" t="s">
        <v>338</v>
      </c>
      <c r="B15" s="159">
        <v>2</v>
      </c>
      <c r="C15" s="159">
        <v>2</v>
      </c>
      <c r="D15" s="159">
        <f t="shared" si="5"/>
        <v>4</v>
      </c>
      <c r="E15" s="159">
        <f>'CI-Y4'!$L$16</f>
        <v>79</v>
      </c>
      <c r="F15" s="160">
        <f t="shared" si="6"/>
        <v>316</v>
      </c>
      <c r="G15" s="167">
        <f t="shared" si="7"/>
        <v>15.8</v>
      </c>
      <c r="H15" s="167">
        <f t="shared" si="8"/>
        <v>31.6</v>
      </c>
      <c r="I15" s="164">
        <f t="shared" si="9"/>
        <v>18155.78</v>
      </c>
      <c r="O15" s="156">
        <f t="shared" si="0"/>
        <v>158</v>
      </c>
    </row>
    <row r="16" spans="1:15" ht="28.5" x14ac:dyDescent="0.35">
      <c r="A16" s="114" t="s">
        <v>339</v>
      </c>
      <c r="B16" s="74">
        <v>0.5</v>
      </c>
      <c r="C16" s="74">
        <v>1.1000000000000001</v>
      </c>
      <c r="D16" s="74">
        <f t="shared" si="5"/>
        <v>0.55000000000000004</v>
      </c>
      <c r="E16" s="159">
        <f>'CI-Y4'!$L$16</f>
        <v>79</v>
      </c>
      <c r="F16" s="160">
        <f t="shared" si="6"/>
        <v>43.45</v>
      </c>
      <c r="G16" s="167">
        <f t="shared" si="7"/>
        <v>2.1725000000000003</v>
      </c>
      <c r="H16" s="167">
        <f t="shared" si="8"/>
        <v>4.3450000000000006</v>
      </c>
      <c r="I16" s="164">
        <f t="shared" si="9"/>
        <v>2496.41975</v>
      </c>
      <c r="O16" s="156">
        <f t="shared" si="0"/>
        <v>86.9</v>
      </c>
    </row>
    <row r="17" spans="1:16" ht="28.5" x14ac:dyDescent="0.35">
      <c r="A17" s="114" t="s">
        <v>340</v>
      </c>
      <c r="B17" s="74">
        <v>2</v>
      </c>
      <c r="C17" s="74">
        <v>1</v>
      </c>
      <c r="D17" s="74">
        <f t="shared" si="5"/>
        <v>2</v>
      </c>
      <c r="E17" s="159">
        <f>'CI-Y4'!$L$16</f>
        <v>79</v>
      </c>
      <c r="F17" s="160">
        <f t="shared" si="6"/>
        <v>158</v>
      </c>
      <c r="G17" s="167">
        <f t="shared" si="7"/>
        <v>7.9</v>
      </c>
      <c r="H17" s="167">
        <f t="shared" si="8"/>
        <v>15.8</v>
      </c>
      <c r="I17" s="164">
        <f t="shared" si="9"/>
        <v>9077.89</v>
      </c>
      <c r="O17" s="156">
        <f t="shared" si="0"/>
        <v>79</v>
      </c>
    </row>
    <row r="18" spans="1:16" x14ac:dyDescent="0.35">
      <c r="A18" s="116"/>
      <c r="B18" s="74"/>
      <c r="C18" s="74"/>
      <c r="D18" s="74"/>
      <c r="E18" s="159"/>
      <c r="F18" s="160"/>
      <c r="G18" s="167"/>
      <c r="H18" s="167"/>
      <c r="I18" s="161"/>
      <c r="O18" s="156">
        <f t="shared" si="0"/>
        <v>0</v>
      </c>
    </row>
    <row r="19" spans="1:16" ht="15" x14ac:dyDescent="0.35">
      <c r="A19" s="168" t="s">
        <v>247</v>
      </c>
      <c r="B19" s="168"/>
      <c r="C19" s="168"/>
      <c r="D19" s="168"/>
      <c r="E19" s="168"/>
      <c r="F19" s="169">
        <f>ROUND(SUM(F8:H18), -1)</f>
        <v>820</v>
      </c>
      <c r="G19" s="170"/>
      <c r="H19" s="170"/>
      <c r="I19" s="171">
        <f>ROUND(SUM(I8:I18), -2)</f>
        <v>41100</v>
      </c>
      <c r="O19" s="156">
        <f>SUM(O8:O18)</f>
        <v>421.86</v>
      </c>
      <c r="P19" s="156" t="s">
        <v>248</v>
      </c>
    </row>
    <row r="20" spans="1:16" ht="16" customHeight="1" x14ac:dyDescent="0.35">
      <c r="A20" s="254"/>
      <c r="G20" s="172"/>
    </row>
    <row r="21" spans="1:16" ht="20.149999999999999" customHeight="1" x14ac:dyDescent="0.35">
      <c r="A21" s="254" t="s">
        <v>249</v>
      </c>
    </row>
    <row r="22" spans="1:16" ht="24.65" customHeight="1" x14ac:dyDescent="0.35">
      <c r="A22" s="475" t="s">
        <v>341</v>
      </c>
      <c r="B22" s="475"/>
      <c r="C22" s="475"/>
      <c r="D22" s="475"/>
      <c r="E22" s="475"/>
      <c r="F22" s="475"/>
      <c r="G22" s="475"/>
      <c r="H22" s="475"/>
      <c r="I22" s="475"/>
    </row>
    <row r="23" spans="1:16" ht="52.5" customHeight="1" x14ac:dyDescent="0.35">
      <c r="A23" s="475" t="s">
        <v>251</v>
      </c>
      <c r="B23" s="475"/>
      <c r="C23" s="475"/>
      <c r="D23" s="475"/>
      <c r="E23" s="475"/>
      <c r="F23" s="475"/>
      <c r="G23" s="475"/>
      <c r="H23" s="475"/>
      <c r="I23" s="475"/>
    </row>
    <row r="24" spans="1:16" ht="30.6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71" t="s">
        <v>255</v>
      </c>
      <c r="B27" s="471"/>
      <c r="C27" s="471"/>
      <c r="D27" s="471"/>
      <c r="E27" s="471"/>
      <c r="F27" s="471"/>
      <c r="G27" s="471"/>
      <c r="H27" s="471"/>
      <c r="I27" s="471"/>
    </row>
    <row r="29" spans="1:16" x14ac:dyDescent="0.35">
      <c r="A29" s="255"/>
    </row>
    <row r="30" spans="1:16" x14ac:dyDescent="0.35">
      <c r="A30" s="255"/>
    </row>
    <row r="31" spans="1:16" x14ac:dyDescent="0.35">
      <c r="A31" s="255"/>
    </row>
    <row r="32" spans="1:16" x14ac:dyDescent="0.35">
      <c r="A32" s="255"/>
    </row>
  </sheetData>
  <mergeCells count="11">
    <mergeCell ref="A1:I1"/>
    <mergeCell ref="A3:I3"/>
    <mergeCell ref="A4:I4"/>
    <mergeCell ref="A5:A7"/>
    <mergeCell ref="A27:I27"/>
    <mergeCell ref="K6:L6"/>
    <mergeCell ref="A23:I23"/>
    <mergeCell ref="A24:I24"/>
    <mergeCell ref="A25:I25"/>
    <mergeCell ref="A26:I26"/>
    <mergeCell ref="A22:I2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774C5-B169-4AD4-B0DD-114DECCF6830}">
  <dimension ref="A1:I20"/>
  <sheetViews>
    <sheetView zoomScale="80" zoomScaleNormal="80" workbookViewId="0">
      <selection activeCell="L13" sqref="L13"/>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15" customHeight="1" x14ac:dyDescent="0.35">
      <c r="A1" s="462" t="s">
        <v>345</v>
      </c>
      <c r="B1" s="462"/>
      <c r="C1" s="462"/>
      <c r="D1" s="462"/>
      <c r="E1" s="462"/>
      <c r="F1" s="462"/>
      <c r="G1" s="462"/>
      <c r="H1" s="462"/>
      <c r="I1" s="462"/>
    </row>
    <row r="2" spans="1:9" ht="15" x14ac:dyDescent="0.35">
      <c r="A2" s="423" t="s">
        <v>286</v>
      </c>
      <c r="B2" s="423"/>
      <c r="C2" s="423"/>
      <c r="D2" s="423"/>
      <c r="E2" s="423"/>
      <c r="F2" s="423"/>
      <c r="G2" s="423"/>
      <c r="H2" s="423"/>
      <c r="I2" s="423"/>
    </row>
    <row r="3" spans="1:9" ht="15.65" customHeight="1" x14ac:dyDescent="0.35">
      <c r="A3" s="478" t="s">
        <v>346</v>
      </c>
      <c r="B3" s="478"/>
      <c r="C3" s="478"/>
      <c r="D3" s="478"/>
      <c r="E3" s="478"/>
      <c r="F3" s="478"/>
      <c r="G3" s="478"/>
    </row>
    <row r="4" spans="1:9" ht="15" x14ac:dyDescent="0.35">
      <c r="A4" s="288"/>
      <c r="B4" s="289"/>
      <c r="C4" s="289"/>
      <c r="D4" s="289"/>
      <c r="E4" s="289"/>
      <c r="F4" s="289"/>
      <c r="G4" s="289"/>
    </row>
    <row r="5" spans="1:9" x14ac:dyDescent="0.35">
      <c r="B5" s="290" t="s">
        <v>220</v>
      </c>
      <c r="C5" s="179" t="s">
        <v>221</v>
      </c>
      <c r="D5" s="179" t="s">
        <v>222</v>
      </c>
      <c r="E5" s="179" t="s">
        <v>223</v>
      </c>
      <c r="F5" s="179" t="s">
        <v>224</v>
      </c>
      <c r="G5" s="179" t="s">
        <v>225</v>
      </c>
      <c r="H5" s="180" t="s">
        <v>226</v>
      </c>
    </row>
    <row r="6" spans="1:9" ht="52" x14ac:dyDescent="0.35">
      <c r="A6" s="181" t="s">
        <v>264</v>
      </c>
      <c r="B6" s="181" t="s">
        <v>265</v>
      </c>
      <c r="C6" s="181" t="s">
        <v>266</v>
      </c>
      <c r="D6" s="181" t="s">
        <v>347</v>
      </c>
      <c r="E6" s="181" t="s">
        <v>268</v>
      </c>
      <c r="F6" s="181" t="s">
        <v>269</v>
      </c>
      <c r="G6" s="181" t="s">
        <v>348</v>
      </c>
      <c r="H6" s="181" t="s">
        <v>271</v>
      </c>
    </row>
    <row r="7" spans="1:9" x14ac:dyDescent="0.35">
      <c r="A7" s="181" t="s">
        <v>86</v>
      </c>
      <c r="B7" s="182" t="s">
        <v>272</v>
      </c>
      <c r="C7" s="118">
        <v>0</v>
      </c>
      <c r="D7" s="181">
        <v>0</v>
      </c>
      <c r="E7" s="118">
        <f>C7*D7</f>
        <v>0</v>
      </c>
      <c r="F7" s="118">
        <v>0</v>
      </c>
      <c r="G7" s="181"/>
      <c r="H7" s="118">
        <f>F7*G7</f>
        <v>0</v>
      </c>
    </row>
    <row r="8" spans="1:9" x14ac:dyDescent="0.35">
      <c r="A8" s="181" t="s">
        <v>86</v>
      </c>
      <c r="B8" s="181"/>
      <c r="C8" s="118">
        <v>0</v>
      </c>
      <c r="D8" s="181">
        <v>0</v>
      </c>
      <c r="E8" s="118">
        <f>C8*D8</f>
        <v>0</v>
      </c>
      <c r="F8" s="118"/>
      <c r="G8" s="181"/>
      <c r="H8" s="118"/>
    </row>
    <row r="9" spans="1:9" x14ac:dyDescent="0.35">
      <c r="A9" s="181" t="s">
        <v>87</v>
      </c>
      <c r="B9" s="182" t="s">
        <v>272</v>
      </c>
      <c r="C9" s="118">
        <v>0</v>
      </c>
      <c r="D9" s="181">
        <v>0</v>
      </c>
      <c r="E9" s="118">
        <f>C9*D9</f>
        <v>0</v>
      </c>
      <c r="F9" s="118">
        <v>0</v>
      </c>
      <c r="G9" s="181"/>
      <c r="H9" s="181"/>
    </row>
    <row r="10" spans="1:9" x14ac:dyDescent="0.35">
      <c r="A10" s="181" t="s">
        <v>87</v>
      </c>
      <c r="B10" s="181"/>
      <c r="C10" s="118">
        <v>0</v>
      </c>
      <c r="D10" s="181">
        <v>0</v>
      </c>
      <c r="E10" s="118">
        <f>C10*D10</f>
        <v>0</v>
      </c>
      <c r="F10" s="118"/>
      <c r="G10" s="181"/>
      <c r="H10" s="181"/>
    </row>
    <row r="11" spans="1:9" x14ac:dyDescent="0.35">
      <c r="A11" s="181" t="s">
        <v>88</v>
      </c>
      <c r="B11" s="182" t="s">
        <v>272</v>
      </c>
      <c r="C11" s="118"/>
      <c r="D11" s="181">
        <v>0</v>
      </c>
      <c r="E11" s="118">
        <f>C11*D11</f>
        <v>0</v>
      </c>
      <c r="F11" s="118"/>
      <c r="G11" s="181"/>
      <c r="H11" s="118">
        <f>F11*G11</f>
        <v>0</v>
      </c>
    </row>
    <row r="12" spans="1:9" ht="16" x14ac:dyDescent="0.35">
      <c r="A12" s="181" t="s">
        <v>88</v>
      </c>
      <c r="B12" s="182" t="s">
        <v>349</v>
      </c>
      <c r="C12" s="118"/>
      <c r="D12" s="181"/>
      <c r="E12" s="118"/>
      <c r="F12" s="118">
        <v>781</v>
      </c>
      <c r="G12" s="200">
        <f>'CI-Y1'!$L$17</f>
        <v>79</v>
      </c>
      <c r="H12" s="118">
        <f>F12*G12</f>
        <v>61699</v>
      </c>
    </row>
    <row r="13" spans="1:9" ht="15.5" x14ac:dyDescent="0.35">
      <c r="A13" s="181" t="s">
        <v>88</v>
      </c>
      <c r="B13" s="182" t="s">
        <v>274</v>
      </c>
      <c r="C13" s="118"/>
      <c r="D13" s="181"/>
      <c r="E13" s="118"/>
      <c r="F13" s="118">
        <v>697</v>
      </c>
      <c r="G13" s="200">
        <f>'CI-Y1'!$L$17</f>
        <v>79</v>
      </c>
      <c r="H13" s="118">
        <f>F13*G13</f>
        <v>55063</v>
      </c>
    </row>
    <row r="14" spans="1:9" x14ac:dyDescent="0.35">
      <c r="A14" s="183"/>
      <c r="B14" s="184" t="s">
        <v>276</v>
      </c>
      <c r="C14" s="118"/>
      <c r="D14" s="181"/>
      <c r="E14" s="118">
        <f>ROUND(SUM(E11:E13), -4)</f>
        <v>0</v>
      </c>
      <c r="F14" s="118"/>
      <c r="G14" s="181"/>
      <c r="H14" s="118">
        <f>ROUND(SUM(H7:H13), -4)</f>
        <v>120000</v>
      </c>
    </row>
    <row r="15" spans="1:9" x14ac:dyDescent="0.35">
      <c r="B15" s="185"/>
      <c r="D15" s="185"/>
      <c r="E15" s="185"/>
      <c r="G15" s="185"/>
    </row>
    <row r="16" spans="1:9" x14ac:dyDescent="0.35">
      <c r="B16" s="185"/>
      <c r="D16" s="185"/>
      <c r="F16" s="185"/>
      <c r="G16" s="186" t="s">
        <v>277</v>
      </c>
      <c r="H16" s="185">
        <f>ROUND(SUM(E7:E13,H7:H13), -4)</f>
        <v>120000</v>
      </c>
    </row>
    <row r="17" spans="1:5" x14ac:dyDescent="0.35">
      <c r="B17" s="185"/>
      <c r="E17" s="185"/>
    </row>
    <row r="18" spans="1:5" x14ac:dyDescent="0.35">
      <c r="A18" s="187" t="s">
        <v>278</v>
      </c>
    </row>
    <row r="19" spans="1:5" x14ac:dyDescent="0.35">
      <c r="A19" s="187" t="s">
        <v>279</v>
      </c>
    </row>
    <row r="20" spans="1:5" x14ac:dyDescent="0.35">
      <c r="A20" s="429"/>
    </row>
  </sheetData>
  <mergeCells count="2">
    <mergeCell ref="A1:I1"/>
    <mergeCell ref="A3:G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6610A-6AB1-4086-83F2-4D0B0AAABF45}">
  <dimension ref="A1:I20"/>
  <sheetViews>
    <sheetView zoomScale="80" zoomScaleNormal="80" workbookViewId="0">
      <selection activeCell="H13" sqref="H13"/>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15" customHeight="1" x14ac:dyDescent="0.35">
      <c r="A1" s="462" t="s">
        <v>350</v>
      </c>
      <c r="B1" s="462"/>
      <c r="C1" s="462"/>
      <c r="D1" s="462"/>
      <c r="E1" s="462"/>
      <c r="F1" s="462"/>
      <c r="G1" s="462"/>
      <c r="H1" s="462"/>
      <c r="I1" s="462"/>
    </row>
    <row r="2" spans="1:9" ht="15" x14ac:dyDescent="0.35">
      <c r="A2" s="423" t="s">
        <v>286</v>
      </c>
      <c r="B2" s="423"/>
      <c r="C2" s="423"/>
      <c r="D2" s="423"/>
      <c r="E2" s="423"/>
      <c r="F2" s="423"/>
      <c r="G2" s="423"/>
      <c r="H2" s="423"/>
      <c r="I2" s="423"/>
    </row>
    <row r="3" spans="1:9" ht="15.65" customHeight="1" x14ac:dyDescent="0.35">
      <c r="A3" s="478" t="s">
        <v>346</v>
      </c>
      <c r="B3" s="478"/>
      <c r="C3" s="478"/>
      <c r="D3" s="478"/>
      <c r="E3" s="478"/>
      <c r="F3" s="478"/>
      <c r="G3" s="478"/>
    </row>
    <row r="4" spans="1:9" ht="15" x14ac:dyDescent="0.35">
      <c r="A4" s="288"/>
      <c r="B4" s="289"/>
      <c r="C4" s="289"/>
      <c r="D4" s="289"/>
      <c r="E4" s="289"/>
      <c r="F4" s="289"/>
      <c r="G4" s="289"/>
    </row>
    <row r="5" spans="1:9" x14ac:dyDescent="0.35">
      <c r="B5" s="290" t="s">
        <v>220</v>
      </c>
      <c r="C5" s="179" t="s">
        <v>221</v>
      </c>
      <c r="D5" s="179" t="s">
        <v>222</v>
      </c>
      <c r="E5" s="179" t="s">
        <v>223</v>
      </c>
      <c r="F5" s="179" t="s">
        <v>224</v>
      </c>
      <c r="G5" s="179" t="s">
        <v>225</v>
      </c>
      <c r="H5" s="180" t="s">
        <v>226</v>
      </c>
    </row>
    <row r="6" spans="1:9" ht="52" x14ac:dyDescent="0.35">
      <c r="A6" s="181" t="s">
        <v>264</v>
      </c>
      <c r="B6" s="181" t="s">
        <v>265</v>
      </c>
      <c r="C6" s="181" t="s">
        <v>266</v>
      </c>
      <c r="D6" s="181" t="s">
        <v>347</v>
      </c>
      <c r="E6" s="181" t="s">
        <v>268</v>
      </c>
      <c r="F6" s="181" t="s">
        <v>269</v>
      </c>
      <c r="G6" s="181" t="s">
        <v>348</v>
      </c>
      <c r="H6" s="181" t="s">
        <v>271</v>
      </c>
    </row>
    <row r="7" spans="1:9" x14ac:dyDescent="0.35">
      <c r="A7" s="181" t="s">
        <v>89</v>
      </c>
      <c r="B7" s="182" t="s">
        <v>351</v>
      </c>
      <c r="C7" s="118">
        <v>0</v>
      </c>
      <c r="D7" s="181">
        <v>0</v>
      </c>
      <c r="E7" s="118">
        <f>C7*D7</f>
        <v>0</v>
      </c>
      <c r="F7" s="118">
        <v>697</v>
      </c>
      <c r="G7" s="200">
        <f>'CI-Y4'!$L$16</f>
        <v>79</v>
      </c>
      <c r="H7" s="118">
        <f>F7*G7</f>
        <v>55063</v>
      </c>
    </row>
    <row r="8" spans="1:9" x14ac:dyDescent="0.35">
      <c r="A8" s="181" t="s">
        <v>89</v>
      </c>
      <c r="B8" s="181"/>
      <c r="C8" s="118">
        <v>0</v>
      </c>
      <c r="D8" s="181">
        <v>0</v>
      </c>
      <c r="E8" s="118">
        <f>C8*D8</f>
        <v>0</v>
      </c>
      <c r="F8" s="118"/>
      <c r="G8" s="181"/>
      <c r="H8" s="118"/>
    </row>
    <row r="9" spans="1:9" x14ac:dyDescent="0.35">
      <c r="A9" s="181" t="s">
        <v>90</v>
      </c>
      <c r="B9" s="182" t="s">
        <v>351</v>
      </c>
      <c r="C9" s="118">
        <v>0</v>
      </c>
      <c r="D9" s="181">
        <v>0</v>
      </c>
      <c r="E9" s="118">
        <f>C9*D9</f>
        <v>0</v>
      </c>
      <c r="F9" s="118">
        <v>697</v>
      </c>
      <c r="G9" s="200">
        <f>'CI-Y4'!$L$16</f>
        <v>79</v>
      </c>
      <c r="H9" s="118">
        <f>F9*G9</f>
        <v>55063</v>
      </c>
    </row>
    <row r="10" spans="1:9" x14ac:dyDescent="0.35">
      <c r="A10" s="181" t="s">
        <v>90</v>
      </c>
      <c r="B10" s="181"/>
      <c r="C10" s="118">
        <v>0</v>
      </c>
      <c r="D10" s="181">
        <v>0</v>
      </c>
      <c r="E10" s="118">
        <f>C10*D10</f>
        <v>0</v>
      </c>
      <c r="F10" s="118"/>
      <c r="G10" s="181"/>
      <c r="H10" s="181"/>
    </row>
    <row r="11" spans="1:9" x14ac:dyDescent="0.35">
      <c r="A11" s="181" t="s">
        <v>91</v>
      </c>
      <c r="B11" s="182" t="s">
        <v>351</v>
      </c>
      <c r="C11" s="118"/>
      <c r="D11" s="181">
        <v>0</v>
      </c>
      <c r="E11" s="118">
        <f>C11*D11</f>
        <v>0</v>
      </c>
      <c r="F11" s="118"/>
      <c r="G11" s="181"/>
      <c r="H11" s="118">
        <f>F11*G11</f>
        <v>0</v>
      </c>
    </row>
    <row r="12" spans="1:9" ht="16" x14ac:dyDescent="0.35">
      <c r="A12" s="181" t="s">
        <v>91</v>
      </c>
      <c r="B12" s="182" t="s">
        <v>349</v>
      </c>
      <c r="C12" s="118"/>
      <c r="D12" s="181"/>
      <c r="E12" s="118"/>
      <c r="F12" s="118"/>
      <c r="G12" s="200"/>
      <c r="H12" s="118">
        <f>F12*G12</f>
        <v>0</v>
      </c>
    </row>
    <row r="13" spans="1:9" ht="15.5" x14ac:dyDescent="0.35">
      <c r="A13" s="181" t="s">
        <v>91</v>
      </c>
      <c r="B13" s="182" t="s">
        <v>274</v>
      </c>
      <c r="C13" s="118"/>
      <c r="D13" s="181"/>
      <c r="E13" s="118"/>
      <c r="F13" s="118">
        <v>697</v>
      </c>
      <c r="G13" s="200">
        <f>'CI-Y4'!$L$16</f>
        <v>79</v>
      </c>
      <c r="H13" s="118">
        <f>F13*G13</f>
        <v>55063</v>
      </c>
    </row>
    <row r="14" spans="1:9" x14ac:dyDescent="0.35">
      <c r="A14" s="183"/>
      <c r="B14" s="184" t="s">
        <v>276</v>
      </c>
      <c r="C14" s="118"/>
      <c r="D14" s="181"/>
      <c r="E14" s="118">
        <f>ROUND(SUM(E11:E13), -4)</f>
        <v>0</v>
      </c>
      <c r="F14" s="118"/>
      <c r="G14" s="181"/>
      <c r="H14" s="118">
        <f>ROUND(SUM(H7:H13), -4)</f>
        <v>170000</v>
      </c>
    </row>
    <row r="15" spans="1:9" x14ac:dyDescent="0.35">
      <c r="B15" s="185"/>
      <c r="D15" s="185"/>
      <c r="E15" s="185"/>
      <c r="G15" s="185"/>
    </row>
    <row r="16" spans="1:9" x14ac:dyDescent="0.35">
      <c r="B16" s="185"/>
      <c r="D16" s="185"/>
      <c r="F16" s="185"/>
      <c r="G16" s="186" t="s">
        <v>277</v>
      </c>
      <c r="H16" s="185">
        <f>ROUND(SUM(E7:E13,H7:H13), -4)</f>
        <v>170000</v>
      </c>
    </row>
    <row r="17" spans="1:5" x14ac:dyDescent="0.35">
      <c r="B17" s="185"/>
      <c r="E17" s="185"/>
    </row>
    <row r="18" spans="1:5" x14ac:dyDescent="0.35">
      <c r="A18" s="187" t="s">
        <v>278</v>
      </c>
    </row>
    <row r="19" spans="1:5" x14ac:dyDescent="0.35">
      <c r="A19" s="187" t="s">
        <v>279</v>
      </c>
    </row>
    <row r="20" spans="1:5" x14ac:dyDescent="0.35">
      <c r="A20" s="429"/>
    </row>
  </sheetData>
  <mergeCells count="2">
    <mergeCell ref="A1:I1"/>
    <mergeCell ref="A3:G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B87F-8CD1-437C-9F1A-73ABE2066CE5}">
  <sheetPr codeName="Sheet15">
    <pageSetUpPr fitToPage="1"/>
  </sheetPr>
  <dimension ref="A1:O65"/>
  <sheetViews>
    <sheetView zoomScale="80" zoomScaleNormal="80" workbookViewId="0">
      <pane xSplit="13" ySplit="5" topLeftCell="N39" activePane="bottomRight" state="frozen"/>
      <selection pane="topRight" activeCell="A73" sqref="A73"/>
      <selection pane="bottomLeft" activeCell="A73" sqref="A73"/>
      <selection pane="bottomRight" activeCell="F32" sqref="F32"/>
    </sheetView>
  </sheetViews>
  <sheetFormatPr defaultColWidth="9.1796875" defaultRowHeight="13" x14ac:dyDescent="0.3"/>
  <cols>
    <col min="1" max="1" width="24.17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2.08984375" style="150" customWidth="1"/>
    <col min="10" max="10" width="7.1796875" style="150" customWidth="1"/>
    <col min="11" max="11" width="24.54296875" style="150" customWidth="1"/>
    <col min="12" max="12" width="14.54296875" style="150" customWidth="1"/>
    <col min="13" max="13" width="49.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352</v>
      </c>
      <c r="B2" s="423"/>
      <c r="C2" s="423"/>
      <c r="D2" s="423"/>
      <c r="E2" s="423"/>
      <c r="F2" s="423"/>
      <c r="G2" s="423"/>
      <c r="H2" s="423"/>
      <c r="I2" s="423"/>
    </row>
    <row r="3" spans="1:14" s="188" customFormat="1" ht="33" customHeight="1" x14ac:dyDescent="0.3">
      <c r="A3" s="462" t="s">
        <v>353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354</v>
      </c>
    </row>
    <row r="6" spans="1:14" x14ac:dyDescent="0.3">
      <c r="A6" s="182" t="s">
        <v>121</v>
      </c>
      <c r="B6" s="190" t="s">
        <v>122</v>
      </c>
      <c r="C6" s="192"/>
      <c r="D6" s="193"/>
      <c r="E6" s="192"/>
      <c r="F6" s="193"/>
      <c r="G6" s="193"/>
      <c r="H6" s="193"/>
      <c r="I6" s="193"/>
      <c r="K6" s="480" t="s">
        <v>123</v>
      </c>
      <c r="L6" s="480"/>
      <c r="N6" s="150">
        <f>C6*E6</f>
        <v>0</v>
      </c>
    </row>
    <row r="7" spans="1:14" ht="43.5" customHeight="1" x14ac:dyDescent="0.3">
      <c r="A7" s="182" t="s">
        <v>124</v>
      </c>
      <c r="B7" s="190" t="s">
        <v>122</v>
      </c>
      <c r="C7" s="192"/>
      <c r="D7" s="193"/>
      <c r="E7" s="192"/>
      <c r="F7" s="193"/>
      <c r="G7" s="193"/>
      <c r="H7" s="193"/>
      <c r="I7" s="193"/>
      <c r="K7" s="194" t="s">
        <v>125</v>
      </c>
      <c r="L7" s="195">
        <f>76.96*2.1</f>
        <v>161.61599999999999</v>
      </c>
      <c r="M7" s="316" t="s">
        <v>126</v>
      </c>
      <c r="N7" s="150">
        <f t="shared" ref="N7:N53" si="0">C7*E7</f>
        <v>0</v>
      </c>
    </row>
    <row r="8" spans="1:14" ht="44.5" customHeight="1" x14ac:dyDescent="0.3">
      <c r="A8" s="182" t="s">
        <v>127</v>
      </c>
      <c r="B8" s="190">
        <v>0</v>
      </c>
      <c r="C8" s="115">
        <v>0</v>
      </c>
      <c r="D8" s="190">
        <f>B8*C8</f>
        <v>0</v>
      </c>
      <c r="E8" s="115">
        <f>L20</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52" x14ac:dyDescent="0.3">
      <c r="A10" s="76" t="s">
        <v>131</v>
      </c>
      <c r="B10" s="73">
        <v>156</v>
      </c>
      <c r="C10" s="74">
        <v>1</v>
      </c>
      <c r="D10" s="73">
        <f>B10*C10</f>
        <v>156</v>
      </c>
      <c r="E10" s="115">
        <f>L22*0.01</f>
        <v>0.28999999999999998</v>
      </c>
      <c r="F10" s="190">
        <f>D10*E10</f>
        <v>45.239999999999995</v>
      </c>
      <c r="G10" s="190">
        <f>F10*0.05</f>
        <v>2.262</v>
      </c>
      <c r="H10" s="190">
        <f>F10*0.1</f>
        <v>4.524</v>
      </c>
      <c r="I10" s="164">
        <f>F10*$L$8+G10*$L$7+H10*$L$9</f>
        <v>6432.340823999999</v>
      </c>
      <c r="K10" s="285"/>
      <c r="L10" s="311"/>
      <c r="M10" s="198"/>
    </row>
    <row r="11" spans="1:14" ht="26" x14ac:dyDescent="0.3">
      <c r="A11" s="301" t="s">
        <v>132</v>
      </c>
      <c r="B11" s="190">
        <v>10</v>
      </c>
      <c r="C11" s="115">
        <v>1</v>
      </c>
      <c r="D11" s="190">
        <f>B11*C11</f>
        <v>10</v>
      </c>
      <c r="E11" s="115">
        <f>L22</f>
        <v>29</v>
      </c>
      <c r="F11" s="190">
        <f>D11*E11</f>
        <v>290</v>
      </c>
      <c r="G11" s="190">
        <f>F11*0.05</f>
        <v>14.5</v>
      </c>
      <c r="H11" s="190">
        <f>F11*0.1</f>
        <v>29</v>
      </c>
      <c r="I11" s="164">
        <f>F11*$L$8+G11*$L$7+H11*$L$9</f>
        <v>41232.953999999998</v>
      </c>
      <c r="K11" s="420"/>
      <c r="N11" s="150">
        <f t="shared" si="0"/>
        <v>29</v>
      </c>
    </row>
    <row r="12" spans="1:14" ht="26" x14ac:dyDescent="0.3">
      <c r="A12" s="259" t="s">
        <v>289</v>
      </c>
      <c r="B12" s="190">
        <v>0.5</v>
      </c>
      <c r="C12" s="115">
        <v>1</v>
      </c>
      <c r="D12" s="190">
        <f>B12*C12</f>
        <v>0.5</v>
      </c>
      <c r="E12" s="115">
        <f>L22</f>
        <v>29</v>
      </c>
      <c r="F12" s="190">
        <f>D12*E12</f>
        <v>14.5</v>
      </c>
      <c r="G12" s="190">
        <f>F12*0.05</f>
        <v>0.72500000000000009</v>
      </c>
      <c r="H12" s="190">
        <f>F12*0.1</f>
        <v>1.4500000000000002</v>
      </c>
      <c r="I12" s="164">
        <f>F12*$L$8+G12*$L$7+H12*$L$9</f>
        <v>2061.6477</v>
      </c>
      <c r="K12" s="420"/>
      <c r="N12" s="150">
        <f t="shared" si="0"/>
        <v>29</v>
      </c>
    </row>
    <row r="13" spans="1:14" ht="15.75" customHeight="1" x14ac:dyDescent="0.3">
      <c r="A13" s="301" t="s">
        <v>133</v>
      </c>
      <c r="B13" s="190"/>
      <c r="C13" s="115"/>
      <c r="D13" s="190"/>
      <c r="E13" s="115"/>
      <c r="F13" s="190"/>
      <c r="G13" s="190"/>
      <c r="H13" s="190"/>
      <c r="I13" s="164"/>
      <c r="N13" s="150">
        <f t="shared" si="0"/>
        <v>0</v>
      </c>
    </row>
    <row r="14" spans="1:14" ht="15.5" x14ac:dyDescent="0.3">
      <c r="A14" s="306" t="s">
        <v>290</v>
      </c>
      <c r="B14" s="190"/>
      <c r="C14" s="115"/>
      <c r="D14" s="190"/>
      <c r="E14" s="201"/>
      <c r="F14" s="202"/>
      <c r="G14" s="190"/>
      <c r="H14" s="190"/>
      <c r="I14" s="164"/>
      <c r="N14" s="150">
        <f t="shared" si="0"/>
        <v>0</v>
      </c>
    </row>
    <row r="15" spans="1:14" ht="31" customHeight="1" x14ac:dyDescent="0.3">
      <c r="A15" s="116" t="s">
        <v>295</v>
      </c>
      <c r="B15" s="115">
        <v>0</v>
      </c>
      <c r="C15" s="115">
        <v>0</v>
      </c>
      <c r="D15" s="190">
        <f>B15*C15</f>
        <v>0</v>
      </c>
      <c r="E15" s="201">
        <v>0</v>
      </c>
      <c r="F15" s="202">
        <f>D15*E15</f>
        <v>0</v>
      </c>
      <c r="G15" s="190">
        <f>F15*0.05</f>
        <v>0</v>
      </c>
      <c r="H15" s="190">
        <f>F15*0.1</f>
        <v>0</v>
      </c>
      <c r="I15" s="164">
        <f>F15*$L$8+G15*$L$7+H15*$L$9</f>
        <v>0</v>
      </c>
      <c r="N15" s="150">
        <f t="shared" si="0"/>
        <v>0</v>
      </c>
    </row>
    <row r="16" spans="1:14" ht="26" x14ac:dyDescent="0.3">
      <c r="A16" s="116" t="s">
        <v>296</v>
      </c>
      <c r="B16" s="115">
        <v>0</v>
      </c>
      <c r="C16" s="115">
        <v>0</v>
      </c>
      <c r="D16" s="190">
        <f t="shared" ref="D16" si="1">B16*C16</f>
        <v>0</v>
      </c>
      <c r="E16" s="201">
        <f>E15*0.05</f>
        <v>0</v>
      </c>
      <c r="F16" s="202">
        <f t="shared" ref="F16:F19" si="2">D16*E16</f>
        <v>0</v>
      </c>
      <c r="G16" s="190">
        <f t="shared" ref="G16:G19" si="3">F16*0.05</f>
        <v>0</v>
      </c>
      <c r="H16" s="190">
        <f t="shared" ref="H16:H19" si="4">F16*0.1</f>
        <v>0</v>
      </c>
      <c r="I16" s="164">
        <f t="shared" ref="I16:I19" si="5">F16*$L$8+G16*$L$7+H16*$L$9</f>
        <v>0</v>
      </c>
      <c r="J16" s="420"/>
      <c r="N16" s="150">
        <f t="shared" si="0"/>
        <v>0</v>
      </c>
    </row>
    <row r="17" spans="1:14" ht="28.5" x14ac:dyDescent="0.3">
      <c r="A17" s="306" t="s">
        <v>297</v>
      </c>
      <c r="B17" s="190"/>
      <c r="C17" s="115"/>
      <c r="D17" s="190"/>
      <c r="E17" s="115"/>
      <c r="F17" s="202"/>
      <c r="G17" s="190"/>
      <c r="H17" s="190"/>
      <c r="I17" s="164"/>
      <c r="L17" s="420"/>
      <c r="M17" s="420"/>
      <c r="N17" s="150">
        <f t="shared" si="0"/>
        <v>0</v>
      </c>
    </row>
    <row r="18" spans="1:14" ht="26" x14ac:dyDescent="0.3">
      <c r="A18" s="301" t="s">
        <v>295</v>
      </c>
      <c r="B18" s="115">
        <v>0</v>
      </c>
      <c r="C18" s="115">
        <v>0</v>
      </c>
      <c r="D18" s="190">
        <f>B18*C18</f>
        <v>0</v>
      </c>
      <c r="E18" s="201">
        <v>0</v>
      </c>
      <c r="F18" s="202">
        <f t="shared" si="2"/>
        <v>0</v>
      </c>
      <c r="G18" s="190">
        <f t="shared" si="3"/>
        <v>0</v>
      </c>
      <c r="H18" s="190">
        <f t="shared" si="4"/>
        <v>0</v>
      </c>
      <c r="I18" s="164">
        <f t="shared" si="5"/>
        <v>0</v>
      </c>
      <c r="J18" s="203"/>
      <c r="N18" s="150">
        <f t="shared" si="0"/>
        <v>0</v>
      </c>
    </row>
    <row r="19" spans="1:14" ht="26" x14ac:dyDescent="0.3">
      <c r="A19" s="301" t="s">
        <v>296</v>
      </c>
      <c r="B19" s="115">
        <v>0</v>
      </c>
      <c r="C19" s="115">
        <v>0</v>
      </c>
      <c r="D19" s="190">
        <f t="shared" ref="D19" si="6">B19*C19</f>
        <v>0</v>
      </c>
      <c r="E19" s="201">
        <f>E18*0.05</f>
        <v>0</v>
      </c>
      <c r="F19" s="202">
        <f t="shared" si="2"/>
        <v>0</v>
      </c>
      <c r="G19" s="190">
        <f t="shared" si="3"/>
        <v>0</v>
      </c>
      <c r="H19" s="190">
        <f t="shared" si="4"/>
        <v>0</v>
      </c>
      <c r="I19" s="164">
        <f t="shared" si="5"/>
        <v>0</v>
      </c>
      <c r="J19" s="203"/>
      <c r="K19" s="200"/>
      <c r="L19" s="431" t="s">
        <v>518</v>
      </c>
      <c r="N19" s="150">
        <f t="shared" si="0"/>
        <v>0</v>
      </c>
    </row>
    <row r="20" spans="1:14" ht="28.5" x14ac:dyDescent="0.3">
      <c r="A20" s="306" t="s">
        <v>151</v>
      </c>
      <c r="B20" s="204"/>
      <c r="C20" s="205"/>
      <c r="D20" s="204"/>
      <c r="E20" s="206"/>
      <c r="F20" s="202"/>
      <c r="G20" s="190"/>
      <c r="H20" s="190"/>
      <c r="I20" s="164"/>
      <c r="K20" s="265"/>
      <c r="L20" s="265">
        <v>0</v>
      </c>
      <c r="M20" s="188"/>
      <c r="N20" s="150">
        <f t="shared" si="0"/>
        <v>0</v>
      </c>
    </row>
    <row r="21" spans="1:14" ht="26" x14ac:dyDescent="0.3">
      <c r="A21" s="301"/>
      <c r="B21" s="190"/>
      <c r="C21" s="115"/>
      <c r="D21" s="190"/>
      <c r="E21" s="201"/>
      <c r="F21" s="202"/>
      <c r="G21" s="190"/>
      <c r="H21" s="190"/>
      <c r="I21" s="164"/>
      <c r="K21" s="265" t="s">
        <v>136</v>
      </c>
      <c r="L21" s="265">
        <f>L20+L22*0.07</f>
        <v>2.0300000000000002</v>
      </c>
      <c r="M21" s="264" t="s">
        <v>294</v>
      </c>
      <c r="N21" s="150">
        <f t="shared" si="0"/>
        <v>0</v>
      </c>
    </row>
    <row r="22" spans="1:14" x14ac:dyDescent="0.3">
      <c r="A22" s="301"/>
      <c r="B22" s="190"/>
      <c r="C22" s="115"/>
      <c r="D22" s="190"/>
      <c r="E22" s="201"/>
      <c r="F22" s="202"/>
      <c r="G22" s="190"/>
      <c r="H22" s="190"/>
      <c r="I22" s="164"/>
      <c r="K22" s="200" t="s">
        <v>141</v>
      </c>
      <c r="L22" s="200">
        <v>29</v>
      </c>
      <c r="N22" s="150">
        <f t="shared" si="0"/>
        <v>0</v>
      </c>
    </row>
    <row r="23" spans="1:14" ht="26" x14ac:dyDescent="0.3">
      <c r="A23" s="301" t="s">
        <v>155</v>
      </c>
      <c r="B23" s="190"/>
      <c r="C23" s="192"/>
      <c r="D23" s="193"/>
      <c r="E23" s="207"/>
      <c r="F23" s="193"/>
      <c r="G23" s="193"/>
      <c r="H23" s="193"/>
      <c r="I23" s="164"/>
      <c r="N23" s="150">
        <f t="shared" si="0"/>
        <v>0</v>
      </c>
    </row>
    <row r="24" spans="1:14" ht="26" x14ac:dyDescent="0.3">
      <c r="A24" s="301" t="s">
        <v>156</v>
      </c>
      <c r="B24" s="190"/>
      <c r="C24" s="192"/>
      <c r="D24" s="193"/>
      <c r="E24" s="207"/>
      <c r="F24" s="193"/>
      <c r="G24" s="193"/>
      <c r="H24" s="193"/>
      <c r="I24" s="164"/>
      <c r="N24" s="150">
        <f t="shared" si="0"/>
        <v>0</v>
      </c>
    </row>
    <row r="25" spans="1:14" x14ac:dyDescent="0.3">
      <c r="A25" s="301" t="s">
        <v>157</v>
      </c>
      <c r="B25" s="193"/>
      <c r="C25" s="192"/>
      <c r="D25" s="193"/>
      <c r="E25" s="207"/>
      <c r="F25" s="193"/>
      <c r="G25" s="193"/>
      <c r="H25" s="193"/>
      <c r="I25" s="164"/>
      <c r="N25" s="150">
        <f t="shared" si="0"/>
        <v>0</v>
      </c>
    </row>
    <row r="26" spans="1:14" ht="26.5" customHeight="1" x14ac:dyDescent="0.3">
      <c r="A26" s="307" t="s">
        <v>158</v>
      </c>
      <c r="B26" s="190"/>
      <c r="C26" s="115"/>
      <c r="D26" s="190"/>
      <c r="E26" s="201"/>
      <c r="F26" s="190"/>
      <c r="G26" s="190"/>
      <c r="H26" s="190"/>
      <c r="I26" s="164"/>
      <c r="N26" s="150">
        <f t="shared" si="0"/>
        <v>0</v>
      </c>
    </row>
    <row r="27" spans="1:14" ht="26.5" customHeight="1" x14ac:dyDescent="0.3">
      <c r="A27" s="301" t="s">
        <v>212</v>
      </c>
      <c r="B27" s="115">
        <v>0</v>
      </c>
      <c r="C27" s="115">
        <v>0</v>
      </c>
      <c r="D27" s="190">
        <f t="shared" ref="D27:D29" si="7">B27*C27</f>
        <v>0</v>
      </c>
      <c r="E27" s="201">
        <v>0</v>
      </c>
      <c r="F27" s="190">
        <f t="shared" ref="F27:F29" si="8">D27*E27</f>
        <v>0</v>
      </c>
      <c r="G27" s="190">
        <f t="shared" ref="G27:G29" si="9">F27*0.05</f>
        <v>0</v>
      </c>
      <c r="H27" s="190">
        <f t="shared" ref="H27:H29" si="10">F27*0.1</f>
        <v>0</v>
      </c>
      <c r="I27" s="164">
        <f t="shared" ref="I27:I29" si="11">F27*$L$8+G27*$L$7+H27*$L$9</f>
        <v>0</v>
      </c>
      <c r="N27" s="150">
        <f t="shared" si="0"/>
        <v>0</v>
      </c>
    </row>
    <row r="28" spans="1:14" ht="39" x14ac:dyDescent="0.3">
      <c r="A28" s="301" t="s">
        <v>303</v>
      </c>
      <c r="B28" s="115">
        <v>0</v>
      </c>
      <c r="C28" s="115">
        <v>0</v>
      </c>
      <c r="D28" s="190">
        <f t="shared" si="7"/>
        <v>0</v>
      </c>
      <c r="E28" s="201">
        <v>0</v>
      </c>
      <c r="F28" s="190">
        <f t="shared" si="8"/>
        <v>0</v>
      </c>
      <c r="G28" s="190">
        <f t="shared" si="9"/>
        <v>0</v>
      </c>
      <c r="H28" s="190">
        <f t="shared" si="10"/>
        <v>0</v>
      </c>
      <c r="I28" s="164">
        <f t="shared" si="11"/>
        <v>0</v>
      </c>
      <c r="N28" s="150">
        <f t="shared" si="0"/>
        <v>0</v>
      </c>
    </row>
    <row r="29" spans="1:14" ht="26" x14ac:dyDescent="0.3">
      <c r="A29" s="301" t="s">
        <v>304</v>
      </c>
      <c r="B29" s="115">
        <v>0</v>
      </c>
      <c r="C29" s="115">
        <v>0</v>
      </c>
      <c r="D29" s="190">
        <f t="shared" si="7"/>
        <v>0</v>
      </c>
      <c r="E29" s="201">
        <v>0</v>
      </c>
      <c r="F29" s="190">
        <f t="shared" si="8"/>
        <v>0</v>
      </c>
      <c r="G29" s="190">
        <f t="shared" si="9"/>
        <v>0</v>
      </c>
      <c r="H29" s="190">
        <f t="shared" si="10"/>
        <v>0</v>
      </c>
      <c r="I29" s="164">
        <f t="shared" si="11"/>
        <v>0</v>
      </c>
      <c r="N29" s="150">
        <f t="shared" si="0"/>
        <v>0</v>
      </c>
    </row>
    <row r="30" spans="1:14" x14ac:dyDescent="0.3">
      <c r="A30" s="301"/>
      <c r="B30" s="190"/>
      <c r="C30" s="115"/>
      <c r="D30" s="190"/>
      <c r="E30" s="201"/>
      <c r="F30" s="190"/>
      <c r="G30" s="190"/>
      <c r="H30" s="190"/>
      <c r="I30" s="164"/>
      <c r="N30" s="150">
        <f t="shared" si="0"/>
        <v>0</v>
      </c>
    </row>
    <row r="31" spans="1:14" ht="26" customHeight="1" x14ac:dyDescent="0.3">
      <c r="A31" s="307" t="s">
        <v>163</v>
      </c>
      <c r="B31" s="193"/>
      <c r="C31" s="192"/>
      <c r="D31" s="193"/>
      <c r="E31" s="207"/>
      <c r="F31" s="193"/>
      <c r="G31" s="193"/>
      <c r="H31" s="193"/>
      <c r="I31" s="164"/>
      <c r="K31" s="308"/>
      <c r="N31" s="150">
        <f t="shared" si="0"/>
        <v>0</v>
      </c>
    </row>
    <row r="32" spans="1:14" ht="52" customHeight="1" x14ac:dyDescent="0.3">
      <c r="A32" s="301" t="s">
        <v>520</v>
      </c>
      <c r="B32" s="115">
        <v>10</v>
      </c>
      <c r="C32" s="115">
        <v>1</v>
      </c>
      <c r="D32" s="190">
        <f t="shared" ref="D32:D35" si="12">B32*C32</f>
        <v>10</v>
      </c>
      <c r="E32" s="201">
        <f>$L$22*0.5</f>
        <v>14.5</v>
      </c>
      <c r="F32" s="202">
        <f t="shared" ref="F32" si="13">D32*E32</f>
        <v>145</v>
      </c>
      <c r="G32" s="190">
        <f t="shared" ref="G32" si="14">F32*0.05</f>
        <v>7.25</v>
      </c>
      <c r="H32" s="190">
        <f t="shared" ref="H32" si="15">F32*0.1</f>
        <v>14.5</v>
      </c>
      <c r="I32" s="164">
        <f>F32*$L$8+G32*$L$7+H32*$L$9</f>
        <v>20616.476999999999</v>
      </c>
      <c r="K32" s="309"/>
      <c r="N32" s="150">
        <f t="shared" si="0"/>
        <v>14.5</v>
      </c>
    </row>
    <row r="33" spans="1:14" x14ac:dyDescent="0.3">
      <c r="A33" s="301"/>
      <c r="B33" s="115">
        <v>0</v>
      </c>
      <c r="C33" s="115">
        <v>0</v>
      </c>
      <c r="D33" s="190">
        <f t="shared" si="12"/>
        <v>0</v>
      </c>
      <c r="E33" s="115">
        <v>0</v>
      </c>
      <c r="F33" s="190">
        <f t="shared" ref="F33:F38" si="16">D33*E33</f>
        <v>0</v>
      </c>
      <c r="G33" s="190">
        <f t="shared" ref="G33:G38" si="17">F33*0.05</f>
        <v>0</v>
      </c>
      <c r="H33" s="190">
        <f t="shared" ref="H33:H38" si="18">F33*0.1</f>
        <v>0</v>
      </c>
      <c r="I33" s="164">
        <f t="shared" ref="I33:I39" si="19">F33*$L$8+G33*$L$7+H33*$L$9</f>
        <v>0</v>
      </c>
      <c r="K33" s="308"/>
      <c r="N33" s="150">
        <f t="shared" si="0"/>
        <v>0</v>
      </c>
    </row>
    <row r="34" spans="1:14" ht="14.5" customHeight="1" x14ac:dyDescent="0.3">
      <c r="A34" s="301"/>
      <c r="B34" s="115">
        <v>0</v>
      </c>
      <c r="C34" s="115">
        <v>0</v>
      </c>
      <c r="D34" s="190">
        <f t="shared" si="12"/>
        <v>0</v>
      </c>
      <c r="E34" s="115">
        <v>0</v>
      </c>
      <c r="F34" s="190">
        <f t="shared" si="16"/>
        <v>0</v>
      </c>
      <c r="G34" s="190">
        <f t="shared" si="17"/>
        <v>0</v>
      </c>
      <c r="H34" s="190">
        <f t="shared" si="18"/>
        <v>0</v>
      </c>
      <c r="I34" s="164">
        <f t="shared" si="19"/>
        <v>0</v>
      </c>
      <c r="K34" s="308"/>
      <c r="N34" s="150">
        <f t="shared" si="0"/>
        <v>0</v>
      </c>
    </row>
    <row r="35" spans="1:14" ht="17" customHeight="1" x14ac:dyDescent="0.3">
      <c r="A35" s="301"/>
      <c r="B35" s="115">
        <v>0</v>
      </c>
      <c r="C35" s="115">
        <v>0</v>
      </c>
      <c r="D35" s="190">
        <f t="shared" si="12"/>
        <v>0</v>
      </c>
      <c r="E35" s="115">
        <v>0</v>
      </c>
      <c r="F35" s="190">
        <f t="shared" si="16"/>
        <v>0</v>
      </c>
      <c r="G35" s="190">
        <f t="shared" si="17"/>
        <v>0</v>
      </c>
      <c r="H35" s="190">
        <f t="shared" si="18"/>
        <v>0</v>
      </c>
      <c r="I35" s="164">
        <f t="shared" si="19"/>
        <v>0</v>
      </c>
      <c r="K35" s="287"/>
      <c r="N35" s="150">
        <f t="shared" si="0"/>
        <v>0</v>
      </c>
    </row>
    <row r="36" spans="1:14" ht="16" customHeight="1" x14ac:dyDescent="0.3">
      <c r="A36" s="301"/>
      <c r="B36" s="190"/>
      <c r="C36" s="115"/>
      <c r="D36" s="190"/>
      <c r="E36" s="201"/>
      <c r="F36" s="190"/>
      <c r="G36" s="190"/>
      <c r="H36" s="190"/>
      <c r="I36" s="164"/>
      <c r="N36" s="150">
        <f t="shared" si="0"/>
        <v>0</v>
      </c>
    </row>
    <row r="37" spans="1:14" ht="39" x14ac:dyDescent="0.3">
      <c r="A37" s="301" t="s">
        <v>303</v>
      </c>
      <c r="B37" s="115">
        <v>0</v>
      </c>
      <c r="C37" s="115">
        <v>0</v>
      </c>
      <c r="D37" s="190">
        <f t="shared" ref="D37:D39" si="20">B37*C37</f>
        <v>0</v>
      </c>
      <c r="E37" s="201">
        <f>E36</f>
        <v>0</v>
      </c>
      <c r="F37" s="190">
        <f t="shared" si="16"/>
        <v>0</v>
      </c>
      <c r="G37" s="190">
        <f t="shared" si="17"/>
        <v>0</v>
      </c>
      <c r="H37" s="190">
        <f t="shared" si="18"/>
        <v>0</v>
      </c>
      <c r="I37" s="164">
        <f t="shared" si="19"/>
        <v>0</v>
      </c>
      <c r="N37" s="150">
        <f t="shared" si="0"/>
        <v>0</v>
      </c>
    </row>
    <row r="38" spans="1:14" ht="39" x14ac:dyDescent="0.3">
      <c r="A38" s="301" t="s">
        <v>309</v>
      </c>
      <c r="B38" s="115">
        <v>0</v>
      </c>
      <c r="C38" s="115">
        <v>0</v>
      </c>
      <c r="D38" s="190">
        <f t="shared" si="20"/>
        <v>0</v>
      </c>
      <c r="E38" s="201">
        <f>E37</f>
        <v>0</v>
      </c>
      <c r="F38" s="190">
        <f t="shared" si="16"/>
        <v>0</v>
      </c>
      <c r="G38" s="190">
        <f t="shared" si="17"/>
        <v>0</v>
      </c>
      <c r="H38" s="190">
        <f t="shared" si="18"/>
        <v>0</v>
      </c>
      <c r="I38" s="164">
        <f t="shared" si="19"/>
        <v>0</v>
      </c>
      <c r="N38" s="150">
        <f t="shared" si="0"/>
        <v>0</v>
      </c>
    </row>
    <row r="39" spans="1:14" ht="43.5" customHeight="1" x14ac:dyDescent="0.3">
      <c r="A39" s="303" t="s">
        <v>166</v>
      </c>
      <c r="B39" s="115">
        <v>0</v>
      </c>
      <c r="C39" s="115">
        <v>0</v>
      </c>
      <c r="D39" s="190">
        <f t="shared" si="20"/>
        <v>0</v>
      </c>
      <c r="E39" s="201">
        <v>0</v>
      </c>
      <c r="F39" s="190">
        <f t="shared" ref="F39" si="21">D39*E39</f>
        <v>0</v>
      </c>
      <c r="G39" s="190">
        <f t="shared" ref="G39" si="22">F39*0.05</f>
        <v>0</v>
      </c>
      <c r="H39" s="190">
        <f t="shared" ref="H39" si="23">F39*0.1</f>
        <v>0</v>
      </c>
      <c r="I39" s="164">
        <f t="shared" si="19"/>
        <v>0</v>
      </c>
      <c r="N39" s="150">
        <f t="shared" si="0"/>
        <v>0</v>
      </c>
    </row>
    <row r="40" spans="1:14" ht="27" x14ac:dyDescent="0.3">
      <c r="A40" s="208" t="s">
        <v>167</v>
      </c>
      <c r="B40" s="209"/>
      <c r="C40" s="210"/>
      <c r="D40" s="209"/>
      <c r="E40" s="211"/>
      <c r="F40" s="212">
        <f>SUM(F8:H39)</f>
        <v>568.95100000000002</v>
      </c>
      <c r="G40" s="212"/>
      <c r="H40" s="212"/>
      <c r="I40" s="164">
        <f>SUM(I8:I39)</f>
        <v>70343.419523999997</v>
      </c>
      <c r="N40" s="150">
        <f t="shared" si="0"/>
        <v>0</v>
      </c>
    </row>
    <row r="41" spans="1:14" ht="26" x14ac:dyDescent="0.3">
      <c r="A41" s="182" t="s">
        <v>168</v>
      </c>
      <c r="B41" s="193"/>
      <c r="C41" s="192"/>
      <c r="D41" s="193"/>
      <c r="E41" s="207"/>
      <c r="F41" s="193"/>
      <c r="G41" s="193"/>
      <c r="H41" s="193"/>
      <c r="I41" s="164"/>
      <c r="N41" s="150">
        <f t="shared" si="0"/>
        <v>0</v>
      </c>
    </row>
    <row r="42" spans="1:14" ht="26" x14ac:dyDescent="0.3">
      <c r="A42" s="301" t="s">
        <v>132</v>
      </c>
      <c r="B42" s="190"/>
      <c r="C42" s="192"/>
      <c r="D42" s="193"/>
      <c r="E42" s="192"/>
      <c r="F42" s="193"/>
      <c r="G42" s="193"/>
      <c r="H42" s="193"/>
      <c r="I42" s="164"/>
      <c r="N42" s="150">
        <f t="shared" si="0"/>
        <v>0</v>
      </c>
    </row>
    <row r="43" spans="1:14" x14ac:dyDescent="0.3">
      <c r="A43" s="301" t="s">
        <v>169</v>
      </c>
      <c r="B43" s="190"/>
      <c r="C43" s="192"/>
      <c r="D43" s="193"/>
      <c r="E43" s="192"/>
      <c r="F43" s="193"/>
      <c r="G43" s="193"/>
      <c r="H43" s="193"/>
      <c r="I43" s="164"/>
      <c r="N43" s="150">
        <f t="shared" si="0"/>
        <v>0</v>
      </c>
    </row>
    <row r="44" spans="1:14" x14ac:dyDescent="0.3">
      <c r="A44" s="301" t="s">
        <v>170</v>
      </c>
      <c r="B44" s="190"/>
      <c r="C44" s="192"/>
      <c r="D44" s="193"/>
      <c r="E44" s="192"/>
      <c r="F44" s="193"/>
      <c r="G44" s="193"/>
      <c r="H44" s="193"/>
      <c r="I44" s="164"/>
      <c r="N44" s="150">
        <f t="shared" si="0"/>
        <v>0</v>
      </c>
    </row>
    <row r="45" spans="1:14" x14ac:dyDescent="0.3">
      <c r="A45" s="301" t="s">
        <v>171</v>
      </c>
      <c r="B45" s="190" t="s">
        <v>122</v>
      </c>
      <c r="C45" s="192"/>
      <c r="D45" s="193"/>
      <c r="E45" s="192"/>
      <c r="F45" s="193"/>
      <c r="G45" s="193"/>
      <c r="H45" s="193"/>
      <c r="I45" s="164"/>
      <c r="N45" s="150">
        <f t="shared" si="0"/>
        <v>0</v>
      </c>
    </row>
    <row r="46" spans="1:14" ht="26" x14ac:dyDescent="0.3">
      <c r="A46" s="301" t="s">
        <v>172</v>
      </c>
      <c r="B46" s="193"/>
      <c r="C46" s="192"/>
      <c r="D46" s="193"/>
      <c r="E46" s="192"/>
      <c r="F46" s="193"/>
      <c r="G46" s="193"/>
      <c r="H46" s="193"/>
      <c r="I46" s="164"/>
      <c r="N46" s="150">
        <f t="shared" si="0"/>
        <v>0</v>
      </c>
    </row>
    <row r="47" spans="1:14" x14ac:dyDescent="0.3">
      <c r="A47" s="307" t="s">
        <v>163</v>
      </c>
      <c r="B47" s="193"/>
      <c r="C47" s="192"/>
      <c r="D47" s="193"/>
      <c r="E47" s="192"/>
      <c r="F47" s="193"/>
      <c r="G47" s="193"/>
      <c r="H47" s="193"/>
      <c r="I47" s="164"/>
      <c r="N47" s="150">
        <f t="shared" si="0"/>
        <v>0</v>
      </c>
    </row>
    <row r="48" spans="1:14" ht="39.65" customHeight="1" x14ac:dyDescent="0.3">
      <c r="A48" s="301" t="s">
        <v>173</v>
      </c>
      <c r="B48" s="190">
        <v>0.1</v>
      </c>
      <c r="C48" s="115">
        <v>1</v>
      </c>
      <c r="D48" s="190">
        <f t="shared" ref="D48:D53" si="24">B48*C48</f>
        <v>0.1</v>
      </c>
      <c r="E48" s="201">
        <f>$L$22</f>
        <v>29</v>
      </c>
      <c r="F48" s="202">
        <f t="shared" ref="F48:F53" si="25">D48*E48</f>
        <v>2.9000000000000004</v>
      </c>
      <c r="G48" s="190">
        <f t="shared" ref="G48:G53" si="26">F48*0.05</f>
        <v>0.14500000000000002</v>
      </c>
      <c r="H48" s="190">
        <f t="shared" ref="H48:H53" si="27">F48*0.1</f>
        <v>0.29000000000000004</v>
      </c>
      <c r="I48" s="164">
        <f>F48*$L$8+G48*$L$7+H48*$L$9</f>
        <v>412.32954000000007</v>
      </c>
      <c r="N48" s="150">
        <f t="shared" si="0"/>
        <v>29</v>
      </c>
    </row>
    <row r="49" spans="1:15" ht="33.65" customHeight="1" x14ac:dyDescent="0.3">
      <c r="A49" s="301" t="s">
        <v>311</v>
      </c>
      <c r="B49" s="115">
        <v>0</v>
      </c>
      <c r="C49" s="115">
        <v>0</v>
      </c>
      <c r="D49" s="190">
        <f t="shared" si="24"/>
        <v>0</v>
      </c>
      <c r="E49" s="201">
        <v>0</v>
      </c>
      <c r="F49" s="202">
        <f t="shared" si="25"/>
        <v>0</v>
      </c>
      <c r="G49" s="190">
        <f t="shared" si="26"/>
        <v>0</v>
      </c>
      <c r="H49" s="190">
        <f t="shared" si="27"/>
        <v>0</v>
      </c>
      <c r="I49" s="164">
        <f>F49*$L$8+G49*$L$7+H49*$L$9</f>
        <v>0</v>
      </c>
      <c r="N49" s="150">
        <f t="shared" si="0"/>
        <v>0</v>
      </c>
    </row>
    <row r="50" spans="1:15" x14ac:dyDescent="0.3">
      <c r="A50" s="307" t="s">
        <v>158</v>
      </c>
      <c r="B50" s="190"/>
      <c r="C50" s="115"/>
      <c r="D50" s="190"/>
      <c r="E50" s="201"/>
      <c r="F50" s="202"/>
      <c r="G50" s="190"/>
      <c r="H50" s="190"/>
      <c r="I50" s="164"/>
      <c r="N50" s="150">
        <f t="shared" si="0"/>
        <v>0</v>
      </c>
    </row>
    <row r="51" spans="1:15" ht="19" customHeight="1" x14ac:dyDescent="0.3">
      <c r="A51" s="301" t="s">
        <v>173</v>
      </c>
      <c r="B51" s="190">
        <v>1.5</v>
      </c>
      <c r="C51" s="115">
        <v>1</v>
      </c>
      <c r="D51" s="190">
        <f>B51*C51</f>
        <v>1.5</v>
      </c>
      <c r="E51" s="201">
        <f>$L$21</f>
        <v>2.0300000000000002</v>
      </c>
      <c r="F51" s="202">
        <f t="shared" ref="F51:F52" si="28">D51*E51</f>
        <v>3.0450000000000004</v>
      </c>
      <c r="G51" s="190">
        <f t="shared" ref="G51:G52" si="29">F51*0.05</f>
        <v>0.15225000000000002</v>
      </c>
      <c r="H51" s="190">
        <f t="shared" ref="H51:H52" si="30">F51*0.1</f>
        <v>0.30450000000000005</v>
      </c>
      <c r="I51" s="164">
        <f>F51*$L$8+G51*$L$7+H51*$L$9</f>
        <v>432.94601700000004</v>
      </c>
      <c r="N51" s="150">
        <f t="shared" si="0"/>
        <v>2.0300000000000002</v>
      </c>
    </row>
    <row r="52" spans="1:15" ht="17.5" customHeight="1" x14ac:dyDescent="0.3">
      <c r="A52" s="301" t="s">
        <v>312</v>
      </c>
      <c r="B52" s="115">
        <v>0</v>
      </c>
      <c r="C52" s="115">
        <v>0</v>
      </c>
      <c r="D52" s="190">
        <f t="shared" ref="D52" si="31">B52*C52</f>
        <v>0</v>
      </c>
      <c r="E52" s="201">
        <f>$L$20</f>
        <v>0</v>
      </c>
      <c r="F52" s="202">
        <f t="shared" si="28"/>
        <v>0</v>
      </c>
      <c r="G52" s="190">
        <f t="shared" si="29"/>
        <v>0</v>
      </c>
      <c r="H52" s="190">
        <f t="shared" si="30"/>
        <v>0</v>
      </c>
      <c r="I52" s="164">
        <f>F52*$L$8+G52*$L$7+H52*$L$9</f>
        <v>0</v>
      </c>
      <c r="N52" s="150">
        <f t="shared" si="0"/>
        <v>0</v>
      </c>
    </row>
    <row r="53" spans="1:15" x14ac:dyDescent="0.3">
      <c r="A53" s="301" t="s">
        <v>313</v>
      </c>
      <c r="B53" s="115">
        <v>0</v>
      </c>
      <c r="C53" s="115">
        <v>0</v>
      </c>
      <c r="D53" s="190">
        <f t="shared" si="24"/>
        <v>0</v>
      </c>
      <c r="E53" s="201">
        <f>$L$20</f>
        <v>0</v>
      </c>
      <c r="F53" s="202">
        <f t="shared" si="25"/>
        <v>0</v>
      </c>
      <c r="G53" s="190">
        <f t="shared" si="26"/>
        <v>0</v>
      </c>
      <c r="H53" s="190">
        <f t="shared" si="27"/>
        <v>0</v>
      </c>
      <c r="I53" s="164">
        <f>F53*$L$8+G53*$L$7+H53*$L$9</f>
        <v>0</v>
      </c>
      <c r="N53" s="150">
        <f t="shared" si="0"/>
        <v>0</v>
      </c>
    </row>
    <row r="54" spans="1:15" ht="17.25" customHeight="1" x14ac:dyDescent="0.3">
      <c r="A54" s="301" t="s">
        <v>186</v>
      </c>
      <c r="B54" s="190" t="s">
        <v>122</v>
      </c>
      <c r="C54" s="192"/>
      <c r="D54" s="193"/>
      <c r="E54" s="192"/>
      <c r="F54" s="193"/>
      <c r="G54" s="193"/>
      <c r="H54" s="193"/>
      <c r="I54" s="164"/>
      <c r="N54" s="150">
        <f>SUM(N6:N53)</f>
        <v>103.53</v>
      </c>
      <c r="O54" s="150" t="s">
        <v>248</v>
      </c>
    </row>
    <row r="55" spans="1:15" ht="27" x14ac:dyDescent="0.3">
      <c r="A55" s="208" t="s">
        <v>188</v>
      </c>
      <c r="B55" s="214"/>
      <c r="C55" s="215"/>
      <c r="D55" s="214"/>
      <c r="E55" s="216"/>
      <c r="F55" s="212">
        <f>SUM(F48:H53)</f>
        <v>6.8367500000000012</v>
      </c>
      <c r="G55" s="212"/>
      <c r="H55" s="212"/>
      <c r="I55" s="164">
        <f>SUM(I48:I54)</f>
        <v>845.27555700000016</v>
      </c>
      <c r="K55" s="221">
        <f>F56/212</f>
        <v>2.8301886792452828</v>
      </c>
      <c r="L55" s="150" t="s">
        <v>190</v>
      </c>
      <c r="N55" s="150">
        <f>N54-N47-N48</f>
        <v>74.53</v>
      </c>
      <c r="O55" s="150" t="s">
        <v>357</v>
      </c>
    </row>
    <row r="56" spans="1:15" ht="28" x14ac:dyDescent="0.3">
      <c r="A56" s="184" t="s">
        <v>314</v>
      </c>
      <c r="B56" s="217"/>
      <c r="C56" s="218"/>
      <c r="D56" s="217"/>
      <c r="E56" s="219"/>
      <c r="F56" s="481">
        <f>ROUND(F55+F40, -2)</f>
        <v>600</v>
      </c>
      <c r="G56" s="481"/>
      <c r="H56" s="481"/>
      <c r="I56" s="164">
        <f>ROUND(I55+I40, -4)</f>
        <v>70000</v>
      </c>
    </row>
    <row r="57" spans="1:15" ht="28" x14ac:dyDescent="0.3">
      <c r="A57" s="222" t="s">
        <v>315</v>
      </c>
      <c r="B57" s="193"/>
      <c r="C57" s="192"/>
      <c r="D57" s="193"/>
      <c r="E57" s="192"/>
      <c r="F57" s="193"/>
      <c r="G57" s="193"/>
      <c r="H57" s="193"/>
      <c r="I57" s="164">
        <v>0</v>
      </c>
    </row>
    <row r="58" spans="1:15" ht="15" x14ac:dyDescent="0.3">
      <c r="A58" s="222" t="s">
        <v>316</v>
      </c>
      <c r="B58" s="193"/>
      <c r="C58" s="192"/>
      <c r="D58" s="193"/>
      <c r="E58" s="192"/>
      <c r="F58" s="193"/>
      <c r="G58" s="193"/>
      <c r="H58" s="193"/>
      <c r="I58" s="164">
        <f>ROUND(I56+I57, -5)</f>
        <v>100000</v>
      </c>
    </row>
    <row r="59" spans="1:15" ht="4.5" customHeight="1" x14ac:dyDescent="0.3"/>
    <row r="60" spans="1:15" ht="16.5" customHeight="1" x14ac:dyDescent="0.3">
      <c r="A60" s="482" t="s">
        <v>358</v>
      </c>
      <c r="B60" s="482"/>
      <c r="C60" s="482"/>
      <c r="D60" s="482"/>
      <c r="E60" s="482"/>
      <c r="F60" s="482"/>
      <c r="G60" s="482"/>
      <c r="H60" s="482"/>
      <c r="I60" s="482"/>
      <c r="K60" s="164"/>
    </row>
    <row r="61" spans="1:15" ht="77.5" customHeight="1" x14ac:dyDescent="0.3">
      <c r="A61" s="446" t="s">
        <v>194</v>
      </c>
      <c r="B61" s="446"/>
      <c r="C61" s="446"/>
      <c r="D61" s="446"/>
      <c r="E61" s="446"/>
      <c r="F61" s="446"/>
      <c r="G61" s="446"/>
      <c r="H61" s="446"/>
      <c r="I61" s="446"/>
    </row>
    <row r="62" spans="1:15" ht="12.65" customHeight="1" x14ac:dyDescent="0.3">
      <c r="A62" s="482" t="s">
        <v>359</v>
      </c>
      <c r="B62" s="482"/>
      <c r="C62" s="482"/>
      <c r="D62" s="482"/>
      <c r="E62" s="482"/>
      <c r="F62" s="482"/>
      <c r="G62" s="482"/>
      <c r="H62" s="482"/>
      <c r="I62" s="482"/>
    </row>
    <row r="63" spans="1:15" ht="33.65" customHeight="1" x14ac:dyDescent="0.3">
      <c r="A63" s="483" t="s">
        <v>360</v>
      </c>
      <c r="B63" s="483"/>
      <c r="C63" s="483"/>
      <c r="D63" s="483"/>
      <c r="E63" s="483"/>
      <c r="F63" s="483"/>
      <c r="G63" s="483"/>
      <c r="H63" s="483"/>
      <c r="I63" s="483"/>
    </row>
    <row r="64" spans="1:15" ht="11.5" customHeight="1" x14ac:dyDescent="0.3">
      <c r="A64" s="479" t="s">
        <v>319</v>
      </c>
      <c r="B64" s="479"/>
      <c r="C64" s="479"/>
      <c r="D64" s="479"/>
      <c r="E64" s="479"/>
      <c r="F64" s="479"/>
      <c r="G64" s="479"/>
      <c r="H64" s="479"/>
      <c r="I64" s="479"/>
    </row>
    <row r="65" ht="24.65" customHeight="1" x14ac:dyDescent="0.3"/>
  </sheetData>
  <mergeCells count="9">
    <mergeCell ref="A64:I64"/>
    <mergeCell ref="A1:I1"/>
    <mergeCell ref="A3:I3"/>
    <mergeCell ref="K6:L6"/>
    <mergeCell ref="F56:H56"/>
    <mergeCell ref="A60:I60"/>
    <mergeCell ref="A61:I61"/>
    <mergeCell ref="A62:I62"/>
    <mergeCell ref="A63:I63"/>
  </mergeCells>
  <pageMargins left="0.7" right="0.7" top="0.75" bottom="0.75" header="0.3" footer="0.3"/>
  <pageSetup scale="3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2D9B-7D5C-4775-BB00-243B9CA78860}">
  <sheetPr codeName="Sheet16">
    <pageSetUpPr fitToPage="1"/>
  </sheetPr>
  <dimension ref="A1:O59"/>
  <sheetViews>
    <sheetView zoomScale="80" zoomScaleNormal="80" workbookViewId="0">
      <pane xSplit="13" ySplit="5" topLeftCell="N6" activePane="bottomRight" state="frozen"/>
      <selection pane="topRight" activeCell="A73" sqref="A73"/>
      <selection pane="bottomLeft" activeCell="A73" sqref="A73"/>
      <selection pane="bottomRight" activeCell="M18" sqref="M18"/>
    </sheetView>
  </sheetViews>
  <sheetFormatPr defaultColWidth="9.1796875" defaultRowHeight="13" x14ac:dyDescent="0.3"/>
  <cols>
    <col min="1" max="1" width="25.4531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1.1796875" style="150" customWidth="1"/>
    <col min="10" max="10" width="7.1796875" style="150" customWidth="1"/>
    <col min="11" max="11" width="19.453125" style="150" customWidth="1"/>
    <col min="12" max="12" width="18.453125" style="150" customWidth="1"/>
    <col min="13" max="13" width="39.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362</v>
      </c>
      <c r="B2" s="423"/>
      <c r="C2" s="423"/>
      <c r="D2" s="423"/>
      <c r="E2" s="423"/>
      <c r="F2" s="423"/>
      <c r="G2" s="423"/>
      <c r="H2" s="423"/>
      <c r="I2" s="423"/>
    </row>
    <row r="3" spans="1:14" s="188" customFormat="1" ht="33" customHeight="1" x14ac:dyDescent="0.3">
      <c r="A3" s="462" t="s">
        <v>363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ht="22" customHeight="1" x14ac:dyDescent="0.3">
      <c r="A6" s="182" t="s">
        <v>121</v>
      </c>
      <c r="B6" s="190" t="s">
        <v>122</v>
      </c>
      <c r="C6" s="192"/>
      <c r="D6" s="193"/>
      <c r="E6" s="192"/>
      <c r="F6" s="193"/>
      <c r="G6" s="193"/>
      <c r="H6" s="193"/>
      <c r="I6" s="193"/>
      <c r="K6" s="480" t="s">
        <v>123</v>
      </c>
      <c r="L6" s="480"/>
      <c r="N6" s="150">
        <f>C6*E6</f>
        <v>0</v>
      </c>
    </row>
    <row r="7" spans="1:14" ht="63.65" customHeight="1" x14ac:dyDescent="0.3">
      <c r="A7" s="182" t="s">
        <v>124</v>
      </c>
      <c r="B7" s="190" t="s">
        <v>122</v>
      </c>
      <c r="C7" s="192"/>
      <c r="D7" s="193"/>
      <c r="E7" s="192"/>
      <c r="F7" s="193"/>
      <c r="G7" s="193"/>
      <c r="H7" s="193"/>
      <c r="I7" s="193"/>
      <c r="K7" s="164" t="s">
        <v>125</v>
      </c>
      <c r="L7" s="195">
        <f>76.96*2.1</f>
        <v>161.61599999999999</v>
      </c>
      <c r="M7" s="196" t="s">
        <v>126</v>
      </c>
      <c r="N7" s="150">
        <f t="shared" ref="N7:N51" si="0">C7*E7</f>
        <v>0</v>
      </c>
    </row>
    <row r="8" spans="1:14" ht="49.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ht="17.5" customHeight="1"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30.5" customHeight="1" x14ac:dyDescent="0.3">
      <c r="A11" s="301" t="s">
        <v>133</v>
      </c>
      <c r="B11" s="190"/>
      <c r="C11" s="115"/>
      <c r="D11" s="190"/>
      <c r="E11" s="115"/>
      <c r="F11" s="190"/>
      <c r="G11" s="190"/>
      <c r="H11" s="190"/>
      <c r="I11" s="199"/>
      <c r="K11" s="200"/>
      <c r="L11" s="431" t="s">
        <v>518</v>
      </c>
      <c r="N11" s="150">
        <f t="shared" si="0"/>
        <v>0</v>
      </c>
    </row>
    <row r="12" spans="1:14" ht="15.5" x14ac:dyDescent="0.3">
      <c r="A12" s="306" t="s">
        <v>290</v>
      </c>
      <c r="B12" s="190"/>
      <c r="C12" s="115"/>
      <c r="D12" s="190"/>
      <c r="E12" s="201"/>
      <c r="F12" s="202"/>
      <c r="G12" s="190"/>
      <c r="H12" s="190"/>
      <c r="I12" s="199"/>
      <c r="K12" s="265"/>
      <c r="L12" s="265">
        <v>0</v>
      </c>
      <c r="M12" s="188"/>
      <c r="N12" s="150">
        <f t="shared" si="0"/>
        <v>0</v>
      </c>
    </row>
    <row r="13" spans="1:14" ht="24.65" customHeight="1" x14ac:dyDescent="0.3">
      <c r="A13" s="116" t="s">
        <v>295</v>
      </c>
      <c r="B13" s="190">
        <v>0</v>
      </c>
      <c r="C13" s="115">
        <v>0</v>
      </c>
      <c r="D13" s="190">
        <f>B13*C13</f>
        <v>0</v>
      </c>
      <c r="E13" s="201">
        <v>0</v>
      </c>
      <c r="F13" s="202">
        <f>D13*E13</f>
        <v>0</v>
      </c>
      <c r="G13" s="190">
        <f>F13*0.05</f>
        <v>0</v>
      </c>
      <c r="H13" s="190">
        <f>F13*0.1</f>
        <v>0</v>
      </c>
      <c r="I13" s="199">
        <f>F13*$L$8+G13*$L$7+H13*$L$9</f>
        <v>0</v>
      </c>
      <c r="K13" s="265" t="s">
        <v>136</v>
      </c>
      <c r="L13" s="265">
        <f>L12+L14*0.07</f>
        <v>2.0300000000000002</v>
      </c>
      <c r="M13" s="264" t="s">
        <v>294</v>
      </c>
      <c r="N13" s="150">
        <f t="shared" si="0"/>
        <v>0</v>
      </c>
    </row>
    <row r="14" spans="1:14" ht="26" x14ac:dyDescent="0.3">
      <c r="A14" s="116" t="s">
        <v>296</v>
      </c>
      <c r="B14" s="190">
        <v>0</v>
      </c>
      <c r="C14" s="115">
        <v>0</v>
      </c>
      <c r="D14" s="190">
        <f t="shared" ref="D14" si="1">B14*C14</f>
        <v>0</v>
      </c>
      <c r="E14" s="201">
        <f>E13*0.05</f>
        <v>0</v>
      </c>
      <c r="F14" s="202">
        <f t="shared" ref="F14:F17" si="2">D14*E14</f>
        <v>0</v>
      </c>
      <c r="G14" s="190">
        <f t="shared" ref="G14:G17" si="3">F14*0.05</f>
        <v>0</v>
      </c>
      <c r="H14" s="190">
        <f t="shared" ref="H14:H17" si="4">F14*0.1</f>
        <v>0</v>
      </c>
      <c r="I14" s="199">
        <f t="shared" ref="I14:I17" si="5">F14*$L$8+G14*$L$7+H14*$L$9</f>
        <v>0</v>
      </c>
      <c r="J14" s="420"/>
      <c r="K14" s="200" t="s">
        <v>141</v>
      </c>
      <c r="L14" s="200">
        <f>'II-Y1'!$L$22</f>
        <v>29</v>
      </c>
      <c r="N14" s="150">
        <f t="shared" si="0"/>
        <v>0</v>
      </c>
    </row>
    <row r="15" spans="1:14" ht="28.5" x14ac:dyDescent="0.3">
      <c r="A15" s="306" t="s">
        <v>297</v>
      </c>
      <c r="B15" s="190"/>
      <c r="C15" s="115"/>
      <c r="D15" s="190"/>
      <c r="E15" s="115"/>
      <c r="F15" s="202"/>
      <c r="G15" s="190"/>
      <c r="H15" s="190"/>
      <c r="I15" s="199"/>
      <c r="L15" s="420"/>
      <c r="M15" s="420"/>
      <c r="N15" s="150">
        <f t="shared" si="0"/>
        <v>0</v>
      </c>
    </row>
    <row r="16" spans="1:14" ht="26" x14ac:dyDescent="0.3">
      <c r="A16" s="301" t="s">
        <v>295</v>
      </c>
      <c r="B16" s="190">
        <v>0</v>
      </c>
      <c r="C16" s="115">
        <v>0</v>
      </c>
      <c r="D16" s="190">
        <f>B16*C16</f>
        <v>0</v>
      </c>
      <c r="E16" s="201">
        <v>0</v>
      </c>
      <c r="F16" s="202">
        <f t="shared" si="2"/>
        <v>0</v>
      </c>
      <c r="G16" s="190">
        <f t="shared" si="3"/>
        <v>0</v>
      </c>
      <c r="H16" s="190">
        <f t="shared" si="4"/>
        <v>0</v>
      </c>
      <c r="I16" s="199">
        <f t="shared" si="5"/>
        <v>0</v>
      </c>
      <c r="J16" s="203"/>
      <c r="N16" s="150">
        <f t="shared" si="0"/>
        <v>0</v>
      </c>
    </row>
    <row r="17" spans="1:14" ht="26" x14ac:dyDescent="0.3">
      <c r="A17" s="301" t="s">
        <v>296</v>
      </c>
      <c r="B17" s="190">
        <v>0</v>
      </c>
      <c r="C17" s="115">
        <v>0</v>
      </c>
      <c r="D17" s="190">
        <f t="shared" ref="D17" si="6">B17*C17</f>
        <v>0</v>
      </c>
      <c r="E17" s="201">
        <f>E16*0.05</f>
        <v>0</v>
      </c>
      <c r="F17" s="202">
        <f t="shared" si="2"/>
        <v>0</v>
      </c>
      <c r="G17" s="190">
        <f t="shared" si="3"/>
        <v>0</v>
      </c>
      <c r="H17" s="190">
        <f t="shared" si="4"/>
        <v>0</v>
      </c>
      <c r="I17" s="199">
        <f t="shared" si="5"/>
        <v>0</v>
      </c>
      <c r="J17" s="203"/>
      <c r="N17" s="150">
        <f t="shared" si="0"/>
        <v>0</v>
      </c>
    </row>
    <row r="18" spans="1:14" ht="28.5" x14ac:dyDescent="0.3">
      <c r="A18" s="306" t="s">
        <v>151</v>
      </c>
      <c r="B18" s="204"/>
      <c r="C18" s="205"/>
      <c r="D18" s="204"/>
      <c r="E18" s="206"/>
      <c r="F18" s="202"/>
      <c r="G18" s="190"/>
      <c r="H18" s="190"/>
      <c r="I18" s="199"/>
      <c r="N18" s="150">
        <f t="shared" si="0"/>
        <v>0</v>
      </c>
    </row>
    <row r="19" spans="1:14" x14ac:dyDescent="0.3">
      <c r="A19" s="301"/>
      <c r="B19" s="190"/>
      <c r="C19" s="115"/>
      <c r="D19" s="190"/>
      <c r="E19" s="201"/>
      <c r="F19" s="202"/>
      <c r="G19" s="190"/>
      <c r="H19" s="190"/>
      <c r="I19" s="199"/>
      <c r="N19" s="150">
        <f t="shared" si="0"/>
        <v>0</v>
      </c>
    </row>
    <row r="20" spans="1:14" x14ac:dyDescent="0.3">
      <c r="A20" s="301"/>
      <c r="B20" s="190"/>
      <c r="C20" s="115"/>
      <c r="D20" s="190"/>
      <c r="E20" s="201"/>
      <c r="F20" s="202"/>
      <c r="G20" s="190"/>
      <c r="H20" s="190"/>
      <c r="I20" s="199"/>
      <c r="N20" s="150">
        <f t="shared" si="0"/>
        <v>0</v>
      </c>
    </row>
    <row r="21" spans="1:14" ht="26" x14ac:dyDescent="0.3">
      <c r="A21" s="301" t="s">
        <v>155</v>
      </c>
      <c r="B21" s="190"/>
      <c r="C21" s="192"/>
      <c r="D21" s="193"/>
      <c r="E21" s="207"/>
      <c r="F21" s="193"/>
      <c r="G21" s="193"/>
      <c r="H21" s="193"/>
      <c r="I21" s="193"/>
      <c r="N21" s="150">
        <f t="shared" si="0"/>
        <v>0</v>
      </c>
    </row>
    <row r="22" spans="1:14" ht="26" x14ac:dyDescent="0.3">
      <c r="A22" s="301" t="s">
        <v>156</v>
      </c>
      <c r="B22" s="190"/>
      <c r="C22" s="192"/>
      <c r="D22" s="193"/>
      <c r="E22" s="207"/>
      <c r="F22" s="193"/>
      <c r="G22" s="193"/>
      <c r="H22" s="193"/>
      <c r="I22" s="193"/>
      <c r="N22" s="150">
        <f t="shared" si="0"/>
        <v>0</v>
      </c>
    </row>
    <row r="23" spans="1:14" x14ac:dyDescent="0.3">
      <c r="A23" s="301" t="s">
        <v>157</v>
      </c>
      <c r="B23" s="193"/>
      <c r="C23" s="192"/>
      <c r="D23" s="193"/>
      <c r="E23" s="207"/>
      <c r="F23" s="193"/>
      <c r="G23" s="193"/>
      <c r="H23" s="193"/>
      <c r="I23" s="193"/>
      <c r="N23" s="150">
        <f t="shared" si="0"/>
        <v>0</v>
      </c>
    </row>
    <row r="24" spans="1:14" x14ac:dyDescent="0.3">
      <c r="A24" s="307" t="s">
        <v>158</v>
      </c>
      <c r="B24" s="190"/>
      <c r="C24" s="115"/>
      <c r="D24" s="190"/>
      <c r="E24" s="201"/>
      <c r="F24" s="190"/>
      <c r="G24" s="190"/>
      <c r="H24" s="190"/>
      <c r="I24" s="199"/>
      <c r="N24" s="150">
        <f t="shared" si="0"/>
        <v>0</v>
      </c>
    </row>
    <row r="25" spans="1:14" ht="22.5" customHeight="1" x14ac:dyDescent="0.3">
      <c r="A25" s="301" t="s">
        <v>212</v>
      </c>
      <c r="B25" s="190">
        <v>0</v>
      </c>
      <c r="C25" s="115">
        <v>0</v>
      </c>
      <c r="D25" s="190">
        <v>2</v>
      </c>
      <c r="E25" s="201">
        <v>0</v>
      </c>
      <c r="F25" s="190">
        <f t="shared" ref="F25:F27" si="7">D25*E25</f>
        <v>0</v>
      </c>
      <c r="G25" s="190">
        <f t="shared" ref="G25:G27" si="8">F25*0.05</f>
        <v>0</v>
      </c>
      <c r="H25" s="190">
        <f t="shared" ref="H25:H27" si="9">F25*0.1</f>
        <v>0</v>
      </c>
      <c r="I25" s="199">
        <f t="shared" ref="I25:I27" si="10">F25*$L$8+G25*$L$7+H25*$L$9</f>
        <v>0</v>
      </c>
      <c r="N25" s="150">
        <f t="shared" si="0"/>
        <v>0</v>
      </c>
    </row>
    <row r="26" spans="1:14" ht="39" x14ac:dyDescent="0.3">
      <c r="A26" s="301" t="s">
        <v>303</v>
      </c>
      <c r="B26" s="190">
        <v>0</v>
      </c>
      <c r="C26" s="115">
        <v>0</v>
      </c>
      <c r="D26" s="190">
        <v>2</v>
      </c>
      <c r="E26" s="201">
        <v>0</v>
      </c>
      <c r="F26" s="190">
        <f t="shared" si="7"/>
        <v>0</v>
      </c>
      <c r="G26" s="190">
        <f t="shared" si="8"/>
        <v>0</v>
      </c>
      <c r="H26" s="190">
        <f t="shared" si="9"/>
        <v>0</v>
      </c>
      <c r="I26" s="199">
        <f t="shared" si="10"/>
        <v>0</v>
      </c>
      <c r="N26" s="150">
        <f t="shared" si="0"/>
        <v>0</v>
      </c>
    </row>
    <row r="27" spans="1:14" ht="26" x14ac:dyDescent="0.3">
      <c r="A27" s="301" t="s">
        <v>304</v>
      </c>
      <c r="B27" s="190">
        <v>0</v>
      </c>
      <c r="C27" s="115">
        <v>0</v>
      </c>
      <c r="D27" s="190">
        <v>2</v>
      </c>
      <c r="E27" s="201">
        <v>0</v>
      </c>
      <c r="F27" s="190">
        <f t="shared" si="7"/>
        <v>0</v>
      </c>
      <c r="G27" s="190">
        <f t="shared" si="8"/>
        <v>0</v>
      </c>
      <c r="H27" s="190">
        <f t="shared" si="9"/>
        <v>0</v>
      </c>
      <c r="I27" s="199">
        <f t="shared" si="10"/>
        <v>0</v>
      </c>
      <c r="N27" s="150">
        <f t="shared" si="0"/>
        <v>0</v>
      </c>
    </row>
    <row r="28" spans="1:14" x14ac:dyDescent="0.3">
      <c r="A28" s="307" t="s">
        <v>163</v>
      </c>
      <c r="B28" s="190"/>
      <c r="C28" s="115"/>
      <c r="D28" s="190"/>
      <c r="E28" s="201"/>
      <c r="F28" s="190"/>
      <c r="G28" s="190"/>
      <c r="H28" s="190"/>
      <c r="I28" s="197"/>
      <c r="N28" s="150">
        <f t="shared" si="0"/>
        <v>0</v>
      </c>
    </row>
    <row r="29" spans="1:14" ht="26" x14ac:dyDescent="0.3">
      <c r="A29" s="301" t="s">
        <v>520</v>
      </c>
      <c r="B29" s="115">
        <v>10</v>
      </c>
      <c r="C29" s="115">
        <v>1</v>
      </c>
      <c r="D29" s="190">
        <f t="shared" ref="D29" si="11">B29*C29</f>
        <v>10</v>
      </c>
      <c r="E29" s="201">
        <f>$L$14*0.5</f>
        <v>14.5</v>
      </c>
      <c r="F29" s="202">
        <f t="shared" ref="F29" si="12">D29*E29</f>
        <v>145</v>
      </c>
      <c r="G29" s="190">
        <f t="shared" ref="G29" si="13">F29*0.05</f>
        <v>7.25</v>
      </c>
      <c r="H29" s="190">
        <f t="shared" ref="H29" si="14">F29*0.1</f>
        <v>14.5</v>
      </c>
      <c r="I29" s="164">
        <f>F29*$L$8+G29*$L$7+H29*$L$9</f>
        <v>20616.476999999999</v>
      </c>
      <c r="N29" s="150">
        <f t="shared" si="0"/>
        <v>14.5</v>
      </c>
    </row>
    <row r="30" spans="1:14" ht="26" x14ac:dyDescent="0.3">
      <c r="A30" s="301" t="s">
        <v>212</v>
      </c>
      <c r="B30" s="190">
        <v>0</v>
      </c>
      <c r="C30" s="115">
        <v>0</v>
      </c>
      <c r="D30" s="190">
        <v>2</v>
      </c>
      <c r="E30" s="201">
        <v>0</v>
      </c>
      <c r="F30" s="190">
        <f>D30*E30</f>
        <v>0</v>
      </c>
      <c r="G30" s="190">
        <f>F30*0.05</f>
        <v>0</v>
      </c>
      <c r="H30" s="190">
        <f>F30*0.1</f>
        <v>0</v>
      </c>
      <c r="I30" s="199">
        <f>F30*$L$8+G30*$L$7+H30*$L$9</f>
        <v>0</v>
      </c>
      <c r="N30" s="150">
        <f t="shared" si="0"/>
        <v>0</v>
      </c>
    </row>
    <row r="31" spans="1:14" ht="39" x14ac:dyDescent="0.3">
      <c r="A31" s="301" t="s">
        <v>303</v>
      </c>
      <c r="B31" s="190">
        <v>0</v>
      </c>
      <c r="C31" s="115">
        <v>0</v>
      </c>
      <c r="D31" s="190">
        <v>2</v>
      </c>
      <c r="E31" s="201">
        <f>E30</f>
        <v>0</v>
      </c>
      <c r="F31" s="190">
        <f>D31*E31</f>
        <v>0</v>
      </c>
      <c r="G31" s="190">
        <f>F31*0.05</f>
        <v>0</v>
      </c>
      <c r="H31" s="190">
        <f>F31*0.1</f>
        <v>0</v>
      </c>
      <c r="I31" s="199">
        <f>F31*$L$8+G31*$L$7+H31*$L$9</f>
        <v>0</v>
      </c>
      <c r="N31" s="150">
        <f t="shared" si="0"/>
        <v>0</v>
      </c>
    </row>
    <row r="32" spans="1:14" ht="39" x14ac:dyDescent="0.3">
      <c r="A32" s="301" t="s">
        <v>309</v>
      </c>
      <c r="B32" s="190">
        <v>0</v>
      </c>
      <c r="C32" s="115">
        <v>0</v>
      </c>
      <c r="D32" s="190">
        <v>2</v>
      </c>
      <c r="E32" s="201">
        <f>E31</f>
        <v>0</v>
      </c>
      <c r="F32" s="190">
        <f>D32*E32</f>
        <v>0</v>
      </c>
      <c r="G32" s="190">
        <f>F32*0.05</f>
        <v>0</v>
      </c>
      <c r="H32" s="190">
        <f>F32*0.1</f>
        <v>0</v>
      </c>
      <c r="I32" s="199">
        <f>F32*$L$8+G32*$L$7+H32*$L$9</f>
        <v>0</v>
      </c>
      <c r="N32" s="150">
        <f t="shared" si="0"/>
        <v>0</v>
      </c>
    </row>
    <row r="33" spans="1:14" ht="39" customHeight="1" x14ac:dyDescent="0.3">
      <c r="A33" s="303" t="s">
        <v>166</v>
      </c>
      <c r="B33" s="190">
        <v>0</v>
      </c>
      <c r="C33" s="115">
        <v>0</v>
      </c>
      <c r="D33" s="190">
        <f t="shared" ref="D33" si="15">B33*C33</f>
        <v>0</v>
      </c>
      <c r="E33" s="201">
        <v>0</v>
      </c>
      <c r="F33" s="190">
        <f t="shared" ref="F33" si="16">D33*E33</f>
        <v>0</v>
      </c>
      <c r="G33" s="190">
        <f t="shared" ref="G33" si="17">F33*0.05</f>
        <v>0</v>
      </c>
      <c r="H33" s="190">
        <f t="shared" ref="H33" si="18">F33*0.1</f>
        <v>0</v>
      </c>
      <c r="I33" s="199">
        <f>F33*$L$8+G33*$L$7+H33*$L$9</f>
        <v>0</v>
      </c>
      <c r="N33" s="150">
        <f t="shared" si="0"/>
        <v>0</v>
      </c>
    </row>
    <row r="34" spans="1:14" ht="27" x14ac:dyDescent="0.3">
      <c r="A34" s="208" t="s">
        <v>167</v>
      </c>
      <c r="B34" s="209"/>
      <c r="C34" s="210"/>
      <c r="D34" s="209"/>
      <c r="E34" s="211"/>
      <c r="F34" s="212">
        <f>SUM(F8:H33)</f>
        <v>166.75</v>
      </c>
      <c r="G34" s="212"/>
      <c r="H34" s="212"/>
      <c r="I34" s="213">
        <f>SUM(I8:I33)</f>
        <v>20616.476999999999</v>
      </c>
      <c r="N34" s="150">
        <f t="shared" si="0"/>
        <v>0</v>
      </c>
    </row>
    <row r="35" spans="1:14" ht="26" x14ac:dyDescent="0.3">
      <c r="A35" s="182" t="s">
        <v>168</v>
      </c>
      <c r="B35" s="193"/>
      <c r="C35" s="192"/>
      <c r="D35" s="193"/>
      <c r="E35" s="207"/>
      <c r="F35" s="193"/>
      <c r="G35" s="193"/>
      <c r="H35" s="193"/>
      <c r="I35" s="193"/>
      <c r="N35" s="150">
        <f t="shared" si="0"/>
        <v>0</v>
      </c>
    </row>
    <row r="36" spans="1:14" ht="26" x14ac:dyDescent="0.3">
      <c r="A36" s="301" t="s">
        <v>132</v>
      </c>
      <c r="B36" s="190"/>
      <c r="C36" s="192"/>
      <c r="D36" s="193"/>
      <c r="E36" s="192"/>
      <c r="F36" s="193"/>
      <c r="G36" s="193"/>
      <c r="H36" s="193"/>
      <c r="I36" s="193"/>
      <c r="N36" s="150">
        <f t="shared" si="0"/>
        <v>0</v>
      </c>
    </row>
    <row r="37" spans="1:14" x14ac:dyDescent="0.3">
      <c r="A37" s="301" t="s">
        <v>169</v>
      </c>
      <c r="B37" s="190"/>
      <c r="C37" s="192"/>
      <c r="D37" s="193"/>
      <c r="E37" s="192"/>
      <c r="F37" s="193"/>
      <c r="G37" s="193"/>
      <c r="H37" s="193"/>
      <c r="I37" s="193"/>
      <c r="N37" s="150">
        <f t="shared" si="0"/>
        <v>0</v>
      </c>
    </row>
    <row r="38" spans="1:14" x14ac:dyDescent="0.3">
      <c r="A38" s="301" t="s">
        <v>170</v>
      </c>
      <c r="B38" s="190"/>
      <c r="C38" s="192"/>
      <c r="D38" s="193"/>
      <c r="E38" s="192"/>
      <c r="F38" s="193"/>
      <c r="G38" s="193"/>
      <c r="H38" s="193"/>
      <c r="I38" s="193"/>
      <c r="N38" s="150">
        <f t="shared" si="0"/>
        <v>0</v>
      </c>
    </row>
    <row r="39" spans="1:14" x14ac:dyDescent="0.3">
      <c r="A39" s="301" t="s">
        <v>171</v>
      </c>
      <c r="B39" s="190" t="s">
        <v>122</v>
      </c>
      <c r="C39" s="192"/>
      <c r="D39" s="193"/>
      <c r="E39" s="192"/>
      <c r="F39" s="193"/>
      <c r="G39" s="193"/>
      <c r="H39" s="193"/>
      <c r="I39" s="193"/>
      <c r="N39" s="150">
        <f t="shared" si="0"/>
        <v>0</v>
      </c>
    </row>
    <row r="40" spans="1:14" ht="26" x14ac:dyDescent="0.3">
      <c r="A40" s="301" t="s">
        <v>172</v>
      </c>
      <c r="B40" s="193"/>
      <c r="C40" s="192"/>
      <c r="D40" s="193"/>
      <c r="E40" s="192"/>
      <c r="F40" s="193"/>
      <c r="G40" s="193"/>
      <c r="H40" s="193"/>
      <c r="I40" s="193"/>
      <c r="N40" s="150">
        <f t="shared" si="0"/>
        <v>0</v>
      </c>
    </row>
    <row r="41" spans="1:14" x14ac:dyDescent="0.3">
      <c r="A41" s="307" t="s">
        <v>163</v>
      </c>
      <c r="B41" s="193"/>
      <c r="C41" s="192"/>
      <c r="D41" s="193"/>
      <c r="E41" s="192"/>
      <c r="F41" s="193"/>
      <c r="G41" s="193"/>
      <c r="H41" s="193"/>
      <c r="I41" s="193"/>
      <c r="N41" s="150">
        <f t="shared" si="0"/>
        <v>0</v>
      </c>
    </row>
    <row r="42" spans="1:14" ht="30.65" customHeight="1" x14ac:dyDescent="0.3">
      <c r="A42" s="301" t="s">
        <v>173</v>
      </c>
      <c r="B42" s="190">
        <v>0</v>
      </c>
      <c r="C42" s="115">
        <v>0</v>
      </c>
      <c r="D42" s="190">
        <f t="shared" ref="D42:D47" si="19">B42*C42</f>
        <v>0</v>
      </c>
      <c r="E42" s="200">
        <v>0</v>
      </c>
      <c r="F42" s="202">
        <f t="shared" ref="F42:F47" si="20">D42*E42</f>
        <v>0</v>
      </c>
      <c r="G42" s="190">
        <f t="shared" ref="G42:G47" si="21">F42*0.05</f>
        <v>0</v>
      </c>
      <c r="H42" s="190">
        <f t="shared" ref="H42:H47" si="22">F42*0.1</f>
        <v>0</v>
      </c>
      <c r="I42" s="199">
        <f>F42*$L$8+G42*$L$7+H42*$L$9</f>
        <v>0</v>
      </c>
      <c r="N42" s="150">
        <f t="shared" si="0"/>
        <v>0</v>
      </c>
    </row>
    <row r="43" spans="1:14" ht="39" x14ac:dyDescent="0.3">
      <c r="A43" s="301" t="s">
        <v>311</v>
      </c>
      <c r="B43" s="190">
        <v>0</v>
      </c>
      <c r="C43" s="115">
        <v>0</v>
      </c>
      <c r="D43" s="190">
        <f t="shared" si="19"/>
        <v>0</v>
      </c>
      <c r="E43" s="201">
        <f>E42</f>
        <v>0</v>
      </c>
      <c r="F43" s="202">
        <f t="shared" si="20"/>
        <v>0</v>
      </c>
      <c r="G43" s="190">
        <f t="shared" si="21"/>
        <v>0</v>
      </c>
      <c r="H43" s="190">
        <f t="shared" si="22"/>
        <v>0</v>
      </c>
      <c r="I43" s="199">
        <f>F43*$L$8+G43*$L$7+H43*$L$9</f>
        <v>0</v>
      </c>
      <c r="N43" s="150">
        <f t="shared" si="0"/>
        <v>0</v>
      </c>
    </row>
    <row r="44" spans="1:14" x14ac:dyDescent="0.3">
      <c r="A44" s="307" t="s">
        <v>158</v>
      </c>
      <c r="B44" s="190"/>
      <c r="C44" s="115"/>
      <c r="D44" s="190"/>
      <c r="E44" s="201"/>
      <c r="F44" s="202"/>
      <c r="G44" s="190"/>
      <c r="H44" s="190"/>
      <c r="I44" s="199"/>
      <c r="N44" s="150">
        <f t="shared" si="0"/>
        <v>0</v>
      </c>
    </row>
    <row r="45" spans="1:14" x14ac:dyDescent="0.3">
      <c r="A45" s="301" t="s">
        <v>173</v>
      </c>
      <c r="B45" s="190">
        <v>1.5</v>
      </c>
      <c r="C45" s="115">
        <v>1</v>
      </c>
      <c r="D45" s="190">
        <f>B45*C45</f>
        <v>1.5</v>
      </c>
      <c r="E45" s="201">
        <f>$L$13</f>
        <v>2.0300000000000002</v>
      </c>
      <c r="F45" s="202">
        <f t="shared" ref="F45:F46" si="23">D45*E45</f>
        <v>3.0450000000000004</v>
      </c>
      <c r="G45" s="190">
        <f t="shared" ref="G45:G46" si="24">F45*0.05</f>
        <v>0.15225000000000002</v>
      </c>
      <c r="H45" s="190">
        <f t="shared" ref="H45:H46" si="25">F45*0.1</f>
        <v>0.30450000000000005</v>
      </c>
      <c r="I45" s="197">
        <f>F45*$L$8+G45*$L$7+H45*$L$9</f>
        <v>432.94601700000004</v>
      </c>
      <c r="N45" s="150">
        <f t="shared" si="0"/>
        <v>2.0300000000000002</v>
      </c>
    </row>
    <row r="46" spans="1:14" x14ac:dyDescent="0.3">
      <c r="A46" s="301" t="s">
        <v>312</v>
      </c>
      <c r="B46" s="190">
        <v>0</v>
      </c>
      <c r="C46" s="115">
        <v>0</v>
      </c>
      <c r="D46" s="190">
        <f t="shared" ref="D46" si="26">B46*C46</f>
        <v>0</v>
      </c>
      <c r="E46" s="201">
        <f>$L$12</f>
        <v>0</v>
      </c>
      <c r="F46" s="202">
        <f t="shared" si="23"/>
        <v>0</v>
      </c>
      <c r="G46" s="190">
        <f t="shared" si="24"/>
        <v>0</v>
      </c>
      <c r="H46" s="190">
        <f t="shared" si="25"/>
        <v>0</v>
      </c>
      <c r="I46" s="197">
        <f>F46*$L$8+G46*$L$7+H46*$L$9</f>
        <v>0</v>
      </c>
      <c r="N46" s="150">
        <f t="shared" si="0"/>
        <v>0</v>
      </c>
    </row>
    <row r="47" spans="1:14" x14ac:dyDescent="0.3">
      <c r="A47" s="301" t="s">
        <v>313</v>
      </c>
      <c r="B47" s="190">
        <v>0</v>
      </c>
      <c r="C47" s="115">
        <v>0</v>
      </c>
      <c r="D47" s="190">
        <f t="shared" si="19"/>
        <v>0</v>
      </c>
      <c r="E47" s="201">
        <f>$L$12</f>
        <v>0</v>
      </c>
      <c r="F47" s="202">
        <f t="shared" si="20"/>
        <v>0</v>
      </c>
      <c r="G47" s="190">
        <f t="shared" si="21"/>
        <v>0</v>
      </c>
      <c r="H47" s="190">
        <f t="shared" si="22"/>
        <v>0</v>
      </c>
      <c r="I47" s="197">
        <f>F47*$L$8+G47*$L$7+H47*$L$9</f>
        <v>0</v>
      </c>
      <c r="N47" s="150">
        <f t="shared" si="0"/>
        <v>0</v>
      </c>
    </row>
    <row r="48" spans="1:14" ht="17.25" customHeight="1" x14ac:dyDescent="0.3">
      <c r="A48" s="301" t="s">
        <v>186</v>
      </c>
      <c r="B48" s="190" t="s">
        <v>122</v>
      </c>
      <c r="C48" s="192"/>
      <c r="D48" s="193"/>
      <c r="E48" s="192"/>
      <c r="F48" s="193"/>
      <c r="G48" s="193"/>
      <c r="H48" s="193"/>
      <c r="I48" s="193"/>
      <c r="N48" s="150">
        <f t="shared" si="0"/>
        <v>0</v>
      </c>
    </row>
    <row r="49" spans="1:15" ht="27" x14ac:dyDescent="0.3">
      <c r="A49" s="208" t="s">
        <v>188</v>
      </c>
      <c r="B49" s="214"/>
      <c r="C49" s="215"/>
      <c r="D49" s="214"/>
      <c r="E49" s="216"/>
      <c r="F49" s="212">
        <f>SUM(F42:H47)</f>
        <v>3.5017500000000004</v>
      </c>
      <c r="G49" s="212"/>
      <c r="H49" s="212"/>
      <c r="I49" s="213">
        <f>SUM(I42:I48)</f>
        <v>432.94601700000004</v>
      </c>
      <c r="K49" s="221">
        <f>F50/212</f>
        <v>0.94339622641509435</v>
      </c>
      <c r="L49" s="150" t="s">
        <v>190</v>
      </c>
      <c r="N49" s="150">
        <f t="shared" si="0"/>
        <v>0</v>
      </c>
    </row>
    <row r="50" spans="1:15" ht="28" x14ac:dyDescent="0.3">
      <c r="A50" s="184" t="s">
        <v>189</v>
      </c>
      <c r="B50" s="217"/>
      <c r="C50" s="218"/>
      <c r="D50" s="217"/>
      <c r="E50" s="219"/>
      <c r="F50" s="481">
        <f>ROUND(F49+F34, -2)</f>
        <v>200</v>
      </c>
      <c r="G50" s="481"/>
      <c r="H50" s="481"/>
      <c r="I50" s="220">
        <f>ROUND(I49+I34, -4)</f>
        <v>20000</v>
      </c>
      <c r="N50" s="150">
        <f t="shared" si="0"/>
        <v>0</v>
      </c>
    </row>
    <row r="51" spans="1:15" ht="28" x14ac:dyDescent="0.3">
      <c r="A51" s="222" t="s">
        <v>191</v>
      </c>
      <c r="B51" s="193"/>
      <c r="C51" s="192"/>
      <c r="D51" s="193"/>
      <c r="E51" s="192"/>
      <c r="F51" s="193"/>
      <c r="G51" s="193"/>
      <c r="H51" s="193"/>
      <c r="I51" s="220">
        <v>0</v>
      </c>
      <c r="N51" s="150">
        <f t="shared" si="0"/>
        <v>0</v>
      </c>
    </row>
    <row r="52" spans="1:15" ht="15" x14ac:dyDescent="0.3">
      <c r="A52" s="222" t="s">
        <v>192</v>
      </c>
      <c r="B52" s="193"/>
      <c r="C52" s="192"/>
      <c r="D52" s="193"/>
      <c r="E52" s="192"/>
      <c r="F52" s="193"/>
      <c r="G52" s="193"/>
      <c r="H52" s="193"/>
      <c r="I52" s="220">
        <f>ROUND(I50+I51, -5)</f>
        <v>0</v>
      </c>
      <c r="N52" s="150">
        <f>SUM(N6:N51)</f>
        <v>16.53</v>
      </c>
      <c r="O52" s="150" t="s">
        <v>187</v>
      </c>
    </row>
    <row r="53" spans="1:15" ht="6" customHeight="1" x14ac:dyDescent="0.3"/>
    <row r="54" spans="1:15" ht="9" customHeight="1" x14ac:dyDescent="0.3">
      <c r="A54" s="482" t="s">
        <v>358</v>
      </c>
      <c r="B54" s="482"/>
      <c r="C54" s="482"/>
      <c r="D54" s="482"/>
      <c r="E54" s="482"/>
      <c r="F54" s="482"/>
      <c r="G54" s="482"/>
      <c r="H54" s="482"/>
      <c r="I54" s="482"/>
    </row>
    <row r="55" spans="1:15" ht="79" customHeight="1" x14ac:dyDescent="0.3">
      <c r="A55" s="446" t="s">
        <v>194</v>
      </c>
      <c r="B55" s="446"/>
      <c r="C55" s="446"/>
      <c r="D55" s="446"/>
      <c r="E55" s="446"/>
      <c r="F55" s="446"/>
      <c r="G55" s="446"/>
      <c r="H55" s="446"/>
      <c r="I55" s="446"/>
    </row>
    <row r="56" spans="1:15" ht="17.5" customHeight="1" x14ac:dyDescent="0.3">
      <c r="A56" s="482" t="s">
        <v>359</v>
      </c>
      <c r="B56" s="482"/>
      <c r="C56" s="482"/>
      <c r="D56" s="482"/>
      <c r="E56" s="482"/>
      <c r="F56" s="482"/>
      <c r="G56" s="482"/>
      <c r="H56" s="482"/>
      <c r="I56" s="482"/>
    </row>
    <row r="57" spans="1:15" ht="19" customHeight="1" x14ac:dyDescent="0.3">
      <c r="A57" s="483" t="s">
        <v>360</v>
      </c>
      <c r="B57" s="483"/>
      <c r="C57" s="483"/>
      <c r="D57" s="483"/>
      <c r="E57" s="483"/>
      <c r="F57" s="483"/>
      <c r="G57" s="483"/>
      <c r="H57" s="483"/>
      <c r="I57" s="483"/>
    </row>
    <row r="58" spans="1:15" ht="18.75" customHeight="1" x14ac:dyDescent="0.3">
      <c r="A58" s="479" t="s">
        <v>198</v>
      </c>
      <c r="B58" s="479"/>
      <c r="C58" s="479"/>
      <c r="D58" s="479"/>
      <c r="E58" s="479"/>
      <c r="F58" s="479"/>
      <c r="G58" s="479"/>
      <c r="H58" s="479"/>
      <c r="I58" s="479"/>
    </row>
    <row r="59" spans="1:15" ht="19" customHeight="1" x14ac:dyDescent="0.3"/>
  </sheetData>
  <mergeCells count="9">
    <mergeCell ref="A58:I58"/>
    <mergeCell ref="A1:I1"/>
    <mergeCell ref="A3:I3"/>
    <mergeCell ref="K6:L6"/>
    <mergeCell ref="F50:H50"/>
    <mergeCell ref="A54:I54"/>
    <mergeCell ref="A55:I55"/>
    <mergeCell ref="A56:I56"/>
    <mergeCell ref="A57:I57"/>
  </mergeCells>
  <pageMargins left="0.7" right="0.7" top="0.75" bottom="0.75" header="0.3" footer="0.3"/>
  <pageSetup scale="3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24C4-6119-4A47-8EFA-27E2B6DDB228}">
  <sheetPr codeName="Sheet17">
    <pageSetUpPr fitToPage="1"/>
  </sheetPr>
  <dimension ref="A1:O63"/>
  <sheetViews>
    <sheetView zoomScale="80" zoomScaleNormal="80" workbookViewId="0">
      <pane xSplit="13" ySplit="5" topLeftCell="N6" activePane="bottomRight" state="frozen"/>
      <selection pane="topRight" activeCell="A73" sqref="A73"/>
      <selection pane="bottomLeft" activeCell="A73" sqref="A73"/>
      <selection pane="bottomRight" activeCell="L12" sqref="L12"/>
    </sheetView>
  </sheetViews>
  <sheetFormatPr defaultColWidth="9.1796875" defaultRowHeight="13" x14ac:dyDescent="0.3"/>
  <cols>
    <col min="1" max="1" width="24.17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0.54296875" style="150" customWidth="1"/>
    <col min="10" max="10" width="7.1796875" style="150" customWidth="1"/>
    <col min="11" max="11" width="25.1796875" style="150" customWidth="1"/>
    <col min="12" max="12" width="14.54296875" style="150" customWidth="1"/>
    <col min="13" max="13" width="30.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364</v>
      </c>
      <c r="B2" s="423"/>
      <c r="C2" s="423"/>
      <c r="D2" s="423"/>
      <c r="E2" s="423"/>
      <c r="F2" s="423"/>
      <c r="G2" s="423"/>
      <c r="H2" s="423"/>
      <c r="I2" s="423"/>
    </row>
    <row r="3" spans="1:14" s="188" customFormat="1" ht="33" customHeight="1" x14ac:dyDescent="0.3">
      <c r="A3" s="462" t="s">
        <v>365</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24.65" customHeight="1" x14ac:dyDescent="0.3">
      <c r="A7" s="182" t="s">
        <v>124</v>
      </c>
      <c r="B7" s="190" t="s">
        <v>122</v>
      </c>
      <c r="C7" s="192"/>
      <c r="D7" s="193"/>
      <c r="E7" s="192"/>
      <c r="F7" s="193"/>
      <c r="G7" s="193"/>
      <c r="H7" s="193"/>
      <c r="I7" s="193"/>
      <c r="K7" s="194" t="s">
        <v>125</v>
      </c>
      <c r="L7" s="195">
        <f>76.96*2.1</f>
        <v>161.61599999999999</v>
      </c>
      <c r="M7" s="196" t="s">
        <v>126</v>
      </c>
      <c r="N7" s="150">
        <f t="shared" ref="N7:N48" si="0">C7*E7</f>
        <v>0</v>
      </c>
    </row>
    <row r="8" spans="1:14" ht="74.5" customHeight="1" x14ac:dyDescent="0.3">
      <c r="A8" s="182" t="s">
        <v>127</v>
      </c>
      <c r="B8" s="190">
        <v>0</v>
      </c>
      <c r="C8" s="115">
        <v>0</v>
      </c>
      <c r="D8" s="190">
        <f>B8*C8</f>
        <v>0</v>
      </c>
      <c r="E8" s="115">
        <f>L13</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52" x14ac:dyDescent="0.3">
      <c r="A10" s="76" t="s">
        <v>211</v>
      </c>
      <c r="B10" s="73">
        <v>156</v>
      </c>
      <c r="C10" s="74">
        <v>1</v>
      </c>
      <c r="D10" s="73">
        <f>B10*C10</f>
        <v>156</v>
      </c>
      <c r="E10" s="115">
        <f>L15*0.01</f>
        <v>0.28999999999999998</v>
      </c>
      <c r="F10" s="190">
        <f>D10*E10</f>
        <v>45.239999999999995</v>
      </c>
      <c r="G10" s="190">
        <f>F10*0.05</f>
        <v>2.262</v>
      </c>
      <c r="H10" s="190">
        <f>F10*0.1</f>
        <v>4.524</v>
      </c>
      <c r="I10" s="197">
        <f>F10*$L$8+G10*$L$7+H10*$L$9</f>
        <v>6432.340823999999</v>
      </c>
      <c r="K10" s="285"/>
      <c r="L10" s="311"/>
      <c r="M10" s="198"/>
    </row>
    <row r="11" spans="1:14" ht="26" x14ac:dyDescent="0.3">
      <c r="A11" s="301" t="s">
        <v>132</v>
      </c>
      <c r="B11" s="190">
        <v>20</v>
      </c>
      <c r="C11" s="115">
        <v>1</v>
      </c>
      <c r="D11" s="190">
        <f>B11*C11</f>
        <v>20</v>
      </c>
      <c r="E11" s="115">
        <f>$L$15</f>
        <v>29</v>
      </c>
      <c r="F11" s="190">
        <f>D11*E11</f>
        <v>580</v>
      </c>
      <c r="G11" s="190">
        <f>F11*0.05</f>
        <v>29</v>
      </c>
      <c r="H11" s="190">
        <f>F11*0.1</f>
        <v>58</v>
      </c>
      <c r="I11" s="197">
        <f>F11*$L$8+G11*$L$7+H11*$L$9</f>
        <v>82465.907999999996</v>
      </c>
      <c r="K11" s="420"/>
      <c r="N11" s="150">
        <f t="shared" si="0"/>
        <v>29</v>
      </c>
    </row>
    <row r="12" spans="1:14" ht="15.75" customHeight="1" x14ac:dyDescent="0.3">
      <c r="A12" s="301" t="s">
        <v>133</v>
      </c>
      <c r="B12" s="190"/>
      <c r="C12" s="115"/>
      <c r="D12" s="190"/>
      <c r="E12" s="115"/>
      <c r="F12" s="190"/>
      <c r="G12" s="190"/>
      <c r="H12" s="190"/>
      <c r="I12" s="199"/>
      <c r="K12" s="200"/>
      <c r="L12" s="431" t="s">
        <v>518</v>
      </c>
      <c r="N12" s="150">
        <f t="shared" si="0"/>
        <v>0</v>
      </c>
    </row>
    <row r="13" spans="1:14" ht="15.5" x14ac:dyDescent="0.3">
      <c r="A13" s="306" t="s">
        <v>290</v>
      </c>
      <c r="B13" s="190"/>
      <c r="C13" s="115"/>
      <c r="D13" s="190"/>
      <c r="E13" s="201"/>
      <c r="F13" s="202"/>
      <c r="G13" s="190"/>
      <c r="H13" s="190"/>
      <c r="I13" s="199"/>
      <c r="K13" s="265"/>
      <c r="L13" s="265">
        <v>0</v>
      </c>
      <c r="M13" s="188"/>
      <c r="N13" s="150">
        <f t="shared" si="0"/>
        <v>0</v>
      </c>
    </row>
    <row r="14" spans="1:14" ht="27" customHeight="1" x14ac:dyDescent="0.3">
      <c r="A14" s="116" t="s">
        <v>295</v>
      </c>
      <c r="B14" s="190">
        <v>0</v>
      </c>
      <c r="C14" s="115">
        <v>0</v>
      </c>
      <c r="D14" s="190">
        <f>B14*C14</f>
        <v>0</v>
      </c>
      <c r="E14" s="201">
        <v>0</v>
      </c>
      <c r="F14" s="202">
        <f>D14*E14</f>
        <v>0</v>
      </c>
      <c r="G14" s="190">
        <f>F14*0.05</f>
        <v>0</v>
      </c>
      <c r="H14" s="190">
        <f>F14*0.1</f>
        <v>0</v>
      </c>
      <c r="I14" s="199">
        <f>F14*$L$8+G14*$L$7+H14*$L$9</f>
        <v>0</v>
      </c>
      <c r="K14" s="265" t="s">
        <v>136</v>
      </c>
      <c r="L14" s="265">
        <f>L13+L15*0.07</f>
        <v>2.0300000000000002</v>
      </c>
      <c r="M14" s="264" t="s">
        <v>294</v>
      </c>
      <c r="N14" s="150">
        <f t="shared" si="0"/>
        <v>0</v>
      </c>
    </row>
    <row r="15" spans="1:14" ht="26" x14ac:dyDescent="0.3">
      <c r="A15" s="116" t="s">
        <v>296</v>
      </c>
      <c r="B15" s="190">
        <v>0</v>
      </c>
      <c r="C15" s="115">
        <v>0</v>
      </c>
      <c r="D15" s="190">
        <f t="shared" ref="D15" si="1">B15*C15</f>
        <v>0</v>
      </c>
      <c r="E15" s="296">
        <f>E14*0.05</f>
        <v>0</v>
      </c>
      <c r="F15" s="202">
        <f t="shared" ref="F15:F18" si="2">D15*E15</f>
        <v>0</v>
      </c>
      <c r="G15" s="296">
        <f t="shared" ref="G15:G18" si="3">F15*0.05</f>
        <v>0</v>
      </c>
      <c r="H15" s="296">
        <f t="shared" ref="H15:H18" si="4">F15*0.1</f>
        <v>0</v>
      </c>
      <c r="I15" s="199">
        <f t="shared" ref="I15:I18" si="5">F15*$L$8+G15*$L$7+H15*$L$9</f>
        <v>0</v>
      </c>
      <c r="J15" s="420"/>
      <c r="K15" s="200" t="s">
        <v>141</v>
      </c>
      <c r="L15" s="200">
        <f>'II-Y1'!$L$22</f>
        <v>29</v>
      </c>
      <c r="N15" s="150">
        <f t="shared" si="0"/>
        <v>0</v>
      </c>
    </row>
    <row r="16" spans="1:14" ht="28.5" x14ac:dyDescent="0.3">
      <c r="A16" s="306" t="s">
        <v>297</v>
      </c>
      <c r="B16" s="190"/>
      <c r="C16" s="115"/>
      <c r="D16" s="190"/>
      <c r="E16" s="115"/>
      <c r="F16" s="202"/>
      <c r="G16" s="190"/>
      <c r="H16" s="190"/>
      <c r="I16" s="199"/>
      <c r="K16" s="420" t="s">
        <v>366</v>
      </c>
      <c r="L16" s="420">
        <v>15</v>
      </c>
      <c r="M16" s="420"/>
      <c r="N16" s="150">
        <f t="shared" si="0"/>
        <v>0</v>
      </c>
    </row>
    <row r="17" spans="1:14" ht="39" x14ac:dyDescent="0.3">
      <c r="A17" s="301" t="s">
        <v>295</v>
      </c>
      <c r="B17" s="190">
        <v>0</v>
      </c>
      <c r="C17" s="115">
        <v>0</v>
      </c>
      <c r="D17" s="190">
        <f>B17*C17</f>
        <v>0</v>
      </c>
      <c r="E17" s="201">
        <v>0</v>
      </c>
      <c r="F17" s="202">
        <f t="shared" si="2"/>
        <v>0</v>
      </c>
      <c r="G17" s="190">
        <f t="shared" si="3"/>
        <v>0</v>
      </c>
      <c r="H17" s="190">
        <f t="shared" si="4"/>
        <v>0</v>
      </c>
      <c r="I17" s="199">
        <f t="shared" si="5"/>
        <v>0</v>
      </c>
      <c r="J17" s="203"/>
      <c r="K17" s="420" t="s">
        <v>367</v>
      </c>
      <c r="L17" s="150">
        <v>9</v>
      </c>
      <c r="N17" s="150">
        <f t="shared" si="0"/>
        <v>0</v>
      </c>
    </row>
    <row r="18" spans="1:14" ht="39" x14ac:dyDescent="0.3">
      <c r="A18" s="301" t="s">
        <v>296</v>
      </c>
      <c r="B18" s="190">
        <v>0</v>
      </c>
      <c r="C18" s="115">
        <v>0</v>
      </c>
      <c r="D18" s="190">
        <f t="shared" ref="D18:D20" si="6">B18*C18</f>
        <v>0</v>
      </c>
      <c r="E18" s="201">
        <f>E17*0.05</f>
        <v>0</v>
      </c>
      <c r="F18" s="202">
        <f t="shared" si="2"/>
        <v>0</v>
      </c>
      <c r="G18" s="190">
        <f t="shared" si="3"/>
        <v>0</v>
      </c>
      <c r="H18" s="190">
        <f t="shared" si="4"/>
        <v>0</v>
      </c>
      <c r="I18" s="199">
        <f t="shared" si="5"/>
        <v>0</v>
      </c>
      <c r="J18" s="203"/>
      <c r="K18" s="420" t="s">
        <v>368</v>
      </c>
      <c r="L18" s="150">
        <v>6</v>
      </c>
      <c r="M18" s="286" t="s">
        <v>356</v>
      </c>
      <c r="N18" s="150">
        <f t="shared" si="0"/>
        <v>0</v>
      </c>
    </row>
    <row r="19" spans="1:14" x14ac:dyDescent="0.3">
      <c r="A19" s="301"/>
      <c r="B19" s="190">
        <v>0</v>
      </c>
      <c r="C19" s="115">
        <v>0</v>
      </c>
      <c r="D19" s="204">
        <f t="shared" si="6"/>
        <v>0</v>
      </c>
      <c r="E19" s="206">
        <v>0</v>
      </c>
      <c r="F19" s="202">
        <f t="shared" ref="F19:F20" si="7">D19*E19</f>
        <v>0</v>
      </c>
      <c r="G19" s="190">
        <f t="shared" ref="G19:G20" si="8">F19*0.05</f>
        <v>0</v>
      </c>
      <c r="H19" s="190">
        <f t="shared" ref="H19:H20" si="9">F19*0.1</f>
        <v>0</v>
      </c>
      <c r="I19" s="199">
        <f t="shared" ref="I19:I20" si="10">F19*$L$8+G19*$L$7+H19*$L$9</f>
        <v>0</v>
      </c>
      <c r="N19" s="150">
        <f t="shared" si="0"/>
        <v>0</v>
      </c>
    </row>
    <row r="20" spans="1:14" x14ac:dyDescent="0.3">
      <c r="A20" s="301"/>
      <c r="B20" s="190">
        <v>0</v>
      </c>
      <c r="C20" s="115">
        <v>0</v>
      </c>
      <c r="D20" s="204">
        <f t="shared" si="6"/>
        <v>0</v>
      </c>
      <c r="E20" s="206">
        <f>E19*0.05</f>
        <v>0</v>
      </c>
      <c r="F20" s="202">
        <f t="shared" si="7"/>
        <v>0</v>
      </c>
      <c r="G20" s="190">
        <f t="shared" si="8"/>
        <v>0</v>
      </c>
      <c r="H20" s="190">
        <f t="shared" si="9"/>
        <v>0</v>
      </c>
      <c r="I20" s="199">
        <f t="shared" si="10"/>
        <v>0</v>
      </c>
      <c r="N20" s="150">
        <f t="shared" si="0"/>
        <v>0</v>
      </c>
    </row>
    <row r="21" spans="1:14" ht="28.5" x14ac:dyDescent="0.3">
      <c r="A21" s="306" t="s">
        <v>151</v>
      </c>
      <c r="B21" s="204"/>
      <c r="C21" s="205"/>
      <c r="D21" s="204"/>
      <c r="E21" s="206"/>
      <c r="F21" s="202"/>
      <c r="G21" s="190"/>
      <c r="H21" s="190"/>
      <c r="I21" s="199"/>
      <c r="N21" s="150">
        <f t="shared" si="0"/>
        <v>0</v>
      </c>
    </row>
    <row r="22" spans="1:14" x14ac:dyDescent="0.3">
      <c r="A22" s="301"/>
      <c r="B22" s="190"/>
      <c r="C22" s="115"/>
      <c r="D22" s="190"/>
      <c r="E22" s="201"/>
      <c r="F22" s="202"/>
      <c r="G22" s="190"/>
      <c r="H22" s="190"/>
      <c r="I22" s="199"/>
      <c r="N22" s="150">
        <f t="shared" si="0"/>
        <v>0</v>
      </c>
    </row>
    <row r="23" spans="1:14" x14ac:dyDescent="0.3">
      <c r="A23" s="301"/>
      <c r="B23" s="190"/>
      <c r="C23" s="115"/>
      <c r="D23" s="190"/>
      <c r="E23" s="201"/>
      <c r="F23" s="202"/>
      <c r="G23" s="296"/>
      <c r="H23" s="190"/>
      <c r="I23" s="199"/>
      <c r="N23" s="150">
        <f t="shared" si="0"/>
        <v>0</v>
      </c>
    </row>
    <row r="24" spans="1:14" ht="26" x14ac:dyDescent="0.3">
      <c r="A24" s="301" t="s">
        <v>155</v>
      </c>
      <c r="B24" s="190"/>
      <c r="C24" s="192"/>
      <c r="D24" s="193"/>
      <c r="E24" s="207"/>
      <c r="F24" s="193"/>
      <c r="G24" s="193"/>
      <c r="H24" s="193"/>
      <c r="I24" s="193"/>
      <c r="N24" s="150">
        <f t="shared" si="0"/>
        <v>0</v>
      </c>
    </row>
    <row r="25" spans="1:14" ht="26" x14ac:dyDescent="0.3">
      <c r="A25" s="301" t="s">
        <v>156</v>
      </c>
      <c r="B25" s="190"/>
      <c r="C25" s="192"/>
      <c r="D25" s="193"/>
      <c r="E25" s="207"/>
      <c r="F25" s="193"/>
      <c r="G25" s="193"/>
      <c r="H25" s="193"/>
      <c r="I25" s="193"/>
      <c r="N25" s="150">
        <f t="shared" si="0"/>
        <v>0</v>
      </c>
    </row>
    <row r="26" spans="1:14" ht="26.15" customHeight="1" x14ac:dyDescent="0.3">
      <c r="A26" s="301" t="s">
        <v>157</v>
      </c>
      <c r="B26" s="193"/>
      <c r="C26" s="192"/>
      <c r="D26" s="193"/>
      <c r="E26" s="207"/>
      <c r="F26" s="193"/>
      <c r="G26" s="193"/>
      <c r="H26" s="193"/>
      <c r="I26" s="193"/>
      <c r="N26" s="150">
        <f t="shared" si="0"/>
        <v>0</v>
      </c>
    </row>
    <row r="27" spans="1:14" x14ac:dyDescent="0.3">
      <c r="A27" s="307" t="s">
        <v>158</v>
      </c>
      <c r="B27" s="190"/>
      <c r="C27" s="115"/>
      <c r="D27" s="190"/>
      <c r="E27" s="201"/>
      <c r="F27" s="190"/>
      <c r="G27" s="190"/>
      <c r="H27" s="190"/>
      <c r="I27" s="199"/>
      <c r="N27" s="150">
        <f t="shared" si="0"/>
        <v>0</v>
      </c>
    </row>
    <row r="28" spans="1:14" ht="26" x14ac:dyDescent="0.3">
      <c r="A28" s="301" t="s">
        <v>212</v>
      </c>
      <c r="B28" s="190">
        <v>0</v>
      </c>
      <c r="C28" s="115">
        <v>0</v>
      </c>
      <c r="D28" s="204">
        <f t="shared" ref="D28:D30" si="11">B28*C28</f>
        <v>0</v>
      </c>
      <c r="E28" s="201">
        <v>0</v>
      </c>
      <c r="F28" s="190">
        <f t="shared" ref="F28:F30" si="12">D28*E28</f>
        <v>0</v>
      </c>
      <c r="G28" s="190">
        <f t="shared" ref="G28:G30" si="13">F28*0.05</f>
        <v>0</v>
      </c>
      <c r="H28" s="190">
        <f t="shared" ref="H28:H30" si="14">F28*0.1</f>
        <v>0</v>
      </c>
      <c r="I28" s="199">
        <f t="shared" ref="I28:I30" si="15">F28*$L$8+G28*$L$7+H28*$L$9</f>
        <v>0</v>
      </c>
      <c r="N28" s="150">
        <f t="shared" si="0"/>
        <v>0</v>
      </c>
    </row>
    <row r="29" spans="1:14" ht="39" x14ac:dyDescent="0.3">
      <c r="A29" s="301" t="s">
        <v>303</v>
      </c>
      <c r="B29" s="190">
        <v>0</v>
      </c>
      <c r="C29" s="115">
        <v>0</v>
      </c>
      <c r="D29" s="204">
        <f t="shared" si="11"/>
        <v>0</v>
      </c>
      <c r="E29" s="201">
        <v>0</v>
      </c>
      <c r="F29" s="190">
        <f t="shared" si="12"/>
        <v>0</v>
      </c>
      <c r="G29" s="190">
        <f t="shared" si="13"/>
        <v>0</v>
      </c>
      <c r="H29" s="190">
        <f t="shared" si="14"/>
        <v>0</v>
      </c>
      <c r="I29" s="199">
        <f t="shared" si="15"/>
        <v>0</v>
      </c>
      <c r="N29" s="150">
        <f t="shared" si="0"/>
        <v>0</v>
      </c>
    </row>
    <row r="30" spans="1:14" ht="26" x14ac:dyDescent="0.3">
      <c r="A30" s="301" t="s">
        <v>304</v>
      </c>
      <c r="B30" s="190">
        <v>0</v>
      </c>
      <c r="C30" s="115">
        <v>0</v>
      </c>
      <c r="D30" s="204">
        <f t="shared" si="11"/>
        <v>0</v>
      </c>
      <c r="E30" s="201">
        <v>0</v>
      </c>
      <c r="F30" s="190">
        <f t="shared" si="12"/>
        <v>0</v>
      </c>
      <c r="G30" s="190">
        <f t="shared" si="13"/>
        <v>0</v>
      </c>
      <c r="H30" s="190">
        <f t="shared" si="14"/>
        <v>0</v>
      </c>
      <c r="I30" s="199">
        <f t="shared" si="15"/>
        <v>0</v>
      </c>
      <c r="N30" s="150">
        <f t="shared" si="0"/>
        <v>0</v>
      </c>
    </row>
    <row r="31" spans="1:14" x14ac:dyDescent="0.3">
      <c r="A31" s="301"/>
      <c r="B31" s="190"/>
      <c r="C31" s="115"/>
      <c r="D31" s="190"/>
      <c r="E31" s="201"/>
      <c r="F31" s="190"/>
      <c r="G31" s="190"/>
      <c r="H31" s="190"/>
      <c r="I31" s="197"/>
      <c r="N31" s="150">
        <f t="shared" si="0"/>
        <v>0</v>
      </c>
    </row>
    <row r="32" spans="1:14" x14ac:dyDescent="0.3">
      <c r="A32" s="307" t="s">
        <v>163</v>
      </c>
      <c r="B32" s="193"/>
      <c r="C32" s="192"/>
      <c r="D32" s="193"/>
      <c r="E32" s="207"/>
      <c r="F32" s="193"/>
      <c r="G32" s="193"/>
      <c r="H32" s="193"/>
      <c r="I32" s="193"/>
      <c r="N32" s="150">
        <f t="shared" si="0"/>
        <v>0</v>
      </c>
    </row>
    <row r="33" spans="1:14" ht="26" x14ac:dyDescent="0.3">
      <c r="A33" s="301" t="s">
        <v>212</v>
      </c>
      <c r="B33" s="190">
        <v>0</v>
      </c>
      <c r="C33" s="115">
        <v>0</v>
      </c>
      <c r="D33" s="204">
        <f t="shared" ref="D33:D35" si="16">B33*C33</f>
        <v>0</v>
      </c>
      <c r="E33" s="201">
        <v>0</v>
      </c>
      <c r="F33" s="190">
        <f>D33*E33</f>
        <v>0</v>
      </c>
      <c r="G33" s="190">
        <f>F33*0.05</f>
        <v>0</v>
      </c>
      <c r="H33" s="190">
        <f>F33*0.1</f>
        <v>0</v>
      </c>
      <c r="I33" s="199">
        <f>F33*$L$8+G33*$L$7+H33*$L$9</f>
        <v>0</v>
      </c>
      <c r="N33" s="150">
        <f t="shared" si="0"/>
        <v>0</v>
      </c>
    </row>
    <row r="34" spans="1:14" ht="40" customHeight="1" x14ac:dyDescent="0.3">
      <c r="A34" s="301" t="s">
        <v>303</v>
      </c>
      <c r="B34" s="190">
        <v>0</v>
      </c>
      <c r="C34" s="115">
        <v>0</v>
      </c>
      <c r="D34" s="204">
        <f t="shared" si="16"/>
        <v>0</v>
      </c>
      <c r="E34" s="201">
        <f>E33</f>
        <v>0</v>
      </c>
      <c r="F34" s="190">
        <f>D34*E34</f>
        <v>0</v>
      </c>
      <c r="G34" s="190">
        <f>F34*0.05</f>
        <v>0</v>
      </c>
      <c r="H34" s="190">
        <f>F34*0.1</f>
        <v>0</v>
      </c>
      <c r="I34" s="199">
        <f>F34*$L$8+G34*$L$7+H34*$L$9</f>
        <v>0</v>
      </c>
      <c r="N34" s="150">
        <f t="shared" si="0"/>
        <v>0</v>
      </c>
    </row>
    <row r="35" spans="1:14" ht="39" x14ac:dyDescent="0.3">
      <c r="A35" s="301" t="s">
        <v>309</v>
      </c>
      <c r="B35" s="190">
        <v>0</v>
      </c>
      <c r="C35" s="115">
        <v>0</v>
      </c>
      <c r="D35" s="204">
        <f t="shared" si="16"/>
        <v>0</v>
      </c>
      <c r="E35" s="201">
        <f>E34</f>
        <v>0</v>
      </c>
      <c r="F35" s="190">
        <f>D35*E35</f>
        <v>0</v>
      </c>
      <c r="G35" s="190">
        <f>F35*0.05</f>
        <v>0</v>
      </c>
      <c r="H35" s="190">
        <f>F35*0.1</f>
        <v>0</v>
      </c>
      <c r="I35" s="199">
        <f>F35*$L$8+G35*$L$7+H35*$L$9</f>
        <v>0</v>
      </c>
      <c r="N35" s="150">
        <f t="shared" si="0"/>
        <v>0</v>
      </c>
    </row>
    <row r="36" spans="1:14" x14ac:dyDescent="0.3">
      <c r="A36" s="301"/>
      <c r="B36" s="190"/>
      <c r="C36" s="115"/>
      <c r="D36" s="190"/>
      <c r="E36" s="201"/>
      <c r="F36" s="190"/>
      <c r="G36" s="190"/>
      <c r="H36" s="190"/>
      <c r="I36" s="199"/>
      <c r="N36" s="150">
        <f t="shared" si="0"/>
        <v>0</v>
      </c>
    </row>
    <row r="37" spans="1:14" ht="39" x14ac:dyDescent="0.3">
      <c r="A37" s="303" t="s">
        <v>166</v>
      </c>
      <c r="B37" s="190">
        <v>0</v>
      </c>
      <c r="C37" s="115">
        <v>0</v>
      </c>
      <c r="D37" s="190">
        <f t="shared" ref="D37" si="17">B37*C37</f>
        <v>0</v>
      </c>
      <c r="E37" s="201">
        <f>SUM(E19:E20)</f>
        <v>0</v>
      </c>
      <c r="F37" s="190">
        <f t="shared" ref="F37" si="18">D37*E37</f>
        <v>0</v>
      </c>
      <c r="G37" s="190">
        <f t="shared" ref="G37" si="19">F37*0.05</f>
        <v>0</v>
      </c>
      <c r="H37" s="190">
        <f t="shared" ref="H37" si="20">F37*0.1</f>
        <v>0</v>
      </c>
      <c r="I37" s="199">
        <f>F37*$L$8+G37*$L$7+H37*$L$9</f>
        <v>0</v>
      </c>
      <c r="N37" s="150">
        <f t="shared" si="0"/>
        <v>0</v>
      </c>
    </row>
    <row r="38" spans="1:14" ht="27" x14ac:dyDescent="0.3">
      <c r="A38" s="208" t="s">
        <v>167</v>
      </c>
      <c r="B38" s="209"/>
      <c r="C38" s="210"/>
      <c r="D38" s="209"/>
      <c r="E38" s="211"/>
      <c r="F38" s="212">
        <f>SUM(F8:H36)</f>
        <v>719.02599999999995</v>
      </c>
      <c r="G38" s="212"/>
      <c r="H38" s="212"/>
      <c r="I38" s="213">
        <f>SUM(I8:I36)</f>
        <v>88898.248823999995</v>
      </c>
      <c r="N38" s="150">
        <f t="shared" si="0"/>
        <v>0</v>
      </c>
    </row>
    <row r="39" spans="1:14" ht="26" x14ac:dyDescent="0.3">
      <c r="A39" s="182" t="s">
        <v>168</v>
      </c>
      <c r="B39" s="193"/>
      <c r="C39" s="192"/>
      <c r="D39" s="193"/>
      <c r="E39" s="207"/>
      <c r="F39" s="193"/>
      <c r="G39" s="193"/>
      <c r="H39" s="193"/>
      <c r="I39" s="193"/>
      <c r="N39" s="150">
        <f t="shared" si="0"/>
        <v>0</v>
      </c>
    </row>
    <row r="40" spans="1:14" ht="26" x14ac:dyDescent="0.3">
      <c r="A40" s="301" t="s">
        <v>132</v>
      </c>
      <c r="B40" s="190"/>
      <c r="C40" s="192"/>
      <c r="D40" s="193"/>
      <c r="E40" s="192"/>
      <c r="F40" s="193"/>
      <c r="G40" s="193"/>
      <c r="H40" s="193"/>
      <c r="I40" s="193"/>
      <c r="N40" s="150">
        <f t="shared" si="0"/>
        <v>0</v>
      </c>
    </row>
    <row r="41" spans="1:14" x14ac:dyDescent="0.3">
      <c r="A41" s="301" t="s">
        <v>169</v>
      </c>
      <c r="B41" s="190"/>
      <c r="C41" s="192"/>
      <c r="D41" s="193"/>
      <c r="E41" s="192"/>
      <c r="F41" s="193"/>
      <c r="G41" s="193"/>
      <c r="H41" s="193"/>
      <c r="I41" s="193"/>
      <c r="N41" s="150">
        <f t="shared" si="0"/>
        <v>0</v>
      </c>
    </row>
    <row r="42" spans="1:14" x14ac:dyDescent="0.3">
      <c r="A42" s="301" t="s">
        <v>170</v>
      </c>
      <c r="B42" s="190"/>
      <c r="C42" s="192"/>
      <c r="D42" s="193"/>
      <c r="E42" s="192"/>
      <c r="F42" s="193"/>
      <c r="G42" s="193"/>
      <c r="H42" s="193"/>
      <c r="I42" s="193"/>
      <c r="N42" s="150">
        <f t="shared" si="0"/>
        <v>0</v>
      </c>
    </row>
    <row r="43" spans="1:14" ht="30" customHeight="1" x14ac:dyDescent="0.3">
      <c r="A43" s="301" t="s">
        <v>171</v>
      </c>
      <c r="B43" s="190" t="s">
        <v>122</v>
      </c>
      <c r="C43" s="192"/>
      <c r="D43" s="193"/>
      <c r="E43" s="192"/>
      <c r="F43" s="193"/>
      <c r="G43" s="193"/>
      <c r="H43" s="193"/>
      <c r="I43" s="193"/>
      <c r="N43" s="150">
        <f t="shared" si="0"/>
        <v>0</v>
      </c>
    </row>
    <row r="44" spans="1:14" ht="26" x14ac:dyDescent="0.3">
      <c r="A44" s="301" t="s">
        <v>172</v>
      </c>
      <c r="B44" s="193"/>
      <c r="C44" s="192"/>
      <c r="D44" s="193"/>
      <c r="E44" s="192"/>
      <c r="F44" s="193"/>
      <c r="G44" s="193"/>
      <c r="H44" s="193"/>
      <c r="I44" s="193"/>
      <c r="N44" s="150">
        <f t="shared" si="0"/>
        <v>0</v>
      </c>
    </row>
    <row r="45" spans="1:14" x14ac:dyDescent="0.3">
      <c r="A45" s="307" t="s">
        <v>163</v>
      </c>
      <c r="B45" s="193"/>
      <c r="C45" s="192"/>
      <c r="D45" s="193"/>
      <c r="E45" s="192"/>
      <c r="F45" s="193"/>
      <c r="G45" s="193"/>
      <c r="H45" s="193"/>
      <c r="I45" s="193"/>
      <c r="N45" s="150">
        <f t="shared" si="0"/>
        <v>0</v>
      </c>
    </row>
    <row r="46" spans="1:14" x14ac:dyDescent="0.3">
      <c r="A46" s="301" t="s">
        <v>173</v>
      </c>
      <c r="B46" s="190">
        <v>0.1</v>
      </c>
      <c r="C46" s="115">
        <v>1</v>
      </c>
      <c r="D46" s="190">
        <f t="shared" ref="D46:D51" si="21">B46*C46</f>
        <v>0.1</v>
      </c>
      <c r="E46" s="201">
        <f>$L$15</f>
        <v>29</v>
      </c>
      <c r="F46" s="202">
        <f t="shared" ref="F46:F51" si="22">D46*E46</f>
        <v>2.9000000000000004</v>
      </c>
      <c r="G46" s="190">
        <f t="shared" ref="G46:G51" si="23">F46*0.05</f>
        <v>0.14500000000000002</v>
      </c>
      <c r="H46" s="190">
        <f t="shared" ref="H46:H51" si="24">F46*0.1</f>
        <v>0.29000000000000004</v>
      </c>
      <c r="I46" s="197">
        <f>F46*$L$8+G46*$L$7+H46*$L$9</f>
        <v>412.32954000000007</v>
      </c>
      <c r="N46" s="150">
        <f t="shared" si="0"/>
        <v>29</v>
      </c>
    </row>
    <row r="47" spans="1:14" ht="39" x14ac:dyDescent="0.3">
      <c r="A47" s="301" t="s">
        <v>311</v>
      </c>
      <c r="B47" s="190">
        <v>0</v>
      </c>
      <c r="C47" s="115">
        <v>0</v>
      </c>
      <c r="D47" s="190">
        <f t="shared" si="21"/>
        <v>0</v>
      </c>
      <c r="E47" s="201">
        <v>0</v>
      </c>
      <c r="F47" s="202">
        <f t="shared" si="22"/>
        <v>0</v>
      </c>
      <c r="G47" s="190">
        <f t="shared" si="23"/>
        <v>0</v>
      </c>
      <c r="H47" s="190">
        <f t="shared" si="24"/>
        <v>0</v>
      </c>
      <c r="I47" s="199">
        <f>F47*$L$8+G47*$L$7+H47*$L$9</f>
        <v>0</v>
      </c>
      <c r="N47" s="150">
        <f t="shared" si="0"/>
        <v>0</v>
      </c>
    </row>
    <row r="48" spans="1:14" x14ac:dyDescent="0.3">
      <c r="A48" s="307" t="s">
        <v>158</v>
      </c>
      <c r="B48" s="190"/>
      <c r="C48" s="115"/>
      <c r="D48" s="190"/>
      <c r="E48" s="201"/>
      <c r="F48" s="202"/>
      <c r="G48" s="190"/>
      <c r="H48" s="190"/>
      <c r="I48" s="199"/>
      <c r="N48" s="150">
        <f t="shared" si="0"/>
        <v>0</v>
      </c>
    </row>
    <row r="49" spans="1:15" ht="17.25" customHeight="1" x14ac:dyDescent="0.3">
      <c r="A49" s="301" t="s">
        <v>173</v>
      </c>
      <c r="B49" s="190">
        <v>1.5</v>
      </c>
      <c r="C49" s="115">
        <v>1</v>
      </c>
      <c r="D49" s="190">
        <f>B49*C49</f>
        <v>1.5</v>
      </c>
      <c r="E49" s="201">
        <f>$L$14</f>
        <v>2.0300000000000002</v>
      </c>
      <c r="F49" s="202">
        <f t="shared" ref="F49:F50" si="25">D49*E49</f>
        <v>3.0450000000000004</v>
      </c>
      <c r="G49" s="190">
        <f t="shared" ref="G49:G50" si="26">F49*0.05</f>
        <v>0.15225000000000002</v>
      </c>
      <c r="H49" s="190">
        <f t="shared" ref="H49:H50" si="27">F49*0.1</f>
        <v>0.30450000000000005</v>
      </c>
      <c r="I49" s="197">
        <f>F49*$L$8+G49*$L$7+H49*$L$9</f>
        <v>432.94601700000004</v>
      </c>
      <c r="K49" s="164"/>
      <c r="N49" s="150">
        <f>SUM(N6:N48)</f>
        <v>58</v>
      </c>
      <c r="O49" s="150" t="s">
        <v>187</v>
      </c>
    </row>
    <row r="50" spans="1:15" x14ac:dyDescent="0.3">
      <c r="A50" s="301" t="s">
        <v>312</v>
      </c>
      <c r="B50" s="190">
        <v>0</v>
      </c>
      <c r="C50" s="115">
        <v>0</v>
      </c>
      <c r="D50" s="190">
        <f t="shared" ref="D50" si="28">B50*C50</f>
        <v>0</v>
      </c>
      <c r="E50" s="201">
        <f>$L$13</f>
        <v>0</v>
      </c>
      <c r="F50" s="202">
        <f t="shared" si="25"/>
        <v>0</v>
      </c>
      <c r="G50" s="190">
        <f t="shared" si="26"/>
        <v>0</v>
      </c>
      <c r="H50" s="190">
        <f t="shared" si="27"/>
        <v>0</v>
      </c>
      <c r="I50" s="197">
        <f>F50*$L$8+G50*$L$7+H50*$L$9</f>
        <v>0</v>
      </c>
      <c r="K50" s="221">
        <f>F54/212</f>
        <v>3.3018867924528301</v>
      </c>
      <c r="L50" s="150" t="s">
        <v>190</v>
      </c>
      <c r="N50" s="150">
        <f>N49-N42-N43-N20</f>
        <v>58</v>
      </c>
      <c r="O50" s="150" t="s">
        <v>357</v>
      </c>
    </row>
    <row r="51" spans="1:15" x14ac:dyDescent="0.3">
      <c r="A51" s="301" t="s">
        <v>313</v>
      </c>
      <c r="B51" s="190">
        <v>0</v>
      </c>
      <c r="C51" s="115">
        <v>0</v>
      </c>
      <c r="D51" s="190">
        <f t="shared" si="21"/>
        <v>0</v>
      </c>
      <c r="E51" s="201">
        <f>$L$13</f>
        <v>0</v>
      </c>
      <c r="F51" s="202">
        <f t="shared" si="22"/>
        <v>0</v>
      </c>
      <c r="G51" s="190">
        <f t="shared" si="23"/>
        <v>0</v>
      </c>
      <c r="H51" s="190">
        <f t="shared" si="24"/>
        <v>0</v>
      </c>
      <c r="I51" s="197">
        <f>F51*$L$8+G51*$L$7+H51*$L$9</f>
        <v>0</v>
      </c>
    </row>
    <row r="52" spans="1:15" x14ac:dyDescent="0.3">
      <c r="A52" s="301" t="s">
        <v>186</v>
      </c>
      <c r="B52" s="190" t="s">
        <v>122</v>
      </c>
      <c r="C52" s="192"/>
      <c r="D52" s="193"/>
      <c r="E52" s="192"/>
      <c r="F52" s="193"/>
      <c r="G52" s="193"/>
      <c r="H52" s="193"/>
      <c r="I52" s="193"/>
    </row>
    <row r="53" spans="1:15" ht="27" x14ac:dyDescent="0.3">
      <c r="A53" s="208" t="s">
        <v>188</v>
      </c>
      <c r="B53" s="214"/>
      <c r="C53" s="215"/>
      <c r="D53" s="214"/>
      <c r="E53" s="216"/>
      <c r="F53" s="212">
        <f>SUM(F46:H51)</f>
        <v>6.8367500000000012</v>
      </c>
      <c r="G53" s="212"/>
      <c r="H53" s="212"/>
      <c r="I53" s="213">
        <f>SUM(I46:I52)</f>
        <v>845.27555700000016</v>
      </c>
    </row>
    <row r="54" spans="1:15" ht="28" x14ac:dyDescent="0.3">
      <c r="A54" s="184" t="s">
        <v>189</v>
      </c>
      <c r="B54" s="217"/>
      <c r="C54" s="218"/>
      <c r="D54" s="217"/>
      <c r="E54" s="219"/>
      <c r="F54" s="481">
        <f>ROUND(F53+F38, -2)</f>
        <v>700</v>
      </c>
      <c r="G54" s="481"/>
      <c r="H54" s="481"/>
      <c r="I54" s="220">
        <f>ROUND(I53+I38, -4)</f>
        <v>90000</v>
      </c>
    </row>
    <row r="55" spans="1:15" ht="30.65" customHeight="1" x14ac:dyDescent="0.3">
      <c r="A55" s="222" t="s">
        <v>191</v>
      </c>
      <c r="B55" s="193"/>
      <c r="C55" s="192"/>
      <c r="D55" s="193"/>
      <c r="E55" s="192"/>
      <c r="F55" s="193"/>
      <c r="G55" s="193"/>
      <c r="H55" s="193"/>
      <c r="I55" s="220"/>
    </row>
    <row r="56" spans="1:15" ht="28.5" customHeight="1" x14ac:dyDescent="0.3">
      <c r="A56" s="222" t="s">
        <v>192</v>
      </c>
      <c r="B56" s="193"/>
      <c r="C56" s="192"/>
      <c r="D56" s="193"/>
      <c r="E56" s="192"/>
      <c r="F56" s="193"/>
      <c r="G56" s="193"/>
      <c r="H56" s="193"/>
      <c r="I56" s="220">
        <f>ROUND(I54+I55, -5)</f>
        <v>100000</v>
      </c>
    </row>
    <row r="57" spans="1:15" ht="5.15" customHeight="1" x14ac:dyDescent="0.3"/>
    <row r="58" spans="1:15" ht="20.5" customHeight="1" x14ac:dyDescent="0.3">
      <c r="A58" s="482" t="s">
        <v>358</v>
      </c>
      <c r="B58" s="482"/>
      <c r="C58" s="482"/>
      <c r="D58" s="482"/>
      <c r="E58" s="482"/>
      <c r="F58" s="482"/>
      <c r="G58" s="482"/>
      <c r="H58" s="482"/>
      <c r="I58" s="482"/>
    </row>
    <row r="59" spans="1:15" ht="76.5" customHeight="1" x14ac:dyDescent="0.3">
      <c r="A59" s="446" t="s">
        <v>194</v>
      </c>
      <c r="B59" s="446"/>
      <c r="C59" s="446"/>
      <c r="D59" s="446"/>
      <c r="E59" s="446"/>
      <c r="F59" s="446"/>
      <c r="G59" s="446"/>
      <c r="H59" s="446"/>
      <c r="I59" s="446"/>
    </row>
    <row r="60" spans="1:15" ht="13" customHeight="1" x14ac:dyDescent="0.3">
      <c r="A60" s="482" t="s">
        <v>359</v>
      </c>
      <c r="B60" s="482"/>
      <c r="C60" s="482"/>
      <c r="D60" s="482"/>
      <c r="E60" s="482"/>
      <c r="F60" s="482"/>
      <c r="G60" s="482"/>
      <c r="H60" s="482"/>
      <c r="I60" s="482"/>
    </row>
    <row r="61" spans="1:15" ht="11.5" customHeight="1" x14ac:dyDescent="0.3">
      <c r="A61" s="483" t="s">
        <v>360</v>
      </c>
      <c r="B61" s="483"/>
      <c r="C61" s="483"/>
      <c r="D61" s="483"/>
      <c r="E61" s="483"/>
      <c r="F61" s="483"/>
      <c r="G61" s="483"/>
      <c r="H61" s="483"/>
      <c r="I61" s="483"/>
    </row>
    <row r="62" spans="1:15" x14ac:dyDescent="0.3">
      <c r="A62" s="479" t="s">
        <v>198</v>
      </c>
      <c r="B62" s="479"/>
      <c r="C62" s="479"/>
      <c r="D62" s="479"/>
      <c r="E62" s="479"/>
      <c r="F62" s="479"/>
      <c r="G62" s="479"/>
      <c r="H62" s="479"/>
      <c r="I62" s="479"/>
    </row>
    <row r="63" spans="1:15" ht="21.65" customHeight="1" x14ac:dyDescent="0.3"/>
  </sheetData>
  <mergeCells count="9">
    <mergeCell ref="A62:I62"/>
    <mergeCell ref="A1:I1"/>
    <mergeCell ref="A3:I3"/>
    <mergeCell ref="K6:L6"/>
    <mergeCell ref="F54:H54"/>
    <mergeCell ref="A58:I58"/>
    <mergeCell ref="A59:I59"/>
    <mergeCell ref="A60:I60"/>
    <mergeCell ref="A61:I61"/>
  </mergeCells>
  <pageMargins left="0.7" right="0.7" top="0.75" bottom="0.75" header="0.3" footer="0.3"/>
  <pageSetup scale="3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C72DD-C920-41DA-AF4B-11F8A458C615}">
  <sheetPr>
    <pageSetUpPr fitToPage="1"/>
  </sheetPr>
  <dimension ref="A1:O65"/>
  <sheetViews>
    <sheetView zoomScale="80" zoomScaleNormal="80" workbookViewId="0">
      <pane xSplit="13" ySplit="5" topLeftCell="N6" activePane="bottomRight" state="frozen"/>
      <selection pane="topRight" activeCell="A73" sqref="A73"/>
      <selection pane="bottomLeft" activeCell="A73" sqref="A73"/>
      <selection pane="bottomRight" activeCell="L20" sqref="L20"/>
    </sheetView>
  </sheetViews>
  <sheetFormatPr defaultColWidth="9.1796875" defaultRowHeight="13" x14ac:dyDescent="0.3"/>
  <cols>
    <col min="1" max="1" width="26.816406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25.1796875" style="150" customWidth="1"/>
    <col min="12" max="12" width="14.54296875" style="150" customWidth="1"/>
    <col min="13" max="13" width="30.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369</v>
      </c>
      <c r="B2" s="423"/>
      <c r="C2" s="423"/>
      <c r="D2" s="423"/>
      <c r="E2" s="423"/>
      <c r="F2" s="423"/>
      <c r="G2" s="423"/>
      <c r="H2" s="423"/>
      <c r="I2" s="423"/>
    </row>
    <row r="3" spans="1:14" s="188" customFormat="1" ht="33" customHeight="1" x14ac:dyDescent="0.3">
      <c r="A3" s="462" t="s">
        <v>365</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24.65" customHeight="1" x14ac:dyDescent="0.3">
      <c r="A7" s="182" t="s">
        <v>124</v>
      </c>
      <c r="B7" s="190" t="s">
        <v>122</v>
      </c>
      <c r="C7" s="192"/>
      <c r="D7" s="193"/>
      <c r="E7" s="192"/>
      <c r="F7" s="193"/>
      <c r="G7" s="193"/>
      <c r="H7" s="193"/>
      <c r="I7" s="193"/>
      <c r="K7" s="194" t="s">
        <v>125</v>
      </c>
      <c r="L7" s="195">
        <f>76.96*2.1</f>
        <v>161.61599999999999</v>
      </c>
      <c r="M7" s="196" t="s">
        <v>126</v>
      </c>
      <c r="N7" s="150">
        <f t="shared" ref="N7:N50" si="0">C7*E7</f>
        <v>0</v>
      </c>
    </row>
    <row r="8" spans="1:14" ht="60"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431" t="s">
        <v>518</v>
      </c>
      <c r="N11" s="150">
        <f t="shared" si="0"/>
        <v>0</v>
      </c>
    </row>
    <row r="12" spans="1:14" ht="15.5" x14ac:dyDescent="0.3">
      <c r="A12" s="306" t="s">
        <v>290</v>
      </c>
      <c r="B12" s="190"/>
      <c r="C12" s="115"/>
      <c r="D12" s="190"/>
      <c r="E12" s="201"/>
      <c r="F12" s="202"/>
      <c r="G12" s="190"/>
      <c r="H12" s="190"/>
      <c r="I12" s="199"/>
      <c r="K12" s="265"/>
      <c r="L12" s="265">
        <v>0</v>
      </c>
      <c r="M12" s="188"/>
      <c r="N12" s="150">
        <f t="shared" si="0"/>
        <v>0</v>
      </c>
    </row>
    <row r="13" spans="1:14" ht="27" customHeight="1" x14ac:dyDescent="0.3">
      <c r="A13" s="116" t="s">
        <v>295</v>
      </c>
      <c r="B13" s="115">
        <v>8</v>
      </c>
      <c r="C13" s="115">
        <v>1</v>
      </c>
      <c r="D13" s="190">
        <f>B13*C13</f>
        <v>8</v>
      </c>
      <c r="E13" s="201">
        <f t="shared" ref="E13:E15" si="1">L$13</f>
        <v>2.0300000000000002</v>
      </c>
      <c r="F13" s="202">
        <f>D13*E13</f>
        <v>16.240000000000002</v>
      </c>
      <c r="G13" s="190">
        <f>F13*0.05</f>
        <v>0.81200000000000017</v>
      </c>
      <c r="H13" s="190">
        <f>F13*0.1</f>
        <v>1.6240000000000003</v>
      </c>
      <c r="I13" s="197">
        <f>F13*$L$8+G13*$L$7+H13*$L$9</f>
        <v>2309.0454239999999</v>
      </c>
      <c r="K13" s="265" t="s">
        <v>136</v>
      </c>
      <c r="L13" s="265">
        <f>L12+L14*0.07</f>
        <v>2.0300000000000002</v>
      </c>
      <c r="M13" s="264" t="s">
        <v>294</v>
      </c>
      <c r="N13" s="150">
        <f t="shared" si="0"/>
        <v>2.0300000000000002</v>
      </c>
    </row>
    <row r="14" spans="1:14" ht="26" x14ac:dyDescent="0.3">
      <c r="A14" s="116" t="s">
        <v>296</v>
      </c>
      <c r="B14" s="115">
        <v>8</v>
      </c>
      <c r="C14" s="115">
        <v>1</v>
      </c>
      <c r="D14" s="190">
        <f t="shared" ref="D14" si="2">B14*C14</f>
        <v>8</v>
      </c>
      <c r="E14" s="296">
        <f>E13*0.05</f>
        <v>0.10150000000000002</v>
      </c>
      <c r="F14" s="202">
        <f t="shared" ref="F14:F22" si="3">D14*E14</f>
        <v>0.81200000000000017</v>
      </c>
      <c r="G14" s="296">
        <f t="shared" ref="G14:G22" si="4">F14*0.05</f>
        <v>4.0600000000000011E-2</v>
      </c>
      <c r="H14" s="296">
        <f t="shared" ref="H14:H22" si="5">F14*0.1</f>
        <v>8.1200000000000022E-2</v>
      </c>
      <c r="I14" s="197">
        <f t="shared" ref="I14:I22" si="6">F14*$L$8+G14*$L$7+H14*$L$9</f>
        <v>115.45227120000001</v>
      </c>
      <c r="J14" s="420"/>
      <c r="K14" s="200" t="s">
        <v>141</v>
      </c>
      <c r="L14" s="200">
        <f>'II-Y1'!$L$22</f>
        <v>29</v>
      </c>
      <c r="N14" s="150">
        <f t="shared" si="0"/>
        <v>0.10150000000000002</v>
      </c>
    </row>
    <row r="15" spans="1:14" ht="26" x14ac:dyDescent="0.3">
      <c r="A15" s="253" t="s">
        <v>370</v>
      </c>
      <c r="B15" s="115">
        <v>6</v>
      </c>
      <c r="C15" s="115">
        <v>1</v>
      </c>
      <c r="D15" s="190">
        <f t="shared" ref="D15" si="7">B15*C15</f>
        <v>6</v>
      </c>
      <c r="E15" s="201">
        <f t="shared" si="1"/>
        <v>2.0300000000000002</v>
      </c>
      <c r="F15" s="202">
        <f t="shared" ref="F15" si="8">D15*E15</f>
        <v>12.180000000000001</v>
      </c>
      <c r="G15" s="296">
        <f t="shared" ref="G15" si="9">F15*0.05</f>
        <v>0.6090000000000001</v>
      </c>
      <c r="H15" s="296">
        <f t="shared" ref="H15" si="10">F15*0.1</f>
        <v>1.2180000000000002</v>
      </c>
      <c r="I15" s="197">
        <f t="shared" ref="I15" si="11">F15*$L$8+G15*$L$7+H15*$L$9</f>
        <v>1731.7840680000002</v>
      </c>
      <c r="J15" s="420"/>
      <c r="K15" s="309"/>
      <c r="L15" s="309"/>
      <c r="N15" s="150">
        <f t="shared" si="0"/>
        <v>2.0300000000000002</v>
      </c>
    </row>
    <row r="16" spans="1:14" x14ac:dyDescent="0.3">
      <c r="A16" s="253" t="s">
        <v>293</v>
      </c>
      <c r="B16" s="115">
        <v>6</v>
      </c>
      <c r="C16" s="115">
        <v>1</v>
      </c>
      <c r="D16" s="190">
        <f t="shared" ref="D16" si="12">B16*C16</f>
        <v>6</v>
      </c>
      <c r="E16" s="296">
        <f>E15*0.05</f>
        <v>0.10150000000000002</v>
      </c>
      <c r="F16" s="202">
        <f t="shared" ref="F16" si="13">D16*E16</f>
        <v>0.6090000000000001</v>
      </c>
      <c r="G16" s="296">
        <f t="shared" ref="G16" si="14">F16*0.05</f>
        <v>3.0450000000000005E-2</v>
      </c>
      <c r="H16" s="296">
        <f t="shared" ref="H16" si="15">F16*0.1</f>
        <v>6.090000000000001E-2</v>
      </c>
      <c r="I16" s="197">
        <f t="shared" ref="I16" si="16">F16*$L$8+G16*$L$7+H16*$L$9</f>
        <v>86.589203400000017</v>
      </c>
      <c r="J16" s="420"/>
      <c r="K16" s="309"/>
      <c r="L16" s="309"/>
      <c r="N16" s="150">
        <f t="shared" si="0"/>
        <v>0.10150000000000002</v>
      </c>
    </row>
    <row r="17" spans="1:14" ht="28.5" x14ac:dyDescent="0.3">
      <c r="A17" s="306" t="s">
        <v>297</v>
      </c>
      <c r="B17" s="190"/>
      <c r="C17" s="115"/>
      <c r="D17" s="190"/>
      <c r="E17" s="115"/>
      <c r="F17" s="202"/>
      <c r="G17" s="190"/>
      <c r="H17" s="190"/>
      <c r="I17" s="199"/>
      <c r="K17" s="420" t="s">
        <v>366</v>
      </c>
      <c r="L17" s="420">
        <v>15</v>
      </c>
      <c r="M17" s="420"/>
      <c r="N17" s="150">
        <f t="shared" si="0"/>
        <v>0</v>
      </c>
    </row>
    <row r="18" spans="1:14" ht="39" x14ac:dyDescent="0.3">
      <c r="A18" s="301" t="s">
        <v>295</v>
      </c>
      <c r="B18" s="190">
        <v>8</v>
      </c>
      <c r="C18" s="115">
        <v>1</v>
      </c>
      <c r="D18" s="190">
        <f>B18*C18</f>
        <v>8</v>
      </c>
      <c r="E18" s="201">
        <f t="shared" ref="E18" si="17">L$14</f>
        <v>29</v>
      </c>
      <c r="F18" s="202">
        <f t="shared" si="3"/>
        <v>232</v>
      </c>
      <c r="G18" s="190">
        <f t="shared" si="4"/>
        <v>11.600000000000001</v>
      </c>
      <c r="H18" s="190">
        <f t="shared" si="5"/>
        <v>23.200000000000003</v>
      </c>
      <c r="I18" s="197">
        <f t="shared" si="6"/>
        <v>32986.3632</v>
      </c>
      <c r="J18" s="203"/>
      <c r="K18" s="420" t="s">
        <v>367</v>
      </c>
      <c r="L18" s="150">
        <v>9</v>
      </c>
      <c r="N18" s="150">
        <f t="shared" si="0"/>
        <v>29</v>
      </c>
    </row>
    <row r="19" spans="1:14" ht="39" x14ac:dyDescent="0.3">
      <c r="A19" s="301" t="s">
        <v>296</v>
      </c>
      <c r="B19" s="115">
        <v>8</v>
      </c>
      <c r="C19" s="115">
        <v>1</v>
      </c>
      <c r="D19" s="190">
        <f t="shared" ref="D19:D22" si="18">B19*C19</f>
        <v>8</v>
      </c>
      <c r="E19" s="201">
        <f>E18*0.05</f>
        <v>1.4500000000000002</v>
      </c>
      <c r="F19" s="202">
        <f t="shared" si="3"/>
        <v>11.600000000000001</v>
      </c>
      <c r="G19" s="190">
        <f t="shared" si="4"/>
        <v>0.58000000000000007</v>
      </c>
      <c r="H19" s="190">
        <f t="shared" si="5"/>
        <v>1.1600000000000001</v>
      </c>
      <c r="I19" s="197">
        <f t="shared" si="6"/>
        <v>1649.3181600000003</v>
      </c>
      <c r="J19" s="203"/>
      <c r="K19" s="420" t="s">
        <v>368</v>
      </c>
      <c r="L19" s="150">
        <v>6</v>
      </c>
      <c r="M19" s="286" t="s">
        <v>356</v>
      </c>
      <c r="N19" s="150">
        <f t="shared" si="0"/>
        <v>1.4500000000000002</v>
      </c>
    </row>
    <row r="20" spans="1:14" ht="28.5" x14ac:dyDescent="0.3">
      <c r="A20" s="304" t="s">
        <v>371</v>
      </c>
      <c r="B20" s="205"/>
      <c r="C20" s="205"/>
      <c r="D20" s="204"/>
      <c r="E20" s="206"/>
      <c r="F20" s="202"/>
      <c r="G20" s="190"/>
      <c r="H20" s="190"/>
      <c r="I20" s="199"/>
      <c r="J20" s="203"/>
      <c r="K20" s="420"/>
      <c r="M20" s="286"/>
      <c r="N20" s="150">
        <f t="shared" si="0"/>
        <v>0</v>
      </c>
    </row>
    <row r="21" spans="1:14" ht="26" x14ac:dyDescent="0.3">
      <c r="A21" s="303" t="s">
        <v>372</v>
      </c>
      <c r="B21" s="205">
        <v>6</v>
      </c>
      <c r="C21" s="205">
        <v>1</v>
      </c>
      <c r="D21" s="204">
        <f t="shared" si="18"/>
        <v>6</v>
      </c>
      <c r="E21" s="201">
        <f t="shared" ref="E21" si="19">L$14</f>
        <v>29</v>
      </c>
      <c r="F21" s="202">
        <f t="shared" si="3"/>
        <v>174</v>
      </c>
      <c r="G21" s="190">
        <f t="shared" si="4"/>
        <v>8.7000000000000011</v>
      </c>
      <c r="H21" s="190">
        <f t="shared" si="5"/>
        <v>17.400000000000002</v>
      </c>
      <c r="I21" s="197">
        <f t="shared" si="6"/>
        <v>24739.772399999998</v>
      </c>
      <c r="N21" s="150">
        <f t="shared" si="0"/>
        <v>29</v>
      </c>
    </row>
    <row r="22" spans="1:14" x14ac:dyDescent="0.3">
      <c r="A22" s="303" t="s">
        <v>300</v>
      </c>
      <c r="B22" s="205">
        <v>6</v>
      </c>
      <c r="C22" s="205">
        <v>1</v>
      </c>
      <c r="D22" s="204">
        <f t="shared" si="18"/>
        <v>6</v>
      </c>
      <c r="E22" s="206">
        <f>E21*0.05</f>
        <v>1.4500000000000002</v>
      </c>
      <c r="F22" s="202">
        <f t="shared" si="3"/>
        <v>8.7000000000000011</v>
      </c>
      <c r="G22" s="190">
        <f t="shared" si="4"/>
        <v>0.43500000000000005</v>
      </c>
      <c r="H22" s="190">
        <f t="shared" si="5"/>
        <v>0.87000000000000011</v>
      </c>
      <c r="I22" s="197">
        <f t="shared" si="6"/>
        <v>1236.9886200000001</v>
      </c>
      <c r="N22" s="150">
        <f t="shared" si="0"/>
        <v>1.4500000000000002</v>
      </c>
    </row>
    <row r="23" spans="1:14" ht="28.5" x14ac:dyDescent="0.3">
      <c r="A23" s="306" t="s">
        <v>151</v>
      </c>
      <c r="B23" s="204"/>
      <c r="C23" s="205"/>
      <c r="D23" s="204"/>
      <c r="E23" s="206"/>
      <c r="F23" s="202"/>
      <c r="G23" s="190"/>
      <c r="H23" s="190"/>
      <c r="I23" s="199"/>
      <c r="N23" s="150">
        <f t="shared" si="0"/>
        <v>0</v>
      </c>
    </row>
    <row r="24" spans="1:14" x14ac:dyDescent="0.3">
      <c r="A24" s="301"/>
      <c r="B24" s="190"/>
      <c r="C24" s="115"/>
      <c r="D24" s="190"/>
      <c r="E24" s="201"/>
      <c r="F24" s="202"/>
      <c r="G24" s="190"/>
      <c r="H24" s="190"/>
      <c r="I24" s="199"/>
      <c r="N24" s="150">
        <f t="shared" si="0"/>
        <v>0</v>
      </c>
    </row>
    <row r="25" spans="1:14" x14ac:dyDescent="0.3">
      <c r="A25" s="301"/>
      <c r="B25" s="190"/>
      <c r="C25" s="115"/>
      <c r="D25" s="190"/>
      <c r="E25" s="201"/>
      <c r="F25" s="202"/>
      <c r="G25" s="296"/>
      <c r="H25" s="190"/>
      <c r="I25" s="199"/>
      <c r="N25" s="150">
        <f t="shared" si="0"/>
        <v>0</v>
      </c>
    </row>
    <row r="26" spans="1:14" ht="26" x14ac:dyDescent="0.3">
      <c r="A26" s="301" t="s">
        <v>155</v>
      </c>
      <c r="B26" s="190"/>
      <c r="C26" s="192"/>
      <c r="D26" s="193"/>
      <c r="E26" s="207"/>
      <c r="F26" s="193"/>
      <c r="G26" s="193"/>
      <c r="H26" s="193"/>
      <c r="I26" s="193"/>
      <c r="N26" s="150">
        <f t="shared" si="0"/>
        <v>0</v>
      </c>
    </row>
    <row r="27" spans="1:14" ht="26" x14ac:dyDescent="0.3">
      <c r="A27" s="301" t="s">
        <v>156</v>
      </c>
      <c r="B27" s="190"/>
      <c r="C27" s="192"/>
      <c r="D27" s="193"/>
      <c r="E27" s="207"/>
      <c r="F27" s="193"/>
      <c r="G27" s="193"/>
      <c r="H27" s="193"/>
      <c r="I27" s="193"/>
      <c r="N27" s="150">
        <f t="shared" si="0"/>
        <v>0</v>
      </c>
    </row>
    <row r="28" spans="1:14" ht="26.15" customHeight="1" x14ac:dyDescent="0.3">
      <c r="A28" s="301" t="s">
        <v>157</v>
      </c>
      <c r="B28" s="193"/>
      <c r="C28" s="192"/>
      <c r="D28" s="193"/>
      <c r="E28" s="207"/>
      <c r="F28" s="193"/>
      <c r="G28" s="193"/>
      <c r="H28" s="193"/>
      <c r="I28" s="193"/>
      <c r="N28" s="150">
        <f t="shared" si="0"/>
        <v>0</v>
      </c>
    </row>
    <row r="29" spans="1:14" x14ac:dyDescent="0.3">
      <c r="A29" s="307" t="s">
        <v>158</v>
      </c>
      <c r="B29" s="190"/>
      <c r="C29" s="115"/>
      <c r="D29" s="190"/>
      <c r="E29" s="201"/>
      <c r="F29" s="190"/>
      <c r="G29" s="190"/>
      <c r="H29" s="190"/>
      <c r="I29" s="199"/>
      <c r="N29" s="150">
        <f t="shared" si="0"/>
        <v>0</v>
      </c>
    </row>
    <row r="30" spans="1:14" ht="26" x14ac:dyDescent="0.3">
      <c r="A30" s="301" t="s">
        <v>212</v>
      </c>
      <c r="B30" s="190">
        <v>2</v>
      </c>
      <c r="C30" s="115">
        <v>1</v>
      </c>
      <c r="D30" s="190">
        <v>2</v>
      </c>
      <c r="E30" s="201">
        <f>L13</f>
        <v>2.0300000000000002</v>
      </c>
      <c r="F30" s="190">
        <f t="shared" ref="F30:F32" si="20">D30*E30</f>
        <v>4.0600000000000005</v>
      </c>
      <c r="G30" s="190">
        <f t="shared" ref="G30:G32" si="21">F30*0.05</f>
        <v>0.20300000000000004</v>
      </c>
      <c r="H30" s="190">
        <f t="shared" ref="H30:H32" si="22">F30*0.1</f>
        <v>0.40600000000000008</v>
      </c>
      <c r="I30" s="197">
        <f t="shared" ref="I30:I32" si="23">F30*$L$8+G30*$L$7+H30*$L$9</f>
        <v>577.26135599999998</v>
      </c>
      <c r="N30" s="150">
        <f t="shared" si="0"/>
        <v>2.0300000000000002</v>
      </c>
    </row>
    <row r="31" spans="1:14" ht="26" x14ac:dyDescent="0.3">
      <c r="A31" s="301" t="s">
        <v>303</v>
      </c>
      <c r="B31" s="190">
        <v>2</v>
      </c>
      <c r="C31" s="115">
        <v>1</v>
      </c>
      <c r="D31" s="190">
        <v>2</v>
      </c>
      <c r="E31" s="201">
        <f>L13</f>
        <v>2.0300000000000002</v>
      </c>
      <c r="F31" s="190">
        <f t="shared" si="20"/>
        <v>4.0600000000000005</v>
      </c>
      <c r="G31" s="190">
        <f t="shared" si="21"/>
        <v>0.20300000000000004</v>
      </c>
      <c r="H31" s="190">
        <f t="shared" si="22"/>
        <v>0.40600000000000008</v>
      </c>
      <c r="I31" s="197">
        <f t="shared" si="23"/>
        <v>577.26135599999998</v>
      </c>
      <c r="N31" s="150">
        <f t="shared" si="0"/>
        <v>2.0300000000000002</v>
      </c>
    </row>
    <row r="32" spans="1:14" ht="26" x14ac:dyDescent="0.3">
      <c r="A32" s="301" t="s">
        <v>304</v>
      </c>
      <c r="B32" s="190">
        <v>2</v>
      </c>
      <c r="C32" s="115">
        <v>1</v>
      </c>
      <c r="D32" s="190">
        <v>2</v>
      </c>
      <c r="E32" s="201">
        <f>L13</f>
        <v>2.0300000000000002</v>
      </c>
      <c r="F32" s="190">
        <f t="shared" si="20"/>
        <v>4.0600000000000005</v>
      </c>
      <c r="G32" s="190">
        <f t="shared" si="21"/>
        <v>0.20300000000000004</v>
      </c>
      <c r="H32" s="190">
        <f t="shared" si="22"/>
        <v>0.40600000000000008</v>
      </c>
      <c r="I32" s="197">
        <f t="shared" si="23"/>
        <v>577.26135599999998</v>
      </c>
      <c r="N32" s="150">
        <f t="shared" si="0"/>
        <v>2.0300000000000002</v>
      </c>
    </row>
    <row r="33" spans="1:14" x14ac:dyDescent="0.3">
      <c r="A33" s="301"/>
      <c r="B33" s="190"/>
      <c r="C33" s="115"/>
      <c r="D33" s="190"/>
      <c r="E33" s="201"/>
      <c r="F33" s="190"/>
      <c r="G33" s="190"/>
      <c r="H33" s="190"/>
      <c r="I33" s="197"/>
      <c r="N33" s="150">
        <f t="shared" si="0"/>
        <v>0</v>
      </c>
    </row>
    <row r="34" spans="1:14" x14ac:dyDescent="0.3">
      <c r="A34" s="307" t="s">
        <v>163</v>
      </c>
      <c r="B34" s="193"/>
      <c r="C34" s="192"/>
      <c r="D34" s="193"/>
      <c r="E34" s="207"/>
      <c r="F34" s="193"/>
      <c r="G34" s="193"/>
      <c r="H34" s="193"/>
      <c r="I34" s="193"/>
      <c r="N34" s="150">
        <f t="shared" si="0"/>
        <v>0</v>
      </c>
    </row>
    <row r="35" spans="1:14" ht="26" x14ac:dyDescent="0.3">
      <c r="A35" s="301" t="s">
        <v>212</v>
      </c>
      <c r="B35" s="190">
        <v>2</v>
      </c>
      <c r="C35" s="115">
        <v>1</v>
      </c>
      <c r="D35" s="190">
        <v>2</v>
      </c>
      <c r="E35" s="201">
        <f>L14</f>
        <v>29</v>
      </c>
      <c r="F35" s="190">
        <f>D35*E35</f>
        <v>58</v>
      </c>
      <c r="G35" s="190">
        <f>F35*0.05</f>
        <v>2.9000000000000004</v>
      </c>
      <c r="H35" s="190">
        <f>F35*0.1</f>
        <v>5.8000000000000007</v>
      </c>
      <c r="I35" s="197">
        <f>F35*$L$8+G35*$L$7+H35*$L$9</f>
        <v>8246.5907999999999</v>
      </c>
      <c r="N35" s="150">
        <f t="shared" si="0"/>
        <v>29</v>
      </c>
    </row>
    <row r="36" spans="1:14" ht="40" customHeight="1" x14ac:dyDescent="0.3">
      <c r="A36" s="301" t="s">
        <v>303</v>
      </c>
      <c r="B36" s="190">
        <v>2</v>
      </c>
      <c r="C36" s="115">
        <v>1</v>
      </c>
      <c r="D36" s="190">
        <v>2</v>
      </c>
      <c r="E36" s="201">
        <f>E35</f>
        <v>29</v>
      </c>
      <c r="F36" s="190">
        <f>D36*E36</f>
        <v>58</v>
      </c>
      <c r="G36" s="190">
        <f>F36*0.05</f>
        <v>2.9000000000000004</v>
      </c>
      <c r="H36" s="190">
        <f>F36*0.1</f>
        <v>5.8000000000000007</v>
      </c>
      <c r="I36" s="197">
        <f>F36*$L$8+G36*$L$7+H36*$L$9</f>
        <v>8246.5907999999999</v>
      </c>
      <c r="N36" s="150">
        <f t="shared" si="0"/>
        <v>29</v>
      </c>
    </row>
    <row r="37" spans="1:14" ht="26" x14ac:dyDescent="0.3">
      <c r="A37" s="301" t="s">
        <v>309</v>
      </c>
      <c r="B37" s="190">
        <v>2</v>
      </c>
      <c r="C37" s="115">
        <v>1</v>
      </c>
      <c r="D37" s="190">
        <v>2</v>
      </c>
      <c r="E37" s="201">
        <f>E36</f>
        <v>29</v>
      </c>
      <c r="F37" s="190">
        <f>D37*E37</f>
        <v>58</v>
      </c>
      <c r="G37" s="190">
        <f>F37*0.05</f>
        <v>2.9000000000000004</v>
      </c>
      <c r="H37" s="190">
        <f>F37*0.1</f>
        <v>5.8000000000000007</v>
      </c>
      <c r="I37" s="197">
        <f>F37*$L$8+G37*$L$7+H37*$L$9</f>
        <v>8246.5907999999999</v>
      </c>
      <c r="N37" s="150">
        <f t="shared" si="0"/>
        <v>29</v>
      </c>
    </row>
    <row r="38" spans="1:14" ht="39" x14ac:dyDescent="0.3">
      <c r="A38" s="303" t="s">
        <v>166</v>
      </c>
      <c r="B38" s="190">
        <v>1</v>
      </c>
      <c r="C38" s="115">
        <v>1</v>
      </c>
      <c r="D38" s="190">
        <f t="shared" ref="D38" si="24">B38*C38</f>
        <v>1</v>
      </c>
      <c r="E38" s="201">
        <f>L14</f>
        <v>29</v>
      </c>
      <c r="F38" s="190">
        <f t="shared" ref="F38" si="25">D38*E38</f>
        <v>29</v>
      </c>
      <c r="G38" s="190">
        <f t="shared" ref="G38" si="26">F38*0.05</f>
        <v>1.4500000000000002</v>
      </c>
      <c r="H38" s="190">
        <f t="shared" ref="H38" si="27">F38*0.1</f>
        <v>2.9000000000000004</v>
      </c>
      <c r="I38" s="197">
        <f>F38*$L$8+G38*$L$7+H38*$L$9</f>
        <v>4123.2954</v>
      </c>
      <c r="N38" s="150">
        <f t="shared" si="0"/>
        <v>29</v>
      </c>
    </row>
    <row r="39" spans="1:14" x14ac:dyDescent="0.3">
      <c r="A39" s="301"/>
      <c r="B39" s="204"/>
      <c r="C39" s="205"/>
      <c r="D39" s="190"/>
      <c r="E39" s="201"/>
      <c r="F39" s="190"/>
      <c r="G39" s="190"/>
      <c r="H39" s="190"/>
      <c r="I39" s="199"/>
      <c r="N39" s="150">
        <f t="shared" si="0"/>
        <v>0</v>
      </c>
    </row>
    <row r="40" spans="1:14" ht="27" x14ac:dyDescent="0.3">
      <c r="A40" s="208" t="s">
        <v>167</v>
      </c>
      <c r="B40" s="209"/>
      <c r="C40" s="210"/>
      <c r="D40" s="209"/>
      <c r="E40" s="211"/>
      <c r="F40" s="212">
        <f>SUM(F8:H38)</f>
        <v>772.01914999999951</v>
      </c>
      <c r="G40" s="212"/>
      <c r="H40" s="212"/>
      <c r="I40" s="213">
        <f>SUM(I8:I38)</f>
        <v>95450.165214600027</v>
      </c>
      <c r="N40" s="150">
        <f t="shared" si="0"/>
        <v>0</v>
      </c>
    </row>
    <row r="41" spans="1:14" ht="26" x14ac:dyDescent="0.3">
      <c r="A41" s="182" t="s">
        <v>168</v>
      </c>
      <c r="B41" s="193"/>
      <c r="C41" s="192"/>
      <c r="D41" s="193"/>
      <c r="E41" s="207"/>
      <c r="F41" s="193"/>
      <c r="G41" s="193"/>
      <c r="H41" s="193"/>
      <c r="I41" s="193"/>
      <c r="N41" s="150">
        <f t="shared" si="0"/>
        <v>0</v>
      </c>
    </row>
    <row r="42" spans="1:14" ht="26" x14ac:dyDescent="0.3">
      <c r="A42" s="301" t="s">
        <v>132</v>
      </c>
      <c r="B42" s="190"/>
      <c r="C42" s="192"/>
      <c r="D42" s="193"/>
      <c r="E42" s="192"/>
      <c r="F42" s="193"/>
      <c r="G42" s="193"/>
      <c r="H42" s="193"/>
      <c r="I42" s="193"/>
      <c r="N42" s="150">
        <f t="shared" si="0"/>
        <v>0</v>
      </c>
    </row>
    <row r="43" spans="1:14" x14ac:dyDescent="0.3">
      <c r="A43" s="301" t="s">
        <v>169</v>
      </c>
      <c r="B43" s="190"/>
      <c r="C43" s="192"/>
      <c r="D43" s="193"/>
      <c r="E43" s="192"/>
      <c r="F43" s="193"/>
      <c r="G43" s="193"/>
      <c r="H43" s="193"/>
      <c r="I43" s="193"/>
      <c r="N43" s="150">
        <f t="shared" si="0"/>
        <v>0</v>
      </c>
    </row>
    <row r="44" spans="1:14" x14ac:dyDescent="0.3">
      <c r="A44" s="301" t="s">
        <v>170</v>
      </c>
      <c r="B44" s="190"/>
      <c r="C44" s="192"/>
      <c r="D44" s="193"/>
      <c r="E44" s="192"/>
      <c r="F44" s="193"/>
      <c r="G44" s="193"/>
      <c r="H44" s="193"/>
      <c r="I44" s="193"/>
      <c r="N44" s="150">
        <f t="shared" si="0"/>
        <v>0</v>
      </c>
    </row>
    <row r="45" spans="1:14" ht="30" customHeight="1" x14ac:dyDescent="0.3">
      <c r="A45" s="301" t="s">
        <v>171</v>
      </c>
      <c r="B45" s="190" t="s">
        <v>122</v>
      </c>
      <c r="C45" s="192"/>
      <c r="D45" s="193"/>
      <c r="E45" s="192"/>
      <c r="F45" s="193"/>
      <c r="G45" s="193"/>
      <c r="H45" s="193"/>
      <c r="I45" s="193"/>
      <c r="N45" s="150">
        <f t="shared" si="0"/>
        <v>0</v>
      </c>
    </row>
    <row r="46" spans="1:14" ht="26" x14ac:dyDescent="0.3">
      <c r="A46" s="301" t="s">
        <v>172</v>
      </c>
      <c r="B46" s="193"/>
      <c r="C46" s="192"/>
      <c r="D46" s="193"/>
      <c r="E46" s="192"/>
      <c r="F46" s="193"/>
      <c r="G46" s="193"/>
      <c r="H46" s="193"/>
      <c r="I46" s="193"/>
      <c r="N46" s="150">
        <f t="shared" si="0"/>
        <v>0</v>
      </c>
    </row>
    <row r="47" spans="1:14" x14ac:dyDescent="0.3">
      <c r="A47" s="307" t="s">
        <v>163</v>
      </c>
      <c r="B47" s="193"/>
      <c r="C47" s="192"/>
      <c r="D47" s="193"/>
      <c r="E47" s="192"/>
      <c r="F47" s="193"/>
      <c r="G47" s="193"/>
      <c r="H47" s="193"/>
      <c r="I47" s="193"/>
      <c r="N47" s="150">
        <f t="shared" si="0"/>
        <v>0</v>
      </c>
    </row>
    <row r="48" spans="1:14" x14ac:dyDescent="0.3">
      <c r="A48" s="301" t="s">
        <v>173</v>
      </c>
      <c r="B48" s="190">
        <v>0.1</v>
      </c>
      <c r="C48" s="115">
        <v>1</v>
      </c>
      <c r="D48" s="190">
        <f t="shared" ref="D48:D53" si="28">B48*C48</f>
        <v>0.1</v>
      </c>
      <c r="E48" s="201">
        <f>$L$14</f>
        <v>29</v>
      </c>
      <c r="F48" s="202">
        <f t="shared" ref="F48:F53" si="29">D48*E48</f>
        <v>2.9000000000000004</v>
      </c>
      <c r="G48" s="190">
        <f t="shared" ref="G48:G53" si="30">F48*0.05</f>
        <v>0.14500000000000002</v>
      </c>
      <c r="H48" s="190">
        <f t="shared" ref="H48:H53" si="31">F48*0.1</f>
        <v>0.29000000000000004</v>
      </c>
      <c r="I48" s="197">
        <f>F48*$L$8+G48*$L$7+H48*$L$9</f>
        <v>412.32954000000007</v>
      </c>
      <c r="N48" s="150">
        <f t="shared" si="0"/>
        <v>29</v>
      </c>
    </row>
    <row r="49" spans="1:15" ht="39" x14ac:dyDescent="0.3">
      <c r="A49" s="301" t="s">
        <v>311</v>
      </c>
      <c r="B49" s="190">
        <v>0</v>
      </c>
      <c r="C49" s="115">
        <v>0</v>
      </c>
      <c r="D49" s="190">
        <f t="shared" si="28"/>
        <v>0</v>
      </c>
      <c r="E49" s="201">
        <f>E48</f>
        <v>29</v>
      </c>
      <c r="F49" s="202">
        <f t="shared" si="29"/>
        <v>0</v>
      </c>
      <c r="G49" s="190">
        <f t="shared" si="30"/>
        <v>0</v>
      </c>
      <c r="H49" s="190">
        <f t="shared" si="31"/>
        <v>0</v>
      </c>
      <c r="I49" s="199">
        <f>F49*$L$8+G49*$L$7+H49*$L$9</f>
        <v>0</v>
      </c>
      <c r="N49" s="150">
        <f t="shared" si="0"/>
        <v>0</v>
      </c>
    </row>
    <row r="50" spans="1:15" x14ac:dyDescent="0.3">
      <c r="A50" s="307" t="s">
        <v>158</v>
      </c>
      <c r="B50" s="190"/>
      <c r="C50" s="115"/>
      <c r="D50" s="190"/>
      <c r="E50" s="201"/>
      <c r="F50" s="202"/>
      <c r="G50" s="190"/>
      <c r="H50" s="190"/>
      <c r="I50" s="199"/>
      <c r="N50" s="150">
        <f t="shared" si="0"/>
        <v>0</v>
      </c>
    </row>
    <row r="51" spans="1:15" ht="17.25" customHeight="1" x14ac:dyDescent="0.3">
      <c r="A51" s="301" t="s">
        <v>173</v>
      </c>
      <c r="B51" s="190">
        <v>1.5</v>
      </c>
      <c r="C51" s="115">
        <v>1</v>
      </c>
      <c r="D51" s="190">
        <f>B51*C51</f>
        <v>1.5</v>
      </c>
      <c r="E51" s="201">
        <f>$L$13</f>
        <v>2.0300000000000002</v>
      </c>
      <c r="F51" s="202">
        <f t="shared" ref="F51:F52" si="32">D51*E51</f>
        <v>3.0450000000000004</v>
      </c>
      <c r="G51" s="190">
        <f t="shared" ref="G51:G52" si="33">F51*0.05</f>
        <v>0.15225000000000002</v>
      </c>
      <c r="H51" s="190">
        <f t="shared" ref="H51:H52" si="34">F51*0.1</f>
        <v>0.30450000000000005</v>
      </c>
      <c r="I51" s="197">
        <f>F51*$L$8+G51*$L$7+H51*$L$9</f>
        <v>432.94601700000004</v>
      </c>
      <c r="N51" s="150">
        <f>SUM(N6:N50)</f>
        <v>216.25299999999999</v>
      </c>
      <c r="O51" s="150" t="s">
        <v>187</v>
      </c>
    </row>
    <row r="52" spans="1:15" x14ac:dyDescent="0.3">
      <c r="A52" s="301" t="s">
        <v>312</v>
      </c>
      <c r="B52" s="190">
        <v>0</v>
      </c>
      <c r="C52" s="115">
        <v>0</v>
      </c>
      <c r="D52" s="190">
        <f t="shared" ref="D52" si="35">B52*C52</f>
        <v>0</v>
      </c>
      <c r="E52" s="201">
        <f>$L$12</f>
        <v>0</v>
      </c>
      <c r="F52" s="202">
        <f t="shared" si="32"/>
        <v>0</v>
      </c>
      <c r="G52" s="190">
        <f t="shared" si="33"/>
        <v>0</v>
      </c>
      <c r="H52" s="190">
        <f t="shared" si="34"/>
        <v>0</v>
      </c>
      <c r="I52" s="197">
        <f>F52*$L$8+G52*$L$7+H52*$L$9</f>
        <v>0</v>
      </c>
      <c r="K52" s="221">
        <f>F56/212</f>
        <v>3.7735849056603774</v>
      </c>
      <c r="L52" s="150" t="s">
        <v>190</v>
      </c>
      <c r="N52" s="150">
        <f>N51-N44-N45-N22</f>
        <v>214.803</v>
      </c>
      <c r="O52" s="150" t="s">
        <v>357</v>
      </c>
    </row>
    <row r="53" spans="1:15" x14ac:dyDescent="0.3">
      <c r="A53" s="301" t="s">
        <v>313</v>
      </c>
      <c r="B53" s="190">
        <v>0</v>
      </c>
      <c r="C53" s="115">
        <v>0</v>
      </c>
      <c r="D53" s="190">
        <f t="shared" si="28"/>
        <v>0</v>
      </c>
      <c r="E53" s="201">
        <f>$L$12</f>
        <v>0</v>
      </c>
      <c r="F53" s="202">
        <f t="shared" si="29"/>
        <v>0</v>
      </c>
      <c r="G53" s="190">
        <f t="shared" si="30"/>
        <v>0</v>
      </c>
      <c r="H53" s="190">
        <f t="shared" si="31"/>
        <v>0</v>
      </c>
      <c r="I53" s="197">
        <f>F53*$L$8+G53*$L$7+H53*$L$9</f>
        <v>0</v>
      </c>
    </row>
    <row r="54" spans="1:15" x14ac:dyDescent="0.3">
      <c r="A54" s="301" t="s">
        <v>186</v>
      </c>
      <c r="B54" s="190" t="s">
        <v>122</v>
      </c>
      <c r="C54" s="192"/>
      <c r="D54" s="193"/>
      <c r="E54" s="192"/>
      <c r="F54" s="193"/>
      <c r="G54" s="193"/>
      <c r="H54" s="193"/>
      <c r="I54" s="193"/>
    </row>
    <row r="55" spans="1:15" ht="27" x14ac:dyDescent="0.3">
      <c r="A55" s="208" t="s">
        <v>188</v>
      </c>
      <c r="B55" s="214"/>
      <c r="C55" s="215"/>
      <c r="D55" s="214"/>
      <c r="E55" s="216"/>
      <c r="F55" s="212">
        <f>SUM(F48:H53)</f>
        <v>6.8367500000000012</v>
      </c>
      <c r="G55" s="212"/>
      <c r="H55" s="212"/>
      <c r="I55" s="213">
        <f>SUM(I48:I54)</f>
        <v>845.27555700000016</v>
      </c>
    </row>
    <row r="56" spans="1:15" ht="28" x14ac:dyDescent="0.3">
      <c r="A56" s="184" t="s">
        <v>189</v>
      </c>
      <c r="B56" s="217"/>
      <c r="C56" s="218"/>
      <c r="D56" s="217"/>
      <c r="E56" s="219"/>
      <c r="F56" s="425">
        <f>ROUND(F55+F40, -2)</f>
        <v>800</v>
      </c>
      <c r="G56" s="425"/>
      <c r="H56" s="425"/>
      <c r="I56" s="220">
        <f>ROUND(I55+I40, -4)</f>
        <v>100000</v>
      </c>
    </row>
    <row r="57" spans="1:15" ht="30.65" customHeight="1" x14ac:dyDescent="0.3">
      <c r="A57" s="222" t="s">
        <v>191</v>
      </c>
      <c r="B57" s="193"/>
      <c r="C57" s="192"/>
      <c r="D57" s="193"/>
      <c r="E57" s="192"/>
      <c r="F57" s="193"/>
      <c r="G57" s="193"/>
      <c r="H57" s="193"/>
      <c r="I57" s="220"/>
    </row>
    <row r="58" spans="1:15" ht="28.5" customHeight="1" x14ac:dyDescent="0.3">
      <c r="A58" s="222" t="s">
        <v>192</v>
      </c>
      <c r="B58" s="193"/>
      <c r="C58" s="192"/>
      <c r="D58" s="193"/>
      <c r="E58" s="192"/>
      <c r="F58" s="193"/>
      <c r="G58" s="193"/>
      <c r="H58" s="193"/>
      <c r="I58" s="220">
        <f>ROUND(I56+I57, -5)</f>
        <v>100000</v>
      </c>
    </row>
    <row r="59" spans="1:15" ht="11.15" customHeight="1" x14ac:dyDescent="0.3"/>
    <row r="60" spans="1:15" ht="25" customHeight="1" x14ac:dyDescent="0.3">
      <c r="A60" s="482" t="s">
        <v>358</v>
      </c>
      <c r="B60" s="482"/>
      <c r="C60" s="482"/>
      <c r="D60" s="482"/>
      <c r="E60" s="482"/>
      <c r="F60" s="482"/>
      <c r="G60" s="482"/>
      <c r="H60" s="482"/>
      <c r="I60" s="482"/>
    </row>
    <row r="61" spans="1:15" ht="69" customHeight="1" x14ac:dyDescent="0.3">
      <c r="A61" s="446" t="s">
        <v>194</v>
      </c>
      <c r="B61" s="446"/>
      <c r="C61" s="446"/>
      <c r="D61" s="446"/>
      <c r="E61" s="446"/>
      <c r="F61" s="446"/>
      <c r="G61" s="446"/>
      <c r="H61" s="446"/>
      <c r="I61" s="446"/>
    </row>
    <row r="62" spans="1:15" ht="15.5" x14ac:dyDescent="0.3">
      <c r="A62" s="482" t="s">
        <v>359</v>
      </c>
      <c r="B62" s="482"/>
      <c r="C62" s="482"/>
      <c r="D62" s="482"/>
      <c r="E62" s="482"/>
      <c r="F62" s="482"/>
      <c r="G62" s="482"/>
      <c r="H62" s="482"/>
      <c r="I62" s="482"/>
    </row>
    <row r="63" spans="1:15" ht="29.15" customHeight="1" x14ac:dyDescent="0.3">
      <c r="A63" s="483" t="s">
        <v>360</v>
      </c>
      <c r="B63" s="483"/>
      <c r="C63" s="483"/>
      <c r="D63" s="483"/>
      <c r="E63" s="483"/>
      <c r="F63" s="483"/>
      <c r="G63" s="483"/>
      <c r="H63" s="483"/>
      <c r="I63" s="483"/>
    </row>
    <row r="64" spans="1:15" ht="20.5" customHeight="1" x14ac:dyDescent="0.3">
      <c r="A64" s="479" t="s">
        <v>198</v>
      </c>
      <c r="B64" s="479"/>
      <c r="C64" s="479"/>
      <c r="D64" s="479"/>
      <c r="E64" s="479"/>
      <c r="F64" s="479"/>
      <c r="G64" s="479"/>
      <c r="H64" s="479"/>
      <c r="I64" s="479"/>
    </row>
    <row r="65" spans="1:9" ht="21.65" customHeight="1" x14ac:dyDescent="0.3">
      <c r="A65" s="470" t="s">
        <v>373</v>
      </c>
      <c r="B65" s="470"/>
      <c r="C65" s="470"/>
      <c r="D65" s="470"/>
      <c r="E65" s="470"/>
      <c r="F65" s="470"/>
      <c r="G65" s="470"/>
      <c r="H65" s="470"/>
      <c r="I65" s="470"/>
    </row>
  </sheetData>
  <mergeCells count="9">
    <mergeCell ref="A65:I65"/>
    <mergeCell ref="A64:I64"/>
    <mergeCell ref="A1:I1"/>
    <mergeCell ref="A3:I3"/>
    <mergeCell ref="K6:L6"/>
    <mergeCell ref="A60:I60"/>
    <mergeCell ref="A61:I61"/>
    <mergeCell ref="A62:I62"/>
    <mergeCell ref="A63:I63"/>
  </mergeCells>
  <pageMargins left="0.7" right="0.7" top="0.75" bottom="0.75" header="0.3" footer="0.3"/>
  <pageSetup scale="37"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AC50-B099-45F3-BAAA-A4F696BE590B}">
  <sheetPr>
    <pageSetUpPr fitToPage="1"/>
  </sheetPr>
  <dimension ref="A1:O64"/>
  <sheetViews>
    <sheetView zoomScale="80" zoomScaleNormal="80" workbookViewId="0">
      <pane xSplit="13" ySplit="5" topLeftCell="N6" activePane="bottomRight" state="frozen"/>
      <selection pane="topRight" activeCell="A73" sqref="A73"/>
      <selection pane="bottomLeft" activeCell="A73" sqref="A73"/>
      <selection pane="bottomRight" activeCell="L11" sqref="L11"/>
    </sheetView>
  </sheetViews>
  <sheetFormatPr defaultColWidth="9.1796875" defaultRowHeight="13" x14ac:dyDescent="0.3"/>
  <cols>
    <col min="1" max="1" width="26.816406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25.1796875" style="150" customWidth="1"/>
    <col min="12" max="12" width="14.54296875" style="150" customWidth="1"/>
    <col min="13" max="13" width="30.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374</v>
      </c>
      <c r="B2" s="423"/>
      <c r="C2" s="423"/>
      <c r="D2" s="423"/>
      <c r="E2" s="423"/>
      <c r="F2" s="423"/>
      <c r="G2" s="423"/>
      <c r="H2" s="423"/>
      <c r="I2" s="423"/>
    </row>
    <row r="3" spans="1:14" s="188" customFormat="1" ht="33" customHeight="1" x14ac:dyDescent="0.3">
      <c r="A3" s="462" t="s">
        <v>365</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24.65" customHeight="1" x14ac:dyDescent="0.3">
      <c r="A7" s="182" t="s">
        <v>124</v>
      </c>
      <c r="B7" s="190" t="s">
        <v>122</v>
      </c>
      <c r="C7" s="192"/>
      <c r="D7" s="193"/>
      <c r="E7" s="192"/>
      <c r="F7" s="193"/>
      <c r="G7" s="193"/>
      <c r="H7" s="193"/>
      <c r="I7" s="193"/>
      <c r="K7" s="194" t="s">
        <v>125</v>
      </c>
      <c r="L7" s="195">
        <f>76.96*2.1</f>
        <v>161.61599999999999</v>
      </c>
      <c r="M7" s="196" t="s">
        <v>126</v>
      </c>
      <c r="N7" s="150">
        <f t="shared" ref="N7:N49" si="0">C7*E7</f>
        <v>0</v>
      </c>
    </row>
    <row r="8" spans="1:14" ht="60"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431" t="s">
        <v>518</v>
      </c>
      <c r="N11" s="150">
        <f t="shared" si="0"/>
        <v>0</v>
      </c>
    </row>
    <row r="12" spans="1:14" ht="15.5" x14ac:dyDescent="0.3">
      <c r="A12" s="306" t="s">
        <v>290</v>
      </c>
      <c r="B12" s="190"/>
      <c r="C12" s="115"/>
      <c r="D12" s="190"/>
      <c r="E12" s="201"/>
      <c r="F12" s="202"/>
      <c r="G12" s="190"/>
      <c r="H12" s="190"/>
      <c r="I12" s="199"/>
      <c r="K12" s="265"/>
      <c r="L12" s="265">
        <v>0</v>
      </c>
      <c r="M12" s="188"/>
      <c r="N12" s="150">
        <f t="shared" si="0"/>
        <v>0</v>
      </c>
    </row>
    <row r="13" spans="1:14" ht="27" customHeight="1" x14ac:dyDescent="0.3">
      <c r="A13" s="116" t="s">
        <v>295</v>
      </c>
      <c r="B13" s="115">
        <v>8</v>
      </c>
      <c r="C13" s="115">
        <v>1</v>
      </c>
      <c r="D13" s="190">
        <f>B13*C13</f>
        <v>8</v>
      </c>
      <c r="E13" s="201">
        <f t="shared" ref="E13:E15" si="1">L$13</f>
        <v>2.0300000000000002</v>
      </c>
      <c r="F13" s="202">
        <f>D13*E13</f>
        <v>16.240000000000002</v>
      </c>
      <c r="G13" s="190">
        <f>F13*0.05</f>
        <v>0.81200000000000017</v>
      </c>
      <c r="H13" s="190">
        <f>F13*0.1</f>
        <v>1.6240000000000003</v>
      </c>
      <c r="I13" s="197">
        <f>F13*$L$8+G13*$L$7+H13*$L$9</f>
        <v>2309.0454239999999</v>
      </c>
      <c r="K13" s="265" t="s">
        <v>136</v>
      </c>
      <c r="L13" s="265">
        <f>L12+L14*0.07</f>
        <v>2.0300000000000002</v>
      </c>
      <c r="M13" s="264" t="s">
        <v>294</v>
      </c>
      <c r="N13" s="150">
        <f t="shared" si="0"/>
        <v>2.0300000000000002</v>
      </c>
    </row>
    <row r="14" spans="1:14" ht="26" x14ac:dyDescent="0.3">
      <c r="A14" s="116" t="s">
        <v>296</v>
      </c>
      <c r="B14" s="115">
        <v>8</v>
      </c>
      <c r="C14" s="115">
        <v>1</v>
      </c>
      <c r="D14" s="190">
        <f t="shared" ref="D14" si="2">B14*C14</f>
        <v>8</v>
      </c>
      <c r="E14" s="296">
        <f>E13*0.05</f>
        <v>0.10150000000000002</v>
      </c>
      <c r="F14" s="202">
        <f t="shared" ref="F14:F24" si="3">D14*E14</f>
        <v>0.81200000000000017</v>
      </c>
      <c r="G14" s="296">
        <f t="shared" ref="G14:G24" si="4">F14*0.05</f>
        <v>4.0600000000000011E-2</v>
      </c>
      <c r="H14" s="296">
        <f t="shared" ref="H14:H24" si="5">F14*0.1</f>
        <v>8.1200000000000022E-2</v>
      </c>
      <c r="I14" s="197">
        <f t="shared" ref="I14:I24" si="6">F14*$L$8+G14*$L$7+H14*$L$9</f>
        <v>115.45227120000001</v>
      </c>
      <c r="J14" s="420"/>
      <c r="K14" s="200" t="s">
        <v>141</v>
      </c>
      <c r="L14" s="200">
        <f>'II-Y1'!$L$22</f>
        <v>29</v>
      </c>
      <c r="N14" s="150">
        <f t="shared" si="0"/>
        <v>0.10150000000000002</v>
      </c>
    </row>
    <row r="15" spans="1:14" ht="26" x14ac:dyDescent="0.3">
      <c r="A15" s="253" t="s">
        <v>370</v>
      </c>
      <c r="B15" s="159">
        <v>6</v>
      </c>
      <c r="C15" s="159">
        <v>1</v>
      </c>
      <c r="D15" s="257">
        <f>B15*C15</f>
        <v>6</v>
      </c>
      <c r="E15" s="201">
        <f t="shared" si="1"/>
        <v>2.0300000000000002</v>
      </c>
      <c r="F15" s="202">
        <f t="shared" ref="F15" si="7">D15*E15</f>
        <v>12.180000000000001</v>
      </c>
      <c r="G15" s="296">
        <f t="shared" ref="G15" si="8">F15*0.05</f>
        <v>0.6090000000000001</v>
      </c>
      <c r="H15" s="296">
        <f t="shared" ref="H15" si="9">F15*0.1</f>
        <v>1.2180000000000002</v>
      </c>
      <c r="I15" s="197">
        <f t="shared" ref="I15" si="10">F15*$L$8+G15*$L$7+H15*$L$9</f>
        <v>1731.7840680000002</v>
      </c>
      <c r="J15" s="420"/>
      <c r="K15" s="309"/>
      <c r="L15" s="309"/>
      <c r="N15" s="150">
        <f t="shared" si="0"/>
        <v>2.0300000000000002</v>
      </c>
    </row>
    <row r="16" spans="1:14" x14ac:dyDescent="0.3">
      <c r="A16" s="253" t="s">
        <v>293</v>
      </c>
      <c r="B16" s="159">
        <v>6</v>
      </c>
      <c r="C16" s="159">
        <v>1</v>
      </c>
      <c r="D16" s="257">
        <f t="shared" ref="D16" si="11">B16*C16</f>
        <v>6</v>
      </c>
      <c r="E16" s="296">
        <f>E15*0.05</f>
        <v>0.10150000000000002</v>
      </c>
      <c r="F16" s="202">
        <f t="shared" ref="F16" si="12">D16*E16</f>
        <v>0.6090000000000001</v>
      </c>
      <c r="G16" s="296">
        <f t="shared" ref="G16" si="13">F16*0.05</f>
        <v>3.0450000000000005E-2</v>
      </c>
      <c r="H16" s="296">
        <f t="shared" ref="H16" si="14">F16*0.1</f>
        <v>6.090000000000001E-2</v>
      </c>
      <c r="I16" s="197">
        <f t="shared" ref="I16" si="15">F16*$L$8+G16*$L$7+H16*$L$9</f>
        <v>86.589203400000017</v>
      </c>
      <c r="J16" s="420"/>
      <c r="K16" s="309"/>
      <c r="L16" s="309"/>
      <c r="N16" s="150">
        <f t="shared" si="0"/>
        <v>0.10150000000000002</v>
      </c>
    </row>
    <row r="17" spans="1:14" ht="28.5" x14ac:dyDescent="0.3">
      <c r="A17" s="306" t="s">
        <v>297</v>
      </c>
      <c r="B17" s="190"/>
      <c r="C17" s="115"/>
      <c r="D17" s="190"/>
      <c r="E17" s="115"/>
      <c r="F17" s="202"/>
      <c r="G17" s="190"/>
      <c r="H17" s="190"/>
      <c r="I17" s="199"/>
      <c r="K17" s="420" t="s">
        <v>366</v>
      </c>
      <c r="L17" s="420">
        <v>15</v>
      </c>
      <c r="M17" s="420"/>
      <c r="N17" s="150">
        <f t="shared" si="0"/>
        <v>0</v>
      </c>
    </row>
    <row r="18" spans="1:14" ht="39" x14ac:dyDescent="0.3">
      <c r="A18" s="301" t="s">
        <v>295</v>
      </c>
      <c r="B18" s="190">
        <v>0</v>
      </c>
      <c r="C18" s="115">
        <v>0</v>
      </c>
      <c r="D18" s="190">
        <f>B18*C18</f>
        <v>0</v>
      </c>
      <c r="E18" s="201">
        <v>0</v>
      </c>
      <c r="F18" s="202">
        <f t="shared" si="3"/>
        <v>0</v>
      </c>
      <c r="G18" s="190">
        <f t="shared" si="4"/>
        <v>0</v>
      </c>
      <c r="H18" s="190">
        <f t="shared" si="5"/>
        <v>0</v>
      </c>
      <c r="I18" s="199">
        <f t="shared" si="6"/>
        <v>0</v>
      </c>
      <c r="J18" s="203"/>
      <c r="K18" s="420" t="s">
        <v>367</v>
      </c>
      <c r="L18" s="150">
        <v>9</v>
      </c>
      <c r="N18" s="150">
        <f t="shared" si="0"/>
        <v>0</v>
      </c>
    </row>
    <row r="19" spans="1:14" ht="39" x14ac:dyDescent="0.3">
      <c r="A19" s="301" t="s">
        <v>296</v>
      </c>
      <c r="B19" s="190">
        <v>0</v>
      </c>
      <c r="C19" s="115">
        <v>0</v>
      </c>
      <c r="D19" s="190">
        <f t="shared" ref="D19" si="16">B19*C19</f>
        <v>0</v>
      </c>
      <c r="E19" s="201">
        <f>E18*0.05</f>
        <v>0</v>
      </c>
      <c r="F19" s="202">
        <f t="shared" si="3"/>
        <v>0</v>
      </c>
      <c r="G19" s="190">
        <f t="shared" si="4"/>
        <v>0</v>
      </c>
      <c r="H19" s="190">
        <f t="shared" si="5"/>
        <v>0</v>
      </c>
      <c r="I19" s="199">
        <f t="shared" si="6"/>
        <v>0</v>
      </c>
      <c r="J19" s="203"/>
      <c r="K19" s="420" t="s">
        <v>368</v>
      </c>
      <c r="L19" s="150">
        <v>6</v>
      </c>
      <c r="M19" s="286" t="s">
        <v>356</v>
      </c>
      <c r="N19" s="150">
        <f t="shared" si="0"/>
        <v>0</v>
      </c>
    </row>
    <row r="20" spans="1:14" x14ac:dyDescent="0.3">
      <c r="A20" s="301"/>
      <c r="B20" s="205"/>
      <c r="C20" s="205"/>
      <c r="D20" s="204"/>
      <c r="E20" s="206"/>
      <c r="F20" s="202"/>
      <c r="G20" s="190"/>
      <c r="H20" s="190"/>
      <c r="I20" s="199"/>
      <c r="N20" s="150">
        <f t="shared" si="0"/>
        <v>0</v>
      </c>
    </row>
    <row r="21" spans="1:14" x14ac:dyDescent="0.3">
      <c r="A21" s="301"/>
      <c r="B21" s="205"/>
      <c r="C21" s="205"/>
      <c r="D21" s="204"/>
      <c r="E21" s="206"/>
      <c r="F21" s="202"/>
      <c r="G21" s="190"/>
      <c r="H21" s="190"/>
      <c r="I21" s="199"/>
      <c r="N21" s="150">
        <f t="shared" si="0"/>
        <v>0</v>
      </c>
    </row>
    <row r="22" spans="1:14" ht="28.5" x14ac:dyDescent="0.3">
      <c r="A22" s="306" t="s">
        <v>151</v>
      </c>
      <c r="B22" s="204"/>
      <c r="C22" s="205"/>
      <c r="D22" s="204"/>
      <c r="E22" s="206"/>
      <c r="F22" s="202"/>
      <c r="G22" s="190"/>
      <c r="H22" s="190"/>
      <c r="I22" s="199"/>
      <c r="N22" s="150">
        <f t="shared" si="0"/>
        <v>0</v>
      </c>
    </row>
    <row r="23" spans="1:14" ht="26" x14ac:dyDescent="0.3">
      <c r="A23" s="303" t="s">
        <v>372</v>
      </c>
      <c r="B23" s="257">
        <v>6</v>
      </c>
      <c r="C23" s="159">
        <v>1</v>
      </c>
      <c r="D23" s="257">
        <f>B23*C23</f>
        <v>6</v>
      </c>
      <c r="E23" s="201">
        <f>$L$14</f>
        <v>29</v>
      </c>
      <c r="F23" s="202">
        <f t="shared" si="3"/>
        <v>174</v>
      </c>
      <c r="G23" s="190">
        <f t="shared" si="4"/>
        <v>8.7000000000000011</v>
      </c>
      <c r="H23" s="190">
        <f t="shared" si="5"/>
        <v>17.400000000000002</v>
      </c>
      <c r="I23" s="197">
        <f t="shared" si="6"/>
        <v>24739.772399999998</v>
      </c>
      <c r="N23" s="150">
        <f t="shared" si="0"/>
        <v>29</v>
      </c>
    </row>
    <row r="24" spans="1:14" x14ac:dyDescent="0.3">
      <c r="A24" s="303" t="s">
        <v>300</v>
      </c>
      <c r="B24" s="159">
        <v>6</v>
      </c>
      <c r="C24" s="159">
        <v>1</v>
      </c>
      <c r="D24" s="257">
        <f t="shared" ref="D24" si="17">B24*C24</f>
        <v>6</v>
      </c>
      <c r="E24" s="296">
        <f>E23*0.05</f>
        <v>1.4500000000000002</v>
      </c>
      <c r="F24" s="202">
        <f t="shared" si="3"/>
        <v>8.7000000000000011</v>
      </c>
      <c r="G24" s="296">
        <f t="shared" si="4"/>
        <v>0.43500000000000005</v>
      </c>
      <c r="H24" s="190">
        <f t="shared" si="5"/>
        <v>0.87000000000000011</v>
      </c>
      <c r="I24" s="197">
        <f t="shared" si="6"/>
        <v>1236.9886200000001</v>
      </c>
      <c r="N24" s="150">
        <f t="shared" si="0"/>
        <v>1.4500000000000002</v>
      </c>
    </row>
    <row r="25" spans="1:14" ht="26" x14ac:dyDescent="0.3">
      <c r="A25" s="301" t="s">
        <v>155</v>
      </c>
      <c r="B25" s="190"/>
      <c r="C25" s="192"/>
      <c r="D25" s="193"/>
      <c r="E25" s="207"/>
      <c r="F25" s="193"/>
      <c r="G25" s="193"/>
      <c r="H25" s="193"/>
      <c r="I25" s="193"/>
      <c r="N25" s="150">
        <f t="shared" si="0"/>
        <v>0</v>
      </c>
    </row>
    <row r="26" spans="1:14" ht="26" x14ac:dyDescent="0.3">
      <c r="A26" s="301" t="s">
        <v>156</v>
      </c>
      <c r="B26" s="190"/>
      <c r="C26" s="192"/>
      <c r="D26" s="193"/>
      <c r="E26" s="207"/>
      <c r="F26" s="193"/>
      <c r="G26" s="193"/>
      <c r="H26" s="193"/>
      <c r="I26" s="193"/>
      <c r="N26" s="150">
        <f t="shared" si="0"/>
        <v>0</v>
      </c>
    </row>
    <row r="27" spans="1:14" ht="26.15" customHeight="1" x14ac:dyDescent="0.3">
      <c r="A27" s="301" t="s">
        <v>157</v>
      </c>
      <c r="B27" s="193"/>
      <c r="C27" s="192"/>
      <c r="D27" s="193"/>
      <c r="E27" s="207"/>
      <c r="F27" s="193"/>
      <c r="G27" s="193"/>
      <c r="H27" s="193"/>
      <c r="I27" s="193"/>
      <c r="N27" s="150">
        <f t="shared" si="0"/>
        <v>0</v>
      </c>
    </row>
    <row r="28" spans="1:14" x14ac:dyDescent="0.3">
      <c r="A28" s="307" t="s">
        <v>158</v>
      </c>
      <c r="B28" s="190"/>
      <c r="C28" s="115"/>
      <c r="D28" s="190"/>
      <c r="E28" s="201"/>
      <c r="F28" s="190"/>
      <c r="G28" s="190"/>
      <c r="H28" s="190"/>
      <c r="I28" s="199"/>
      <c r="N28" s="150">
        <f t="shared" si="0"/>
        <v>0</v>
      </c>
    </row>
    <row r="29" spans="1:14" ht="26" x14ac:dyDescent="0.3">
      <c r="A29" s="301" t="s">
        <v>212</v>
      </c>
      <c r="B29" s="190">
        <v>2</v>
      </c>
      <c r="C29" s="115">
        <v>1</v>
      </c>
      <c r="D29" s="190">
        <v>2</v>
      </c>
      <c r="E29" s="201">
        <f>L13</f>
        <v>2.0300000000000002</v>
      </c>
      <c r="F29" s="190">
        <f t="shared" ref="F29:F31" si="18">D29*E29</f>
        <v>4.0600000000000005</v>
      </c>
      <c r="G29" s="190">
        <f t="shared" ref="G29:G31" si="19">F29*0.05</f>
        <v>0.20300000000000004</v>
      </c>
      <c r="H29" s="190">
        <f t="shared" ref="H29:H31" si="20">F29*0.1</f>
        <v>0.40600000000000008</v>
      </c>
      <c r="I29" s="197">
        <f t="shared" ref="I29:I31" si="21">F29*$L$8+G29*$L$7+H29*$L$9</f>
        <v>577.26135599999998</v>
      </c>
      <c r="N29" s="150">
        <f t="shared" si="0"/>
        <v>2.0300000000000002</v>
      </c>
    </row>
    <row r="30" spans="1:14" ht="26" x14ac:dyDescent="0.3">
      <c r="A30" s="301" t="s">
        <v>303</v>
      </c>
      <c r="B30" s="190">
        <v>2</v>
      </c>
      <c r="C30" s="115">
        <v>1</v>
      </c>
      <c r="D30" s="190">
        <v>2</v>
      </c>
      <c r="E30" s="201">
        <f>L13</f>
        <v>2.0300000000000002</v>
      </c>
      <c r="F30" s="190">
        <f t="shared" si="18"/>
        <v>4.0600000000000005</v>
      </c>
      <c r="G30" s="190">
        <f t="shared" si="19"/>
        <v>0.20300000000000004</v>
      </c>
      <c r="H30" s="190">
        <f t="shared" si="20"/>
        <v>0.40600000000000008</v>
      </c>
      <c r="I30" s="197">
        <f t="shared" si="21"/>
        <v>577.26135599999998</v>
      </c>
      <c r="N30" s="150">
        <f t="shared" si="0"/>
        <v>2.0300000000000002</v>
      </c>
    </row>
    <row r="31" spans="1:14" ht="26" x14ac:dyDescent="0.3">
      <c r="A31" s="301" t="s">
        <v>304</v>
      </c>
      <c r="B31" s="190">
        <v>2</v>
      </c>
      <c r="C31" s="115">
        <v>1</v>
      </c>
      <c r="D31" s="190">
        <v>2</v>
      </c>
      <c r="E31" s="201">
        <f>L13</f>
        <v>2.0300000000000002</v>
      </c>
      <c r="F31" s="190">
        <f t="shared" si="18"/>
        <v>4.0600000000000005</v>
      </c>
      <c r="G31" s="190">
        <f t="shared" si="19"/>
        <v>0.20300000000000004</v>
      </c>
      <c r="H31" s="190">
        <f t="shared" si="20"/>
        <v>0.40600000000000008</v>
      </c>
      <c r="I31" s="197">
        <f t="shared" si="21"/>
        <v>577.26135599999998</v>
      </c>
      <c r="N31" s="150">
        <f t="shared" si="0"/>
        <v>2.0300000000000002</v>
      </c>
    </row>
    <row r="32" spans="1:14" x14ac:dyDescent="0.3">
      <c r="A32" s="301"/>
      <c r="B32" s="190"/>
      <c r="C32" s="115"/>
      <c r="D32" s="190"/>
      <c r="E32" s="201"/>
      <c r="F32" s="190"/>
      <c r="G32" s="190"/>
      <c r="H32" s="190"/>
      <c r="I32" s="197"/>
      <c r="N32" s="150">
        <f t="shared" si="0"/>
        <v>0</v>
      </c>
    </row>
    <row r="33" spans="1:14" x14ac:dyDescent="0.3">
      <c r="A33" s="307" t="s">
        <v>163</v>
      </c>
      <c r="B33" s="193"/>
      <c r="C33" s="192"/>
      <c r="D33" s="193"/>
      <c r="E33" s="207"/>
      <c r="F33" s="193"/>
      <c r="G33" s="193"/>
      <c r="H33" s="193"/>
      <c r="I33" s="193"/>
      <c r="N33" s="150">
        <f t="shared" si="0"/>
        <v>0</v>
      </c>
    </row>
    <row r="34" spans="1:14" ht="26" x14ac:dyDescent="0.3">
      <c r="A34" s="301" t="s">
        <v>212</v>
      </c>
      <c r="B34" s="190">
        <v>0</v>
      </c>
      <c r="C34" s="115">
        <v>0</v>
      </c>
      <c r="D34" s="190">
        <f t="shared" ref="D34:D36" si="22">B34*C34</f>
        <v>0</v>
      </c>
      <c r="E34" s="201">
        <v>0</v>
      </c>
      <c r="F34" s="190">
        <f>D34*E34</f>
        <v>0</v>
      </c>
      <c r="G34" s="190">
        <f>F34*0.05</f>
        <v>0</v>
      </c>
      <c r="H34" s="190">
        <f>F34*0.1</f>
        <v>0</v>
      </c>
      <c r="I34" s="199">
        <f>F34*$L$8+G34*$L$7+H34*$L$9</f>
        <v>0</v>
      </c>
      <c r="N34" s="150">
        <f t="shared" si="0"/>
        <v>0</v>
      </c>
    </row>
    <row r="35" spans="1:14" ht="40" customHeight="1" x14ac:dyDescent="0.3">
      <c r="A35" s="301" t="s">
        <v>303</v>
      </c>
      <c r="B35" s="190">
        <v>0</v>
      </c>
      <c r="C35" s="115">
        <v>0</v>
      </c>
      <c r="D35" s="190">
        <f t="shared" si="22"/>
        <v>0</v>
      </c>
      <c r="E35" s="201">
        <f>E34</f>
        <v>0</v>
      </c>
      <c r="F35" s="190">
        <f>D35*E35</f>
        <v>0</v>
      </c>
      <c r="G35" s="190">
        <f>F35*0.05</f>
        <v>0</v>
      </c>
      <c r="H35" s="190">
        <f>F35*0.1</f>
        <v>0</v>
      </c>
      <c r="I35" s="199">
        <f>F35*$L$8+G35*$L$7+H35*$L$9</f>
        <v>0</v>
      </c>
      <c r="N35" s="150">
        <f t="shared" si="0"/>
        <v>0</v>
      </c>
    </row>
    <row r="36" spans="1:14" ht="26" x14ac:dyDescent="0.3">
      <c r="A36" s="301" t="s">
        <v>309</v>
      </c>
      <c r="B36" s="190">
        <v>0</v>
      </c>
      <c r="C36" s="115">
        <v>0</v>
      </c>
      <c r="D36" s="190">
        <f t="shared" si="22"/>
        <v>0</v>
      </c>
      <c r="E36" s="201">
        <f>E35</f>
        <v>0</v>
      </c>
      <c r="F36" s="190">
        <f>D36*E36</f>
        <v>0</v>
      </c>
      <c r="G36" s="190">
        <f>F36*0.05</f>
        <v>0</v>
      </c>
      <c r="H36" s="190">
        <f>F36*0.1</f>
        <v>0</v>
      </c>
      <c r="I36" s="199">
        <f>F36*$L$8+G36*$L$7+H36*$L$9</f>
        <v>0</v>
      </c>
      <c r="N36" s="150">
        <f t="shared" si="0"/>
        <v>0</v>
      </c>
    </row>
    <row r="37" spans="1:14" ht="39" x14ac:dyDescent="0.3">
      <c r="A37" s="303" t="s">
        <v>166</v>
      </c>
      <c r="B37" s="190">
        <v>1</v>
      </c>
      <c r="C37" s="115">
        <v>1</v>
      </c>
      <c r="D37" s="190">
        <f t="shared" ref="D37" si="23">B37*C37</f>
        <v>1</v>
      </c>
      <c r="E37" s="201">
        <f>L14</f>
        <v>29</v>
      </c>
      <c r="F37" s="190">
        <f t="shared" ref="F37" si="24">D37*E37</f>
        <v>29</v>
      </c>
      <c r="G37" s="190">
        <f t="shared" ref="G37" si="25">F37*0.05</f>
        <v>1.4500000000000002</v>
      </c>
      <c r="H37" s="190">
        <f t="shared" ref="H37" si="26">F37*0.1</f>
        <v>2.9000000000000004</v>
      </c>
      <c r="I37" s="197">
        <f>F37*$L$8+G37*$L$7+H37*$L$9</f>
        <v>4123.2954</v>
      </c>
      <c r="N37" s="150">
        <f t="shared" si="0"/>
        <v>29</v>
      </c>
    </row>
    <row r="38" spans="1:14" x14ac:dyDescent="0.3">
      <c r="A38" s="301"/>
      <c r="B38" s="204"/>
      <c r="C38" s="205"/>
      <c r="D38" s="190"/>
      <c r="E38" s="201"/>
      <c r="F38" s="190"/>
      <c r="G38" s="190"/>
      <c r="H38" s="190"/>
      <c r="I38" s="199"/>
      <c r="N38" s="150">
        <f t="shared" si="0"/>
        <v>0</v>
      </c>
    </row>
    <row r="39" spans="1:14" ht="27" x14ac:dyDescent="0.3">
      <c r="A39" s="208" t="s">
        <v>167</v>
      </c>
      <c r="B39" s="209"/>
      <c r="C39" s="210"/>
      <c r="D39" s="209"/>
      <c r="E39" s="211"/>
      <c r="F39" s="212">
        <f>SUM(F8:H37)</f>
        <v>291.77914999999996</v>
      </c>
      <c r="G39" s="212"/>
      <c r="H39" s="212"/>
      <c r="I39" s="213">
        <f>SUM(I8:I37)</f>
        <v>36074.711454599994</v>
      </c>
      <c r="N39" s="150">
        <f t="shared" si="0"/>
        <v>0</v>
      </c>
    </row>
    <row r="40" spans="1:14" ht="26" x14ac:dyDescent="0.3">
      <c r="A40" s="182" t="s">
        <v>168</v>
      </c>
      <c r="B40" s="193"/>
      <c r="C40" s="192"/>
      <c r="D40" s="193"/>
      <c r="E40" s="207"/>
      <c r="F40" s="193"/>
      <c r="G40" s="193"/>
      <c r="H40" s="193"/>
      <c r="I40" s="193"/>
      <c r="N40" s="150">
        <f t="shared" si="0"/>
        <v>0</v>
      </c>
    </row>
    <row r="41" spans="1:14" ht="26" x14ac:dyDescent="0.3">
      <c r="A41" s="301" t="s">
        <v>132</v>
      </c>
      <c r="B41" s="190"/>
      <c r="C41" s="192"/>
      <c r="D41" s="193"/>
      <c r="E41" s="192"/>
      <c r="F41" s="193"/>
      <c r="G41" s="193"/>
      <c r="H41" s="193"/>
      <c r="I41" s="193"/>
      <c r="N41" s="150">
        <f t="shared" si="0"/>
        <v>0</v>
      </c>
    </row>
    <row r="42" spans="1:14" x14ac:dyDescent="0.3">
      <c r="A42" s="301" t="s">
        <v>169</v>
      </c>
      <c r="B42" s="190"/>
      <c r="C42" s="192"/>
      <c r="D42" s="193"/>
      <c r="E42" s="192"/>
      <c r="F42" s="193"/>
      <c r="G42" s="193"/>
      <c r="H42" s="193"/>
      <c r="I42" s="193"/>
      <c r="N42" s="150">
        <f t="shared" si="0"/>
        <v>0</v>
      </c>
    </row>
    <row r="43" spans="1:14" x14ac:dyDescent="0.3">
      <c r="A43" s="301" t="s">
        <v>170</v>
      </c>
      <c r="B43" s="190"/>
      <c r="C43" s="192"/>
      <c r="D43" s="193"/>
      <c r="E43" s="192"/>
      <c r="F43" s="193"/>
      <c r="G43" s="193"/>
      <c r="H43" s="193"/>
      <c r="I43" s="193"/>
      <c r="N43" s="150">
        <f t="shared" si="0"/>
        <v>0</v>
      </c>
    </row>
    <row r="44" spans="1:14" ht="30" customHeight="1" x14ac:dyDescent="0.3">
      <c r="A44" s="301" t="s">
        <v>171</v>
      </c>
      <c r="B44" s="190" t="s">
        <v>122</v>
      </c>
      <c r="C44" s="192"/>
      <c r="D44" s="193"/>
      <c r="E44" s="192"/>
      <c r="F44" s="193"/>
      <c r="G44" s="193"/>
      <c r="H44" s="193"/>
      <c r="I44" s="193"/>
      <c r="N44" s="150">
        <f t="shared" si="0"/>
        <v>0</v>
      </c>
    </row>
    <row r="45" spans="1:14" ht="26" x14ac:dyDescent="0.3">
      <c r="A45" s="301" t="s">
        <v>172</v>
      </c>
      <c r="B45" s="193"/>
      <c r="C45" s="192"/>
      <c r="D45" s="193"/>
      <c r="E45" s="192"/>
      <c r="F45" s="193"/>
      <c r="G45" s="193"/>
      <c r="H45" s="193"/>
      <c r="I45" s="193"/>
      <c r="N45" s="150">
        <f t="shared" si="0"/>
        <v>0</v>
      </c>
    </row>
    <row r="46" spans="1:14" x14ac:dyDescent="0.3">
      <c r="A46" s="307" t="s">
        <v>163</v>
      </c>
      <c r="B46" s="193"/>
      <c r="C46" s="192"/>
      <c r="D46" s="193"/>
      <c r="E46" s="192"/>
      <c r="F46" s="193"/>
      <c r="G46" s="193"/>
      <c r="H46" s="193"/>
      <c r="I46" s="193"/>
      <c r="N46" s="150">
        <f t="shared" si="0"/>
        <v>0</v>
      </c>
    </row>
    <row r="47" spans="1:14" x14ac:dyDescent="0.3">
      <c r="A47" s="301" t="s">
        <v>173</v>
      </c>
      <c r="B47" s="190">
        <v>0.1</v>
      </c>
      <c r="C47" s="115">
        <v>1</v>
      </c>
      <c r="D47" s="190">
        <f t="shared" ref="D47:D52" si="27">B47*C47</f>
        <v>0.1</v>
      </c>
      <c r="E47" s="201">
        <f>$L$14</f>
        <v>29</v>
      </c>
      <c r="F47" s="202">
        <f t="shared" ref="F47:F52" si="28">D47*E47</f>
        <v>2.9000000000000004</v>
      </c>
      <c r="G47" s="190">
        <f t="shared" ref="G47:G52" si="29">F47*0.05</f>
        <v>0.14500000000000002</v>
      </c>
      <c r="H47" s="190">
        <f t="shared" ref="H47:H52" si="30">F47*0.1</f>
        <v>0.29000000000000004</v>
      </c>
      <c r="I47" s="197">
        <f>F47*$L$8+G47*$L$7+H47*$L$9</f>
        <v>412.32954000000007</v>
      </c>
      <c r="N47" s="150">
        <f t="shared" si="0"/>
        <v>29</v>
      </c>
    </row>
    <row r="48" spans="1:14" ht="39" x14ac:dyDescent="0.3">
      <c r="A48" s="301" t="s">
        <v>311</v>
      </c>
      <c r="B48" s="190">
        <v>0.1</v>
      </c>
      <c r="C48" s="115">
        <v>0</v>
      </c>
      <c r="D48" s="190">
        <f t="shared" si="27"/>
        <v>0</v>
      </c>
      <c r="E48" s="201">
        <f>E47</f>
        <v>29</v>
      </c>
      <c r="F48" s="202">
        <f t="shared" si="28"/>
        <v>0</v>
      </c>
      <c r="G48" s="190">
        <f t="shared" si="29"/>
        <v>0</v>
      </c>
      <c r="H48" s="190">
        <f t="shared" si="30"/>
        <v>0</v>
      </c>
      <c r="I48" s="199">
        <f>F48*$L$8+G48*$L$7+H48*$L$9</f>
        <v>0</v>
      </c>
      <c r="N48" s="150">
        <f t="shared" si="0"/>
        <v>0</v>
      </c>
    </row>
    <row r="49" spans="1:15" x14ac:dyDescent="0.3">
      <c r="A49" s="307" t="s">
        <v>158</v>
      </c>
      <c r="B49" s="190"/>
      <c r="C49" s="115"/>
      <c r="D49" s="190"/>
      <c r="E49" s="201"/>
      <c r="F49" s="202"/>
      <c r="G49" s="190"/>
      <c r="H49" s="190"/>
      <c r="I49" s="199"/>
      <c r="N49" s="150">
        <f t="shared" si="0"/>
        <v>0</v>
      </c>
    </row>
    <row r="50" spans="1:15" ht="17.25" customHeight="1" x14ac:dyDescent="0.3">
      <c r="A50" s="301" t="s">
        <v>173</v>
      </c>
      <c r="B50" s="190">
        <v>1.5</v>
      </c>
      <c r="C50" s="115">
        <v>1</v>
      </c>
      <c r="D50" s="190">
        <f>B50*C50</f>
        <v>1.5</v>
      </c>
      <c r="E50" s="201">
        <f>$L$13</f>
        <v>2.0300000000000002</v>
      </c>
      <c r="F50" s="202">
        <f t="shared" ref="F50:F51" si="31">D50*E50</f>
        <v>3.0450000000000004</v>
      </c>
      <c r="G50" s="190">
        <f t="shared" ref="G50:G51" si="32">F50*0.05</f>
        <v>0.15225000000000002</v>
      </c>
      <c r="H50" s="190">
        <f t="shared" ref="H50:H51" si="33">F50*0.1</f>
        <v>0.30450000000000005</v>
      </c>
      <c r="I50" s="197">
        <f>F50*$L$8+G50*$L$7+H50*$L$9</f>
        <v>432.94601700000004</v>
      </c>
      <c r="N50" s="150">
        <f>SUM(N6:N49)</f>
        <v>98.802999999999997</v>
      </c>
      <c r="O50" s="150" t="s">
        <v>187</v>
      </c>
    </row>
    <row r="51" spans="1:15" x14ac:dyDescent="0.3">
      <c r="A51" s="301" t="s">
        <v>312</v>
      </c>
      <c r="B51" s="190">
        <v>0</v>
      </c>
      <c r="C51" s="115">
        <v>0</v>
      </c>
      <c r="D51" s="190">
        <f t="shared" ref="D51" si="34">B51*C51</f>
        <v>0</v>
      </c>
      <c r="E51" s="201">
        <f>$L$12</f>
        <v>0</v>
      </c>
      <c r="F51" s="202">
        <f t="shared" si="31"/>
        <v>0</v>
      </c>
      <c r="G51" s="190">
        <f t="shared" si="32"/>
        <v>0</v>
      </c>
      <c r="H51" s="190">
        <f t="shared" si="33"/>
        <v>0</v>
      </c>
      <c r="I51" s="197">
        <f>F51*$L$8+G51*$L$7+H51*$L$9</f>
        <v>0</v>
      </c>
      <c r="K51" s="221">
        <f>F55/212</f>
        <v>1.4150943396226414</v>
      </c>
      <c r="L51" s="150" t="s">
        <v>190</v>
      </c>
      <c r="N51" s="150">
        <f>N50-N43-N44-N21</f>
        <v>98.802999999999997</v>
      </c>
      <c r="O51" s="150" t="s">
        <v>357</v>
      </c>
    </row>
    <row r="52" spans="1:15" x14ac:dyDescent="0.3">
      <c r="A52" s="301" t="s">
        <v>313</v>
      </c>
      <c r="B52" s="190">
        <v>0</v>
      </c>
      <c r="C52" s="115">
        <v>0</v>
      </c>
      <c r="D52" s="190">
        <f t="shared" si="27"/>
        <v>0</v>
      </c>
      <c r="E52" s="201">
        <f>$L$12</f>
        <v>0</v>
      </c>
      <c r="F52" s="202">
        <f t="shared" si="28"/>
        <v>0</v>
      </c>
      <c r="G52" s="190">
        <f t="shared" si="29"/>
        <v>0</v>
      </c>
      <c r="H52" s="190">
        <f t="shared" si="30"/>
        <v>0</v>
      </c>
      <c r="I52" s="197">
        <f>F52*$L$8+G52*$L$7+H52*$L$9</f>
        <v>0</v>
      </c>
    </row>
    <row r="53" spans="1:15" x14ac:dyDescent="0.3">
      <c r="A53" s="301" t="s">
        <v>186</v>
      </c>
      <c r="B53" s="190" t="s">
        <v>122</v>
      </c>
      <c r="C53" s="192"/>
      <c r="D53" s="193"/>
      <c r="E53" s="192"/>
      <c r="F53" s="193"/>
      <c r="G53" s="193"/>
      <c r="H53" s="193"/>
      <c r="I53" s="193"/>
    </row>
    <row r="54" spans="1:15" ht="27" x14ac:dyDescent="0.3">
      <c r="A54" s="208" t="s">
        <v>188</v>
      </c>
      <c r="B54" s="214"/>
      <c r="C54" s="215"/>
      <c r="D54" s="214"/>
      <c r="E54" s="216"/>
      <c r="F54" s="212">
        <f>SUM(F47:H52)</f>
        <v>6.8367500000000012</v>
      </c>
      <c r="G54" s="212"/>
      <c r="H54" s="212"/>
      <c r="I54" s="213">
        <f>SUM(I47:I53)</f>
        <v>845.27555700000016</v>
      </c>
    </row>
    <row r="55" spans="1:15" ht="28" x14ac:dyDescent="0.3">
      <c r="A55" s="184" t="s">
        <v>189</v>
      </c>
      <c r="B55" s="217"/>
      <c r="C55" s="218"/>
      <c r="D55" s="217"/>
      <c r="E55" s="219"/>
      <c r="F55" s="425">
        <f>ROUND(F54+F39, -2)</f>
        <v>300</v>
      </c>
      <c r="G55" s="425"/>
      <c r="H55" s="425"/>
      <c r="I55" s="220">
        <f>ROUND(I54+I39, -4)</f>
        <v>40000</v>
      </c>
    </row>
    <row r="56" spans="1:15" ht="30.65" customHeight="1" x14ac:dyDescent="0.3">
      <c r="A56" s="222" t="s">
        <v>191</v>
      </c>
      <c r="B56" s="193"/>
      <c r="C56" s="192"/>
      <c r="D56" s="193"/>
      <c r="E56" s="192"/>
      <c r="F56" s="193"/>
      <c r="G56" s="193"/>
      <c r="H56" s="193"/>
      <c r="I56" s="220"/>
    </row>
    <row r="57" spans="1:15" ht="28.5" customHeight="1" x14ac:dyDescent="0.3">
      <c r="A57" s="222" t="s">
        <v>192</v>
      </c>
      <c r="B57" s="193"/>
      <c r="C57" s="192"/>
      <c r="D57" s="193"/>
      <c r="E57" s="192"/>
      <c r="F57" s="193"/>
      <c r="G57" s="193"/>
      <c r="H57" s="193"/>
      <c r="I57" s="220">
        <f>ROUND(I55+I56, -5)</f>
        <v>0</v>
      </c>
    </row>
    <row r="58" spans="1:15" ht="11.15" customHeight="1" x14ac:dyDescent="0.3"/>
    <row r="59" spans="1:15" ht="19" customHeight="1" x14ac:dyDescent="0.3">
      <c r="A59" s="482" t="s">
        <v>358</v>
      </c>
      <c r="B59" s="482"/>
      <c r="C59" s="482"/>
      <c r="D59" s="482"/>
      <c r="E59" s="482"/>
      <c r="F59" s="482"/>
      <c r="G59" s="482"/>
      <c r="H59" s="482"/>
      <c r="I59" s="482"/>
    </row>
    <row r="60" spans="1:15" ht="69" customHeight="1" x14ac:dyDescent="0.3">
      <c r="A60" s="446" t="s">
        <v>194</v>
      </c>
      <c r="B60" s="446"/>
      <c r="C60" s="446"/>
      <c r="D60" s="446"/>
      <c r="E60" s="446"/>
      <c r="F60" s="446"/>
      <c r="G60" s="446"/>
      <c r="H60" s="446"/>
      <c r="I60" s="446"/>
    </row>
    <row r="61" spans="1:15" ht="15.5" x14ac:dyDescent="0.3">
      <c r="A61" s="482" t="s">
        <v>359</v>
      </c>
      <c r="B61" s="482"/>
      <c r="C61" s="482"/>
      <c r="D61" s="482"/>
      <c r="E61" s="482"/>
      <c r="F61" s="482"/>
      <c r="G61" s="482"/>
      <c r="H61" s="482"/>
      <c r="I61" s="482"/>
    </row>
    <row r="62" spans="1:15" ht="15.5" x14ac:dyDescent="0.3">
      <c r="A62" s="483" t="s">
        <v>360</v>
      </c>
      <c r="B62" s="483"/>
      <c r="C62" s="483"/>
      <c r="D62" s="483"/>
      <c r="E62" s="483"/>
      <c r="F62" s="483"/>
      <c r="G62" s="483"/>
      <c r="H62" s="483"/>
      <c r="I62" s="483"/>
    </row>
    <row r="63" spans="1:15" x14ac:dyDescent="0.3">
      <c r="A63" s="479" t="s">
        <v>198</v>
      </c>
      <c r="B63" s="479"/>
      <c r="C63" s="479"/>
      <c r="D63" s="479"/>
      <c r="E63" s="479"/>
      <c r="F63" s="479"/>
      <c r="G63" s="479"/>
      <c r="H63" s="479"/>
      <c r="I63" s="479"/>
    </row>
    <row r="64" spans="1:15" ht="21.65" customHeight="1" x14ac:dyDescent="0.3"/>
  </sheetData>
  <mergeCells count="8">
    <mergeCell ref="A63:I63"/>
    <mergeCell ref="A1:I1"/>
    <mergeCell ref="A3:I3"/>
    <mergeCell ref="K6:L6"/>
    <mergeCell ref="A59:I59"/>
    <mergeCell ref="A60:I60"/>
    <mergeCell ref="A61:I61"/>
    <mergeCell ref="A62:I62"/>
  </mergeCells>
  <pageMargins left="0.7" right="0.7" top="0.75" bottom="0.75" header="0.3" footer="0.3"/>
  <pageSetup scale="37"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9516-3D2D-4456-A1A7-9328AF261181}">
  <sheetPr>
    <pageSetUpPr fitToPage="1"/>
  </sheetPr>
  <dimension ref="A1:O64"/>
  <sheetViews>
    <sheetView zoomScale="80" zoomScaleNormal="80" workbookViewId="0">
      <pane xSplit="13" ySplit="5" topLeftCell="N6" activePane="bottomRight" state="frozen"/>
      <selection pane="topRight" activeCell="A73" sqref="A73"/>
      <selection pane="bottomLeft" activeCell="A73" sqref="A73"/>
      <selection pane="bottomRight" activeCell="L11" sqref="L11"/>
    </sheetView>
  </sheetViews>
  <sheetFormatPr defaultColWidth="9.1796875" defaultRowHeight="13" x14ac:dyDescent="0.3"/>
  <cols>
    <col min="1" max="1" width="26.816406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25.1796875" style="150" customWidth="1"/>
    <col min="12" max="12" width="14.54296875" style="150" customWidth="1"/>
    <col min="13" max="13" width="30.453125" style="150" customWidth="1"/>
    <col min="14" max="14" width="20.453125" style="150" customWidth="1"/>
    <col min="15" max="15" width="14.1796875" style="150" customWidth="1"/>
    <col min="16" max="16384" width="9.1796875" style="150"/>
  </cols>
  <sheetData>
    <row r="1" spans="1:14" s="188" customFormat="1" ht="15" x14ac:dyDescent="0.3">
      <c r="A1" s="462" t="s">
        <v>93</v>
      </c>
      <c r="B1" s="462"/>
      <c r="C1" s="462"/>
      <c r="D1" s="462"/>
      <c r="E1" s="462"/>
      <c r="F1" s="462"/>
      <c r="G1" s="462"/>
      <c r="H1" s="462"/>
      <c r="I1" s="462"/>
    </row>
    <row r="2" spans="1:14" s="188" customFormat="1" ht="45" x14ac:dyDescent="0.3">
      <c r="A2" s="423" t="s">
        <v>375</v>
      </c>
      <c r="B2" s="423"/>
      <c r="C2" s="423"/>
      <c r="D2" s="423"/>
      <c r="E2" s="423"/>
      <c r="F2" s="423"/>
      <c r="G2" s="423"/>
      <c r="H2" s="423"/>
      <c r="I2" s="423"/>
    </row>
    <row r="3" spans="1:14" s="188" customFormat="1" ht="33" customHeight="1" x14ac:dyDescent="0.3">
      <c r="A3" s="462" t="s">
        <v>365</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24.65" customHeight="1" x14ac:dyDescent="0.3">
      <c r="A7" s="182" t="s">
        <v>124</v>
      </c>
      <c r="B7" s="190" t="s">
        <v>122</v>
      </c>
      <c r="C7" s="192"/>
      <c r="D7" s="193"/>
      <c r="E7" s="192"/>
      <c r="F7" s="193"/>
      <c r="G7" s="193"/>
      <c r="H7" s="193"/>
      <c r="I7" s="193"/>
      <c r="K7" s="194" t="s">
        <v>125</v>
      </c>
      <c r="L7" s="195">
        <f>76.96*2.1</f>
        <v>161.61599999999999</v>
      </c>
      <c r="M7" s="196" t="s">
        <v>126</v>
      </c>
      <c r="N7" s="150">
        <f t="shared" ref="N7:N49" si="0">C7*E7</f>
        <v>0</v>
      </c>
    </row>
    <row r="8" spans="1:14" ht="60"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431" t="s">
        <v>518</v>
      </c>
      <c r="N11" s="150">
        <f t="shared" si="0"/>
        <v>0</v>
      </c>
    </row>
    <row r="12" spans="1:14" ht="15.5" x14ac:dyDescent="0.3">
      <c r="A12" s="306" t="s">
        <v>290</v>
      </c>
      <c r="B12" s="190"/>
      <c r="C12" s="115"/>
      <c r="D12" s="190"/>
      <c r="E12" s="201"/>
      <c r="F12" s="202"/>
      <c r="G12" s="190"/>
      <c r="H12" s="190"/>
      <c r="I12" s="199"/>
      <c r="K12" s="265"/>
      <c r="L12" s="265">
        <v>0</v>
      </c>
      <c r="M12" s="188"/>
      <c r="N12" s="150">
        <f t="shared" si="0"/>
        <v>0</v>
      </c>
    </row>
    <row r="13" spans="1:14" ht="27" customHeight="1" x14ac:dyDescent="0.3">
      <c r="A13" s="116" t="s">
        <v>295</v>
      </c>
      <c r="B13" s="115">
        <v>8</v>
      </c>
      <c r="C13" s="115">
        <v>1</v>
      </c>
      <c r="D13" s="190">
        <f>B13*C13</f>
        <v>8</v>
      </c>
      <c r="E13" s="201">
        <f t="shared" ref="E13:E15" si="1">L$13</f>
        <v>2.0300000000000002</v>
      </c>
      <c r="F13" s="202">
        <f>D13*E13</f>
        <v>16.240000000000002</v>
      </c>
      <c r="G13" s="190">
        <f>F13*0.05</f>
        <v>0.81200000000000017</v>
      </c>
      <c r="H13" s="190">
        <f>F13*0.1</f>
        <v>1.6240000000000003</v>
      </c>
      <c r="I13" s="197">
        <f>F13*$L$8+G13*$L$7+H13*$L$9</f>
        <v>2309.0454239999999</v>
      </c>
      <c r="K13" s="265" t="s">
        <v>136</v>
      </c>
      <c r="L13" s="265">
        <f>L12+L14*0.07</f>
        <v>2.0300000000000002</v>
      </c>
      <c r="M13" s="264" t="s">
        <v>294</v>
      </c>
      <c r="N13" s="150">
        <f t="shared" si="0"/>
        <v>2.0300000000000002</v>
      </c>
    </row>
    <row r="14" spans="1:14" ht="26" x14ac:dyDescent="0.3">
      <c r="A14" s="116" t="s">
        <v>296</v>
      </c>
      <c r="B14" s="115">
        <v>8</v>
      </c>
      <c r="C14" s="115">
        <v>1</v>
      </c>
      <c r="D14" s="190">
        <f t="shared" ref="D14" si="2">B14*C14</f>
        <v>8</v>
      </c>
      <c r="E14" s="296">
        <f>E13*0.05</f>
        <v>0.10150000000000002</v>
      </c>
      <c r="F14" s="202">
        <f t="shared" ref="F14:F21" si="3">D14*E14</f>
        <v>0.81200000000000017</v>
      </c>
      <c r="G14" s="296">
        <f t="shared" ref="G14:G21" si="4">F14*0.05</f>
        <v>4.0600000000000011E-2</v>
      </c>
      <c r="H14" s="296">
        <f t="shared" ref="H14:H21" si="5">F14*0.1</f>
        <v>8.1200000000000022E-2</v>
      </c>
      <c r="I14" s="197">
        <f t="shared" ref="I14:I21" si="6">F14*$L$8+G14*$L$7+H14*$L$9</f>
        <v>115.45227120000001</v>
      </c>
      <c r="J14" s="420"/>
      <c r="K14" s="200" t="s">
        <v>141</v>
      </c>
      <c r="L14" s="200">
        <f>'II-Y1'!$L$22</f>
        <v>29</v>
      </c>
      <c r="N14" s="150">
        <f t="shared" si="0"/>
        <v>0.10150000000000002</v>
      </c>
    </row>
    <row r="15" spans="1:14" ht="26" x14ac:dyDescent="0.3">
      <c r="A15" s="253" t="s">
        <v>370</v>
      </c>
      <c r="B15" s="159">
        <v>6</v>
      </c>
      <c r="C15" s="159">
        <v>1</v>
      </c>
      <c r="D15" s="257">
        <f>B15*C15</f>
        <v>6</v>
      </c>
      <c r="E15" s="201">
        <f t="shared" si="1"/>
        <v>2.0300000000000002</v>
      </c>
      <c r="F15" s="202">
        <f t="shared" ref="F15:F16" si="7">D15*E15</f>
        <v>12.180000000000001</v>
      </c>
      <c r="G15" s="296">
        <f t="shared" ref="G15:G16" si="8">F15*0.05</f>
        <v>0.6090000000000001</v>
      </c>
      <c r="H15" s="296">
        <f t="shared" ref="H15:H16" si="9">F15*0.1</f>
        <v>1.2180000000000002</v>
      </c>
      <c r="I15" s="197">
        <f t="shared" ref="I15:I16" si="10">F15*$L$8+G15*$L$7+H15*$L$9</f>
        <v>1731.7840680000002</v>
      </c>
      <c r="J15" s="420"/>
      <c r="K15" s="309"/>
      <c r="L15" s="309"/>
    </row>
    <row r="16" spans="1:14" x14ac:dyDescent="0.3">
      <c r="A16" s="253" t="s">
        <v>293</v>
      </c>
      <c r="B16" s="159">
        <v>6</v>
      </c>
      <c r="C16" s="159">
        <v>1</v>
      </c>
      <c r="D16" s="257">
        <f t="shared" ref="D16" si="11">B16*C16</f>
        <v>6</v>
      </c>
      <c r="E16" s="296">
        <f t="shared" ref="E16" si="12">E15*0.05</f>
        <v>0.10150000000000002</v>
      </c>
      <c r="F16" s="202">
        <f t="shared" si="7"/>
        <v>0.6090000000000001</v>
      </c>
      <c r="G16" s="296">
        <f t="shared" si="8"/>
        <v>3.0450000000000005E-2</v>
      </c>
      <c r="H16" s="296">
        <f t="shared" si="9"/>
        <v>6.090000000000001E-2</v>
      </c>
      <c r="I16" s="197">
        <f t="shared" si="10"/>
        <v>86.589203400000017</v>
      </c>
      <c r="J16" s="420"/>
      <c r="K16" s="309"/>
      <c r="L16" s="309"/>
    </row>
    <row r="17" spans="1:14" ht="28.5" x14ac:dyDescent="0.3">
      <c r="A17" s="306" t="s">
        <v>297</v>
      </c>
      <c r="B17" s="190"/>
      <c r="C17" s="115"/>
      <c r="D17" s="190"/>
      <c r="E17" s="115"/>
      <c r="F17" s="202"/>
      <c r="G17" s="190"/>
      <c r="H17" s="190"/>
      <c r="I17" s="199"/>
      <c r="K17" s="420" t="s">
        <v>366</v>
      </c>
      <c r="L17" s="420">
        <v>15</v>
      </c>
      <c r="M17" s="420"/>
      <c r="N17" s="150">
        <f t="shared" si="0"/>
        <v>0</v>
      </c>
    </row>
    <row r="18" spans="1:14" ht="39" x14ac:dyDescent="0.3">
      <c r="A18" s="301" t="s">
        <v>295</v>
      </c>
      <c r="B18" s="190">
        <v>0</v>
      </c>
      <c r="C18" s="115">
        <v>0</v>
      </c>
      <c r="D18" s="190">
        <f>B18*C18</f>
        <v>0</v>
      </c>
      <c r="E18" s="201">
        <v>0</v>
      </c>
      <c r="F18" s="202">
        <f t="shared" si="3"/>
        <v>0</v>
      </c>
      <c r="G18" s="190">
        <f t="shared" si="4"/>
        <v>0</v>
      </c>
      <c r="H18" s="190">
        <f t="shared" si="5"/>
        <v>0</v>
      </c>
      <c r="I18" s="199">
        <f t="shared" si="6"/>
        <v>0</v>
      </c>
      <c r="J18" s="203"/>
      <c r="K18" s="420" t="s">
        <v>367</v>
      </c>
      <c r="L18" s="150">
        <v>9</v>
      </c>
      <c r="N18" s="150">
        <f t="shared" si="0"/>
        <v>0</v>
      </c>
    </row>
    <row r="19" spans="1:14" ht="39" x14ac:dyDescent="0.3">
      <c r="A19" s="301" t="s">
        <v>296</v>
      </c>
      <c r="B19" s="190">
        <v>0</v>
      </c>
      <c r="C19" s="115">
        <v>0</v>
      </c>
      <c r="D19" s="190">
        <f t="shared" ref="D19" si="13">B19*C19</f>
        <v>0</v>
      </c>
      <c r="E19" s="201">
        <f>E18*0.05</f>
        <v>0</v>
      </c>
      <c r="F19" s="202">
        <f t="shared" si="3"/>
        <v>0</v>
      </c>
      <c r="G19" s="190">
        <f t="shared" si="4"/>
        <v>0</v>
      </c>
      <c r="H19" s="190">
        <f t="shared" si="5"/>
        <v>0</v>
      </c>
      <c r="I19" s="199">
        <f t="shared" si="6"/>
        <v>0</v>
      </c>
      <c r="J19" s="203"/>
      <c r="K19" s="420" t="s">
        <v>368</v>
      </c>
      <c r="L19" s="150">
        <v>6</v>
      </c>
      <c r="M19" s="286" t="s">
        <v>356</v>
      </c>
      <c r="N19" s="150">
        <f t="shared" si="0"/>
        <v>0</v>
      </c>
    </row>
    <row r="20" spans="1:14" ht="26" x14ac:dyDescent="0.3">
      <c r="A20" s="303" t="s">
        <v>372</v>
      </c>
      <c r="B20" s="257">
        <v>6</v>
      </c>
      <c r="C20" s="159">
        <v>1</v>
      </c>
      <c r="D20" s="257">
        <f>B20*C20</f>
        <v>6</v>
      </c>
      <c r="E20" s="201">
        <f>$L$14</f>
        <v>29</v>
      </c>
      <c r="F20" s="202">
        <f t="shared" si="3"/>
        <v>174</v>
      </c>
      <c r="G20" s="190">
        <f t="shared" si="4"/>
        <v>8.7000000000000011</v>
      </c>
      <c r="H20" s="190">
        <f t="shared" si="5"/>
        <v>17.400000000000002</v>
      </c>
      <c r="I20" s="197">
        <f t="shared" si="6"/>
        <v>24739.772399999998</v>
      </c>
      <c r="N20" s="150">
        <f t="shared" si="0"/>
        <v>29</v>
      </c>
    </row>
    <row r="21" spans="1:14" x14ac:dyDescent="0.3">
      <c r="A21" s="303" t="s">
        <v>300</v>
      </c>
      <c r="B21" s="159">
        <v>6</v>
      </c>
      <c r="C21" s="159">
        <v>1</v>
      </c>
      <c r="D21" s="257">
        <f t="shared" ref="D21" si="14">B21*C21</f>
        <v>6</v>
      </c>
      <c r="E21" s="206">
        <f>E20*0.05</f>
        <v>1.4500000000000002</v>
      </c>
      <c r="F21" s="202">
        <f t="shared" si="3"/>
        <v>8.7000000000000011</v>
      </c>
      <c r="G21" s="190">
        <f t="shared" si="4"/>
        <v>0.43500000000000005</v>
      </c>
      <c r="H21" s="190">
        <f t="shared" si="5"/>
        <v>0.87000000000000011</v>
      </c>
      <c r="I21" s="197">
        <f t="shared" si="6"/>
        <v>1236.9886200000001</v>
      </c>
      <c r="N21" s="150">
        <f t="shared" si="0"/>
        <v>1.4500000000000002</v>
      </c>
    </row>
    <row r="22" spans="1:14" ht="28.5" x14ac:dyDescent="0.3">
      <c r="A22" s="306" t="s">
        <v>151</v>
      </c>
      <c r="B22" s="204"/>
      <c r="C22" s="205"/>
      <c r="D22" s="204"/>
      <c r="E22" s="206"/>
      <c r="F22" s="202"/>
      <c r="G22" s="190"/>
      <c r="H22" s="190"/>
      <c r="I22" s="199"/>
      <c r="N22" s="150">
        <f t="shared" si="0"/>
        <v>0</v>
      </c>
    </row>
    <row r="23" spans="1:14" x14ac:dyDescent="0.3">
      <c r="A23" s="301"/>
      <c r="B23" s="190"/>
      <c r="C23" s="115"/>
      <c r="D23" s="190"/>
      <c r="E23" s="201"/>
      <c r="F23" s="202"/>
      <c r="G23" s="190"/>
      <c r="H23" s="190"/>
      <c r="I23" s="199"/>
      <c r="N23" s="150">
        <f t="shared" si="0"/>
        <v>0</v>
      </c>
    </row>
    <row r="24" spans="1:14" x14ac:dyDescent="0.3">
      <c r="A24" s="301"/>
      <c r="B24" s="190"/>
      <c r="C24" s="115"/>
      <c r="D24" s="190"/>
      <c r="E24" s="201"/>
      <c r="F24" s="202"/>
      <c r="G24" s="296"/>
      <c r="H24" s="190"/>
      <c r="I24" s="199"/>
      <c r="N24" s="150">
        <f t="shared" si="0"/>
        <v>0</v>
      </c>
    </row>
    <row r="25" spans="1:14" ht="26" x14ac:dyDescent="0.3">
      <c r="A25" s="301" t="s">
        <v>155</v>
      </c>
      <c r="B25" s="190"/>
      <c r="C25" s="192"/>
      <c r="D25" s="193"/>
      <c r="E25" s="207"/>
      <c r="F25" s="193"/>
      <c r="G25" s="193"/>
      <c r="H25" s="193"/>
      <c r="I25" s="193"/>
      <c r="N25" s="150">
        <f t="shared" si="0"/>
        <v>0</v>
      </c>
    </row>
    <row r="26" spans="1:14" ht="26" x14ac:dyDescent="0.3">
      <c r="A26" s="301" t="s">
        <v>156</v>
      </c>
      <c r="B26" s="190"/>
      <c r="C26" s="192"/>
      <c r="D26" s="193"/>
      <c r="E26" s="207"/>
      <c r="F26" s="193"/>
      <c r="G26" s="193"/>
      <c r="H26" s="193"/>
      <c r="I26" s="193"/>
      <c r="N26" s="150">
        <f t="shared" si="0"/>
        <v>0</v>
      </c>
    </row>
    <row r="27" spans="1:14" ht="26.15" customHeight="1" x14ac:dyDescent="0.3">
      <c r="A27" s="301" t="s">
        <v>157</v>
      </c>
      <c r="B27" s="193"/>
      <c r="C27" s="192"/>
      <c r="D27" s="193"/>
      <c r="E27" s="207"/>
      <c r="F27" s="193"/>
      <c r="G27" s="193"/>
      <c r="H27" s="193"/>
      <c r="I27" s="193"/>
      <c r="N27" s="150">
        <f t="shared" si="0"/>
        <v>0</v>
      </c>
    </row>
    <row r="28" spans="1:14" x14ac:dyDescent="0.3">
      <c r="A28" s="307" t="s">
        <v>158</v>
      </c>
      <c r="B28" s="190"/>
      <c r="C28" s="115"/>
      <c r="D28" s="190"/>
      <c r="E28" s="201"/>
      <c r="F28" s="190"/>
      <c r="G28" s="190"/>
      <c r="H28" s="190"/>
      <c r="I28" s="199"/>
      <c r="N28" s="150">
        <f t="shared" si="0"/>
        <v>0</v>
      </c>
    </row>
    <row r="29" spans="1:14" ht="26" x14ac:dyDescent="0.3">
      <c r="A29" s="301" t="s">
        <v>212</v>
      </c>
      <c r="B29" s="190">
        <v>2</v>
      </c>
      <c r="C29" s="115">
        <v>1</v>
      </c>
      <c r="D29" s="190">
        <v>2</v>
      </c>
      <c r="E29" s="201">
        <f>L13</f>
        <v>2.0300000000000002</v>
      </c>
      <c r="F29" s="190">
        <f t="shared" ref="F29:F32" si="15">D29*E29</f>
        <v>4.0600000000000005</v>
      </c>
      <c r="G29" s="190">
        <f t="shared" ref="G29:G32" si="16">F29*0.05</f>
        <v>0.20300000000000004</v>
      </c>
      <c r="H29" s="190">
        <f t="shared" ref="H29:H32" si="17">F29*0.1</f>
        <v>0.40600000000000008</v>
      </c>
      <c r="I29" s="197">
        <f t="shared" ref="I29:I32" si="18">F29*$L$8+G29*$L$7+H29*$L$9</f>
        <v>577.26135599999998</v>
      </c>
      <c r="N29" s="150">
        <f t="shared" si="0"/>
        <v>2.0300000000000002</v>
      </c>
    </row>
    <row r="30" spans="1:14" ht="26" x14ac:dyDescent="0.3">
      <c r="A30" s="301" t="s">
        <v>303</v>
      </c>
      <c r="B30" s="190">
        <v>2</v>
      </c>
      <c r="C30" s="115">
        <v>1</v>
      </c>
      <c r="D30" s="190">
        <v>2</v>
      </c>
      <c r="E30" s="201">
        <f>L13</f>
        <v>2.0300000000000002</v>
      </c>
      <c r="F30" s="190">
        <f t="shared" si="15"/>
        <v>4.0600000000000005</v>
      </c>
      <c r="G30" s="190">
        <f t="shared" si="16"/>
        <v>0.20300000000000004</v>
      </c>
      <c r="H30" s="190">
        <f t="shared" si="17"/>
        <v>0.40600000000000008</v>
      </c>
      <c r="I30" s="197">
        <f t="shared" si="18"/>
        <v>577.26135599999998</v>
      </c>
      <c r="N30" s="150">
        <f t="shared" si="0"/>
        <v>2.0300000000000002</v>
      </c>
    </row>
    <row r="31" spans="1:14" ht="26" x14ac:dyDescent="0.3">
      <c r="A31" s="301" t="s">
        <v>304</v>
      </c>
      <c r="B31" s="190">
        <v>2</v>
      </c>
      <c r="C31" s="115">
        <v>1</v>
      </c>
      <c r="D31" s="190">
        <v>2</v>
      </c>
      <c r="E31" s="201">
        <f>L13</f>
        <v>2.0300000000000002</v>
      </c>
      <c r="F31" s="190">
        <f t="shared" si="15"/>
        <v>4.0600000000000005</v>
      </c>
      <c r="G31" s="190">
        <f t="shared" si="16"/>
        <v>0.20300000000000004</v>
      </c>
      <c r="H31" s="190">
        <f t="shared" si="17"/>
        <v>0.40600000000000008</v>
      </c>
      <c r="I31" s="197">
        <f t="shared" si="18"/>
        <v>577.26135599999998</v>
      </c>
      <c r="N31" s="150">
        <f t="shared" si="0"/>
        <v>2.0300000000000002</v>
      </c>
    </row>
    <row r="32" spans="1:14" ht="26" x14ac:dyDescent="0.3">
      <c r="A32" s="301" t="s">
        <v>376</v>
      </c>
      <c r="B32" s="190">
        <v>24</v>
      </c>
      <c r="C32" s="115">
        <v>4</v>
      </c>
      <c r="D32" s="190">
        <v>48</v>
      </c>
      <c r="E32" s="201">
        <f>L13</f>
        <v>2.0300000000000002</v>
      </c>
      <c r="F32" s="190">
        <f t="shared" si="15"/>
        <v>97.440000000000012</v>
      </c>
      <c r="G32" s="190">
        <f t="shared" si="16"/>
        <v>4.8720000000000008</v>
      </c>
      <c r="H32" s="190">
        <f t="shared" si="17"/>
        <v>9.7440000000000015</v>
      </c>
      <c r="I32" s="197">
        <f t="shared" si="18"/>
        <v>13854.272544000001</v>
      </c>
      <c r="N32" s="150">
        <f t="shared" si="0"/>
        <v>8.120000000000001</v>
      </c>
    </row>
    <row r="33" spans="1:14" x14ac:dyDescent="0.3">
      <c r="A33" s="307" t="s">
        <v>163</v>
      </c>
      <c r="B33" s="193"/>
      <c r="C33" s="192"/>
      <c r="D33" s="193"/>
      <c r="E33" s="207"/>
      <c r="F33" s="193"/>
      <c r="G33" s="193"/>
      <c r="H33" s="193"/>
      <c r="I33" s="193"/>
      <c r="N33" s="150">
        <f t="shared" si="0"/>
        <v>0</v>
      </c>
    </row>
    <row r="34" spans="1:14" ht="26" x14ac:dyDescent="0.3">
      <c r="A34" s="301" t="s">
        <v>212</v>
      </c>
      <c r="B34" s="190">
        <v>0</v>
      </c>
      <c r="C34" s="115">
        <v>0</v>
      </c>
      <c r="D34" s="190">
        <f t="shared" ref="D34:D36" si="19">B34*C34</f>
        <v>0</v>
      </c>
      <c r="E34" s="201">
        <v>0</v>
      </c>
      <c r="F34" s="190">
        <f>D34*E34</f>
        <v>0</v>
      </c>
      <c r="G34" s="190">
        <f>F34*0.05</f>
        <v>0</v>
      </c>
      <c r="H34" s="190">
        <f>F34*0.1</f>
        <v>0</v>
      </c>
      <c r="I34" s="199">
        <f>F34*$L$8+G34*$L$7+H34*$L$9</f>
        <v>0</v>
      </c>
      <c r="N34" s="150">
        <f t="shared" si="0"/>
        <v>0</v>
      </c>
    </row>
    <row r="35" spans="1:14" ht="40" customHeight="1" x14ac:dyDescent="0.3">
      <c r="A35" s="301" t="s">
        <v>303</v>
      </c>
      <c r="B35" s="190">
        <v>0</v>
      </c>
      <c r="C35" s="115">
        <v>0</v>
      </c>
      <c r="D35" s="190">
        <f t="shared" si="19"/>
        <v>0</v>
      </c>
      <c r="E35" s="201">
        <f>E34</f>
        <v>0</v>
      </c>
      <c r="F35" s="190">
        <f>D35*E35</f>
        <v>0</v>
      </c>
      <c r="G35" s="190">
        <f>F35*0.05</f>
        <v>0</v>
      </c>
      <c r="H35" s="190">
        <f>F35*0.1</f>
        <v>0</v>
      </c>
      <c r="I35" s="199">
        <f>F35*$L$8+G35*$L$7+H35*$L$9</f>
        <v>0</v>
      </c>
      <c r="N35" s="150">
        <f t="shared" si="0"/>
        <v>0</v>
      </c>
    </row>
    <row r="36" spans="1:14" ht="26" x14ac:dyDescent="0.3">
      <c r="A36" s="301" t="s">
        <v>309</v>
      </c>
      <c r="B36" s="190">
        <v>0</v>
      </c>
      <c r="C36" s="115">
        <v>0</v>
      </c>
      <c r="D36" s="190">
        <f t="shared" si="19"/>
        <v>0</v>
      </c>
      <c r="E36" s="201">
        <f>E35</f>
        <v>0</v>
      </c>
      <c r="F36" s="190">
        <f>D36*E36</f>
        <v>0</v>
      </c>
      <c r="G36" s="190">
        <f>F36*0.05</f>
        <v>0</v>
      </c>
      <c r="H36" s="190">
        <f>F36*0.1</f>
        <v>0</v>
      </c>
      <c r="I36" s="199">
        <f>F36*$L$8+G36*$L$7+H36*$L$9</f>
        <v>0</v>
      </c>
      <c r="N36" s="150">
        <f t="shared" si="0"/>
        <v>0</v>
      </c>
    </row>
    <row r="37" spans="1:14" ht="39" x14ac:dyDescent="0.3">
      <c r="A37" s="303" t="s">
        <v>166</v>
      </c>
      <c r="B37" s="190">
        <v>1</v>
      </c>
      <c r="C37" s="115">
        <v>1</v>
      </c>
      <c r="D37" s="190">
        <f t="shared" ref="D37" si="20">B37*C37</f>
        <v>1</v>
      </c>
      <c r="E37" s="201">
        <f>L14</f>
        <v>29</v>
      </c>
      <c r="F37" s="190">
        <f t="shared" ref="F37" si="21">D37*E37</f>
        <v>29</v>
      </c>
      <c r="G37" s="190">
        <f t="shared" ref="G37" si="22">F37*0.05</f>
        <v>1.4500000000000002</v>
      </c>
      <c r="H37" s="190">
        <f t="shared" ref="H37" si="23">F37*0.1</f>
        <v>2.9000000000000004</v>
      </c>
      <c r="I37" s="197">
        <f>F37*$L$8+G37*$L$7+H37*$L$9</f>
        <v>4123.2954</v>
      </c>
      <c r="N37" s="150">
        <f t="shared" si="0"/>
        <v>29</v>
      </c>
    </row>
    <row r="38" spans="1:14" x14ac:dyDescent="0.3">
      <c r="A38" s="301"/>
      <c r="B38" s="204"/>
      <c r="C38" s="205"/>
      <c r="D38" s="190"/>
      <c r="E38" s="201"/>
      <c r="F38" s="190"/>
      <c r="G38" s="190"/>
      <c r="H38" s="190"/>
      <c r="I38" s="199"/>
      <c r="N38" s="150">
        <f t="shared" si="0"/>
        <v>0</v>
      </c>
    </row>
    <row r="39" spans="1:14" ht="27" x14ac:dyDescent="0.3">
      <c r="A39" s="208" t="s">
        <v>167</v>
      </c>
      <c r="B39" s="209"/>
      <c r="C39" s="210"/>
      <c r="D39" s="209"/>
      <c r="E39" s="211"/>
      <c r="F39" s="212">
        <f>SUM(F8:H37)</f>
        <v>403.83515</v>
      </c>
      <c r="G39" s="212"/>
      <c r="H39" s="212"/>
      <c r="I39" s="213">
        <f>SUM(I8:I37)</f>
        <v>49928.983998600001</v>
      </c>
      <c r="N39" s="150">
        <f t="shared" si="0"/>
        <v>0</v>
      </c>
    </row>
    <row r="40" spans="1:14" ht="26" x14ac:dyDescent="0.3">
      <c r="A40" s="182" t="s">
        <v>168</v>
      </c>
      <c r="B40" s="193"/>
      <c r="C40" s="192"/>
      <c r="D40" s="193"/>
      <c r="E40" s="207"/>
      <c r="F40" s="193"/>
      <c r="G40" s="193"/>
      <c r="H40" s="193"/>
      <c r="I40" s="193"/>
      <c r="N40" s="150">
        <f t="shared" si="0"/>
        <v>0</v>
      </c>
    </row>
    <row r="41" spans="1:14" ht="26" x14ac:dyDescent="0.3">
      <c r="A41" s="301" t="s">
        <v>132</v>
      </c>
      <c r="B41" s="190"/>
      <c r="C41" s="192"/>
      <c r="D41" s="193"/>
      <c r="E41" s="192"/>
      <c r="F41" s="193"/>
      <c r="G41" s="193"/>
      <c r="H41" s="193"/>
      <c r="I41" s="193"/>
      <c r="N41" s="150">
        <f t="shared" si="0"/>
        <v>0</v>
      </c>
    </row>
    <row r="42" spans="1:14" x14ac:dyDescent="0.3">
      <c r="A42" s="301" t="s">
        <v>169</v>
      </c>
      <c r="B42" s="190"/>
      <c r="C42" s="192"/>
      <c r="D42" s="193"/>
      <c r="E42" s="192"/>
      <c r="F42" s="193"/>
      <c r="G42" s="193"/>
      <c r="H42" s="193"/>
      <c r="I42" s="193"/>
      <c r="N42" s="150">
        <f t="shared" si="0"/>
        <v>0</v>
      </c>
    </row>
    <row r="43" spans="1:14" x14ac:dyDescent="0.3">
      <c r="A43" s="301" t="s">
        <v>170</v>
      </c>
      <c r="B43" s="190"/>
      <c r="C43" s="192"/>
      <c r="D43" s="193"/>
      <c r="E43" s="192"/>
      <c r="F43" s="193"/>
      <c r="G43" s="193"/>
      <c r="H43" s="193"/>
      <c r="I43" s="193"/>
      <c r="N43" s="150">
        <f t="shared" si="0"/>
        <v>0</v>
      </c>
    </row>
    <row r="44" spans="1:14" ht="30" customHeight="1" x14ac:dyDescent="0.3">
      <c r="A44" s="301" t="s">
        <v>171</v>
      </c>
      <c r="B44" s="190" t="s">
        <v>122</v>
      </c>
      <c r="C44" s="192"/>
      <c r="D44" s="193"/>
      <c r="E44" s="192"/>
      <c r="F44" s="193"/>
      <c r="G44" s="193"/>
      <c r="H44" s="193"/>
      <c r="I44" s="193"/>
      <c r="N44" s="150">
        <f t="shared" si="0"/>
        <v>0</v>
      </c>
    </row>
    <row r="45" spans="1:14" ht="26" x14ac:dyDescent="0.3">
      <c r="A45" s="301" t="s">
        <v>172</v>
      </c>
      <c r="B45" s="193"/>
      <c r="C45" s="192"/>
      <c r="D45" s="193"/>
      <c r="E45" s="192"/>
      <c r="F45" s="193"/>
      <c r="G45" s="193"/>
      <c r="H45" s="193"/>
      <c r="I45" s="193"/>
      <c r="N45" s="150">
        <f t="shared" si="0"/>
        <v>0</v>
      </c>
    </row>
    <row r="46" spans="1:14" x14ac:dyDescent="0.3">
      <c r="A46" s="307" t="s">
        <v>163</v>
      </c>
      <c r="B46" s="193"/>
      <c r="C46" s="192"/>
      <c r="D46" s="193"/>
      <c r="E46" s="192"/>
      <c r="F46" s="193"/>
      <c r="G46" s="193"/>
      <c r="H46" s="193"/>
      <c r="I46" s="193"/>
      <c r="N46" s="150">
        <f t="shared" si="0"/>
        <v>0</v>
      </c>
    </row>
    <row r="47" spans="1:14" x14ac:dyDescent="0.3">
      <c r="A47" s="301" t="s">
        <v>173</v>
      </c>
      <c r="B47" s="190">
        <v>0.1</v>
      </c>
      <c r="C47" s="115">
        <v>1</v>
      </c>
      <c r="D47" s="190">
        <f t="shared" ref="D47:D52" si="24">B47*C47</f>
        <v>0.1</v>
      </c>
      <c r="E47" s="201">
        <f>$L$14</f>
        <v>29</v>
      </c>
      <c r="F47" s="202">
        <f t="shared" ref="F47:F52" si="25">D47*E47</f>
        <v>2.9000000000000004</v>
      </c>
      <c r="G47" s="190">
        <f t="shared" ref="G47:G52" si="26">F47*0.05</f>
        <v>0.14500000000000002</v>
      </c>
      <c r="H47" s="190">
        <f t="shared" ref="H47:H52" si="27">F47*0.1</f>
        <v>0.29000000000000004</v>
      </c>
      <c r="I47" s="197">
        <f>F47*$L$8+G47*$L$7+H47*$L$9</f>
        <v>412.32954000000007</v>
      </c>
      <c r="N47" s="150">
        <f t="shared" si="0"/>
        <v>29</v>
      </c>
    </row>
    <row r="48" spans="1:14" ht="39" x14ac:dyDescent="0.3">
      <c r="A48" s="301" t="s">
        <v>311</v>
      </c>
      <c r="B48" s="190">
        <v>0</v>
      </c>
      <c r="C48" s="115">
        <v>0</v>
      </c>
      <c r="D48" s="190">
        <f t="shared" si="24"/>
        <v>0</v>
      </c>
      <c r="E48" s="201">
        <f>E47</f>
        <v>29</v>
      </c>
      <c r="F48" s="202">
        <f t="shared" si="25"/>
        <v>0</v>
      </c>
      <c r="G48" s="190">
        <f t="shared" si="26"/>
        <v>0</v>
      </c>
      <c r="H48" s="190">
        <f t="shared" si="27"/>
        <v>0</v>
      </c>
      <c r="I48" s="199">
        <f>F48*$L$8+G48*$L$7+H48*$L$9</f>
        <v>0</v>
      </c>
      <c r="N48" s="150">
        <f t="shared" si="0"/>
        <v>0</v>
      </c>
    </row>
    <row r="49" spans="1:15" x14ac:dyDescent="0.3">
      <c r="A49" s="307" t="s">
        <v>158</v>
      </c>
      <c r="B49" s="190"/>
      <c r="C49" s="115"/>
      <c r="D49" s="190"/>
      <c r="E49" s="201"/>
      <c r="F49" s="202"/>
      <c r="G49" s="190"/>
      <c r="H49" s="190"/>
      <c r="I49" s="199"/>
      <c r="N49" s="150">
        <f t="shared" si="0"/>
        <v>0</v>
      </c>
    </row>
    <row r="50" spans="1:15" ht="17.25" customHeight="1" x14ac:dyDescent="0.3">
      <c r="A50" s="301" t="s">
        <v>173</v>
      </c>
      <c r="B50" s="190">
        <v>1.5</v>
      </c>
      <c r="C50" s="115">
        <v>1</v>
      </c>
      <c r="D50" s="190">
        <f>B50*C50</f>
        <v>1.5</v>
      </c>
      <c r="E50" s="201">
        <f>$L$13</f>
        <v>2.0300000000000002</v>
      </c>
      <c r="F50" s="202">
        <f t="shared" ref="F50:F51" si="28">D50*E50</f>
        <v>3.0450000000000004</v>
      </c>
      <c r="G50" s="413">
        <f t="shared" ref="G50:G51" si="29">F50*0.05</f>
        <v>0.15225000000000002</v>
      </c>
      <c r="H50" s="190">
        <f t="shared" ref="H50:H51" si="30">F50*0.1</f>
        <v>0.30450000000000005</v>
      </c>
      <c r="I50" s="197">
        <f>F50*$L$8+G50*$L$7+H50*$L$9</f>
        <v>432.94601700000004</v>
      </c>
      <c r="N50" s="150">
        <f>SUM(N6:N49)</f>
        <v>104.7915</v>
      </c>
      <c r="O50" s="150" t="s">
        <v>187</v>
      </c>
    </row>
    <row r="51" spans="1:15" x14ac:dyDescent="0.3">
      <c r="A51" s="301" t="s">
        <v>312</v>
      </c>
      <c r="B51" s="190">
        <v>0</v>
      </c>
      <c r="C51" s="115">
        <v>0</v>
      </c>
      <c r="D51" s="190">
        <f t="shared" ref="D51" si="31">B51*C51</f>
        <v>0</v>
      </c>
      <c r="E51" s="201">
        <f t="shared" ref="E51" si="32">$L$13</f>
        <v>2.0300000000000002</v>
      </c>
      <c r="F51" s="202">
        <f t="shared" si="28"/>
        <v>0</v>
      </c>
      <c r="G51" s="190">
        <f t="shared" si="29"/>
        <v>0</v>
      </c>
      <c r="H51" s="190">
        <f t="shared" si="30"/>
        <v>0</v>
      </c>
      <c r="I51" s="197">
        <f>F51*$L$8+G51*$L$7+H51*$L$9</f>
        <v>0</v>
      </c>
      <c r="K51" s="221">
        <f>F55/212</f>
        <v>1.8867924528301887</v>
      </c>
      <c r="L51" s="150" t="s">
        <v>190</v>
      </c>
      <c r="N51" s="150">
        <f>N50-N43-N44-N21</f>
        <v>103.3415</v>
      </c>
      <c r="O51" s="150" t="s">
        <v>357</v>
      </c>
    </row>
    <row r="52" spans="1:15" x14ac:dyDescent="0.3">
      <c r="A52" s="301" t="s">
        <v>313</v>
      </c>
      <c r="B52" s="190">
        <v>0</v>
      </c>
      <c r="C52" s="115">
        <v>0</v>
      </c>
      <c r="D52" s="190">
        <f t="shared" si="24"/>
        <v>0</v>
      </c>
      <c r="E52" s="201"/>
      <c r="F52" s="202">
        <f t="shared" si="25"/>
        <v>0</v>
      </c>
      <c r="G52" s="190">
        <f t="shared" si="26"/>
        <v>0</v>
      </c>
      <c r="H52" s="190">
        <f t="shared" si="27"/>
        <v>0</v>
      </c>
      <c r="I52" s="197">
        <f>F52*$L$8+G52*$L$7+H52*$L$9</f>
        <v>0</v>
      </c>
    </row>
    <row r="53" spans="1:15" x14ac:dyDescent="0.3">
      <c r="A53" s="301" t="s">
        <v>186</v>
      </c>
      <c r="B53" s="190" t="s">
        <v>122</v>
      </c>
      <c r="C53" s="192"/>
      <c r="D53" s="193"/>
      <c r="E53" s="192"/>
      <c r="F53" s="193"/>
      <c r="G53" s="193"/>
      <c r="H53" s="193"/>
      <c r="I53" s="193"/>
    </row>
    <row r="54" spans="1:15" ht="27" x14ac:dyDescent="0.3">
      <c r="A54" s="208" t="s">
        <v>188</v>
      </c>
      <c r="B54" s="214"/>
      <c r="C54" s="215"/>
      <c r="D54" s="214"/>
      <c r="E54" s="216"/>
      <c r="F54" s="212">
        <f>SUM(F47:H52)</f>
        <v>6.8367500000000012</v>
      </c>
      <c r="G54" s="212"/>
      <c r="H54" s="212"/>
      <c r="I54" s="213">
        <f>SUM(I47:I53)</f>
        <v>845.27555700000016</v>
      </c>
    </row>
    <row r="55" spans="1:15" ht="28" x14ac:dyDescent="0.3">
      <c r="A55" s="184" t="s">
        <v>189</v>
      </c>
      <c r="B55" s="217"/>
      <c r="C55" s="218"/>
      <c r="D55" s="217"/>
      <c r="E55" s="219"/>
      <c r="F55" s="484">
        <f>ROUND(F54+F39, -2)</f>
        <v>400</v>
      </c>
      <c r="G55" s="485"/>
      <c r="H55" s="486"/>
      <c r="I55" s="220">
        <f>ROUND(I54+I39, -4)</f>
        <v>50000</v>
      </c>
    </row>
    <row r="56" spans="1:15" ht="30.65" customHeight="1" x14ac:dyDescent="0.3">
      <c r="A56" s="222" t="s">
        <v>191</v>
      </c>
      <c r="B56" s="193"/>
      <c r="C56" s="192"/>
      <c r="D56" s="193"/>
      <c r="E56" s="192"/>
      <c r="F56" s="193"/>
      <c r="G56" s="193"/>
      <c r="H56" s="193"/>
      <c r="I56" s="220"/>
    </row>
    <row r="57" spans="1:15" ht="28.5" customHeight="1" x14ac:dyDescent="0.3">
      <c r="A57" s="222" t="s">
        <v>192</v>
      </c>
      <c r="B57" s="193"/>
      <c r="C57" s="192"/>
      <c r="D57" s="193"/>
      <c r="E57" s="192"/>
      <c r="F57" s="193"/>
      <c r="G57" s="193"/>
      <c r="H57" s="193"/>
      <c r="I57" s="220">
        <f>ROUND(I55+I56, -5)</f>
        <v>100000</v>
      </c>
    </row>
    <row r="58" spans="1:15" ht="11.15" customHeight="1" x14ac:dyDescent="0.3"/>
    <row r="59" spans="1:15" ht="25" customHeight="1" x14ac:dyDescent="0.3">
      <c r="A59" s="482" t="s">
        <v>358</v>
      </c>
      <c r="B59" s="482"/>
      <c r="C59" s="482"/>
      <c r="D59" s="482"/>
      <c r="E59" s="482"/>
      <c r="F59" s="482"/>
      <c r="G59" s="482"/>
      <c r="H59" s="482"/>
      <c r="I59" s="482"/>
    </row>
    <row r="60" spans="1:15" ht="69" customHeight="1" x14ac:dyDescent="0.3">
      <c r="A60" s="446" t="s">
        <v>194</v>
      </c>
      <c r="B60" s="446"/>
      <c r="C60" s="446"/>
      <c r="D60" s="446"/>
      <c r="E60" s="446"/>
      <c r="F60" s="446"/>
      <c r="G60" s="446"/>
      <c r="H60" s="446"/>
      <c r="I60" s="446"/>
    </row>
    <row r="61" spans="1:15" ht="15.5" x14ac:dyDescent="0.3">
      <c r="A61" s="482" t="s">
        <v>359</v>
      </c>
      <c r="B61" s="482"/>
      <c r="C61" s="482"/>
      <c r="D61" s="482"/>
      <c r="E61" s="482"/>
      <c r="F61" s="482"/>
      <c r="G61" s="482"/>
      <c r="H61" s="482"/>
      <c r="I61" s="482"/>
    </row>
    <row r="62" spans="1:15" ht="15.5" x14ac:dyDescent="0.3">
      <c r="A62" s="483" t="s">
        <v>360</v>
      </c>
      <c r="B62" s="483"/>
      <c r="C62" s="483"/>
      <c r="D62" s="483"/>
      <c r="E62" s="483"/>
      <c r="F62" s="483"/>
      <c r="G62" s="483"/>
      <c r="H62" s="483"/>
      <c r="I62" s="483"/>
    </row>
    <row r="63" spans="1:15" x14ac:dyDescent="0.3">
      <c r="A63" s="479" t="s">
        <v>198</v>
      </c>
      <c r="B63" s="479"/>
      <c r="C63" s="479"/>
      <c r="D63" s="479"/>
      <c r="E63" s="479"/>
      <c r="F63" s="479"/>
      <c r="G63" s="479"/>
      <c r="H63" s="479"/>
      <c r="I63" s="479"/>
    </row>
    <row r="64" spans="1:15" ht="21.65" customHeight="1" x14ac:dyDescent="0.3"/>
  </sheetData>
  <mergeCells count="9">
    <mergeCell ref="A62:I62"/>
    <mergeCell ref="A63:I63"/>
    <mergeCell ref="A1:I1"/>
    <mergeCell ref="A3:I3"/>
    <mergeCell ref="K6:L6"/>
    <mergeCell ref="F55:H55"/>
    <mergeCell ref="A59:I59"/>
    <mergeCell ref="A60:I60"/>
    <mergeCell ref="A61:I61"/>
  </mergeCells>
  <pageMargins left="0.7" right="0.7" top="0.75" bottom="0.75" header="0.3" footer="0.3"/>
  <pageSetup scale="3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B257-2CB8-4A38-B83A-86A1003F1762}">
  <sheetPr codeName="Sheet18"/>
  <dimension ref="A1:O33"/>
  <sheetViews>
    <sheetView zoomScale="80" zoomScaleNormal="80" workbookViewId="0">
      <pane xSplit="12" ySplit="6" topLeftCell="M7" activePane="bottomRight" state="frozen"/>
      <selection pane="topRight" activeCell="A73" sqref="A73"/>
      <selection pane="bottomLeft" activeCell="A73" sqref="A73"/>
      <selection pane="bottomRight" activeCell="A13" sqref="A13"/>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27.453125" style="225" customWidth="1"/>
    <col min="12" max="12" width="9.1796875" style="224"/>
    <col min="13" max="13" width="25" style="224" customWidth="1"/>
    <col min="14" max="16384" width="9.1796875" style="224"/>
  </cols>
  <sheetData>
    <row r="1" spans="1:14" s="188" customFormat="1" ht="15" customHeight="1" x14ac:dyDescent="0.3">
      <c r="A1" s="462" t="s">
        <v>93</v>
      </c>
      <c r="B1" s="462"/>
      <c r="C1" s="462"/>
      <c r="D1" s="462"/>
      <c r="E1" s="462"/>
      <c r="F1" s="462"/>
      <c r="G1" s="462"/>
      <c r="H1" s="462"/>
      <c r="I1" s="462"/>
    </row>
    <row r="2" spans="1:14" s="188" customFormat="1" ht="30" x14ac:dyDescent="0.3">
      <c r="A2" s="423" t="s">
        <v>352</v>
      </c>
      <c r="B2" s="423"/>
      <c r="C2" s="423"/>
      <c r="D2" s="423"/>
      <c r="E2" s="423"/>
      <c r="F2" s="423"/>
      <c r="G2" s="423"/>
      <c r="H2" s="423"/>
      <c r="I2" s="423"/>
    </row>
    <row r="3" spans="1:14" ht="36.75" customHeight="1" x14ac:dyDescent="0.35">
      <c r="A3" s="491" t="s">
        <v>377</v>
      </c>
      <c r="B3" s="491"/>
      <c r="C3" s="491"/>
      <c r="D3" s="491"/>
      <c r="E3" s="491"/>
      <c r="F3" s="491"/>
      <c r="G3" s="491"/>
      <c r="H3" s="491"/>
      <c r="I3" s="491"/>
    </row>
    <row r="4" spans="1:14" ht="15" x14ac:dyDescent="0.35">
      <c r="A4" s="492"/>
      <c r="B4" s="492"/>
      <c r="C4" s="492"/>
      <c r="D4" s="492"/>
      <c r="E4" s="492"/>
      <c r="F4" s="492"/>
      <c r="G4" s="492"/>
      <c r="H4" s="492"/>
      <c r="I4" s="492"/>
    </row>
    <row r="5" spans="1:14" x14ac:dyDescent="0.35">
      <c r="A5" s="493" t="s">
        <v>219</v>
      </c>
      <c r="B5" s="426" t="s">
        <v>220</v>
      </c>
      <c r="C5" s="426" t="s">
        <v>221</v>
      </c>
      <c r="D5" s="426" t="s">
        <v>222</v>
      </c>
      <c r="E5" s="426" t="s">
        <v>223</v>
      </c>
      <c r="F5" s="426" t="s">
        <v>224</v>
      </c>
      <c r="G5" s="426" t="s">
        <v>225</v>
      </c>
      <c r="H5" s="426" t="s">
        <v>226</v>
      </c>
      <c r="I5" s="426" t="s">
        <v>227</v>
      </c>
    </row>
    <row r="6" spans="1:14" ht="65" x14ac:dyDescent="0.35">
      <c r="A6" s="493"/>
      <c r="B6" s="426" t="s">
        <v>228</v>
      </c>
      <c r="C6" s="426" t="s">
        <v>229</v>
      </c>
      <c r="D6" s="426" t="s">
        <v>230</v>
      </c>
      <c r="E6" s="426" t="s">
        <v>231</v>
      </c>
      <c r="F6" s="426" t="s">
        <v>232</v>
      </c>
      <c r="G6" s="426" t="s">
        <v>233</v>
      </c>
      <c r="H6" s="426" t="s">
        <v>234</v>
      </c>
      <c r="I6" s="426" t="s">
        <v>235</v>
      </c>
    </row>
    <row r="7" spans="1:14" x14ac:dyDescent="0.35">
      <c r="A7" s="493"/>
      <c r="B7" s="227"/>
      <c r="C7" s="227"/>
      <c r="D7" s="426" t="s">
        <v>236</v>
      </c>
      <c r="E7" s="227"/>
      <c r="F7" s="426" t="s">
        <v>237</v>
      </c>
      <c r="G7" s="426" t="s">
        <v>238</v>
      </c>
      <c r="H7" s="426" t="s">
        <v>239</v>
      </c>
      <c r="I7" s="227"/>
      <c r="K7" s="480" t="s">
        <v>123</v>
      </c>
      <c r="L7" s="480"/>
      <c r="M7" s="226"/>
      <c r="N7" s="224" t="s">
        <v>120</v>
      </c>
    </row>
    <row r="8" spans="1:14" ht="67" customHeight="1" x14ac:dyDescent="0.35">
      <c r="A8" s="261" t="s">
        <v>289</v>
      </c>
      <c r="B8" s="317">
        <v>0.5</v>
      </c>
      <c r="C8" s="317">
        <v>1</v>
      </c>
      <c r="D8" s="317">
        <f>B8*C8</f>
        <v>0.5</v>
      </c>
      <c r="E8" s="319">
        <f>'II-Y1'!$L$22</f>
        <v>29</v>
      </c>
      <c r="F8" s="229">
        <f>D8*E8</f>
        <v>14.5</v>
      </c>
      <c r="G8" s="229">
        <f>F8*0.05</f>
        <v>0.72500000000000009</v>
      </c>
      <c r="H8" s="229">
        <f>F8*0.1</f>
        <v>1.4500000000000002</v>
      </c>
      <c r="I8" s="230">
        <f>(F8*$L$9)+(G8*$L$8)+(H8*$L$10)</f>
        <v>833.09749999999985</v>
      </c>
      <c r="K8" s="194" t="s">
        <v>125</v>
      </c>
      <c r="L8" s="158">
        <v>69.040000000000006</v>
      </c>
      <c r="M8" s="196" t="s">
        <v>240</v>
      </c>
      <c r="N8" s="224">
        <f>C9*E9</f>
        <v>0</v>
      </c>
    </row>
    <row r="9" spans="1:14" ht="15.5" x14ac:dyDescent="0.35">
      <c r="A9" s="228" t="s">
        <v>335</v>
      </c>
      <c r="B9" s="115">
        <v>0</v>
      </c>
      <c r="C9" s="115">
        <v>0</v>
      </c>
      <c r="D9" s="115">
        <f>B9*C9</f>
        <v>0</v>
      </c>
      <c r="E9" s="115">
        <f>'II-Y1'!E28</f>
        <v>0</v>
      </c>
      <c r="F9" s="229">
        <f>D9*E9</f>
        <v>0</v>
      </c>
      <c r="G9" s="229">
        <f>F9*0.05</f>
        <v>0</v>
      </c>
      <c r="H9" s="229">
        <f>F9*0.1</f>
        <v>0</v>
      </c>
      <c r="I9" s="230">
        <f>(F9*$L$9)+(G9*$L$8)+(H9*$L$10)</f>
        <v>0</v>
      </c>
      <c r="K9" s="194" t="s">
        <v>128</v>
      </c>
      <c r="L9" s="162">
        <v>51.23</v>
      </c>
      <c r="M9" s="231"/>
      <c r="N9" s="224">
        <f t="shared" ref="N9:N18" si="0">C10*E10</f>
        <v>0</v>
      </c>
    </row>
    <row r="10" spans="1:14" ht="30.65" customHeight="1" x14ac:dyDescent="0.35">
      <c r="A10" s="114" t="s">
        <v>336</v>
      </c>
      <c r="B10" s="115">
        <v>0</v>
      </c>
      <c r="C10" s="115">
        <v>0</v>
      </c>
      <c r="D10" s="115">
        <f>B10*C10</f>
        <v>0</v>
      </c>
      <c r="E10" s="115">
        <v>0</v>
      </c>
      <c r="F10" s="232">
        <f>D10*E10</f>
        <v>0</v>
      </c>
      <c r="G10" s="232">
        <f>F10*0.05</f>
        <v>0</v>
      </c>
      <c r="H10" s="232">
        <f>F10*0.1</f>
        <v>0</v>
      </c>
      <c r="I10" s="233">
        <f>(F10*$L$9)+(G10*$L$8)+(H10*$L$10)</f>
        <v>0</v>
      </c>
      <c r="K10" s="194" t="s">
        <v>130</v>
      </c>
      <c r="L10" s="162">
        <v>27.73</v>
      </c>
      <c r="M10" s="231"/>
      <c r="N10" s="224">
        <f t="shared" si="0"/>
        <v>0</v>
      </c>
    </row>
    <row r="11" spans="1:14" ht="45.65" customHeight="1" x14ac:dyDescent="0.35">
      <c r="A11" s="367" t="s">
        <v>243</v>
      </c>
      <c r="B11" s="115"/>
      <c r="C11" s="115"/>
      <c r="D11" s="115"/>
      <c r="E11" s="115"/>
      <c r="F11" s="229"/>
      <c r="G11" s="229"/>
      <c r="H11" s="229"/>
      <c r="I11" s="234"/>
      <c r="K11" s="115"/>
      <c r="L11" s="117"/>
      <c r="M11" s="231"/>
      <c r="N11" s="224">
        <f>C13*E13</f>
        <v>14.5</v>
      </c>
    </row>
    <row r="12" spans="1:14" ht="45.65" customHeight="1" x14ac:dyDescent="0.35">
      <c r="A12" s="76" t="s">
        <v>244</v>
      </c>
      <c r="B12" s="58">
        <v>8</v>
      </c>
      <c r="C12" s="58">
        <v>1</v>
      </c>
      <c r="D12" s="159">
        <f>B12*C12</f>
        <v>8</v>
      </c>
      <c r="E12" s="319">
        <f>'II-Y1'!$L$22*0.01</f>
        <v>0.28999999999999998</v>
      </c>
      <c r="F12" s="229">
        <f t="shared" ref="F12" si="1">D12*E12</f>
        <v>2.3199999999999998</v>
      </c>
      <c r="G12" s="235">
        <f t="shared" ref="G12" si="2">F12*0.05</f>
        <v>0.11599999999999999</v>
      </c>
      <c r="H12" s="235">
        <f t="shared" ref="H12" si="3">F12*0.1</f>
        <v>0.23199999999999998</v>
      </c>
      <c r="I12" s="230">
        <f t="shared" ref="I12" si="4">(F12*$L$9)+(G12*$L$8)+(H12*$L$10)</f>
        <v>133.29559999999998</v>
      </c>
      <c r="K12" s="308"/>
      <c r="L12" s="117"/>
      <c r="M12" s="231"/>
    </row>
    <row r="13" spans="1:14" ht="26" x14ac:dyDescent="0.35">
      <c r="A13" s="301" t="s">
        <v>521</v>
      </c>
      <c r="B13" s="115">
        <v>4</v>
      </c>
      <c r="C13" s="115">
        <v>1</v>
      </c>
      <c r="D13" s="115">
        <f t="shared" ref="D13:D14" si="5">B13*C13</f>
        <v>4</v>
      </c>
      <c r="E13" s="319">
        <f>'II-Y1'!$E$32</f>
        <v>14.5</v>
      </c>
      <c r="F13" s="229">
        <f t="shared" ref="F13" si="6">D13*E13</f>
        <v>58</v>
      </c>
      <c r="G13" s="235">
        <f t="shared" ref="G13" si="7">F13*0.05</f>
        <v>2.9000000000000004</v>
      </c>
      <c r="H13" s="235">
        <f t="shared" ref="H13" si="8">F13*0.1</f>
        <v>5.8000000000000007</v>
      </c>
      <c r="I13" s="230">
        <f t="shared" ref="I13" si="9">(F13*$L$9)+(G13*$L$8)+(H13*$L$10)</f>
        <v>3332.3899999999994</v>
      </c>
      <c r="K13" s="285"/>
      <c r="L13" s="117"/>
      <c r="M13" s="231"/>
      <c r="N13" s="224">
        <f t="shared" si="0"/>
        <v>0</v>
      </c>
    </row>
    <row r="14" spans="1:14" ht="28" customHeight="1" x14ac:dyDescent="0.35">
      <c r="A14" s="114"/>
      <c r="B14" s="115">
        <v>0</v>
      </c>
      <c r="C14" s="115">
        <v>0</v>
      </c>
      <c r="D14" s="115">
        <f t="shared" si="5"/>
        <v>0</v>
      </c>
      <c r="E14" s="115">
        <v>0</v>
      </c>
      <c r="F14" s="229">
        <f t="shared" ref="F14" si="10">D14*E14</f>
        <v>0</v>
      </c>
      <c r="G14" s="235">
        <f t="shared" ref="G14" si="11">F14*0.05</f>
        <v>0</v>
      </c>
      <c r="H14" s="235">
        <f t="shared" ref="H14" si="12">F14*0.1</f>
        <v>0</v>
      </c>
      <c r="I14" s="230">
        <f t="shared" ref="I14" si="13">(F14*$L$9)+(G14*$L$8)+(H14*$L$10)</f>
        <v>0</v>
      </c>
      <c r="K14" s="115"/>
      <c r="L14" s="117"/>
      <c r="M14" s="231"/>
      <c r="N14" s="224">
        <f t="shared" si="0"/>
        <v>0</v>
      </c>
    </row>
    <row r="15" spans="1:14" ht="24" customHeight="1" x14ac:dyDescent="0.35">
      <c r="A15" s="114"/>
      <c r="B15" s="115">
        <v>0</v>
      </c>
      <c r="C15" s="115">
        <v>0</v>
      </c>
      <c r="D15" s="115">
        <f t="shared" ref="D15:D16" si="14">B15*C15</f>
        <v>0</v>
      </c>
      <c r="E15" s="115">
        <v>0</v>
      </c>
      <c r="F15" s="229">
        <f t="shared" ref="F15:F16" si="15">D15*E15</f>
        <v>0</v>
      </c>
      <c r="G15" s="235">
        <f t="shared" ref="G15:G16" si="16">F15*0.05</f>
        <v>0</v>
      </c>
      <c r="H15" s="235">
        <f t="shared" ref="H15:H16" si="17">F15*0.1</f>
        <v>0</v>
      </c>
      <c r="I15" s="230">
        <f t="shared" ref="I15:I16" si="18">(F15*$L$9)+(G15*$L$8)+(H15*$L$10)</f>
        <v>0</v>
      </c>
      <c r="K15" s="115"/>
      <c r="L15" s="117"/>
      <c r="M15" s="231"/>
      <c r="N15" s="224">
        <f t="shared" si="0"/>
        <v>0</v>
      </c>
    </row>
    <row r="16" spans="1:14" x14ac:dyDescent="0.35">
      <c r="A16" s="114"/>
      <c r="B16" s="115">
        <v>0</v>
      </c>
      <c r="C16" s="115">
        <v>0</v>
      </c>
      <c r="D16" s="115">
        <f t="shared" si="14"/>
        <v>0</v>
      </c>
      <c r="E16" s="115">
        <v>0</v>
      </c>
      <c r="F16" s="229">
        <f t="shared" si="15"/>
        <v>0</v>
      </c>
      <c r="G16" s="235">
        <f t="shared" si="16"/>
        <v>0</v>
      </c>
      <c r="H16" s="235">
        <f t="shared" si="17"/>
        <v>0</v>
      </c>
      <c r="I16" s="230">
        <f t="shared" si="18"/>
        <v>0</v>
      </c>
      <c r="N16" s="224">
        <f t="shared" si="0"/>
        <v>0</v>
      </c>
    </row>
    <row r="17" spans="1:15" ht="28.5" x14ac:dyDescent="0.35">
      <c r="A17" s="114" t="s">
        <v>339</v>
      </c>
      <c r="B17" s="115">
        <v>0</v>
      </c>
      <c r="C17" s="115">
        <v>0</v>
      </c>
      <c r="D17" s="115">
        <f t="shared" ref="D17:D19" si="19">B17*C17</f>
        <v>0</v>
      </c>
      <c r="E17" s="319">
        <v>0</v>
      </c>
      <c r="F17" s="229">
        <f t="shared" ref="F17:F19" si="20">D17*E17</f>
        <v>0</v>
      </c>
      <c r="G17" s="229">
        <f t="shared" ref="G17:G19" si="21">F17*0.05</f>
        <v>0</v>
      </c>
      <c r="H17" s="229">
        <f t="shared" ref="H17:H19" si="22">F17*0.1</f>
        <v>0</v>
      </c>
      <c r="I17" s="230">
        <f t="shared" ref="I17:I19" si="23">(F17*$L$9)+(G17*$L$8)+(H17*$L$10)</f>
        <v>0</v>
      </c>
      <c r="N17" s="224">
        <f t="shared" si="0"/>
        <v>0</v>
      </c>
    </row>
    <row r="18" spans="1:15" ht="28.5" x14ac:dyDescent="0.35">
      <c r="A18" s="114" t="s">
        <v>340</v>
      </c>
      <c r="B18" s="115">
        <v>0</v>
      </c>
      <c r="C18" s="115">
        <v>0</v>
      </c>
      <c r="D18" s="115">
        <f t="shared" si="19"/>
        <v>0</v>
      </c>
      <c r="E18" s="319">
        <v>0</v>
      </c>
      <c r="F18" s="229">
        <f t="shared" si="20"/>
        <v>0</v>
      </c>
      <c r="G18" s="235">
        <f t="shared" si="21"/>
        <v>0</v>
      </c>
      <c r="H18" s="235">
        <f t="shared" si="22"/>
        <v>0</v>
      </c>
      <c r="I18" s="230">
        <f t="shared" si="23"/>
        <v>0</v>
      </c>
      <c r="N18" s="224">
        <f t="shared" si="0"/>
        <v>0</v>
      </c>
    </row>
    <row r="19" spans="1:15" ht="20.25" customHeight="1" x14ac:dyDescent="0.35">
      <c r="A19" s="116" t="s">
        <v>381</v>
      </c>
      <c r="B19" s="115">
        <v>0</v>
      </c>
      <c r="C19" s="115">
        <v>0</v>
      </c>
      <c r="D19" s="115">
        <f t="shared" si="19"/>
        <v>0</v>
      </c>
      <c r="E19" s="115">
        <f>'II-Y1'!E39</f>
        <v>0</v>
      </c>
      <c r="F19" s="232">
        <f t="shared" si="20"/>
        <v>0</v>
      </c>
      <c r="G19" s="229">
        <f t="shared" si="21"/>
        <v>0</v>
      </c>
      <c r="H19" s="229">
        <f t="shared" si="22"/>
        <v>0</v>
      </c>
      <c r="I19" s="230">
        <f t="shared" si="23"/>
        <v>0</v>
      </c>
      <c r="N19" s="224">
        <f>SUM(N8:N18)</f>
        <v>14.5</v>
      </c>
      <c r="O19" s="224" t="s">
        <v>248</v>
      </c>
    </row>
    <row r="20" spans="1:15" ht="15" x14ac:dyDescent="0.35">
      <c r="A20" s="222" t="s">
        <v>247</v>
      </c>
      <c r="B20" s="222"/>
      <c r="C20" s="222"/>
      <c r="D20" s="222"/>
      <c r="E20" s="222"/>
      <c r="F20" s="218">
        <f>ROUND(SUM(F8:H19), -1)</f>
        <v>90</v>
      </c>
      <c r="G20" s="236"/>
      <c r="H20" s="236"/>
      <c r="I20" s="237">
        <f>ROUND(SUM(I8:I19), -2)</f>
        <v>4300</v>
      </c>
    </row>
    <row r="21" spans="1:15" x14ac:dyDescent="0.35">
      <c r="A21" s="238"/>
      <c r="G21" s="239"/>
    </row>
    <row r="22" spans="1:15" ht="24.75" customHeight="1" x14ac:dyDescent="0.35">
      <c r="A22" s="238" t="s">
        <v>249</v>
      </c>
    </row>
    <row r="23" spans="1:15" ht="22.5" customHeight="1" x14ac:dyDescent="0.35">
      <c r="A23" s="490" t="s">
        <v>382</v>
      </c>
      <c r="B23" s="490"/>
      <c r="C23" s="490"/>
      <c r="D23" s="490"/>
      <c r="E23" s="490"/>
      <c r="F23" s="490"/>
      <c r="G23" s="490"/>
      <c r="H23" s="490"/>
      <c r="I23" s="490"/>
    </row>
    <row r="24" spans="1:15" ht="62.15" customHeight="1" x14ac:dyDescent="0.35">
      <c r="A24" s="475" t="s">
        <v>251</v>
      </c>
      <c r="B24" s="475"/>
      <c r="C24" s="475"/>
      <c r="D24" s="475"/>
      <c r="E24" s="475"/>
      <c r="F24" s="475"/>
      <c r="G24" s="475"/>
      <c r="H24" s="475"/>
      <c r="I24" s="475"/>
    </row>
    <row r="25" spans="1:15" ht="15.5" x14ac:dyDescent="0.35">
      <c r="A25" s="487" t="s">
        <v>383</v>
      </c>
      <c r="B25" s="487"/>
      <c r="C25" s="487"/>
      <c r="D25" s="487"/>
      <c r="E25" s="487"/>
      <c r="F25" s="487"/>
      <c r="G25" s="487"/>
      <c r="H25" s="487"/>
      <c r="I25" s="487"/>
    </row>
    <row r="26" spans="1:15" ht="15.5" x14ac:dyDescent="0.35">
      <c r="A26" s="488" t="s">
        <v>253</v>
      </c>
      <c r="B26" s="488"/>
      <c r="C26" s="488"/>
      <c r="D26" s="488"/>
      <c r="E26" s="488"/>
      <c r="F26" s="488"/>
      <c r="G26" s="488"/>
      <c r="H26" s="488"/>
      <c r="I26" s="488"/>
    </row>
    <row r="27" spans="1:15" ht="15.5" x14ac:dyDescent="0.35">
      <c r="A27" s="489" t="s">
        <v>384</v>
      </c>
      <c r="B27" s="489"/>
      <c r="C27" s="489"/>
      <c r="D27" s="489"/>
      <c r="E27" s="489"/>
      <c r="F27" s="489"/>
      <c r="G27" s="489"/>
      <c r="H27" s="489"/>
      <c r="I27" s="489"/>
    </row>
    <row r="28" spans="1:15" ht="15.5" x14ac:dyDescent="0.35">
      <c r="A28" s="489" t="s">
        <v>255</v>
      </c>
      <c r="B28" s="489"/>
      <c r="C28" s="489"/>
      <c r="D28" s="489"/>
      <c r="E28" s="489"/>
      <c r="F28" s="489"/>
      <c r="G28" s="489"/>
      <c r="H28" s="489"/>
      <c r="I28" s="489"/>
    </row>
    <row r="30" spans="1:15" x14ac:dyDescent="0.35">
      <c r="A30" s="240"/>
    </row>
    <row r="31" spans="1:15" x14ac:dyDescent="0.35">
      <c r="A31" s="240"/>
    </row>
    <row r="32" spans="1:15" x14ac:dyDescent="0.35">
      <c r="A32" s="240"/>
    </row>
    <row r="33" spans="1:1" x14ac:dyDescent="0.35">
      <c r="A33" s="240"/>
    </row>
  </sheetData>
  <mergeCells count="11">
    <mergeCell ref="A1:I1"/>
    <mergeCell ref="A3:I3"/>
    <mergeCell ref="A4:I4"/>
    <mergeCell ref="A5:A7"/>
    <mergeCell ref="A28:I28"/>
    <mergeCell ref="K7:L7"/>
    <mergeCell ref="A24:I24"/>
    <mergeCell ref="A25:I25"/>
    <mergeCell ref="A26:I26"/>
    <mergeCell ref="A27:I27"/>
    <mergeCell ref="A23:I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BF53-FC36-4086-BAF4-E4D196F3BF25}">
  <sheetPr codeName="Sheet5"/>
  <dimension ref="A1:U48"/>
  <sheetViews>
    <sheetView zoomScale="80" zoomScaleNormal="80" workbookViewId="0">
      <pane xSplit="8" ySplit="3" topLeftCell="I13" activePane="bottomRight" state="frozen"/>
      <selection activeCell="A25" sqref="A25:I25"/>
      <selection pane="topRight" activeCell="A25" sqref="A25:I25"/>
      <selection pane="bottomLeft" activeCell="A25" sqref="A25:I25"/>
      <selection pane="bottomRight" activeCell="A25" sqref="A25:I25"/>
    </sheetView>
  </sheetViews>
  <sheetFormatPr defaultColWidth="8.81640625" defaultRowHeight="12.5" x14ac:dyDescent="0.25"/>
  <cols>
    <col min="1" max="1" width="27.453125" customWidth="1"/>
    <col min="2" max="5" width="11.453125" customWidth="1"/>
    <col min="6" max="6" width="12.81640625" customWidth="1"/>
    <col min="7" max="8" width="11.453125" customWidth="1"/>
    <col min="9" max="9" width="5.1796875" customWidth="1"/>
    <col min="10" max="10" width="23.453125" customWidth="1"/>
    <col min="12" max="15" width="13.453125" customWidth="1"/>
    <col min="16" max="16" width="13.81640625" customWidth="1"/>
    <col min="17" max="17" width="13.453125" customWidth="1"/>
  </cols>
  <sheetData>
    <row r="1" spans="1:17" ht="57" customHeight="1" x14ac:dyDescent="0.25">
      <c r="A1" s="437" t="s">
        <v>103</v>
      </c>
      <c r="B1" s="437"/>
      <c r="C1" s="437"/>
      <c r="D1" s="437"/>
      <c r="E1" s="437"/>
      <c r="F1" s="437"/>
      <c r="G1" s="437"/>
      <c r="H1" s="437"/>
    </row>
    <row r="2" spans="1:17" ht="57" customHeight="1" x14ac:dyDescent="0.25">
      <c r="A2" s="438" t="s">
        <v>45</v>
      </c>
      <c r="B2" s="439"/>
      <c r="C2" s="439"/>
      <c r="D2" s="439"/>
      <c r="E2" s="439"/>
      <c r="F2" s="439"/>
      <c r="G2" s="439"/>
      <c r="H2" s="439"/>
      <c r="J2" s="438" t="s">
        <v>46</v>
      </c>
      <c r="K2" s="439"/>
      <c r="L2" s="439"/>
      <c r="M2" s="439"/>
      <c r="N2" s="439"/>
      <c r="O2" s="439"/>
      <c r="P2" s="439"/>
      <c r="Q2" s="439"/>
    </row>
    <row r="3" spans="1:17" ht="26.5" thickBot="1" x14ac:dyDescent="0.3">
      <c r="A3" s="42" t="s">
        <v>77</v>
      </c>
      <c r="B3" s="42" t="s">
        <v>78</v>
      </c>
      <c r="C3" s="42" t="s">
        <v>104</v>
      </c>
      <c r="D3" s="42" t="s">
        <v>80</v>
      </c>
      <c r="E3" s="42" t="s">
        <v>105</v>
      </c>
      <c r="F3" s="42" t="s">
        <v>82</v>
      </c>
      <c r="G3" s="42" t="s">
        <v>106</v>
      </c>
      <c r="H3" s="42" t="s">
        <v>84</v>
      </c>
      <c r="J3" s="42" t="s">
        <v>77</v>
      </c>
      <c r="K3" s="42" t="s">
        <v>78</v>
      </c>
      <c r="L3" s="42" t="s">
        <v>104</v>
      </c>
      <c r="M3" s="42" t="s">
        <v>80</v>
      </c>
      <c r="N3" s="42" t="s">
        <v>105</v>
      </c>
      <c r="O3" s="42" t="s">
        <v>82</v>
      </c>
      <c r="P3" s="42" t="s">
        <v>106</v>
      </c>
      <c r="Q3" s="42" t="s">
        <v>84</v>
      </c>
    </row>
    <row r="4" spans="1:17" ht="27.65" customHeight="1" thickTop="1" x14ac:dyDescent="0.25">
      <c r="A4" s="120" t="s">
        <v>85</v>
      </c>
      <c r="B4" s="126"/>
      <c r="C4" s="126"/>
      <c r="D4" s="126"/>
      <c r="E4" s="126"/>
      <c r="F4" s="126"/>
      <c r="G4" s="126"/>
      <c r="H4" s="126"/>
      <c r="J4" s="120" t="s">
        <v>85</v>
      </c>
      <c r="K4" s="126"/>
      <c r="L4" s="126"/>
      <c r="M4" s="126"/>
      <c r="N4" s="126"/>
      <c r="O4" s="126"/>
      <c r="P4" s="126"/>
      <c r="Q4" s="126"/>
    </row>
    <row r="5" spans="1:17" ht="13" x14ac:dyDescent="0.3">
      <c r="A5" s="43" t="s">
        <v>86</v>
      </c>
      <c r="B5" s="35">
        <f>SUM('RA-Y1'!$F$8:$F$13)</f>
        <v>227.76</v>
      </c>
      <c r="C5" s="35">
        <f>SUM('RA-Y1'!$G$8:$G$13)</f>
        <v>11.388</v>
      </c>
      <c r="D5" s="35">
        <f>SUM('RA-Y1'!$H$8:$H$13)</f>
        <v>22.776</v>
      </c>
      <c r="E5" s="35">
        <f>SUM(B5:D5)</f>
        <v>261.92399999999998</v>
      </c>
      <c r="F5" s="41">
        <f>'RA-Y1'!$I$14</f>
        <v>13100</v>
      </c>
      <c r="G5" s="41">
        <v>0</v>
      </c>
      <c r="H5" s="41">
        <f>+F5+G5</f>
        <v>13100</v>
      </c>
      <c r="J5" s="43" t="s">
        <v>86</v>
      </c>
      <c r="K5" s="35"/>
      <c r="L5" s="35"/>
      <c r="M5" s="35"/>
      <c r="N5" s="35"/>
      <c r="O5" s="41"/>
      <c r="P5" s="41"/>
      <c r="Q5" s="41"/>
    </row>
    <row r="6" spans="1:17" ht="13" x14ac:dyDescent="0.3">
      <c r="A6" s="44" t="s">
        <v>87</v>
      </c>
      <c r="B6" s="35">
        <f>SUM('RA-Y2'!$F$8:$F$12)</f>
        <v>0</v>
      </c>
      <c r="C6" s="35">
        <f>SUM('RA-Y2'!$G$8:$G$12)</f>
        <v>0</v>
      </c>
      <c r="D6" s="35">
        <f>SUM('RA-Y2'!$H$8:$H$12)</f>
        <v>0</v>
      </c>
      <c r="E6" s="35">
        <f t="shared" ref="E6" si="0">SUM(B6:D6)</f>
        <v>0</v>
      </c>
      <c r="F6" s="41">
        <f>'RA-Y2'!$I$13</f>
        <v>0</v>
      </c>
      <c r="G6" s="41">
        <v>0</v>
      </c>
      <c r="H6" s="41">
        <f>+F6+G6</f>
        <v>0</v>
      </c>
      <c r="J6" s="44" t="s">
        <v>87</v>
      </c>
      <c r="K6" s="35"/>
      <c r="L6" s="35"/>
      <c r="M6" s="35"/>
      <c r="N6" s="35"/>
      <c r="O6" s="41"/>
      <c r="P6" s="41"/>
      <c r="Q6" s="41"/>
    </row>
    <row r="7" spans="1:17" ht="13" x14ac:dyDescent="0.3">
      <c r="A7" s="44" t="s">
        <v>88</v>
      </c>
      <c r="B7" s="35">
        <f>SUM('RA-Y3'!$F$8:$F$13)</f>
        <v>227.76</v>
      </c>
      <c r="C7" s="35">
        <f>SUM('RA-Y3'!$G$8:$G$13)</f>
        <v>11.388</v>
      </c>
      <c r="D7" s="35">
        <f>SUM('RA-Y3'!$H$8:$H$13)</f>
        <v>22.776</v>
      </c>
      <c r="E7" s="35">
        <f>SUM(B7:D7)</f>
        <v>261.92399999999998</v>
      </c>
      <c r="F7" s="41">
        <f>'RA-Y3'!$I$14</f>
        <v>13100</v>
      </c>
      <c r="G7" s="41">
        <v>0</v>
      </c>
      <c r="H7" s="41">
        <f>F7+G7</f>
        <v>13100</v>
      </c>
      <c r="J7" s="44" t="s">
        <v>88</v>
      </c>
      <c r="K7" s="35"/>
      <c r="L7" s="35"/>
      <c r="M7" s="35"/>
      <c r="N7" s="35"/>
      <c r="O7" s="41"/>
      <c r="P7" s="41"/>
      <c r="Q7" s="41"/>
    </row>
    <row r="8" spans="1:17" ht="13" x14ac:dyDescent="0.3">
      <c r="A8" s="121" t="s">
        <v>89</v>
      </c>
      <c r="B8" s="35"/>
      <c r="C8" s="35"/>
      <c r="D8" s="35"/>
      <c r="E8" s="35"/>
      <c r="F8" s="41"/>
      <c r="G8" s="41"/>
      <c r="H8" s="41"/>
      <c r="J8" s="121" t="s">
        <v>89</v>
      </c>
      <c r="K8" s="35">
        <f>SUM('RA-Y4'!$F$8:$F$12)</f>
        <v>2414.9782999999998</v>
      </c>
      <c r="L8" s="35">
        <f>SUM('RA-Y4'!$G$8:$G$12)</f>
        <v>120.74891500000001</v>
      </c>
      <c r="M8" s="35">
        <f>SUM('RA-Y4'!$H$8:$H$12)</f>
        <v>241.49783000000002</v>
      </c>
      <c r="N8" s="35">
        <f>SUM(K8:M8)</f>
        <v>2777.2250450000001</v>
      </c>
      <c r="O8" s="41">
        <f>'RA-Y4'!$I$13</f>
        <v>138800</v>
      </c>
      <c r="P8" s="41">
        <v>0</v>
      </c>
      <c r="Q8" s="41">
        <f>+O8+P8</f>
        <v>138800</v>
      </c>
    </row>
    <row r="9" spans="1:17" ht="13" x14ac:dyDescent="0.3">
      <c r="A9" s="121" t="s">
        <v>90</v>
      </c>
      <c r="B9" s="35"/>
      <c r="C9" s="35"/>
      <c r="D9" s="35"/>
      <c r="E9" s="35"/>
      <c r="F9" s="41"/>
      <c r="G9" s="41"/>
      <c r="H9" s="41"/>
      <c r="J9" s="121" t="s">
        <v>90</v>
      </c>
      <c r="K9" s="35">
        <f>SUM('RA-Y5'!$F$8:$F$12)</f>
        <v>2414.9782999999998</v>
      </c>
      <c r="L9" s="35">
        <f>SUM('RA-Y5'!$G$8:$G$12)</f>
        <v>120.74891500000001</v>
      </c>
      <c r="M9" s="35">
        <f>SUM('RA-Y5'!$H$8:$H$12)</f>
        <v>241.49783000000002</v>
      </c>
      <c r="N9" s="35">
        <f t="shared" ref="N9" si="1">SUM(K9:M9)</f>
        <v>2777.2250450000001</v>
      </c>
      <c r="O9" s="41">
        <f>'RA-Y5'!$I$13</f>
        <v>138800</v>
      </c>
      <c r="P9" s="41">
        <v>0</v>
      </c>
      <c r="Q9" s="41">
        <f>+O9+P9</f>
        <v>138800</v>
      </c>
    </row>
    <row r="10" spans="1:17" ht="13" x14ac:dyDescent="0.3">
      <c r="A10" s="121" t="s">
        <v>91</v>
      </c>
      <c r="B10" s="35"/>
      <c r="C10" s="35"/>
      <c r="D10" s="35"/>
      <c r="E10" s="35"/>
      <c r="F10" s="41"/>
      <c r="G10" s="41"/>
      <c r="H10" s="41"/>
      <c r="J10" s="121" t="s">
        <v>91</v>
      </c>
      <c r="K10" s="35">
        <f>SUM('RA-Y6'!$F$8:$F$12)</f>
        <v>2414.9782999999998</v>
      </c>
      <c r="L10" s="35">
        <f>SUM('RA-Y6'!$G$8:$G$12)</f>
        <v>120.74891500000001</v>
      </c>
      <c r="M10" s="35">
        <f>SUM('RA-Y6'!$H$8:$H$12)</f>
        <v>241.49783000000002</v>
      </c>
      <c r="N10" s="35">
        <f>SUM(K10:M10)</f>
        <v>2777.2250450000001</v>
      </c>
      <c r="O10" s="41">
        <f>'RA-Y6'!$I$13</f>
        <v>138800</v>
      </c>
      <c r="P10" s="41">
        <v>0</v>
      </c>
      <c r="Q10" s="41">
        <f>O10+P10</f>
        <v>138800</v>
      </c>
    </row>
    <row r="11" spans="1:17" ht="26" x14ac:dyDescent="0.3">
      <c r="A11" s="123" t="s">
        <v>92</v>
      </c>
      <c r="B11" s="35"/>
      <c r="C11" s="35"/>
      <c r="D11" s="35"/>
      <c r="E11" s="35"/>
      <c r="F11" s="41"/>
      <c r="G11" s="41"/>
      <c r="H11" s="41"/>
      <c r="J11" s="123" t="s">
        <v>92</v>
      </c>
      <c r="K11" s="35"/>
      <c r="L11" s="35"/>
      <c r="M11" s="35"/>
      <c r="N11" s="35"/>
      <c r="O11" s="41"/>
      <c r="P11" s="41"/>
      <c r="Q11" s="41"/>
    </row>
    <row r="12" spans="1:17" ht="13" x14ac:dyDescent="0.3">
      <c r="A12" s="121" t="s">
        <v>86</v>
      </c>
      <c r="B12" s="35">
        <f>SUM('CA-Y1'!$F$8:$F$19)</f>
        <v>45.82</v>
      </c>
      <c r="C12" s="35">
        <f>SUM('CA-Y1'!$G$8:$G$19)</f>
        <v>2.2910000000000004</v>
      </c>
      <c r="D12" s="35">
        <f>SUM('CA-Y1'!$H$8:$H$19)</f>
        <v>4.5820000000000007</v>
      </c>
      <c r="E12" s="35">
        <f t="shared" ref="E12:E41" si="2">SUM(B12:D12)</f>
        <v>52.693000000000005</v>
      </c>
      <c r="F12" s="41">
        <f>SUM('CA-Y1'!$I$8:$I$19)</f>
        <v>2632.5880999999999</v>
      </c>
      <c r="G12" s="41">
        <v>0</v>
      </c>
      <c r="H12" s="41">
        <f>F12+G12</f>
        <v>2632.5880999999999</v>
      </c>
      <c r="J12" s="121" t="s">
        <v>86</v>
      </c>
      <c r="K12" s="35"/>
      <c r="L12" s="35"/>
      <c r="M12" s="35"/>
      <c r="N12" s="35"/>
      <c r="O12" s="41"/>
      <c r="P12" s="41"/>
      <c r="Q12" s="41"/>
    </row>
    <row r="13" spans="1:17" ht="13" x14ac:dyDescent="0.3">
      <c r="A13" s="121" t="s">
        <v>87</v>
      </c>
      <c r="B13" s="35">
        <f>SUM('CA-Y2'!$F$9:$F$18)</f>
        <v>0</v>
      </c>
      <c r="C13" s="35">
        <f>SUM('CA-Y2'!$G$9:$G$18)</f>
        <v>0</v>
      </c>
      <c r="D13" s="35">
        <f>SUM('CA-Y2'!$H$9:$H$18)</f>
        <v>0</v>
      </c>
      <c r="E13" s="35">
        <f t="shared" si="2"/>
        <v>0</v>
      </c>
      <c r="F13" s="41">
        <f>SUM('CA-Y2'!$I$9:$I$18)</f>
        <v>0</v>
      </c>
      <c r="G13" s="41">
        <v>0</v>
      </c>
      <c r="H13" s="41">
        <f>F13+G13</f>
        <v>0</v>
      </c>
      <c r="J13" s="121" t="s">
        <v>87</v>
      </c>
      <c r="K13" s="35"/>
      <c r="L13" s="35"/>
      <c r="M13" s="35"/>
      <c r="N13" s="35"/>
      <c r="O13" s="41"/>
      <c r="P13" s="41"/>
      <c r="Q13" s="41"/>
    </row>
    <row r="14" spans="1:17" ht="13" x14ac:dyDescent="0.3">
      <c r="A14" s="121" t="s">
        <v>88</v>
      </c>
      <c r="B14" s="35">
        <f>SUM('CA-Y3'!$F$9:$F$19)</f>
        <v>6.32</v>
      </c>
      <c r="C14" s="35">
        <f>SUM('CA-Y3'!$G$9:$G$19)</f>
        <v>0.31600000000000006</v>
      </c>
      <c r="D14" s="35">
        <f>SUM('CA-Y3'!$H$9:$H$19)</f>
        <v>0.63200000000000012</v>
      </c>
      <c r="E14" s="35">
        <f t="shared" si="2"/>
        <v>7.2680000000000007</v>
      </c>
      <c r="F14" s="41">
        <f>SUM('CA-Y3'!$I$9:$I$19)</f>
        <v>363.11559999999997</v>
      </c>
      <c r="G14" s="41">
        <v>0</v>
      </c>
      <c r="H14" s="41">
        <f>F14+G14</f>
        <v>363.11559999999997</v>
      </c>
      <c r="J14" s="121" t="s">
        <v>88</v>
      </c>
      <c r="K14" s="35"/>
      <c r="L14" s="35"/>
      <c r="M14" s="35"/>
      <c r="N14" s="35"/>
      <c r="O14" s="41"/>
      <c r="P14" s="41"/>
      <c r="Q14" s="41"/>
    </row>
    <row r="15" spans="1:17" ht="13" x14ac:dyDescent="0.3">
      <c r="A15" s="121" t="s">
        <v>89</v>
      </c>
      <c r="B15" s="35"/>
      <c r="C15" s="35"/>
      <c r="D15" s="35"/>
      <c r="E15" s="35"/>
      <c r="F15" s="41"/>
      <c r="G15" s="41"/>
      <c r="H15" s="41"/>
      <c r="J15" s="121" t="s">
        <v>89</v>
      </c>
      <c r="K15" s="35">
        <f>SUM('CA-Y4'!$F$8:$F$18)</f>
        <v>2772.8999999999996</v>
      </c>
      <c r="L15" s="35">
        <f>SUM('CA-Y4'!$G$8:$G$18)</f>
        <v>138.64500000000004</v>
      </c>
      <c r="M15" s="35">
        <f>SUM('CA-Y4'!$H$8:$H$18)</f>
        <v>277.29000000000008</v>
      </c>
      <c r="N15" s="35">
        <f t="shared" ref="N15:N17" si="3">SUM(K15:M15)</f>
        <v>3188.8349999999996</v>
      </c>
      <c r="O15" s="41">
        <f>SUM('CA-Y4'!$I$8:$I$18)</f>
        <v>159316.96950000001</v>
      </c>
      <c r="P15" s="41">
        <v>0</v>
      </c>
      <c r="Q15" s="41">
        <f>O15+P15</f>
        <v>159316.96950000001</v>
      </c>
    </row>
    <row r="16" spans="1:17" ht="13" x14ac:dyDescent="0.3">
      <c r="A16" s="121" t="s">
        <v>90</v>
      </c>
      <c r="B16" s="35"/>
      <c r="C16" s="35"/>
      <c r="D16" s="35"/>
      <c r="E16" s="35"/>
      <c r="F16" s="41"/>
      <c r="G16" s="41"/>
      <c r="H16" s="41"/>
      <c r="J16" s="121" t="s">
        <v>90</v>
      </c>
      <c r="K16" s="35">
        <f>SUM('CA-Y5'!$F$8:$F$18)</f>
        <v>715.74</v>
      </c>
      <c r="L16" s="35">
        <f>SUM('CA-Y5'!$G$8:$G$18)</f>
        <v>35.786999999999999</v>
      </c>
      <c r="M16" s="35">
        <f>SUM('CA-Y5'!$H$8:$H$18)</f>
        <v>71.573999999999998</v>
      </c>
      <c r="N16" s="35">
        <f t="shared" si="3"/>
        <v>823.101</v>
      </c>
      <c r="O16" s="41">
        <f>SUM('CA-Y5'!$I$8:$I$18)</f>
        <v>41122.841699999997</v>
      </c>
      <c r="P16" s="41">
        <v>0</v>
      </c>
      <c r="Q16" s="41">
        <f>O16+P16</f>
        <v>41122.841699999997</v>
      </c>
    </row>
    <row r="17" spans="1:17" ht="13" x14ac:dyDescent="0.3">
      <c r="A17" s="121" t="s">
        <v>91</v>
      </c>
      <c r="B17" s="35"/>
      <c r="C17" s="35"/>
      <c r="D17" s="35"/>
      <c r="E17" s="35"/>
      <c r="F17" s="41"/>
      <c r="G17" s="41"/>
      <c r="H17" s="41"/>
      <c r="J17" s="121" t="s">
        <v>91</v>
      </c>
      <c r="K17" s="35">
        <f>SUM('CA-Y6'!$F$8:$F$18)</f>
        <v>715.74</v>
      </c>
      <c r="L17" s="35">
        <f>SUM('CA-Y6'!$G$8:$G$18)</f>
        <v>35.786999999999999</v>
      </c>
      <c r="M17" s="35">
        <f>SUM('CA-Y6'!$H$8:$H$18)</f>
        <v>71.573999999999998</v>
      </c>
      <c r="N17" s="35">
        <f t="shared" si="3"/>
        <v>823.101</v>
      </c>
      <c r="O17" s="41">
        <f>SUM('CA-Y6'!$I$8:$I$18)</f>
        <v>41122.841699999997</v>
      </c>
      <c r="P17" s="41">
        <v>0</v>
      </c>
      <c r="Q17" s="41">
        <f>O17+P17</f>
        <v>41122.841699999997</v>
      </c>
    </row>
    <row r="18" spans="1:17" ht="26" x14ac:dyDescent="0.3">
      <c r="A18" s="123" t="s">
        <v>93</v>
      </c>
      <c r="B18" s="35"/>
      <c r="C18" s="35"/>
      <c r="D18" s="35"/>
      <c r="E18" s="35"/>
      <c r="F18" s="41"/>
      <c r="G18" s="41"/>
      <c r="H18" s="41"/>
      <c r="J18" s="123" t="s">
        <v>93</v>
      </c>
      <c r="K18" s="35"/>
      <c r="L18" s="35"/>
      <c r="M18" s="35"/>
      <c r="N18" s="35"/>
      <c r="O18" s="41"/>
      <c r="P18" s="41"/>
      <c r="Q18" s="41"/>
    </row>
    <row r="19" spans="1:17" ht="13" x14ac:dyDescent="0.3">
      <c r="A19" s="121" t="s">
        <v>86</v>
      </c>
      <c r="B19" s="35">
        <f>SUM('IA-Y1'!$F$8:$F$19)</f>
        <v>74.819999999999993</v>
      </c>
      <c r="C19" s="35">
        <f>SUM('IA-Y1'!G8:G19)</f>
        <v>3.7410000000000005</v>
      </c>
      <c r="D19" s="35">
        <f>SUM('IA-Y1'!H8:H19)</f>
        <v>7.4820000000000011</v>
      </c>
      <c r="E19" s="35">
        <f t="shared" si="2"/>
        <v>86.042999999999992</v>
      </c>
      <c r="F19" s="41">
        <f>SUM('IA-Y1'!$I$8:$I$19)</f>
        <v>4298.7830999999987</v>
      </c>
      <c r="G19" s="41">
        <v>0</v>
      </c>
      <c r="H19" s="41">
        <f>F19+G19</f>
        <v>4298.7830999999987</v>
      </c>
      <c r="J19" s="121" t="s">
        <v>86</v>
      </c>
      <c r="K19" s="35"/>
      <c r="L19" s="35"/>
      <c r="M19" s="35"/>
      <c r="N19" s="35"/>
      <c r="O19" s="41"/>
      <c r="P19" s="41"/>
      <c r="Q19" s="41"/>
    </row>
    <row r="20" spans="1:17" ht="13" x14ac:dyDescent="0.3">
      <c r="A20" s="121" t="s">
        <v>87</v>
      </c>
      <c r="B20" s="35">
        <f>SUM('IA-Y2'!F8:F13)</f>
        <v>58</v>
      </c>
      <c r="C20" s="35">
        <f>SUM('IA-Y2'!G8:G13)</f>
        <v>2.9000000000000004</v>
      </c>
      <c r="D20" s="35">
        <f>SUM('IA-Y2'!H8:H13)</f>
        <v>5.8000000000000007</v>
      </c>
      <c r="E20" s="35">
        <f t="shared" si="2"/>
        <v>66.7</v>
      </c>
      <c r="F20" s="41">
        <f>SUM('IA-Y2'!I8:I13)</f>
        <v>3332.3899999999994</v>
      </c>
      <c r="G20" s="41">
        <v>0</v>
      </c>
      <c r="H20" s="41">
        <f>F20+G20</f>
        <v>3332.3899999999994</v>
      </c>
      <c r="J20" s="121" t="s">
        <v>87</v>
      </c>
      <c r="K20" s="35"/>
      <c r="L20" s="35"/>
      <c r="M20" s="35"/>
      <c r="N20" s="35"/>
      <c r="O20" s="41"/>
      <c r="P20" s="41"/>
      <c r="Q20" s="41"/>
    </row>
    <row r="21" spans="1:17" ht="13" x14ac:dyDescent="0.3">
      <c r="A21" s="121" t="s">
        <v>88</v>
      </c>
      <c r="B21" s="35">
        <f>SUM('IA-Y3'!F8:F14)</f>
        <v>2.3199999999999998</v>
      </c>
      <c r="C21" s="35">
        <f>SUM('IA-Y3'!G8:G14)</f>
        <v>0.11599999999999999</v>
      </c>
      <c r="D21" s="35">
        <f>SUM('IA-Y3'!H8:H14)</f>
        <v>0.23199999999999998</v>
      </c>
      <c r="E21" s="35">
        <f t="shared" si="2"/>
        <v>2.6680000000000001</v>
      </c>
      <c r="F21" s="41">
        <f>SUM('IA-Y3'!I8:I14)</f>
        <v>133.29559999999998</v>
      </c>
      <c r="G21" s="41">
        <v>0</v>
      </c>
      <c r="H21" s="41">
        <f>F21+G21</f>
        <v>133.29559999999998</v>
      </c>
      <c r="J21" s="121" t="s">
        <v>88</v>
      </c>
      <c r="K21" s="35"/>
      <c r="L21" s="35"/>
      <c r="M21" s="35"/>
      <c r="N21" s="35"/>
      <c r="O21" s="41"/>
      <c r="P21" s="41"/>
      <c r="Q21" s="41"/>
    </row>
    <row r="22" spans="1:17" ht="13" x14ac:dyDescent="0.3">
      <c r="A22" s="121" t="s">
        <v>89</v>
      </c>
      <c r="B22" s="35"/>
      <c r="C22" s="35"/>
      <c r="D22" s="35"/>
      <c r="E22" s="35"/>
      <c r="F22" s="41"/>
      <c r="G22" s="41"/>
      <c r="H22" s="41"/>
      <c r="J22" s="121" t="s">
        <v>89</v>
      </c>
      <c r="K22" s="35">
        <f>SUM('IA-Y4'!$F$8:$F$18)</f>
        <v>259.54999999999995</v>
      </c>
      <c r="L22" s="35">
        <f>SUM('IA-Y4'!$G$8:$G$18)</f>
        <v>12.977500000000001</v>
      </c>
      <c r="M22" s="35">
        <f>SUM('IA-Y4'!$H$8:$H$18)</f>
        <v>25.955000000000002</v>
      </c>
      <c r="N22" s="35">
        <f t="shared" ref="N22:N24" si="4">SUM(K22:M22)</f>
        <v>298.48249999999996</v>
      </c>
      <c r="O22" s="41">
        <f>SUM('IA-Y4'!$I$8:$I$18)</f>
        <v>14912.445249999997</v>
      </c>
      <c r="P22" s="41"/>
      <c r="Q22" s="41">
        <f>O22+P22</f>
        <v>14912.445249999997</v>
      </c>
    </row>
    <row r="23" spans="1:17" ht="13" x14ac:dyDescent="0.3">
      <c r="A23" s="121" t="s">
        <v>90</v>
      </c>
      <c r="B23" s="35"/>
      <c r="C23" s="35"/>
      <c r="D23" s="35"/>
      <c r="E23" s="35"/>
      <c r="F23" s="41"/>
      <c r="G23" s="41"/>
      <c r="H23" s="41"/>
      <c r="J23" s="121" t="s">
        <v>90</v>
      </c>
      <c r="K23" s="35">
        <f>SUM('IA-Y5'!$F$8:$F$18)</f>
        <v>131.94999999999999</v>
      </c>
      <c r="L23" s="35">
        <f>SUM('IA-Y5'!$G$8:$G$18)</f>
        <v>6.597500000000001</v>
      </c>
      <c r="M23" s="35">
        <f>SUM('IA-Y5'!$H$8:$H$18)</f>
        <v>13.195000000000002</v>
      </c>
      <c r="N23" s="35">
        <f t="shared" si="4"/>
        <v>151.74249999999998</v>
      </c>
      <c r="O23" s="41">
        <f>SUM('IA-Y5'!$I$8:$I$18)</f>
        <v>7581.187249999999</v>
      </c>
      <c r="P23" s="41"/>
      <c r="Q23" s="41">
        <f>O23+P23</f>
        <v>7581.187249999999</v>
      </c>
    </row>
    <row r="24" spans="1:17" ht="13" x14ac:dyDescent="0.3">
      <c r="A24" s="121" t="s">
        <v>91</v>
      </c>
      <c r="B24" s="35"/>
      <c r="C24" s="35"/>
      <c r="D24" s="35"/>
      <c r="E24" s="35"/>
      <c r="F24" s="41"/>
      <c r="G24" s="41"/>
      <c r="H24" s="41"/>
      <c r="J24" s="121" t="s">
        <v>91</v>
      </c>
      <c r="K24" s="35">
        <f>SUM('IA-Y6'!$F$8:$F$18)</f>
        <v>131.94999999999999</v>
      </c>
      <c r="L24" s="35">
        <f>SUM('IA-Y6'!$G$8:$G$18)</f>
        <v>6.597500000000001</v>
      </c>
      <c r="M24" s="35">
        <f>SUM('IA-Y6'!$H$8:$H$18)</f>
        <v>13.195000000000002</v>
      </c>
      <c r="N24" s="35">
        <f t="shared" si="4"/>
        <v>151.74249999999998</v>
      </c>
      <c r="O24" s="41">
        <f>SUM('IA-Y6'!$I$8:$I$18)</f>
        <v>7581.187249999999</v>
      </c>
      <c r="P24" s="41"/>
      <c r="Q24" s="41">
        <f>O24+P24</f>
        <v>7581.187249999999</v>
      </c>
    </row>
    <row r="25" spans="1:17" ht="26" x14ac:dyDescent="0.3">
      <c r="A25" s="123" t="s">
        <v>94</v>
      </c>
      <c r="B25" s="35"/>
      <c r="C25" s="35"/>
      <c r="D25" s="35"/>
      <c r="E25" s="35"/>
      <c r="F25" s="41"/>
      <c r="G25" s="41"/>
      <c r="H25" s="41"/>
      <c r="J25" s="123" t="s">
        <v>94</v>
      </c>
      <c r="K25" s="35"/>
      <c r="L25" s="35"/>
      <c r="M25" s="35"/>
      <c r="N25" s="35"/>
      <c r="O25" s="41"/>
      <c r="P25" s="41"/>
      <c r="Q25" s="41"/>
    </row>
    <row r="26" spans="1:17" ht="13" x14ac:dyDescent="0.3">
      <c r="A26" s="121" t="s">
        <v>86</v>
      </c>
      <c r="B26" s="35">
        <f>SUM('SA-1'!$F$8:$F$19)</f>
        <v>49.3</v>
      </c>
      <c r="C26" s="35">
        <f>SUM('SA-1'!G8:G19)</f>
        <v>2.4649999999999999</v>
      </c>
      <c r="D26" s="35">
        <f>SUM('SA-1'!H8:H19)</f>
        <v>4.93</v>
      </c>
      <c r="E26" s="35">
        <f t="shared" si="2"/>
        <v>56.695</v>
      </c>
      <c r="F26" s="41">
        <f>SUM('SA-1'!$I$8:$I$19)</f>
        <v>2832.5315000000001</v>
      </c>
      <c r="G26" s="41">
        <v>0</v>
      </c>
      <c r="H26" s="41">
        <f>F26+G26</f>
        <v>2832.5315000000001</v>
      </c>
      <c r="J26" s="121" t="s">
        <v>86</v>
      </c>
      <c r="K26" s="35"/>
      <c r="L26" s="35"/>
      <c r="M26" s="35"/>
      <c r="N26" s="35"/>
      <c r="O26" s="41"/>
      <c r="P26" s="41"/>
      <c r="Q26" s="41"/>
    </row>
    <row r="27" spans="1:17" ht="13" x14ac:dyDescent="0.3">
      <c r="A27" s="121" t="s">
        <v>87</v>
      </c>
      <c r="B27" s="35">
        <f>SUM('SA-2'!F9:F18)</f>
        <v>0</v>
      </c>
      <c r="C27" s="35">
        <f>SUM('SA-2'!G9:G18)</f>
        <v>0</v>
      </c>
      <c r="D27" s="35">
        <f>SUM('SA-2'!H9:H18)</f>
        <v>0</v>
      </c>
      <c r="E27" s="35">
        <f t="shared" si="2"/>
        <v>0</v>
      </c>
      <c r="F27" s="41">
        <f>SUM('SA-2'!I9:I18)</f>
        <v>0</v>
      </c>
      <c r="G27" s="41">
        <v>0</v>
      </c>
      <c r="H27" s="41">
        <f>F27+G27</f>
        <v>0</v>
      </c>
      <c r="J27" s="121" t="s">
        <v>87</v>
      </c>
      <c r="K27" s="35"/>
      <c r="L27" s="35"/>
      <c r="M27" s="35"/>
      <c r="N27" s="35"/>
      <c r="O27" s="41"/>
      <c r="P27" s="41"/>
      <c r="Q27" s="41"/>
    </row>
    <row r="28" spans="1:17" ht="13" x14ac:dyDescent="0.3">
      <c r="A28" s="121" t="s">
        <v>88</v>
      </c>
      <c r="B28" s="35">
        <f>SUM('SA-3'!F9:F19)</f>
        <v>6.8</v>
      </c>
      <c r="C28" s="35">
        <f>SUM('SA-3'!G9:G19)</f>
        <v>0.34</v>
      </c>
      <c r="D28" s="35">
        <f>SUM('SA-3'!H9:H19)</f>
        <v>0.68</v>
      </c>
      <c r="E28" s="35">
        <f t="shared" si="2"/>
        <v>7.8199999999999994</v>
      </c>
      <c r="F28" s="41">
        <f>SUM('SA-3'!I9:I19)</f>
        <v>390.69399999999996</v>
      </c>
      <c r="G28" s="41">
        <v>0</v>
      </c>
      <c r="H28" s="41">
        <f>F28+G28</f>
        <v>390.69399999999996</v>
      </c>
      <c r="J28" s="121" t="s">
        <v>88</v>
      </c>
      <c r="K28" s="35"/>
      <c r="L28" s="35"/>
      <c r="M28" s="35"/>
      <c r="N28" s="35"/>
      <c r="O28" s="41"/>
      <c r="P28" s="41"/>
      <c r="Q28" s="41"/>
    </row>
    <row r="29" spans="1:17" ht="13" x14ac:dyDescent="0.3">
      <c r="A29" s="121" t="s">
        <v>89</v>
      </c>
      <c r="B29" s="35"/>
      <c r="C29" s="35"/>
      <c r="D29" s="35"/>
      <c r="E29" s="35"/>
      <c r="F29" s="41"/>
      <c r="G29" s="41"/>
      <c r="H29" s="41"/>
      <c r="J29" s="121" t="s">
        <v>89</v>
      </c>
      <c r="K29" s="35">
        <f>SUM('SA-4'!$F$8:$F$18)</f>
        <v>3153.5</v>
      </c>
      <c r="L29" s="35">
        <f>SUM('SA-4'!$G$8:$G$18)</f>
        <v>157.67500000000001</v>
      </c>
      <c r="M29" s="35">
        <f>SUM('SA-4'!$H$8:$H$18)</f>
        <v>315.35000000000002</v>
      </c>
      <c r="N29" s="35">
        <f t="shared" ref="N29:N38" si="5">SUM(K29:M29)</f>
        <v>3626.5250000000001</v>
      </c>
      <c r="O29" s="41">
        <f>SUM('SA-4'!$I$8:$I$18)</f>
        <v>181184.34249999997</v>
      </c>
      <c r="P29" s="41">
        <v>0</v>
      </c>
      <c r="Q29" s="41">
        <f>O29+P29</f>
        <v>181184.34249999997</v>
      </c>
    </row>
    <row r="30" spans="1:17" ht="13" x14ac:dyDescent="0.3">
      <c r="A30" s="121" t="s">
        <v>90</v>
      </c>
      <c r="B30" s="35"/>
      <c r="C30" s="35"/>
      <c r="D30" s="35"/>
      <c r="E30" s="35"/>
      <c r="F30" s="41"/>
      <c r="G30" s="41"/>
      <c r="H30" s="41"/>
      <c r="J30" s="121" t="s">
        <v>90</v>
      </c>
      <c r="K30" s="35">
        <f>SUM('SA-5'!$F$8:$F$18)</f>
        <v>940.1</v>
      </c>
      <c r="L30" s="35">
        <f>SUM('SA-5'!$G$8:$G$18)</f>
        <v>47.005000000000003</v>
      </c>
      <c r="M30" s="35">
        <f>SUM('SA-5'!$H$8:$H$18)</f>
        <v>94.01</v>
      </c>
      <c r="N30" s="35">
        <f t="shared" si="5"/>
        <v>1081.115</v>
      </c>
      <c r="O30" s="41">
        <f>SUM('SA-5'!$I$8:$I$18)</f>
        <v>54013.445500000002</v>
      </c>
      <c r="P30" s="41">
        <v>0</v>
      </c>
      <c r="Q30" s="41">
        <f>O30+P30</f>
        <v>54013.445500000002</v>
      </c>
    </row>
    <row r="31" spans="1:17" ht="13" x14ac:dyDescent="0.3">
      <c r="A31" s="121" t="s">
        <v>91</v>
      </c>
      <c r="B31" s="35"/>
      <c r="C31" s="35"/>
      <c r="D31" s="35"/>
      <c r="E31" s="35"/>
      <c r="F31" s="41"/>
      <c r="G31" s="41"/>
      <c r="H31" s="41"/>
      <c r="J31" s="121" t="s">
        <v>91</v>
      </c>
      <c r="K31" s="35">
        <f>SUM('SA-6'!$F$8:$F$18)</f>
        <v>940.1</v>
      </c>
      <c r="L31" s="35">
        <f>SUM('SA-6'!$G$8:$G$18)</f>
        <v>47.005000000000003</v>
      </c>
      <c r="M31" s="35">
        <f>SUM('SA-6'!$H$8:$H$18)</f>
        <v>94.01</v>
      </c>
      <c r="N31" s="35">
        <f t="shared" si="5"/>
        <v>1081.115</v>
      </c>
      <c r="O31" s="41">
        <f>SUM('SA-5'!$I$8:$I$18)</f>
        <v>54013.445500000002</v>
      </c>
      <c r="P31" s="41">
        <v>0</v>
      </c>
      <c r="Q31" s="41">
        <f>O31+P31</f>
        <v>54013.445500000002</v>
      </c>
    </row>
    <row r="32" spans="1:17" ht="13" x14ac:dyDescent="0.3">
      <c r="A32" s="123" t="s">
        <v>62</v>
      </c>
      <c r="B32" s="35"/>
      <c r="C32" s="35"/>
      <c r="D32" s="35"/>
      <c r="E32" s="35"/>
      <c r="F32" s="41"/>
      <c r="G32" s="41"/>
      <c r="H32" s="41"/>
      <c r="J32" s="123" t="s">
        <v>62</v>
      </c>
      <c r="K32" s="35"/>
      <c r="L32" s="35"/>
      <c r="M32" s="35"/>
      <c r="N32" s="35"/>
      <c r="O32" s="41"/>
      <c r="P32" s="41"/>
      <c r="Q32" s="41"/>
    </row>
    <row r="33" spans="1:21" ht="13" x14ac:dyDescent="0.3">
      <c r="A33" s="121" t="s">
        <v>86</v>
      </c>
      <c r="B33" s="35">
        <f>SUM('MWCA-Y1'!F8:F14)</f>
        <v>6.4</v>
      </c>
      <c r="C33" s="35">
        <f>SUM('MWCA-Y1'!G8:G14)</f>
        <v>0.32000000000000006</v>
      </c>
      <c r="D33" s="35">
        <f>SUM('MWCA-Y1'!H8:H14)</f>
        <v>0.64000000000000012</v>
      </c>
      <c r="E33" s="35">
        <f>SUM(B33:D33)</f>
        <v>7.3600000000000012</v>
      </c>
      <c r="F33" s="41">
        <f>SUM('MWCA-Y1'!I8:I14)</f>
        <v>367.71200000000005</v>
      </c>
      <c r="G33" s="41">
        <v>0</v>
      </c>
      <c r="H33" s="41">
        <f t="shared" ref="H33:H35" si="6">F33+G33</f>
        <v>367.71200000000005</v>
      </c>
      <c r="J33" s="121" t="s">
        <v>86</v>
      </c>
      <c r="K33" s="35"/>
      <c r="L33" s="35"/>
      <c r="M33" s="35"/>
      <c r="N33" s="35"/>
      <c r="O33" s="41"/>
      <c r="P33" s="41"/>
      <c r="Q33" s="41"/>
    </row>
    <row r="34" spans="1:21" ht="13" x14ac:dyDescent="0.3">
      <c r="A34" s="121" t="s">
        <v>87</v>
      </c>
      <c r="B34" s="35">
        <f>SUM('MWCA-Y2'!F8:F13)</f>
        <v>0</v>
      </c>
      <c r="C34" s="35">
        <f>SUM('MWCA-Y2'!G8:G13)</f>
        <v>0</v>
      </c>
      <c r="D34" s="35">
        <f>SUM('MWCA-Y2'!H8:H13)</f>
        <v>0</v>
      </c>
      <c r="E34" s="35">
        <f t="shared" ref="E34:E35" si="7">SUM(B34:D34)</f>
        <v>0</v>
      </c>
      <c r="F34" s="41">
        <f>SUM('MWCA-Y2'!I8:I13)</f>
        <v>0</v>
      </c>
      <c r="G34" s="41">
        <v>0</v>
      </c>
      <c r="H34" s="41">
        <f t="shared" si="6"/>
        <v>0</v>
      </c>
      <c r="J34" s="121" t="s">
        <v>87</v>
      </c>
      <c r="K34" s="35"/>
      <c r="L34" s="35"/>
      <c r="M34" s="35"/>
      <c r="N34" s="35"/>
      <c r="O34" s="41"/>
      <c r="P34" s="41"/>
      <c r="Q34" s="41"/>
    </row>
    <row r="35" spans="1:21" ht="13" x14ac:dyDescent="0.3">
      <c r="A35" s="121" t="s">
        <v>88</v>
      </c>
      <c r="B35" s="35">
        <f>SUM('MWCA-Y3'!F8:F14)</f>
        <v>217.7</v>
      </c>
      <c r="C35" s="35">
        <f>SUM('MWCA-Y3'!G8:G14)</f>
        <v>10.885000000000002</v>
      </c>
      <c r="D35" s="35">
        <f>SUM('MWCA-Y3'!H8:H14)</f>
        <v>21.770000000000003</v>
      </c>
      <c r="E35" s="35">
        <f t="shared" si="7"/>
        <v>250.35499999999999</v>
      </c>
      <c r="F35" s="41">
        <f>SUM('MWCA-Y3'!I8:I14)</f>
        <v>12507.9535</v>
      </c>
      <c r="G35" s="41">
        <v>0</v>
      </c>
      <c r="H35" s="41">
        <f t="shared" si="6"/>
        <v>12507.9535</v>
      </c>
      <c r="J35" s="121" t="s">
        <v>88</v>
      </c>
      <c r="K35" s="35"/>
      <c r="L35" s="35"/>
      <c r="M35" s="35"/>
      <c r="N35" s="35"/>
      <c r="O35" s="41"/>
      <c r="P35" s="41"/>
      <c r="Q35" s="41"/>
    </row>
    <row r="36" spans="1:21" ht="13" x14ac:dyDescent="0.3">
      <c r="A36" s="121" t="s">
        <v>89</v>
      </c>
      <c r="B36" s="35"/>
      <c r="C36" s="35"/>
      <c r="D36" s="35"/>
      <c r="E36" s="35"/>
      <c r="F36" s="41"/>
      <c r="G36" s="41"/>
      <c r="H36" s="41"/>
      <c r="J36" s="121" t="s">
        <v>89</v>
      </c>
      <c r="K36" s="35">
        <f>SUM('MWCA-Y4'!F8:F13)</f>
        <v>211.3</v>
      </c>
      <c r="L36" s="35">
        <f>SUM('MWCA-Y4'!G8:G13)</f>
        <v>10.565000000000001</v>
      </c>
      <c r="M36" s="35">
        <f>SUM('MWCA-Y4'!H8:H13)</f>
        <v>21.130000000000003</v>
      </c>
      <c r="N36" s="35">
        <f t="shared" si="5"/>
        <v>242.995</v>
      </c>
      <c r="O36" s="41">
        <f>SUM('MWCA-Y4'!I8:I13)</f>
        <v>12140.2415</v>
      </c>
      <c r="P36" s="41">
        <v>0</v>
      </c>
      <c r="Q36" s="41">
        <f t="shared" ref="Q36:Q38" si="8">O36+P36</f>
        <v>12140.2415</v>
      </c>
    </row>
    <row r="37" spans="1:21" ht="13" x14ac:dyDescent="0.3">
      <c r="A37" s="121" t="s">
        <v>90</v>
      </c>
      <c r="B37" s="35"/>
      <c r="C37" s="35"/>
      <c r="D37" s="35"/>
      <c r="E37" s="35"/>
      <c r="F37" s="41"/>
      <c r="G37" s="41"/>
      <c r="H37" s="41"/>
      <c r="J37" s="121" t="s">
        <v>90</v>
      </c>
      <c r="K37" s="35">
        <f>SUM('MWCA-Y5'!F8:F13)</f>
        <v>211.3</v>
      </c>
      <c r="L37" s="35">
        <f>SUM('MWCA-Y5'!G8:G13)</f>
        <v>10.565000000000001</v>
      </c>
      <c r="M37" s="35">
        <f>SUM('MWCA-Y5'!H8:H13)</f>
        <v>21.130000000000003</v>
      </c>
      <c r="N37" s="35">
        <f t="shared" si="5"/>
        <v>242.995</v>
      </c>
      <c r="O37" s="41">
        <f>SUM('MWCA-Y5'!I8:I13)</f>
        <v>12140.2415</v>
      </c>
      <c r="P37" s="41">
        <v>0</v>
      </c>
      <c r="Q37" s="41">
        <f t="shared" si="8"/>
        <v>12140.2415</v>
      </c>
    </row>
    <row r="38" spans="1:21" ht="13" x14ac:dyDescent="0.3">
      <c r="A38" s="121" t="s">
        <v>91</v>
      </c>
      <c r="B38" s="35"/>
      <c r="C38" s="35"/>
      <c r="D38" s="35"/>
      <c r="E38" s="35"/>
      <c r="F38" s="41"/>
      <c r="G38" s="41"/>
      <c r="H38" s="41"/>
      <c r="J38" s="121" t="s">
        <v>91</v>
      </c>
      <c r="K38" s="35">
        <f>SUM('MWCA-Y6'!F8:F13)</f>
        <v>211.3</v>
      </c>
      <c r="L38" s="35">
        <f>SUM('MWCA-Y6'!G8:G13)</f>
        <v>10.565000000000001</v>
      </c>
      <c r="M38" s="35">
        <f>SUM('MWCA-Y6'!H8:H13)</f>
        <v>21.130000000000003</v>
      </c>
      <c r="N38" s="35">
        <f t="shared" si="5"/>
        <v>242.995</v>
      </c>
      <c r="O38" s="41">
        <f>SUM('MWCA-Y6'!I8:I13)</f>
        <v>12140.2415</v>
      </c>
      <c r="P38" s="41">
        <v>0</v>
      </c>
      <c r="Q38" s="41">
        <f t="shared" si="8"/>
        <v>12140.2415</v>
      </c>
    </row>
    <row r="39" spans="1:21" ht="64.5" customHeight="1" x14ac:dyDescent="0.3">
      <c r="A39" s="123" t="s">
        <v>107</v>
      </c>
      <c r="B39" s="35"/>
      <c r="C39" s="35"/>
      <c r="D39" s="35"/>
      <c r="E39" s="35"/>
      <c r="F39" s="41"/>
      <c r="G39" s="41"/>
      <c r="H39" s="41"/>
      <c r="J39" s="123" t="s">
        <v>96</v>
      </c>
      <c r="K39" s="35"/>
      <c r="L39" s="35"/>
      <c r="M39" s="35"/>
      <c r="N39" s="35"/>
      <c r="O39" s="41"/>
      <c r="P39" s="41"/>
      <c r="Q39" s="41"/>
    </row>
    <row r="40" spans="1:21" ht="13" x14ac:dyDescent="0.3">
      <c r="A40" s="121" t="s">
        <v>86</v>
      </c>
      <c r="B40" s="35">
        <f>SUM('BPPA-Y1'!$F$8:$F$14)</f>
        <v>16.64</v>
      </c>
      <c r="C40" s="35">
        <f>SUM('BPPA-Y1'!G8:G14)</f>
        <v>0.83200000000000007</v>
      </c>
      <c r="D40" s="35">
        <f>SUM('BPPA-Y1'!H8:H14)</f>
        <v>1.6640000000000001</v>
      </c>
      <c r="E40" s="35">
        <f t="shared" si="2"/>
        <v>19.136000000000003</v>
      </c>
      <c r="F40" s="41">
        <f>SUM('BPPA-Y1'!$I$8:$I$14)</f>
        <v>956.05119999999999</v>
      </c>
      <c r="G40" s="41">
        <v>0</v>
      </c>
      <c r="H40" s="41">
        <f>F40+G40</f>
        <v>956.05119999999999</v>
      </c>
      <c r="J40" s="121" t="s">
        <v>86</v>
      </c>
      <c r="K40" s="35"/>
      <c r="L40" s="35"/>
      <c r="M40" s="35"/>
      <c r="N40" s="35"/>
      <c r="O40" s="41"/>
      <c r="P40" s="41"/>
      <c r="Q40" s="41"/>
    </row>
    <row r="41" spans="1:21" ht="13" x14ac:dyDescent="0.3">
      <c r="A41" s="121" t="s">
        <v>87</v>
      </c>
      <c r="B41" s="35">
        <f>SUM('BPPA-Y2'!F8:F13)</f>
        <v>0</v>
      </c>
      <c r="C41" s="35">
        <f>SUM('BPPA-Y2'!G8:G13)</f>
        <v>0</v>
      </c>
      <c r="D41" s="35">
        <f>SUM('BPPA-Y2'!H8:H13)</f>
        <v>0</v>
      </c>
      <c r="E41" s="35">
        <f t="shared" si="2"/>
        <v>0</v>
      </c>
      <c r="F41" s="41">
        <f>SUM('BPPA-Y2'!I8:I13)</f>
        <v>0</v>
      </c>
      <c r="G41" s="41">
        <v>0</v>
      </c>
      <c r="H41" s="41">
        <f>F41+G41</f>
        <v>0</v>
      </c>
      <c r="J41" s="121" t="s">
        <v>87</v>
      </c>
      <c r="K41" s="35"/>
      <c r="L41" s="35"/>
      <c r="M41" s="35"/>
      <c r="N41" s="35"/>
      <c r="O41" s="41"/>
      <c r="P41" s="41"/>
      <c r="Q41" s="41"/>
    </row>
    <row r="42" spans="1:21" ht="13" x14ac:dyDescent="0.25">
      <c r="A42" s="335" t="s">
        <v>88</v>
      </c>
      <c r="B42" s="341">
        <f>SUM('BPPA-Y3'!F8:F14)</f>
        <v>16.64</v>
      </c>
      <c r="C42" s="341">
        <f>SUM('BPPA-Y3'!G8:G14)</f>
        <v>0.83200000000000007</v>
      </c>
      <c r="D42" s="341">
        <f>SUM('BPPA-Y3'!H8:H14)</f>
        <v>1.6640000000000001</v>
      </c>
      <c r="E42" s="341">
        <f>SUM(B42:D42)</f>
        <v>19.136000000000003</v>
      </c>
      <c r="F42" s="336">
        <f>SUM('BPPA-Y3'!I8:I14)</f>
        <v>956.05119999999999</v>
      </c>
      <c r="G42" s="336">
        <v>0</v>
      </c>
      <c r="H42" s="336">
        <f>F42+G42</f>
        <v>956.05119999999999</v>
      </c>
      <c r="J42" s="335" t="s">
        <v>88</v>
      </c>
      <c r="K42" s="341"/>
      <c r="L42" s="341"/>
      <c r="M42" s="341"/>
      <c r="N42" s="341"/>
      <c r="O42" s="336"/>
      <c r="P42" s="336"/>
      <c r="Q42" s="336"/>
    </row>
    <row r="43" spans="1:21" ht="13" x14ac:dyDescent="0.3">
      <c r="A43" s="335" t="s">
        <v>89</v>
      </c>
      <c r="B43" s="342"/>
      <c r="C43" s="342"/>
      <c r="D43" s="342"/>
      <c r="E43" s="342"/>
      <c r="F43" s="338"/>
      <c r="G43" s="338"/>
      <c r="H43" s="338"/>
      <c r="J43" s="335" t="s">
        <v>89</v>
      </c>
      <c r="K43" s="35">
        <f>SUM('BPPA-Y4'!$F$8:$F$13)</f>
        <v>6188</v>
      </c>
      <c r="L43" s="35">
        <f>SUM('BPPA-Y4'!$G$8:$G$13)</f>
        <v>309.40000000000009</v>
      </c>
      <c r="M43" s="35">
        <f>SUM('BPPA-Y4'!$H$8:$H$13)</f>
        <v>618.80000000000018</v>
      </c>
      <c r="N43" s="35">
        <f t="shared" ref="N43:N44" si="9">SUM(K43:M43)</f>
        <v>7116.2</v>
      </c>
      <c r="O43" s="41">
        <f>SUM('BPPA-Y4'!$I$8:$I$13)</f>
        <v>355531.54</v>
      </c>
      <c r="P43" s="41">
        <v>0</v>
      </c>
      <c r="Q43" s="41">
        <f>O43+P43</f>
        <v>355531.54</v>
      </c>
    </row>
    <row r="44" spans="1:21" ht="13" x14ac:dyDescent="0.3">
      <c r="A44" s="335" t="s">
        <v>90</v>
      </c>
      <c r="B44" s="342"/>
      <c r="C44" s="342"/>
      <c r="D44" s="342"/>
      <c r="E44" s="342"/>
      <c r="F44" s="338"/>
      <c r="G44" s="338"/>
      <c r="H44" s="338"/>
      <c r="J44" s="335" t="s">
        <v>90</v>
      </c>
      <c r="K44" s="35">
        <f>SUM('BPPA-Y5'!$F$8:$F$13)</f>
        <v>946.4</v>
      </c>
      <c r="L44" s="35">
        <f>SUM('BPPA-Y5'!$G$8:$G$13)</f>
        <v>47.32</v>
      </c>
      <c r="M44" s="35">
        <f>SUM('BPPA-Y5'!$H$8:$H$13)</f>
        <v>94.64</v>
      </c>
      <c r="N44" s="35">
        <f t="shared" si="9"/>
        <v>1088.3600000000001</v>
      </c>
      <c r="O44" s="41">
        <f>SUM('BPPA-Y5'!$I$8:$I$13)</f>
        <v>54375.411999999997</v>
      </c>
      <c r="P44" s="41">
        <v>0</v>
      </c>
      <c r="Q44" s="41">
        <f>O44+P44</f>
        <v>54375.411999999997</v>
      </c>
    </row>
    <row r="45" spans="1:21" ht="13.5" thickBot="1" x14ac:dyDescent="0.35">
      <c r="A45" s="339" t="s">
        <v>91</v>
      </c>
      <c r="B45" s="343"/>
      <c r="C45" s="343"/>
      <c r="D45" s="343"/>
      <c r="E45" s="343"/>
      <c r="F45" s="340"/>
      <c r="G45" s="340"/>
      <c r="H45" s="340"/>
      <c r="J45" s="339" t="s">
        <v>91</v>
      </c>
      <c r="K45" s="363">
        <f>SUM('BPPA-Y6'!$F$8:$F$13)</f>
        <v>946.4</v>
      </c>
      <c r="L45" s="363">
        <f>SUM('BPPA-Y6'!$G$8:$G$13)</f>
        <v>47.32</v>
      </c>
      <c r="M45" s="363">
        <f>SUM('BPPA-Y6'!$H$8:$H$13)</f>
        <v>94.64</v>
      </c>
      <c r="N45" s="343">
        <f>SUM(K45:M45)</f>
        <v>1088.3600000000001</v>
      </c>
      <c r="O45" s="364">
        <f>SUM('BPPA-Y6'!$I$8:$I$13)</f>
        <v>54375.411999999997</v>
      </c>
      <c r="P45" s="364">
        <v>0</v>
      </c>
      <c r="Q45" s="364">
        <f>O45+P45</f>
        <v>54375.411999999997</v>
      </c>
    </row>
    <row r="46" spans="1:21" ht="13" x14ac:dyDescent="0.3">
      <c r="A46" s="43" t="s">
        <v>97</v>
      </c>
      <c r="B46" s="37">
        <f>SUM(B5:B45)</f>
        <v>956.28</v>
      </c>
      <c r="C46" s="37">
        <f t="shared" ref="C46:E46" si="10">SUM(C5:C45)</f>
        <v>47.814000000000007</v>
      </c>
      <c r="D46" s="37">
        <f t="shared" si="10"/>
        <v>95.628000000000014</v>
      </c>
      <c r="E46" s="37">
        <f t="shared" si="10"/>
        <v>1099.722</v>
      </c>
      <c r="F46" s="38">
        <f>ROUND(SUM(F5:F45),-1)</f>
        <v>54970</v>
      </c>
      <c r="G46" s="38">
        <f>SUM(G5:G45)</f>
        <v>0</v>
      </c>
      <c r="H46" s="38">
        <f>ROUND(SUM(H5:H45),-1)</f>
        <v>54970</v>
      </c>
      <c r="J46" s="43" t="s">
        <v>97</v>
      </c>
      <c r="K46" s="37">
        <f>SUM(K5:K45)</f>
        <v>25721.1649</v>
      </c>
      <c r="L46" s="37">
        <f t="shared" ref="L46:N46" si="11">SUM(L5:L45)</f>
        <v>1286.0582450000002</v>
      </c>
      <c r="M46" s="37">
        <f t="shared" si="11"/>
        <v>2572.1164900000003</v>
      </c>
      <c r="N46" s="37">
        <f t="shared" si="11"/>
        <v>29579.339635000004</v>
      </c>
      <c r="O46" s="38">
        <f>ROUND(SUM(O5:O45),-1)</f>
        <v>1477950</v>
      </c>
      <c r="P46" s="38">
        <f>SUM(P5:P45)</f>
        <v>0</v>
      </c>
      <c r="Q46" s="38">
        <f>ROUND(SUM(Q5:Q45),-1)</f>
        <v>1477950</v>
      </c>
    </row>
    <row r="47" spans="1:21" ht="13" x14ac:dyDescent="0.3">
      <c r="A47" s="44" t="s">
        <v>98</v>
      </c>
      <c r="B47" s="35">
        <f>B46/3</f>
        <v>318.76</v>
      </c>
      <c r="C47" s="35">
        <f t="shared" ref="C47:H47" si="12">C46/3</f>
        <v>15.938000000000002</v>
      </c>
      <c r="D47" s="35">
        <f t="shared" si="12"/>
        <v>31.876000000000005</v>
      </c>
      <c r="E47" s="35">
        <f t="shared" si="12"/>
        <v>366.57400000000001</v>
      </c>
      <c r="F47" s="38">
        <f t="shared" si="12"/>
        <v>18323.333333333332</v>
      </c>
      <c r="G47" s="38">
        <f t="shared" si="12"/>
        <v>0</v>
      </c>
      <c r="H47" s="38">
        <f t="shared" si="12"/>
        <v>18323.333333333332</v>
      </c>
      <c r="J47" s="44" t="s">
        <v>98</v>
      </c>
      <c r="K47" s="35">
        <f>K46/3</f>
        <v>8573.7216333333326</v>
      </c>
      <c r="L47" s="35">
        <f t="shared" ref="L47:Q47" si="13">L46/3</f>
        <v>428.68608166666672</v>
      </c>
      <c r="M47" s="35">
        <f t="shared" si="13"/>
        <v>857.37216333333345</v>
      </c>
      <c r="N47" s="35">
        <f t="shared" si="13"/>
        <v>9859.7798783333346</v>
      </c>
      <c r="O47" s="38">
        <f t="shared" si="13"/>
        <v>492650</v>
      </c>
      <c r="P47" s="38">
        <f t="shared" si="13"/>
        <v>0</v>
      </c>
      <c r="Q47" s="38">
        <f t="shared" si="13"/>
        <v>492650</v>
      </c>
      <c r="U47" s="377"/>
    </row>
    <row r="48" spans="1:21" ht="13" x14ac:dyDescent="0.3">
      <c r="A48" s="40"/>
      <c r="B48" s="40"/>
      <c r="C48" s="40"/>
      <c r="D48" s="40"/>
      <c r="E48" s="40"/>
      <c r="F48" s="40"/>
      <c r="G48" s="40"/>
      <c r="H48" s="40"/>
    </row>
  </sheetData>
  <mergeCells count="3">
    <mergeCell ref="A1:H1"/>
    <mergeCell ref="A2:H2"/>
    <mergeCell ref="J2:Q2"/>
  </mergeCells>
  <pageMargins left="0.7" right="0.7" top="0.75" bottom="0.75" header="0.3" footer="0.3"/>
  <pageSetup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2CDF-9352-4018-8ADA-1FF4D272762B}">
  <sheetPr codeName="Sheet19"/>
  <dimension ref="A1:O27"/>
  <sheetViews>
    <sheetView zoomScale="80" zoomScaleNormal="80" workbookViewId="0">
      <pane xSplit="12" ySplit="6" topLeftCell="M7" activePane="bottomRight" state="frozen"/>
      <selection pane="topRight" activeCell="A73" sqref="A73"/>
      <selection pane="bottomLeft" activeCell="A73" sqref="A73"/>
      <selection pane="bottomRight" activeCell="K18" sqref="K18"/>
    </sheetView>
  </sheetViews>
  <sheetFormatPr defaultColWidth="9.1796875" defaultRowHeight="14.5" x14ac:dyDescent="0.35"/>
  <cols>
    <col min="1" max="1" width="39.1796875" style="224" customWidth="1"/>
    <col min="2" max="2" width="9.81640625" style="224" customWidth="1"/>
    <col min="3" max="4" width="9.1796875" style="224"/>
    <col min="5" max="5" width="9.1796875" style="225"/>
    <col min="6" max="8" width="9.1796875" style="224"/>
    <col min="9" max="9" width="13.81640625" style="224" customWidth="1"/>
    <col min="10" max="10" width="9.1796875" style="224"/>
    <col min="11" max="11" width="13.1796875" style="225" customWidth="1"/>
    <col min="12" max="12" width="9.1796875" style="224"/>
    <col min="13" max="13" width="23.1796875" style="224" customWidth="1"/>
    <col min="14" max="16384" width="9.1796875" style="224"/>
  </cols>
  <sheetData>
    <row r="1" spans="1:15" s="188" customFormat="1" ht="15" customHeight="1" x14ac:dyDescent="0.3">
      <c r="A1" s="462" t="s">
        <v>93</v>
      </c>
      <c r="B1" s="462"/>
      <c r="C1" s="462"/>
      <c r="D1" s="462"/>
      <c r="E1" s="462"/>
      <c r="F1" s="462"/>
      <c r="G1" s="462"/>
      <c r="H1" s="462"/>
      <c r="I1" s="462"/>
    </row>
    <row r="2" spans="1:15" s="188" customFormat="1" ht="30" x14ac:dyDescent="0.3">
      <c r="A2" s="423" t="s">
        <v>362</v>
      </c>
      <c r="B2" s="423"/>
      <c r="C2" s="423"/>
      <c r="D2" s="423"/>
      <c r="E2" s="350"/>
      <c r="F2" s="423"/>
      <c r="G2" s="423"/>
      <c r="H2" s="423"/>
      <c r="I2" s="423"/>
    </row>
    <row r="3" spans="1:15" ht="36.75" customHeight="1" x14ac:dyDescent="0.35">
      <c r="A3" s="491" t="s">
        <v>385</v>
      </c>
      <c r="B3" s="491"/>
      <c r="C3" s="491"/>
      <c r="D3" s="491"/>
      <c r="E3" s="491"/>
      <c r="F3" s="491"/>
      <c r="G3" s="491"/>
      <c r="H3" s="491"/>
      <c r="I3" s="491"/>
    </row>
    <row r="4" spans="1:15" ht="15" x14ac:dyDescent="0.35">
      <c r="A4" s="492"/>
      <c r="B4" s="492"/>
      <c r="C4" s="492"/>
      <c r="D4" s="492"/>
      <c r="E4" s="492"/>
      <c r="F4" s="492"/>
      <c r="G4" s="492"/>
      <c r="H4" s="492"/>
      <c r="I4" s="492"/>
    </row>
    <row r="5" spans="1:15" x14ac:dyDescent="0.35">
      <c r="A5" s="493" t="s">
        <v>219</v>
      </c>
      <c r="B5" s="426" t="s">
        <v>220</v>
      </c>
      <c r="C5" s="426" t="s">
        <v>221</v>
      </c>
      <c r="D5" s="426" t="s">
        <v>222</v>
      </c>
      <c r="E5" s="426" t="s">
        <v>223</v>
      </c>
      <c r="F5" s="426" t="s">
        <v>224</v>
      </c>
      <c r="G5" s="426" t="s">
        <v>225</v>
      </c>
      <c r="H5" s="426" t="s">
        <v>226</v>
      </c>
      <c r="I5" s="426" t="s">
        <v>227</v>
      </c>
    </row>
    <row r="6" spans="1:15" ht="65" x14ac:dyDescent="0.35">
      <c r="A6" s="493"/>
      <c r="B6" s="426" t="s">
        <v>228</v>
      </c>
      <c r="C6" s="426" t="s">
        <v>229</v>
      </c>
      <c r="D6" s="426" t="s">
        <v>230</v>
      </c>
      <c r="E6" s="426" t="s">
        <v>231</v>
      </c>
      <c r="F6" s="426" t="s">
        <v>232</v>
      </c>
      <c r="G6" s="426" t="s">
        <v>233</v>
      </c>
      <c r="H6" s="426" t="s">
        <v>234</v>
      </c>
      <c r="I6" s="426" t="s">
        <v>235</v>
      </c>
    </row>
    <row r="7" spans="1:15" x14ac:dyDescent="0.35">
      <c r="A7" s="493"/>
      <c r="B7" s="227"/>
      <c r="C7" s="227"/>
      <c r="D7" s="426" t="s">
        <v>236</v>
      </c>
      <c r="E7" s="354"/>
      <c r="F7" s="426" t="s">
        <v>237</v>
      </c>
      <c r="G7" s="426" t="s">
        <v>238</v>
      </c>
      <c r="H7" s="426" t="s">
        <v>239</v>
      </c>
      <c r="I7" s="227"/>
      <c r="K7" s="480" t="s">
        <v>123</v>
      </c>
      <c r="L7" s="480"/>
      <c r="M7" s="226"/>
      <c r="N7" s="224" t="s">
        <v>120</v>
      </c>
    </row>
    <row r="8" spans="1:15" ht="65.5" x14ac:dyDescent="0.35">
      <c r="A8" s="228" t="s">
        <v>335</v>
      </c>
      <c r="B8" s="115">
        <v>0</v>
      </c>
      <c r="C8" s="115">
        <v>0</v>
      </c>
      <c r="D8" s="115">
        <f>B8*C8</f>
        <v>0</v>
      </c>
      <c r="E8" s="355">
        <v>0</v>
      </c>
      <c r="F8" s="229">
        <f>D8*E8</f>
        <v>0</v>
      </c>
      <c r="G8" s="229">
        <f>F8*0.05</f>
        <v>0</v>
      </c>
      <c r="H8" s="229">
        <f>F8*0.1</f>
        <v>0</v>
      </c>
      <c r="I8" s="230">
        <f>(F8*$L$9)+(G8*$L$8)+(H8*$L$10)</f>
        <v>0</v>
      </c>
      <c r="K8" s="194" t="s">
        <v>125</v>
      </c>
      <c r="L8" s="158">
        <v>69.040000000000006</v>
      </c>
      <c r="M8" s="196" t="s">
        <v>240</v>
      </c>
      <c r="N8" s="224">
        <f>C8*E8</f>
        <v>0</v>
      </c>
    </row>
    <row r="9" spans="1:15" ht="23.15" customHeight="1" x14ac:dyDescent="0.35">
      <c r="A9" s="228" t="s">
        <v>386</v>
      </c>
      <c r="B9" s="115">
        <v>0</v>
      </c>
      <c r="C9" s="115">
        <v>0</v>
      </c>
      <c r="D9" s="115">
        <f>B9*C9</f>
        <v>0</v>
      </c>
      <c r="E9" s="115">
        <f>E8*0.05</f>
        <v>0</v>
      </c>
      <c r="F9" s="232">
        <f>D9*E9</f>
        <v>0</v>
      </c>
      <c r="G9" s="232">
        <f>F9*0.05</f>
        <v>0</v>
      </c>
      <c r="H9" s="232">
        <f>F9*0.1</f>
        <v>0</v>
      </c>
      <c r="I9" s="233">
        <f>(F9*$L$9)+(G9*$L$8)+(H9*$L$10)</f>
        <v>0</v>
      </c>
      <c r="K9" s="194" t="s">
        <v>128</v>
      </c>
      <c r="L9" s="162">
        <v>51.23</v>
      </c>
      <c r="M9" s="231"/>
      <c r="N9" s="224">
        <f t="shared" ref="N9:N13" si="0">C9*E9</f>
        <v>0</v>
      </c>
    </row>
    <row r="10" spans="1:15" ht="29.5" customHeight="1" x14ac:dyDescent="0.35">
      <c r="A10" s="301" t="s">
        <v>521</v>
      </c>
      <c r="B10" s="115">
        <v>4</v>
      </c>
      <c r="C10" s="115">
        <v>1</v>
      </c>
      <c r="D10" s="115">
        <f>B10*C10</f>
        <v>4</v>
      </c>
      <c r="E10" s="319">
        <f>'II-Y1'!$E$32</f>
        <v>14.5</v>
      </c>
      <c r="F10" s="229">
        <f t="shared" ref="F10" si="1">D10*E10</f>
        <v>58</v>
      </c>
      <c r="G10" s="235">
        <f t="shared" ref="G10" si="2">F10*0.05</f>
        <v>2.9000000000000004</v>
      </c>
      <c r="H10" s="235">
        <f t="shared" ref="H10" si="3">F10*0.1</f>
        <v>5.8000000000000007</v>
      </c>
      <c r="I10" s="230">
        <f t="shared" ref="I10" si="4">(F10*$L$9)+(G10*$L$8)+(H10*$L$10)</f>
        <v>3332.3899999999994</v>
      </c>
      <c r="K10" s="194" t="s">
        <v>130</v>
      </c>
      <c r="L10" s="162">
        <v>27.73</v>
      </c>
      <c r="M10" s="231"/>
      <c r="N10" s="224">
        <f t="shared" si="0"/>
        <v>14.5</v>
      </c>
    </row>
    <row r="11" spans="1:15" ht="28.5" x14ac:dyDescent="0.35">
      <c r="A11" s="228" t="s">
        <v>519</v>
      </c>
      <c r="B11" s="115">
        <v>0</v>
      </c>
      <c r="C11" s="115">
        <v>0</v>
      </c>
      <c r="D11" s="115">
        <f t="shared" ref="D11:D13" si="5">B11*C11</f>
        <v>0</v>
      </c>
      <c r="E11" s="319">
        <v>0</v>
      </c>
      <c r="F11" s="229">
        <f t="shared" ref="F11:F13" si="6">D11*E11</f>
        <v>0</v>
      </c>
      <c r="G11" s="229">
        <f t="shared" ref="G11:G13" si="7">F11*0.05</f>
        <v>0</v>
      </c>
      <c r="H11" s="229">
        <f t="shared" ref="H11:H13" si="8">F11*0.1</f>
        <v>0</v>
      </c>
      <c r="I11" s="230">
        <f t="shared" ref="I11:I13" si="9">(F11*$L$9)+(G11*$L$8)+(H11*$L$10)</f>
        <v>0</v>
      </c>
      <c r="N11" s="224">
        <f t="shared" si="0"/>
        <v>0</v>
      </c>
    </row>
    <row r="12" spans="1:15" ht="37" customHeight="1" x14ac:dyDescent="0.35">
      <c r="A12" s="228" t="s">
        <v>388</v>
      </c>
      <c r="B12" s="115">
        <v>0</v>
      </c>
      <c r="C12" s="115">
        <v>0</v>
      </c>
      <c r="D12" s="115">
        <f t="shared" si="5"/>
        <v>0</v>
      </c>
      <c r="E12" s="319">
        <v>0</v>
      </c>
      <c r="F12" s="229">
        <f t="shared" si="6"/>
        <v>0</v>
      </c>
      <c r="G12" s="235">
        <f t="shared" si="7"/>
        <v>0</v>
      </c>
      <c r="H12" s="235">
        <f t="shared" si="8"/>
        <v>0</v>
      </c>
      <c r="I12" s="230">
        <f t="shared" si="9"/>
        <v>0</v>
      </c>
      <c r="N12" s="224">
        <f t="shared" si="0"/>
        <v>0</v>
      </c>
    </row>
    <row r="13" spans="1:15" ht="32.5" customHeight="1" x14ac:dyDescent="0.35">
      <c r="A13" s="116" t="s">
        <v>381</v>
      </c>
      <c r="B13" s="115">
        <v>0</v>
      </c>
      <c r="C13" s="115">
        <v>0</v>
      </c>
      <c r="D13" s="115">
        <f t="shared" si="5"/>
        <v>0</v>
      </c>
      <c r="E13" s="355">
        <v>0</v>
      </c>
      <c r="F13" s="232">
        <f t="shared" si="6"/>
        <v>0</v>
      </c>
      <c r="G13" s="229">
        <f t="shared" si="7"/>
        <v>0</v>
      </c>
      <c r="H13" s="229">
        <f t="shared" si="8"/>
        <v>0</v>
      </c>
      <c r="I13" s="230">
        <f t="shared" si="9"/>
        <v>0</v>
      </c>
      <c r="N13" s="224">
        <f t="shared" si="0"/>
        <v>0</v>
      </c>
    </row>
    <row r="14" spans="1:15" ht="20.25" customHeight="1" x14ac:dyDescent="0.35">
      <c r="A14" s="222" t="s">
        <v>247</v>
      </c>
      <c r="B14" s="222"/>
      <c r="C14" s="222"/>
      <c r="D14" s="222"/>
      <c r="E14" s="426"/>
      <c r="F14" s="218">
        <f>ROUND(SUM(F8:H13), -1)</f>
        <v>70</v>
      </c>
      <c r="G14" s="236"/>
      <c r="H14" s="236"/>
      <c r="I14" s="237">
        <f>ROUND(SUM(I8:I13), -2)</f>
        <v>3300</v>
      </c>
      <c r="N14" s="224">
        <f>SUM(N8:N13)</f>
        <v>14.5</v>
      </c>
      <c r="O14" s="224" t="s">
        <v>248</v>
      </c>
    </row>
    <row r="15" spans="1:15" x14ac:dyDescent="0.35">
      <c r="A15" s="238"/>
      <c r="G15" s="239"/>
    </row>
    <row r="16" spans="1:15" x14ac:dyDescent="0.35">
      <c r="A16" s="238" t="s">
        <v>249</v>
      </c>
    </row>
    <row r="17" spans="1:9" ht="23.5" customHeight="1" x14ac:dyDescent="0.35">
      <c r="A17" s="490" t="s">
        <v>382</v>
      </c>
      <c r="B17" s="490"/>
      <c r="C17" s="490"/>
      <c r="D17" s="490"/>
      <c r="E17" s="490"/>
      <c r="F17" s="490"/>
      <c r="G17" s="490"/>
      <c r="H17" s="490"/>
      <c r="I17" s="490"/>
    </row>
    <row r="18" spans="1:9" ht="67" customHeight="1" x14ac:dyDescent="0.35">
      <c r="A18" s="475" t="s">
        <v>251</v>
      </c>
      <c r="B18" s="475"/>
      <c r="C18" s="475"/>
      <c r="D18" s="475"/>
      <c r="E18" s="475"/>
      <c r="F18" s="475"/>
      <c r="G18" s="475"/>
      <c r="H18" s="475"/>
      <c r="I18" s="475"/>
    </row>
    <row r="19" spans="1:9" ht="32.25" customHeight="1" x14ac:dyDescent="0.35">
      <c r="A19" s="487" t="s">
        <v>383</v>
      </c>
      <c r="B19" s="487"/>
      <c r="C19" s="487"/>
      <c r="D19" s="487"/>
      <c r="E19" s="487"/>
      <c r="F19" s="487"/>
      <c r="G19" s="487"/>
      <c r="H19" s="487"/>
      <c r="I19" s="487"/>
    </row>
    <row r="20" spans="1:9" ht="15.5" x14ac:dyDescent="0.35">
      <c r="A20" s="488" t="s">
        <v>253</v>
      </c>
      <c r="B20" s="488"/>
      <c r="C20" s="488"/>
      <c r="D20" s="488"/>
      <c r="E20" s="488"/>
      <c r="F20" s="488"/>
      <c r="G20" s="488"/>
      <c r="H20" s="488"/>
      <c r="I20" s="488"/>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7:L7"/>
    <mergeCell ref="A18:I18"/>
    <mergeCell ref="A19:I19"/>
    <mergeCell ref="A20:I20"/>
    <mergeCell ref="A21:I21"/>
    <mergeCell ref="A17:I17"/>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E7D3-6023-4787-9E07-2D8DBE3949AB}">
  <sheetPr codeName="Sheet20"/>
  <dimension ref="A1:O28"/>
  <sheetViews>
    <sheetView zoomScale="80" zoomScaleNormal="80" workbookViewId="0">
      <pane xSplit="12" ySplit="6" topLeftCell="M7" activePane="bottomRight" state="frozen"/>
      <selection pane="topRight" activeCell="A73" sqref="A73"/>
      <selection pane="bottomLeft" activeCell="A73" sqref="A73"/>
      <selection pane="bottomRight" activeCell="B12" sqref="B12:C14"/>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27.54296875" style="224" customWidth="1"/>
    <col min="14" max="16384" width="9.1796875" style="224"/>
  </cols>
  <sheetData>
    <row r="1" spans="1:15" s="188" customFormat="1" ht="15" customHeight="1" x14ac:dyDescent="0.3">
      <c r="A1" s="462" t="s">
        <v>93</v>
      </c>
      <c r="B1" s="462"/>
      <c r="C1" s="462"/>
      <c r="D1" s="462"/>
      <c r="E1" s="462"/>
      <c r="F1" s="462"/>
      <c r="G1" s="462"/>
      <c r="H1" s="462"/>
      <c r="I1" s="462"/>
    </row>
    <row r="2" spans="1:15" s="188" customFormat="1" ht="30" x14ac:dyDescent="0.3">
      <c r="A2" s="423" t="s">
        <v>364</v>
      </c>
      <c r="B2" s="423"/>
      <c r="C2" s="423"/>
      <c r="D2" s="423"/>
      <c r="E2" s="423"/>
      <c r="F2" s="423"/>
      <c r="G2" s="423"/>
      <c r="H2" s="423"/>
      <c r="I2" s="423"/>
    </row>
    <row r="3" spans="1:15" ht="36.75" customHeight="1" x14ac:dyDescent="0.35">
      <c r="A3" s="491" t="s">
        <v>389</v>
      </c>
      <c r="B3" s="491"/>
      <c r="C3" s="491"/>
      <c r="D3" s="491"/>
      <c r="E3" s="491"/>
      <c r="F3" s="491"/>
      <c r="G3" s="491"/>
      <c r="H3" s="491"/>
      <c r="I3" s="491"/>
    </row>
    <row r="4" spans="1:15" ht="15" x14ac:dyDescent="0.35">
      <c r="A4" s="492"/>
      <c r="B4" s="492"/>
      <c r="C4" s="492"/>
      <c r="D4" s="492"/>
      <c r="E4" s="492"/>
      <c r="F4" s="492"/>
      <c r="G4" s="492"/>
      <c r="H4" s="492"/>
      <c r="I4" s="492"/>
    </row>
    <row r="5" spans="1:15" x14ac:dyDescent="0.35">
      <c r="A5" s="493" t="s">
        <v>219</v>
      </c>
      <c r="B5" s="426" t="s">
        <v>220</v>
      </c>
      <c r="C5" s="426" t="s">
        <v>221</v>
      </c>
      <c r="D5" s="426" t="s">
        <v>222</v>
      </c>
      <c r="E5" s="426" t="s">
        <v>223</v>
      </c>
      <c r="F5" s="426" t="s">
        <v>224</v>
      </c>
      <c r="G5" s="426" t="s">
        <v>225</v>
      </c>
      <c r="H5" s="426" t="s">
        <v>226</v>
      </c>
      <c r="I5" s="426" t="s">
        <v>227</v>
      </c>
    </row>
    <row r="6" spans="1:15" ht="65" x14ac:dyDescent="0.35">
      <c r="A6" s="493"/>
      <c r="B6" s="426" t="s">
        <v>228</v>
      </c>
      <c r="C6" s="426" t="s">
        <v>229</v>
      </c>
      <c r="D6" s="426" t="s">
        <v>230</v>
      </c>
      <c r="E6" s="426" t="s">
        <v>231</v>
      </c>
      <c r="F6" s="426" t="s">
        <v>232</v>
      </c>
      <c r="G6" s="426" t="s">
        <v>233</v>
      </c>
      <c r="H6" s="426" t="s">
        <v>234</v>
      </c>
      <c r="I6" s="426" t="s">
        <v>235</v>
      </c>
    </row>
    <row r="7" spans="1:15" x14ac:dyDescent="0.35">
      <c r="A7" s="493"/>
      <c r="B7" s="227"/>
      <c r="C7" s="227"/>
      <c r="D7" s="426" t="s">
        <v>236</v>
      </c>
      <c r="E7" s="227"/>
      <c r="F7" s="426" t="s">
        <v>237</v>
      </c>
      <c r="G7" s="426" t="s">
        <v>238</v>
      </c>
      <c r="H7" s="426" t="s">
        <v>239</v>
      </c>
      <c r="I7" s="227"/>
      <c r="K7" s="480" t="s">
        <v>123</v>
      </c>
      <c r="L7" s="480"/>
      <c r="M7" s="226"/>
      <c r="N7" s="224" t="s">
        <v>120</v>
      </c>
    </row>
    <row r="8" spans="1:15" ht="52.5" x14ac:dyDescent="0.35">
      <c r="A8" s="228" t="s">
        <v>335</v>
      </c>
      <c r="B8" s="115">
        <v>0</v>
      </c>
      <c r="C8" s="115">
        <v>0</v>
      </c>
      <c r="D8" s="115">
        <f>B8*C8</f>
        <v>0</v>
      </c>
      <c r="E8" s="115">
        <f>'II-Y1'!E28</f>
        <v>0</v>
      </c>
      <c r="F8" s="229">
        <f>D8*E8</f>
        <v>0</v>
      </c>
      <c r="G8" s="229">
        <f>F8*0.05</f>
        <v>0</v>
      </c>
      <c r="H8" s="229">
        <f>F8*0.1</f>
        <v>0</v>
      </c>
      <c r="I8" s="230">
        <f>(F8*$L$9)+(G8*$L$8)+(H8*$L$10)</f>
        <v>0</v>
      </c>
      <c r="K8" s="194" t="s">
        <v>125</v>
      </c>
      <c r="L8" s="158">
        <v>69.040000000000006</v>
      </c>
      <c r="M8" s="196" t="s">
        <v>240</v>
      </c>
      <c r="N8" s="224">
        <f>C8*E8</f>
        <v>0</v>
      </c>
    </row>
    <row r="9" spans="1:15" ht="27.65" customHeight="1" x14ac:dyDescent="0.35">
      <c r="A9" s="228" t="s">
        <v>336</v>
      </c>
      <c r="B9" s="115">
        <v>0</v>
      </c>
      <c r="C9" s="115">
        <v>0</v>
      </c>
      <c r="D9" s="115">
        <f>B9*C9</f>
        <v>0</v>
      </c>
      <c r="E9" s="115">
        <v>0</v>
      </c>
      <c r="F9" s="232">
        <f>D9*E9</f>
        <v>0</v>
      </c>
      <c r="G9" s="232">
        <f>F9*0.05</f>
        <v>0</v>
      </c>
      <c r="H9" s="232">
        <f>F9*0.1</f>
        <v>0</v>
      </c>
      <c r="I9" s="233">
        <f>(F9*$L$9)+(G9*$L$8)+(H9*$L$10)</f>
        <v>0</v>
      </c>
      <c r="K9" s="194" t="s">
        <v>128</v>
      </c>
      <c r="L9" s="162">
        <v>51.23</v>
      </c>
      <c r="M9" s="231"/>
      <c r="N9" s="224">
        <f t="shared" ref="N9:N14" si="0">C9*E9</f>
        <v>0</v>
      </c>
    </row>
    <row r="10" spans="1:15" ht="15.5" x14ac:dyDescent="0.35">
      <c r="A10" s="362" t="s">
        <v>243</v>
      </c>
      <c r="B10" s="115"/>
      <c r="C10" s="115"/>
      <c r="D10" s="115"/>
      <c r="E10" s="115"/>
      <c r="F10" s="229"/>
      <c r="G10" s="229"/>
      <c r="H10" s="229"/>
      <c r="I10" s="234"/>
      <c r="K10" s="194" t="s">
        <v>130</v>
      </c>
      <c r="L10" s="162">
        <v>27.73</v>
      </c>
      <c r="M10" s="231"/>
      <c r="N10" s="224">
        <f t="shared" si="0"/>
        <v>0</v>
      </c>
    </row>
    <row r="11" spans="1:15" ht="39" x14ac:dyDescent="0.35">
      <c r="A11" s="76" t="s">
        <v>261</v>
      </c>
      <c r="B11" s="58">
        <v>8</v>
      </c>
      <c r="C11" s="58">
        <v>1</v>
      </c>
      <c r="D11" s="159">
        <f>B11*C11</f>
        <v>8</v>
      </c>
      <c r="E11" s="200">
        <f>'II-Y1'!$L$22*0.01</f>
        <v>0.28999999999999998</v>
      </c>
      <c r="F11" s="229">
        <f t="shared" ref="F11" si="1">D11*E11</f>
        <v>2.3199999999999998</v>
      </c>
      <c r="G11" s="229">
        <f t="shared" ref="G11" si="2">F11*0.05</f>
        <v>0.11599999999999999</v>
      </c>
      <c r="H11" s="229">
        <f t="shared" ref="H11" si="3">F11*0.1</f>
        <v>0.23199999999999998</v>
      </c>
      <c r="I11" s="230">
        <f t="shared" ref="I11" si="4">(F11*$L$9)+(G11*$L$8)+(H11*$L$10)</f>
        <v>133.29559999999998</v>
      </c>
      <c r="K11" s="285"/>
      <c r="L11" s="117"/>
      <c r="M11" s="231"/>
    </row>
    <row r="12" spans="1:15" ht="28.5" x14ac:dyDescent="0.35">
      <c r="A12" s="228" t="s">
        <v>387</v>
      </c>
      <c r="B12" s="115">
        <v>0</v>
      </c>
      <c r="C12" s="115">
        <v>0</v>
      </c>
      <c r="D12" s="115">
        <f t="shared" ref="D12:D14" si="5">B12*C12</f>
        <v>0</v>
      </c>
      <c r="E12" s="200">
        <v>0</v>
      </c>
      <c r="F12" s="229">
        <f t="shared" ref="F12:F14" si="6">D12*E12</f>
        <v>0</v>
      </c>
      <c r="G12" s="229">
        <f t="shared" ref="G12:G14" si="7">F12*0.05</f>
        <v>0</v>
      </c>
      <c r="H12" s="229">
        <f t="shared" ref="H12:H14" si="8">F12*0.1</f>
        <v>0</v>
      </c>
      <c r="I12" s="230">
        <f t="shared" ref="I12:I14" si="9">(F12*$L$9)+(G12*$L$8)+(H12*$L$10)</f>
        <v>0</v>
      </c>
      <c r="N12" s="224">
        <f t="shared" si="0"/>
        <v>0</v>
      </c>
    </row>
    <row r="13" spans="1:15" ht="28.5" x14ac:dyDescent="0.35">
      <c r="A13" s="228" t="s">
        <v>388</v>
      </c>
      <c r="B13" s="115">
        <v>0</v>
      </c>
      <c r="C13" s="115">
        <v>0</v>
      </c>
      <c r="D13" s="115">
        <f t="shared" si="5"/>
        <v>0</v>
      </c>
      <c r="E13" s="200">
        <v>0</v>
      </c>
      <c r="F13" s="229">
        <f t="shared" si="6"/>
        <v>0</v>
      </c>
      <c r="G13" s="235">
        <f t="shared" si="7"/>
        <v>0</v>
      </c>
      <c r="H13" s="235">
        <f t="shared" si="8"/>
        <v>0</v>
      </c>
      <c r="I13" s="230">
        <f t="shared" si="9"/>
        <v>0</v>
      </c>
      <c r="N13" s="224">
        <f t="shared" si="0"/>
        <v>0</v>
      </c>
    </row>
    <row r="14" spans="1:15" x14ac:dyDescent="0.35">
      <c r="A14" s="116" t="s">
        <v>381</v>
      </c>
      <c r="B14" s="115">
        <v>0</v>
      </c>
      <c r="C14" s="115">
        <v>0</v>
      </c>
      <c r="D14" s="115">
        <f t="shared" si="5"/>
        <v>0</v>
      </c>
      <c r="E14" s="115">
        <f>'II-Y1'!E39</f>
        <v>0</v>
      </c>
      <c r="F14" s="232">
        <f t="shared" si="6"/>
        <v>0</v>
      </c>
      <c r="G14" s="229">
        <f t="shared" si="7"/>
        <v>0</v>
      </c>
      <c r="H14" s="229">
        <f t="shared" si="8"/>
        <v>0</v>
      </c>
      <c r="I14" s="230">
        <f t="shared" si="9"/>
        <v>0</v>
      </c>
      <c r="N14" s="224">
        <f t="shared" si="0"/>
        <v>0</v>
      </c>
    </row>
    <row r="15" spans="1:15" ht="20.25" customHeight="1" x14ac:dyDescent="0.35">
      <c r="A15" s="222" t="s">
        <v>247</v>
      </c>
      <c r="B15" s="222"/>
      <c r="C15" s="222"/>
      <c r="D15" s="222"/>
      <c r="E15" s="222"/>
      <c r="F15" s="218">
        <f>ROUND(SUM(F8:H14), -1)</f>
        <v>0</v>
      </c>
      <c r="G15" s="236"/>
      <c r="H15" s="236"/>
      <c r="I15" s="237">
        <f>ROUND(SUM(I8:I14), -2)</f>
        <v>100</v>
      </c>
      <c r="N15" s="224">
        <f>SUM(N8:N14)</f>
        <v>0</v>
      </c>
      <c r="O15" s="224" t="s">
        <v>248</v>
      </c>
    </row>
    <row r="16" spans="1:15" x14ac:dyDescent="0.35">
      <c r="A16" s="238"/>
      <c r="G16" s="239"/>
    </row>
    <row r="17" spans="1:9" x14ac:dyDescent="0.35">
      <c r="A17" s="238" t="s">
        <v>249</v>
      </c>
    </row>
    <row r="18" spans="1:9" ht="24.75" customHeight="1" x14ac:dyDescent="0.35">
      <c r="A18" s="490" t="s">
        <v>382</v>
      </c>
      <c r="B18" s="490"/>
      <c r="C18" s="490"/>
      <c r="D18" s="490"/>
      <c r="E18" s="490"/>
      <c r="F18" s="490"/>
      <c r="G18" s="490"/>
      <c r="H18" s="490"/>
      <c r="I18" s="490"/>
    </row>
    <row r="19" spans="1:9" ht="67.5" customHeight="1" x14ac:dyDescent="0.35">
      <c r="A19" s="475" t="s">
        <v>251</v>
      </c>
      <c r="B19" s="475"/>
      <c r="C19" s="475"/>
      <c r="D19" s="475"/>
      <c r="E19" s="475"/>
      <c r="F19" s="475"/>
      <c r="G19" s="475"/>
      <c r="H19" s="475"/>
      <c r="I19" s="475"/>
    </row>
    <row r="20" spans="1:9" ht="32.25" customHeight="1" x14ac:dyDescent="0.35">
      <c r="A20" s="487" t="s">
        <v>383</v>
      </c>
      <c r="B20" s="487"/>
      <c r="C20" s="487"/>
      <c r="D20" s="487"/>
      <c r="E20" s="487"/>
      <c r="F20" s="487"/>
      <c r="G20" s="487"/>
      <c r="H20" s="487"/>
      <c r="I20" s="487"/>
    </row>
    <row r="21" spans="1:9" ht="15.5" x14ac:dyDescent="0.35">
      <c r="A21" s="488" t="s">
        <v>253</v>
      </c>
      <c r="B21" s="488"/>
      <c r="C21" s="488"/>
      <c r="D21" s="488"/>
      <c r="E21" s="488"/>
      <c r="F21" s="488"/>
      <c r="G21" s="488"/>
      <c r="H21" s="488"/>
      <c r="I21" s="488"/>
    </row>
    <row r="22" spans="1:9" ht="15.5" x14ac:dyDescent="0.35">
      <c r="A22" s="489" t="s">
        <v>384</v>
      </c>
      <c r="B22" s="489"/>
      <c r="C22" s="489"/>
      <c r="D22" s="489"/>
      <c r="E22" s="489"/>
      <c r="F22" s="489"/>
      <c r="G22" s="489"/>
      <c r="H22" s="489"/>
      <c r="I22" s="489"/>
    </row>
    <row r="23" spans="1:9" ht="15.5" x14ac:dyDescent="0.35">
      <c r="A23" s="489" t="s">
        <v>255</v>
      </c>
      <c r="B23" s="489"/>
      <c r="C23" s="489"/>
      <c r="D23" s="489"/>
      <c r="E23" s="489"/>
      <c r="F23" s="489"/>
      <c r="G23" s="489"/>
      <c r="H23" s="489"/>
      <c r="I23" s="489"/>
    </row>
    <row r="25" spans="1:9" x14ac:dyDescent="0.35">
      <c r="A25" s="240"/>
    </row>
    <row r="26" spans="1:9" x14ac:dyDescent="0.35">
      <c r="A26" s="240"/>
    </row>
    <row r="27" spans="1:9" x14ac:dyDescent="0.35">
      <c r="A27" s="240"/>
    </row>
    <row r="28" spans="1:9" x14ac:dyDescent="0.35">
      <c r="A28" s="240"/>
    </row>
  </sheetData>
  <mergeCells count="11">
    <mergeCell ref="A1:I1"/>
    <mergeCell ref="A3:I3"/>
    <mergeCell ref="A4:I4"/>
    <mergeCell ref="A5:A7"/>
    <mergeCell ref="A23:I23"/>
    <mergeCell ref="K7:L7"/>
    <mergeCell ref="A19:I19"/>
    <mergeCell ref="A20:I20"/>
    <mergeCell ref="A21:I21"/>
    <mergeCell ref="A22:I22"/>
    <mergeCell ref="A18:I18"/>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666C-8C71-40AB-A280-0DC25C095484}">
  <dimension ref="A1:O32"/>
  <sheetViews>
    <sheetView zoomScale="80" zoomScaleNormal="80" workbookViewId="0">
      <pane xSplit="12" ySplit="6" topLeftCell="M7" activePane="bottomRight" state="frozen"/>
      <selection pane="topRight" activeCell="A73" sqref="A73"/>
      <selection pane="bottomLeft" activeCell="A73" sqref="A73"/>
      <selection pane="bottomRight" activeCell="B12" sqref="B12:C15"/>
    </sheetView>
  </sheetViews>
  <sheetFormatPr defaultColWidth="9.1796875" defaultRowHeight="14.5" x14ac:dyDescent="0.35"/>
  <cols>
    <col min="1" max="1" width="39.1796875" style="224" customWidth="1"/>
    <col min="2" max="2" width="9.81640625" style="224" customWidth="1"/>
    <col min="3" max="4" width="9.1796875" style="224"/>
    <col min="5" max="5" width="9.1796875" style="225"/>
    <col min="6" max="8" width="9.1796875" style="224"/>
    <col min="9" max="9" width="13.81640625" style="224" customWidth="1"/>
    <col min="10" max="10" width="9.1796875" style="224"/>
    <col min="11" max="11" width="27.453125" style="225" customWidth="1"/>
    <col min="12" max="12" width="9.1796875" style="224"/>
    <col min="13" max="13" width="25" style="224" customWidth="1"/>
    <col min="14" max="16384" width="9.1796875" style="224"/>
  </cols>
  <sheetData>
    <row r="1" spans="1:14" s="188" customFormat="1" ht="15" customHeight="1" x14ac:dyDescent="0.3">
      <c r="A1" s="462" t="s">
        <v>93</v>
      </c>
      <c r="B1" s="462"/>
      <c r="C1" s="462"/>
      <c r="D1" s="462"/>
      <c r="E1" s="462"/>
      <c r="F1" s="462"/>
      <c r="G1" s="462"/>
      <c r="H1" s="462"/>
      <c r="I1" s="462"/>
    </row>
    <row r="2" spans="1:14" s="188" customFormat="1" ht="30" x14ac:dyDescent="0.3">
      <c r="A2" s="423" t="s">
        <v>369</v>
      </c>
      <c r="B2" s="423"/>
      <c r="C2" s="423"/>
      <c r="D2" s="423"/>
      <c r="E2" s="350"/>
      <c r="F2" s="423"/>
      <c r="G2" s="423"/>
      <c r="H2" s="423"/>
      <c r="I2" s="423"/>
    </row>
    <row r="3" spans="1:14" ht="36.75" customHeight="1" x14ac:dyDescent="0.35">
      <c r="A3" s="491" t="s">
        <v>377</v>
      </c>
      <c r="B3" s="491"/>
      <c r="C3" s="491"/>
      <c r="D3" s="491"/>
      <c r="E3" s="491"/>
      <c r="F3" s="491"/>
      <c r="G3" s="491"/>
      <c r="H3" s="491"/>
      <c r="I3" s="491"/>
    </row>
    <row r="4" spans="1:14" ht="15" x14ac:dyDescent="0.35">
      <c r="A4" s="492"/>
      <c r="B4" s="492"/>
      <c r="C4" s="492"/>
      <c r="D4" s="492"/>
      <c r="E4" s="492"/>
      <c r="F4" s="492"/>
      <c r="G4" s="492"/>
      <c r="H4" s="492"/>
      <c r="I4" s="492"/>
    </row>
    <row r="5" spans="1:14" x14ac:dyDescent="0.35">
      <c r="A5" s="493" t="s">
        <v>219</v>
      </c>
      <c r="B5" s="426" t="s">
        <v>220</v>
      </c>
      <c r="C5" s="426" t="s">
        <v>221</v>
      </c>
      <c r="D5" s="426" t="s">
        <v>222</v>
      </c>
      <c r="E5" s="426" t="s">
        <v>223</v>
      </c>
      <c r="F5" s="426" t="s">
        <v>224</v>
      </c>
      <c r="G5" s="426" t="s">
        <v>225</v>
      </c>
      <c r="H5" s="426" t="s">
        <v>226</v>
      </c>
      <c r="I5" s="426" t="s">
        <v>227</v>
      </c>
    </row>
    <row r="6" spans="1:14" ht="65" x14ac:dyDescent="0.35">
      <c r="A6" s="493"/>
      <c r="B6" s="426" t="s">
        <v>228</v>
      </c>
      <c r="C6" s="426" t="s">
        <v>229</v>
      </c>
      <c r="D6" s="426" t="s">
        <v>230</v>
      </c>
      <c r="E6" s="426" t="s">
        <v>231</v>
      </c>
      <c r="F6" s="426" t="s">
        <v>232</v>
      </c>
      <c r="G6" s="426" t="s">
        <v>233</v>
      </c>
      <c r="H6" s="426" t="s">
        <v>234</v>
      </c>
      <c r="I6" s="426" t="s">
        <v>235</v>
      </c>
    </row>
    <row r="7" spans="1:14" x14ac:dyDescent="0.35">
      <c r="A7" s="493"/>
      <c r="B7" s="227"/>
      <c r="C7" s="227"/>
      <c r="D7" s="426" t="s">
        <v>236</v>
      </c>
      <c r="E7" s="354"/>
      <c r="F7" s="426" t="s">
        <v>237</v>
      </c>
      <c r="G7" s="426" t="s">
        <v>238</v>
      </c>
      <c r="H7" s="426" t="s">
        <v>239</v>
      </c>
      <c r="I7" s="227"/>
      <c r="K7" s="480" t="s">
        <v>123</v>
      </c>
      <c r="L7" s="480"/>
      <c r="M7" s="226"/>
      <c r="N7" s="224" t="s">
        <v>120</v>
      </c>
    </row>
    <row r="8" spans="1:14" ht="67" customHeight="1" x14ac:dyDescent="0.35">
      <c r="A8" s="261" t="s">
        <v>289</v>
      </c>
      <c r="B8" s="115">
        <v>0</v>
      </c>
      <c r="C8" s="115">
        <v>0</v>
      </c>
      <c r="D8" s="317">
        <f>B8*C8</f>
        <v>0</v>
      </c>
      <c r="E8" s="355">
        <v>0</v>
      </c>
      <c r="F8" s="229">
        <f>D8*E8</f>
        <v>0</v>
      </c>
      <c r="G8" s="229">
        <f>F8*0.05</f>
        <v>0</v>
      </c>
      <c r="H8" s="229">
        <f>F8*0.1</f>
        <v>0</v>
      </c>
      <c r="I8" s="230">
        <f>(F8*$L$9)+(G8*$L$8)+(H8*$L$10)</f>
        <v>0</v>
      </c>
      <c r="K8" s="194" t="s">
        <v>125</v>
      </c>
      <c r="L8" s="158">
        <v>69.040000000000006</v>
      </c>
      <c r="M8" s="196" t="s">
        <v>240</v>
      </c>
      <c r="N8" s="224">
        <f>C9*E9</f>
        <v>29</v>
      </c>
    </row>
    <row r="9" spans="1:14" ht="15.5" x14ac:dyDescent="0.35">
      <c r="A9" s="228" t="s">
        <v>335</v>
      </c>
      <c r="B9" s="115">
        <v>4</v>
      </c>
      <c r="C9" s="115">
        <v>1</v>
      </c>
      <c r="D9" s="115">
        <f>B9*C9</f>
        <v>4</v>
      </c>
      <c r="E9" s="355">
        <f>'II-Y1'!$L$22</f>
        <v>29</v>
      </c>
      <c r="F9" s="229">
        <f>D9*E9</f>
        <v>116</v>
      </c>
      <c r="G9" s="229">
        <f>F9*0.05</f>
        <v>5.8000000000000007</v>
      </c>
      <c r="H9" s="229">
        <f>F9*0.1</f>
        <v>11.600000000000001</v>
      </c>
      <c r="I9" s="230">
        <f>(F9*$L$9)+(G9*$L$8)+(H9*$L$10)</f>
        <v>6664.7799999999988</v>
      </c>
      <c r="K9" s="194" t="s">
        <v>128</v>
      </c>
      <c r="L9" s="162">
        <v>51.23</v>
      </c>
      <c r="M9" s="231"/>
      <c r="N9" s="224">
        <f t="shared" ref="N9:N17" si="0">C10*E10</f>
        <v>1.4500000000000002</v>
      </c>
    </row>
    <row r="10" spans="1:14" ht="27.65" customHeight="1" x14ac:dyDescent="0.35">
      <c r="A10" s="114" t="s">
        <v>336</v>
      </c>
      <c r="B10" s="115">
        <v>8</v>
      </c>
      <c r="C10" s="115">
        <v>1</v>
      </c>
      <c r="D10" s="115">
        <f>B10*C10</f>
        <v>8</v>
      </c>
      <c r="E10" s="115">
        <f>E9*0.05</f>
        <v>1.4500000000000002</v>
      </c>
      <c r="F10" s="232">
        <f>D10*E10</f>
        <v>11.600000000000001</v>
      </c>
      <c r="G10" s="232">
        <f>F10*0.05</f>
        <v>0.58000000000000007</v>
      </c>
      <c r="H10" s="232">
        <f>F10*0.1</f>
        <v>1.1600000000000001</v>
      </c>
      <c r="I10" s="233">
        <f>(F10*$L$9)+(G10*$L$8)+(H10*$L$10)</f>
        <v>666.47799999999995</v>
      </c>
      <c r="K10" s="194" t="s">
        <v>130</v>
      </c>
      <c r="L10" s="162">
        <v>27.73</v>
      </c>
      <c r="M10" s="231"/>
      <c r="N10" s="224">
        <f t="shared" si="0"/>
        <v>0</v>
      </c>
    </row>
    <row r="11" spans="1:14" ht="45.65" customHeight="1" x14ac:dyDescent="0.35">
      <c r="A11" s="228" t="s">
        <v>243</v>
      </c>
      <c r="B11" s="115"/>
      <c r="C11" s="115"/>
      <c r="D11" s="115"/>
      <c r="E11" s="115"/>
      <c r="F11" s="229"/>
      <c r="G11" s="229"/>
      <c r="H11" s="229"/>
      <c r="I11" s="234"/>
      <c r="K11" s="115"/>
      <c r="L11" s="117"/>
      <c r="M11" s="231"/>
      <c r="N11" s="224">
        <f t="shared" si="0"/>
        <v>0</v>
      </c>
    </row>
    <row r="12" spans="1:14" ht="39" x14ac:dyDescent="0.35">
      <c r="A12" s="114" t="s">
        <v>390</v>
      </c>
      <c r="B12" s="115">
        <v>0</v>
      </c>
      <c r="C12" s="115">
        <v>0</v>
      </c>
      <c r="D12" s="115">
        <f t="shared" ref="D12:D18" si="1">B12*C12</f>
        <v>0</v>
      </c>
      <c r="E12" s="355">
        <v>0</v>
      </c>
      <c r="F12" s="229">
        <f t="shared" ref="F12:F18" si="2">D12*E12</f>
        <v>0</v>
      </c>
      <c r="G12" s="235">
        <f t="shared" ref="G12:G18" si="3">F12*0.05</f>
        <v>0</v>
      </c>
      <c r="H12" s="235">
        <f t="shared" ref="H12:H18" si="4">F12*0.1</f>
        <v>0</v>
      </c>
      <c r="I12" s="230">
        <f t="shared" ref="I12:I18" si="5">(F12*$L$9)+(G12*$L$8)+(H12*$L$10)</f>
        <v>0</v>
      </c>
      <c r="K12" s="285"/>
      <c r="L12" s="117"/>
      <c r="M12" s="231"/>
      <c r="N12" s="224">
        <f t="shared" si="0"/>
        <v>0</v>
      </c>
    </row>
    <row r="13" spans="1:14" ht="28" customHeight="1" x14ac:dyDescent="0.35">
      <c r="A13" s="114" t="s">
        <v>378</v>
      </c>
      <c r="B13" s="115">
        <v>0</v>
      </c>
      <c r="C13" s="115">
        <v>0</v>
      </c>
      <c r="D13" s="115">
        <f t="shared" si="1"/>
        <v>0</v>
      </c>
      <c r="E13" s="115">
        <v>0</v>
      </c>
      <c r="F13" s="229">
        <f t="shared" si="2"/>
        <v>0</v>
      </c>
      <c r="G13" s="235">
        <f t="shared" si="3"/>
        <v>0</v>
      </c>
      <c r="H13" s="235">
        <f t="shared" si="4"/>
        <v>0</v>
      </c>
      <c r="I13" s="230">
        <f t="shared" si="5"/>
        <v>0</v>
      </c>
      <c r="K13" s="115"/>
      <c r="L13" s="117"/>
      <c r="M13" s="231"/>
      <c r="N13" s="224">
        <f t="shared" si="0"/>
        <v>0</v>
      </c>
    </row>
    <row r="14" spans="1:14" ht="24" customHeight="1" x14ac:dyDescent="0.35">
      <c r="A14" s="114" t="s">
        <v>379</v>
      </c>
      <c r="B14" s="115">
        <v>0</v>
      </c>
      <c r="C14" s="115">
        <v>0</v>
      </c>
      <c r="D14" s="115">
        <f t="shared" si="1"/>
        <v>0</v>
      </c>
      <c r="E14" s="115">
        <v>0</v>
      </c>
      <c r="F14" s="229">
        <f t="shared" si="2"/>
        <v>0</v>
      </c>
      <c r="G14" s="235">
        <f t="shared" si="3"/>
        <v>0</v>
      </c>
      <c r="H14" s="235">
        <f t="shared" si="4"/>
        <v>0</v>
      </c>
      <c r="I14" s="230">
        <f t="shared" si="5"/>
        <v>0</v>
      </c>
      <c r="K14" s="115"/>
      <c r="L14" s="117"/>
      <c r="M14" s="231"/>
      <c r="N14" s="224">
        <f t="shared" si="0"/>
        <v>0</v>
      </c>
    </row>
    <row r="15" spans="1:14" ht="26" x14ac:dyDescent="0.35">
      <c r="A15" s="114" t="s">
        <v>380</v>
      </c>
      <c r="B15" s="115">
        <v>0</v>
      </c>
      <c r="C15" s="115">
        <v>0</v>
      </c>
      <c r="D15" s="115">
        <f t="shared" si="1"/>
        <v>0</v>
      </c>
      <c r="E15" s="115">
        <v>0</v>
      </c>
      <c r="F15" s="229">
        <f t="shared" si="2"/>
        <v>0</v>
      </c>
      <c r="G15" s="235">
        <f t="shared" si="3"/>
        <v>0</v>
      </c>
      <c r="H15" s="235">
        <f t="shared" si="4"/>
        <v>0</v>
      </c>
      <c r="I15" s="230">
        <f t="shared" si="5"/>
        <v>0</v>
      </c>
      <c r="N15" s="224">
        <f t="shared" si="0"/>
        <v>31.900000000000002</v>
      </c>
    </row>
    <row r="16" spans="1:14" ht="28.5" x14ac:dyDescent="0.35">
      <c r="A16" s="114" t="s">
        <v>339</v>
      </c>
      <c r="B16" s="115">
        <v>0.5</v>
      </c>
      <c r="C16" s="115">
        <v>1.1000000000000001</v>
      </c>
      <c r="D16" s="115">
        <f t="shared" si="1"/>
        <v>0.55000000000000004</v>
      </c>
      <c r="E16" s="355">
        <f>'II-Y1'!$L$22</f>
        <v>29</v>
      </c>
      <c r="F16" s="229">
        <f t="shared" si="2"/>
        <v>15.950000000000001</v>
      </c>
      <c r="G16" s="229">
        <f t="shared" si="3"/>
        <v>0.7975000000000001</v>
      </c>
      <c r="H16" s="229">
        <f t="shared" si="4"/>
        <v>1.5950000000000002</v>
      </c>
      <c r="I16" s="230">
        <f t="shared" si="5"/>
        <v>916.40724999999998</v>
      </c>
      <c r="N16" s="224">
        <f t="shared" si="0"/>
        <v>29</v>
      </c>
    </row>
    <row r="17" spans="1:15" ht="28.5" x14ac:dyDescent="0.35">
      <c r="A17" s="114" t="s">
        <v>340</v>
      </c>
      <c r="B17" s="115">
        <v>2</v>
      </c>
      <c r="C17" s="115">
        <v>1</v>
      </c>
      <c r="D17" s="115">
        <f t="shared" si="1"/>
        <v>2</v>
      </c>
      <c r="E17" s="355">
        <f>'II-Y1'!$L$22</f>
        <v>29</v>
      </c>
      <c r="F17" s="229">
        <f t="shared" si="2"/>
        <v>58</v>
      </c>
      <c r="G17" s="235">
        <f t="shared" si="3"/>
        <v>2.9000000000000004</v>
      </c>
      <c r="H17" s="235">
        <f t="shared" si="4"/>
        <v>5.8000000000000007</v>
      </c>
      <c r="I17" s="230">
        <f t="shared" si="5"/>
        <v>3332.3899999999994</v>
      </c>
      <c r="N17" s="224">
        <f t="shared" si="0"/>
        <v>29</v>
      </c>
    </row>
    <row r="18" spans="1:15" ht="34.5" customHeight="1" x14ac:dyDescent="0.35">
      <c r="A18" s="116" t="s">
        <v>381</v>
      </c>
      <c r="B18" s="115">
        <v>2</v>
      </c>
      <c r="C18" s="115">
        <v>1</v>
      </c>
      <c r="D18" s="115">
        <f t="shared" si="1"/>
        <v>2</v>
      </c>
      <c r="E18" s="355">
        <f>'II-Y1'!$L$22</f>
        <v>29</v>
      </c>
      <c r="F18" s="232">
        <f t="shared" si="2"/>
        <v>58</v>
      </c>
      <c r="G18" s="229">
        <f t="shared" si="3"/>
        <v>2.9000000000000004</v>
      </c>
      <c r="H18" s="229">
        <f t="shared" si="4"/>
        <v>5.8000000000000007</v>
      </c>
      <c r="I18" s="230">
        <f t="shared" si="5"/>
        <v>3332.3899999999994</v>
      </c>
      <c r="N18" s="224">
        <f>SUM(N8:N17)</f>
        <v>120.35</v>
      </c>
      <c r="O18" s="224" t="s">
        <v>248</v>
      </c>
    </row>
    <row r="19" spans="1:15" ht="15" x14ac:dyDescent="0.35">
      <c r="A19" s="222" t="s">
        <v>247</v>
      </c>
      <c r="B19" s="222"/>
      <c r="C19" s="222"/>
      <c r="D19" s="222"/>
      <c r="E19" s="426"/>
      <c r="F19" s="218">
        <f>ROUND(SUM(F8:H18), -1)</f>
        <v>300</v>
      </c>
      <c r="G19" s="236"/>
      <c r="H19" s="236"/>
      <c r="I19" s="237">
        <f>ROUND(SUM(I8:I18), -2)</f>
        <v>14900</v>
      </c>
    </row>
    <row r="20" spans="1:15" x14ac:dyDescent="0.35">
      <c r="A20" s="238"/>
      <c r="G20" s="239"/>
    </row>
    <row r="21" spans="1:15" ht="24.75" customHeight="1" x14ac:dyDescent="0.35">
      <c r="A21" s="238" t="s">
        <v>249</v>
      </c>
    </row>
    <row r="22" spans="1:15" ht="22.5" customHeight="1" x14ac:dyDescent="0.35">
      <c r="A22" s="490" t="s">
        <v>382</v>
      </c>
      <c r="B22" s="490"/>
      <c r="C22" s="490"/>
      <c r="D22" s="490"/>
      <c r="E22" s="490"/>
      <c r="F22" s="490"/>
      <c r="G22" s="490"/>
      <c r="H22" s="490"/>
      <c r="I22" s="490"/>
    </row>
    <row r="23" spans="1:15" ht="64.5" customHeight="1" x14ac:dyDescent="0.35">
      <c r="A23" s="475" t="s">
        <v>251</v>
      </c>
      <c r="B23" s="475"/>
      <c r="C23" s="475"/>
      <c r="D23" s="475"/>
      <c r="E23" s="475"/>
      <c r="F23" s="475"/>
      <c r="G23" s="475"/>
      <c r="H23" s="475"/>
      <c r="I23" s="475"/>
    </row>
    <row r="24" spans="1:15" ht="15.5" x14ac:dyDescent="0.35">
      <c r="A24" s="487" t="s">
        <v>383</v>
      </c>
      <c r="B24" s="487"/>
      <c r="C24" s="487"/>
      <c r="D24" s="487"/>
      <c r="E24" s="487"/>
      <c r="F24" s="487"/>
      <c r="G24" s="487"/>
      <c r="H24" s="487"/>
      <c r="I24" s="487"/>
    </row>
    <row r="25" spans="1:15" ht="15.5" x14ac:dyDescent="0.35">
      <c r="A25" s="488" t="s">
        <v>253</v>
      </c>
      <c r="B25" s="488"/>
      <c r="C25" s="488"/>
      <c r="D25" s="488"/>
      <c r="E25" s="488"/>
      <c r="F25" s="488"/>
      <c r="G25" s="488"/>
      <c r="H25" s="488"/>
      <c r="I25" s="488"/>
    </row>
    <row r="26" spans="1:15" ht="15.5" x14ac:dyDescent="0.35">
      <c r="A26" s="489" t="s">
        <v>384</v>
      </c>
      <c r="B26" s="489"/>
      <c r="C26" s="489"/>
      <c r="D26" s="489"/>
      <c r="E26" s="489"/>
      <c r="F26" s="489"/>
      <c r="G26" s="489"/>
      <c r="H26" s="489"/>
      <c r="I26" s="489"/>
    </row>
    <row r="27" spans="1:15" ht="15.5" x14ac:dyDescent="0.35">
      <c r="A27" s="489" t="s">
        <v>255</v>
      </c>
      <c r="B27" s="489"/>
      <c r="C27" s="489"/>
      <c r="D27" s="489"/>
      <c r="E27" s="489"/>
      <c r="F27" s="489"/>
      <c r="G27" s="489"/>
      <c r="H27" s="489"/>
      <c r="I27" s="489"/>
    </row>
    <row r="29" spans="1:15" x14ac:dyDescent="0.35">
      <c r="A29" s="240"/>
    </row>
    <row r="30" spans="1:15" x14ac:dyDescent="0.35">
      <c r="A30" s="240"/>
    </row>
    <row r="31" spans="1:15" x14ac:dyDescent="0.35">
      <c r="A31" s="240"/>
    </row>
    <row r="32" spans="1:15" x14ac:dyDescent="0.35">
      <c r="A32" s="240"/>
    </row>
  </sheetData>
  <mergeCells count="11">
    <mergeCell ref="A1:I1"/>
    <mergeCell ref="A3:I3"/>
    <mergeCell ref="A4:I4"/>
    <mergeCell ref="A5:A7"/>
    <mergeCell ref="A27:I27"/>
    <mergeCell ref="K7:L7"/>
    <mergeCell ref="A23:I23"/>
    <mergeCell ref="A24:I24"/>
    <mergeCell ref="A25:I25"/>
    <mergeCell ref="A26:I26"/>
    <mergeCell ref="A22:I22"/>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4EFA-612F-4509-B794-2E6CBD38CD99}">
  <dimension ref="A1:O32"/>
  <sheetViews>
    <sheetView zoomScale="80" zoomScaleNormal="80" workbookViewId="0">
      <pane xSplit="12" ySplit="6" topLeftCell="M7" activePane="bottomRight" state="frozen"/>
      <selection pane="topRight" activeCell="A73" sqref="A73"/>
      <selection pane="bottomLeft" activeCell="A73" sqref="A73"/>
      <selection pane="bottomRight" activeCell="B12" sqref="B12:C15"/>
    </sheetView>
  </sheetViews>
  <sheetFormatPr defaultColWidth="9.1796875" defaultRowHeight="14.5" x14ac:dyDescent="0.35"/>
  <cols>
    <col min="1" max="1" width="39.1796875" style="224" customWidth="1"/>
    <col min="2" max="2" width="9.81640625" style="224" customWidth="1"/>
    <col min="3" max="4" width="9.1796875" style="224"/>
    <col min="5" max="5" width="9.1796875" style="225"/>
    <col min="6" max="8" width="9.1796875" style="224"/>
    <col min="9" max="9" width="13.81640625" style="224" customWidth="1"/>
    <col min="10" max="10" width="9.1796875" style="224"/>
    <col min="11" max="11" width="27.453125" style="225" customWidth="1"/>
    <col min="12" max="12" width="9.1796875" style="224"/>
    <col min="13" max="13" width="25" style="224" customWidth="1"/>
    <col min="14" max="16384" width="9.1796875" style="224"/>
  </cols>
  <sheetData>
    <row r="1" spans="1:14" s="188" customFormat="1" ht="15" customHeight="1" x14ac:dyDescent="0.3">
      <c r="A1" s="462" t="s">
        <v>93</v>
      </c>
      <c r="B1" s="462"/>
      <c r="C1" s="462"/>
      <c r="D1" s="462"/>
      <c r="E1" s="462"/>
      <c r="F1" s="462"/>
      <c r="G1" s="462"/>
      <c r="H1" s="462"/>
      <c r="I1" s="462"/>
    </row>
    <row r="2" spans="1:14" s="188" customFormat="1" ht="30" x14ac:dyDescent="0.3">
      <c r="A2" s="423" t="s">
        <v>374</v>
      </c>
      <c r="B2" s="423"/>
      <c r="C2" s="423"/>
      <c r="D2" s="423"/>
      <c r="E2" s="350"/>
      <c r="F2" s="423"/>
      <c r="G2" s="423"/>
      <c r="H2" s="423"/>
      <c r="I2" s="423"/>
    </row>
    <row r="3" spans="1:14" ht="36.75" customHeight="1" x14ac:dyDescent="0.35">
      <c r="A3" s="491" t="s">
        <v>377</v>
      </c>
      <c r="B3" s="491"/>
      <c r="C3" s="491"/>
      <c r="D3" s="491"/>
      <c r="E3" s="491"/>
      <c r="F3" s="491"/>
      <c r="G3" s="491"/>
      <c r="H3" s="491"/>
      <c r="I3" s="491"/>
    </row>
    <row r="4" spans="1:14" ht="15" x14ac:dyDescent="0.35">
      <c r="A4" s="492"/>
      <c r="B4" s="492"/>
      <c r="C4" s="492"/>
      <c r="D4" s="492"/>
      <c r="E4" s="492"/>
      <c r="F4" s="492"/>
      <c r="G4" s="492"/>
      <c r="H4" s="492"/>
      <c r="I4" s="492"/>
    </row>
    <row r="5" spans="1:14" x14ac:dyDescent="0.35">
      <c r="A5" s="493" t="s">
        <v>219</v>
      </c>
      <c r="B5" s="426" t="s">
        <v>220</v>
      </c>
      <c r="C5" s="426" t="s">
        <v>221</v>
      </c>
      <c r="D5" s="426" t="s">
        <v>222</v>
      </c>
      <c r="E5" s="426" t="s">
        <v>223</v>
      </c>
      <c r="F5" s="426" t="s">
        <v>224</v>
      </c>
      <c r="G5" s="426" t="s">
        <v>225</v>
      </c>
      <c r="H5" s="426" t="s">
        <v>226</v>
      </c>
      <c r="I5" s="426" t="s">
        <v>227</v>
      </c>
    </row>
    <row r="6" spans="1:14" ht="65" x14ac:dyDescent="0.35">
      <c r="A6" s="493"/>
      <c r="B6" s="426" t="s">
        <v>228</v>
      </c>
      <c r="C6" s="426" t="s">
        <v>229</v>
      </c>
      <c r="D6" s="426" t="s">
        <v>230</v>
      </c>
      <c r="E6" s="426" t="s">
        <v>231</v>
      </c>
      <c r="F6" s="426" t="s">
        <v>232</v>
      </c>
      <c r="G6" s="426" t="s">
        <v>233</v>
      </c>
      <c r="H6" s="426" t="s">
        <v>234</v>
      </c>
      <c r="I6" s="426" t="s">
        <v>235</v>
      </c>
    </row>
    <row r="7" spans="1:14" x14ac:dyDescent="0.35">
      <c r="A7" s="493"/>
      <c r="B7" s="227"/>
      <c r="C7" s="227"/>
      <c r="D7" s="426" t="s">
        <v>236</v>
      </c>
      <c r="E7" s="354"/>
      <c r="F7" s="426" t="s">
        <v>237</v>
      </c>
      <c r="G7" s="426" t="s">
        <v>238</v>
      </c>
      <c r="H7" s="426" t="s">
        <v>239</v>
      </c>
      <c r="I7" s="227"/>
      <c r="K7" s="480" t="s">
        <v>123</v>
      </c>
      <c r="L7" s="480"/>
      <c r="M7" s="226"/>
      <c r="N7" s="224" t="s">
        <v>120</v>
      </c>
    </row>
    <row r="8" spans="1:14" ht="67" customHeight="1" x14ac:dyDescent="0.35">
      <c r="A8" s="261" t="s">
        <v>289</v>
      </c>
      <c r="B8" s="115">
        <v>0</v>
      </c>
      <c r="C8" s="115">
        <v>0</v>
      </c>
      <c r="D8" s="317">
        <f>B8*C8</f>
        <v>0</v>
      </c>
      <c r="E8" s="355">
        <v>0</v>
      </c>
      <c r="F8" s="229">
        <f>D8*E8</f>
        <v>0</v>
      </c>
      <c r="G8" s="229">
        <f>F8*0.05</f>
        <v>0</v>
      </c>
      <c r="H8" s="229">
        <f>F8*0.1</f>
        <v>0</v>
      </c>
      <c r="I8" s="230">
        <f>(F8*$L$9)+(G8*$L$8)+(H8*$L$10)</f>
        <v>0</v>
      </c>
      <c r="K8" s="194" t="s">
        <v>125</v>
      </c>
      <c r="L8" s="158">
        <v>69.040000000000006</v>
      </c>
      <c r="M8" s="196" t="s">
        <v>240</v>
      </c>
      <c r="N8" s="224">
        <f>C9*E9</f>
        <v>0</v>
      </c>
    </row>
    <row r="9" spans="1:14" ht="15.5" x14ac:dyDescent="0.35">
      <c r="A9" s="228" t="s">
        <v>335</v>
      </c>
      <c r="B9" s="115">
        <v>0</v>
      </c>
      <c r="C9" s="115">
        <v>0</v>
      </c>
      <c r="D9" s="115">
        <f>B9*C9</f>
        <v>0</v>
      </c>
      <c r="E9" s="115">
        <f>'II-Y1'!E28</f>
        <v>0</v>
      </c>
      <c r="F9" s="229">
        <f>D9*E9</f>
        <v>0</v>
      </c>
      <c r="G9" s="229">
        <f>F9*0.05</f>
        <v>0</v>
      </c>
      <c r="H9" s="229">
        <f>F9*0.1</f>
        <v>0</v>
      </c>
      <c r="I9" s="230">
        <f>(F9*$L$9)+(G9*$L$8)+(H9*$L$10)</f>
        <v>0</v>
      </c>
      <c r="K9" s="194" t="s">
        <v>128</v>
      </c>
      <c r="L9" s="162">
        <v>51.23</v>
      </c>
      <c r="M9" s="231"/>
      <c r="N9" s="224">
        <f t="shared" ref="N9:N17" si="0">C10*E10</f>
        <v>0</v>
      </c>
    </row>
    <row r="10" spans="1:14" ht="30.65" customHeight="1" x14ac:dyDescent="0.35">
      <c r="A10" s="114" t="s">
        <v>336</v>
      </c>
      <c r="B10" s="115">
        <v>0</v>
      </c>
      <c r="C10" s="115">
        <v>0</v>
      </c>
      <c r="D10" s="115">
        <f>B10*C10</f>
        <v>0</v>
      </c>
      <c r="E10" s="115">
        <v>0</v>
      </c>
      <c r="F10" s="232">
        <f>D10*E10</f>
        <v>0</v>
      </c>
      <c r="G10" s="232">
        <f>F10*0.05</f>
        <v>0</v>
      </c>
      <c r="H10" s="232">
        <f>F10*0.1</f>
        <v>0</v>
      </c>
      <c r="I10" s="233">
        <f>(F10*$L$9)+(G10*$L$8)+(H10*$L$10)</f>
        <v>0</v>
      </c>
      <c r="K10" s="194" t="s">
        <v>130</v>
      </c>
      <c r="L10" s="162">
        <v>27.73</v>
      </c>
      <c r="M10" s="231"/>
      <c r="N10" s="224">
        <f t="shared" si="0"/>
        <v>0</v>
      </c>
    </row>
    <row r="11" spans="1:14" ht="45.65" customHeight="1" x14ac:dyDescent="0.35">
      <c r="A11" s="228" t="s">
        <v>243</v>
      </c>
      <c r="B11" s="115"/>
      <c r="C11" s="115"/>
      <c r="D11" s="115"/>
      <c r="E11" s="115"/>
      <c r="F11" s="229"/>
      <c r="G11" s="229"/>
      <c r="H11" s="229"/>
      <c r="I11" s="234"/>
      <c r="K11" s="115"/>
      <c r="L11" s="117"/>
      <c r="M11" s="231"/>
      <c r="N11" s="224">
        <f t="shared" si="0"/>
        <v>0</v>
      </c>
    </row>
    <row r="12" spans="1:14" ht="39" x14ac:dyDescent="0.35">
      <c r="A12" s="114" t="s">
        <v>390</v>
      </c>
      <c r="B12" s="115">
        <v>0</v>
      </c>
      <c r="C12" s="115">
        <v>0</v>
      </c>
      <c r="D12" s="115">
        <f t="shared" ref="D12:D18" si="1">B12*C12</f>
        <v>0</v>
      </c>
      <c r="E12" s="355">
        <v>0</v>
      </c>
      <c r="F12" s="229">
        <f t="shared" ref="F12:F18" si="2">D12*E12</f>
        <v>0</v>
      </c>
      <c r="G12" s="235">
        <f t="shared" ref="G12:G18" si="3">F12*0.05</f>
        <v>0</v>
      </c>
      <c r="H12" s="235">
        <f t="shared" ref="H12:H18" si="4">F12*0.1</f>
        <v>0</v>
      </c>
      <c r="I12" s="230">
        <f t="shared" ref="I12:I18" si="5">(F12*$L$9)+(G12*$L$8)+(H12*$L$10)</f>
        <v>0</v>
      </c>
      <c r="K12" s="285"/>
      <c r="L12" s="117"/>
      <c r="M12" s="231"/>
      <c r="N12" s="224">
        <f t="shared" si="0"/>
        <v>0</v>
      </c>
    </row>
    <row r="13" spans="1:14" ht="28" customHeight="1" x14ac:dyDescent="0.35">
      <c r="A13" s="114" t="s">
        <v>378</v>
      </c>
      <c r="B13" s="115">
        <v>0</v>
      </c>
      <c r="C13" s="115">
        <v>0</v>
      </c>
      <c r="D13" s="115">
        <f t="shared" si="1"/>
        <v>0</v>
      </c>
      <c r="E13" s="115">
        <v>0</v>
      </c>
      <c r="F13" s="229">
        <f t="shared" si="2"/>
        <v>0</v>
      </c>
      <c r="G13" s="235">
        <f t="shared" si="3"/>
        <v>0</v>
      </c>
      <c r="H13" s="235">
        <f t="shared" si="4"/>
        <v>0</v>
      </c>
      <c r="I13" s="230">
        <f t="shared" si="5"/>
        <v>0</v>
      </c>
      <c r="K13" s="115"/>
      <c r="L13" s="117"/>
      <c r="M13" s="231"/>
      <c r="N13" s="224">
        <f t="shared" si="0"/>
        <v>0</v>
      </c>
    </row>
    <row r="14" spans="1:14" ht="24" customHeight="1" x14ac:dyDescent="0.35">
      <c r="A14" s="114" t="s">
        <v>379</v>
      </c>
      <c r="B14" s="115">
        <v>0</v>
      </c>
      <c r="C14" s="115">
        <v>0</v>
      </c>
      <c r="D14" s="115">
        <f t="shared" si="1"/>
        <v>0</v>
      </c>
      <c r="E14" s="115">
        <v>0</v>
      </c>
      <c r="F14" s="229">
        <f t="shared" si="2"/>
        <v>0</v>
      </c>
      <c r="G14" s="235">
        <f t="shared" si="3"/>
        <v>0</v>
      </c>
      <c r="H14" s="235">
        <f t="shared" si="4"/>
        <v>0</v>
      </c>
      <c r="I14" s="230">
        <f t="shared" si="5"/>
        <v>0</v>
      </c>
      <c r="K14" s="115"/>
      <c r="L14" s="117"/>
      <c r="M14" s="231"/>
      <c r="N14" s="224">
        <f t="shared" si="0"/>
        <v>0</v>
      </c>
    </row>
    <row r="15" spans="1:14" ht="26" x14ac:dyDescent="0.35">
      <c r="A15" s="114" t="s">
        <v>380</v>
      </c>
      <c r="B15" s="115">
        <v>0</v>
      </c>
      <c r="C15" s="115">
        <v>0</v>
      </c>
      <c r="D15" s="115">
        <f t="shared" si="1"/>
        <v>0</v>
      </c>
      <c r="E15" s="115">
        <v>0</v>
      </c>
      <c r="F15" s="229">
        <f t="shared" si="2"/>
        <v>0</v>
      </c>
      <c r="G15" s="235">
        <f t="shared" si="3"/>
        <v>0</v>
      </c>
      <c r="H15" s="235">
        <f t="shared" si="4"/>
        <v>0</v>
      </c>
      <c r="I15" s="230">
        <f t="shared" si="5"/>
        <v>0</v>
      </c>
      <c r="N15" s="224">
        <f t="shared" si="0"/>
        <v>31.900000000000002</v>
      </c>
    </row>
    <row r="16" spans="1:14" ht="28.5" x14ac:dyDescent="0.35">
      <c r="A16" s="114" t="s">
        <v>339</v>
      </c>
      <c r="B16" s="115">
        <v>0.5</v>
      </c>
      <c r="C16" s="115">
        <v>1.1000000000000001</v>
      </c>
      <c r="D16" s="115">
        <f t="shared" si="1"/>
        <v>0.55000000000000004</v>
      </c>
      <c r="E16" s="355">
        <f>'II-Y1'!$L$22</f>
        <v>29</v>
      </c>
      <c r="F16" s="229">
        <f t="shared" si="2"/>
        <v>15.950000000000001</v>
      </c>
      <c r="G16" s="229">
        <f t="shared" si="3"/>
        <v>0.7975000000000001</v>
      </c>
      <c r="H16" s="229">
        <f t="shared" si="4"/>
        <v>1.5950000000000002</v>
      </c>
      <c r="I16" s="230">
        <f t="shared" si="5"/>
        <v>916.40724999999998</v>
      </c>
      <c r="N16" s="224">
        <f t="shared" si="0"/>
        <v>29</v>
      </c>
    </row>
    <row r="17" spans="1:15" ht="28.5" x14ac:dyDescent="0.35">
      <c r="A17" s="114" t="s">
        <v>340</v>
      </c>
      <c r="B17" s="115">
        <v>2</v>
      </c>
      <c r="C17" s="115">
        <v>1</v>
      </c>
      <c r="D17" s="115">
        <f t="shared" si="1"/>
        <v>2</v>
      </c>
      <c r="E17" s="355">
        <f>'II-Y1'!$L$22</f>
        <v>29</v>
      </c>
      <c r="F17" s="229">
        <f t="shared" si="2"/>
        <v>58</v>
      </c>
      <c r="G17" s="235">
        <f t="shared" si="3"/>
        <v>2.9000000000000004</v>
      </c>
      <c r="H17" s="235">
        <f t="shared" si="4"/>
        <v>5.8000000000000007</v>
      </c>
      <c r="I17" s="230">
        <f t="shared" si="5"/>
        <v>3332.3899999999994</v>
      </c>
      <c r="N17" s="224">
        <f t="shared" si="0"/>
        <v>29</v>
      </c>
    </row>
    <row r="18" spans="1:15" ht="20.25" customHeight="1" x14ac:dyDescent="0.35">
      <c r="A18" s="116" t="s">
        <v>381</v>
      </c>
      <c r="B18" s="115">
        <v>2</v>
      </c>
      <c r="C18" s="115">
        <v>1</v>
      </c>
      <c r="D18" s="115">
        <f t="shared" si="1"/>
        <v>2</v>
      </c>
      <c r="E18" s="355">
        <f>'II-Y1'!$L$22</f>
        <v>29</v>
      </c>
      <c r="F18" s="232">
        <f t="shared" si="2"/>
        <v>58</v>
      </c>
      <c r="G18" s="229">
        <f t="shared" si="3"/>
        <v>2.9000000000000004</v>
      </c>
      <c r="H18" s="229">
        <f t="shared" si="4"/>
        <v>5.8000000000000007</v>
      </c>
      <c r="I18" s="230">
        <f t="shared" si="5"/>
        <v>3332.3899999999994</v>
      </c>
      <c r="N18" s="224">
        <f>SUM(N8:N17)</f>
        <v>89.9</v>
      </c>
      <c r="O18" s="224" t="s">
        <v>248</v>
      </c>
    </row>
    <row r="19" spans="1:15" ht="15" x14ac:dyDescent="0.35">
      <c r="A19" s="222" t="s">
        <v>247</v>
      </c>
      <c r="B19" s="222"/>
      <c r="C19" s="222"/>
      <c r="D19" s="222"/>
      <c r="E19" s="426"/>
      <c r="F19" s="218">
        <f>ROUND(SUM(F8:H18), -1)</f>
        <v>150</v>
      </c>
      <c r="G19" s="236"/>
      <c r="H19" s="236"/>
      <c r="I19" s="237">
        <f>ROUND(SUM(I8:I18), -2)</f>
        <v>7600</v>
      </c>
    </row>
    <row r="20" spans="1:15" x14ac:dyDescent="0.35">
      <c r="A20" s="238"/>
      <c r="G20" s="239"/>
    </row>
    <row r="21" spans="1:15" ht="24.75" customHeight="1" x14ac:dyDescent="0.35">
      <c r="A21" s="238" t="s">
        <v>249</v>
      </c>
    </row>
    <row r="22" spans="1:15" ht="22.5" customHeight="1" x14ac:dyDescent="0.35">
      <c r="A22" s="490" t="s">
        <v>382</v>
      </c>
      <c r="B22" s="490"/>
      <c r="C22" s="490"/>
      <c r="D22" s="490"/>
      <c r="E22" s="490"/>
      <c r="F22" s="490"/>
      <c r="G22" s="490"/>
      <c r="H22" s="490"/>
      <c r="I22" s="490"/>
    </row>
    <row r="23" spans="1:15" ht="60.65" customHeight="1" x14ac:dyDescent="0.35">
      <c r="A23" s="475" t="s">
        <v>251</v>
      </c>
      <c r="B23" s="475"/>
      <c r="C23" s="475"/>
      <c r="D23" s="475"/>
      <c r="E23" s="475"/>
      <c r="F23" s="475"/>
      <c r="G23" s="475"/>
      <c r="H23" s="475"/>
      <c r="I23" s="475"/>
    </row>
    <row r="24" spans="1:15" ht="15.5" x14ac:dyDescent="0.35">
      <c r="A24" s="487" t="s">
        <v>383</v>
      </c>
      <c r="B24" s="487"/>
      <c r="C24" s="487"/>
      <c r="D24" s="487"/>
      <c r="E24" s="487"/>
      <c r="F24" s="487"/>
      <c r="G24" s="487"/>
      <c r="H24" s="487"/>
      <c r="I24" s="487"/>
    </row>
    <row r="25" spans="1:15" ht="15.5" x14ac:dyDescent="0.35">
      <c r="A25" s="488" t="s">
        <v>253</v>
      </c>
      <c r="B25" s="488"/>
      <c r="C25" s="488"/>
      <c r="D25" s="488"/>
      <c r="E25" s="488"/>
      <c r="F25" s="488"/>
      <c r="G25" s="488"/>
      <c r="H25" s="488"/>
      <c r="I25" s="488"/>
    </row>
    <row r="26" spans="1:15" ht="15.5" x14ac:dyDescent="0.35">
      <c r="A26" s="489" t="s">
        <v>384</v>
      </c>
      <c r="B26" s="489"/>
      <c r="C26" s="489"/>
      <c r="D26" s="489"/>
      <c r="E26" s="489"/>
      <c r="F26" s="489"/>
      <c r="G26" s="489"/>
      <c r="H26" s="489"/>
      <c r="I26" s="489"/>
    </row>
    <row r="27" spans="1:15" ht="15.5" x14ac:dyDescent="0.35">
      <c r="A27" s="489" t="s">
        <v>255</v>
      </c>
      <c r="B27" s="489"/>
      <c r="C27" s="489"/>
      <c r="D27" s="489"/>
      <c r="E27" s="489"/>
      <c r="F27" s="489"/>
      <c r="G27" s="489"/>
      <c r="H27" s="489"/>
      <c r="I27" s="489"/>
    </row>
    <row r="29" spans="1:15" x14ac:dyDescent="0.35">
      <c r="A29" s="240"/>
    </row>
    <row r="30" spans="1:15" x14ac:dyDescent="0.35">
      <c r="A30" s="240"/>
    </row>
    <row r="31" spans="1:15" x14ac:dyDescent="0.35">
      <c r="A31" s="240"/>
    </row>
    <row r="32" spans="1:15" x14ac:dyDescent="0.35">
      <c r="A32" s="240"/>
    </row>
  </sheetData>
  <mergeCells count="11">
    <mergeCell ref="A1:I1"/>
    <mergeCell ref="A3:I3"/>
    <mergeCell ref="A4:I4"/>
    <mergeCell ref="A5:A7"/>
    <mergeCell ref="A27:I27"/>
    <mergeCell ref="K7:L7"/>
    <mergeCell ref="A23:I23"/>
    <mergeCell ref="A24:I24"/>
    <mergeCell ref="A25:I25"/>
    <mergeCell ref="A26:I26"/>
    <mergeCell ref="A22:I2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E61A-E059-4B3C-9B6D-1DFCE8E165E3}">
  <dimension ref="A1:O32"/>
  <sheetViews>
    <sheetView zoomScale="80" zoomScaleNormal="80" workbookViewId="0">
      <pane xSplit="12" ySplit="6" topLeftCell="M16" activePane="bottomRight" state="frozen"/>
      <selection pane="topRight" activeCell="A73" sqref="A73"/>
      <selection pane="bottomLeft" activeCell="A73" sqref="A73"/>
      <selection pane="bottomRight" activeCell="C32" sqref="C32"/>
    </sheetView>
  </sheetViews>
  <sheetFormatPr defaultColWidth="9.1796875" defaultRowHeight="14.5" x14ac:dyDescent="0.35"/>
  <cols>
    <col min="1" max="1" width="39.1796875" style="224" customWidth="1"/>
    <col min="2" max="2" width="9.81640625" style="224" customWidth="1"/>
    <col min="3" max="4" width="9.1796875" style="224"/>
    <col min="5" max="5" width="9.1796875" style="225"/>
    <col min="6" max="8" width="9.1796875" style="224"/>
    <col min="9" max="9" width="13.81640625" style="224" customWidth="1"/>
    <col min="10" max="10" width="9.1796875" style="224"/>
    <col min="11" max="11" width="27.453125" style="225" customWidth="1"/>
    <col min="12" max="12" width="9.1796875" style="224"/>
    <col min="13" max="13" width="25" style="224" customWidth="1"/>
    <col min="14" max="16384" width="9.1796875" style="224"/>
  </cols>
  <sheetData>
    <row r="1" spans="1:14" s="188" customFormat="1" ht="15" customHeight="1" x14ac:dyDescent="0.3">
      <c r="A1" s="462" t="s">
        <v>93</v>
      </c>
      <c r="B1" s="462"/>
      <c r="C1" s="462"/>
      <c r="D1" s="462"/>
      <c r="E1" s="462"/>
      <c r="F1" s="462"/>
      <c r="G1" s="462"/>
      <c r="H1" s="462"/>
      <c r="I1" s="462"/>
    </row>
    <row r="2" spans="1:14" s="188" customFormat="1" ht="30" x14ac:dyDescent="0.3">
      <c r="A2" s="423" t="s">
        <v>375</v>
      </c>
      <c r="B2" s="423"/>
      <c r="C2" s="423"/>
      <c r="D2" s="423"/>
      <c r="E2" s="350"/>
      <c r="F2" s="423"/>
      <c r="G2" s="423"/>
      <c r="H2" s="423"/>
      <c r="I2" s="423"/>
    </row>
    <row r="3" spans="1:14" ht="36.75" customHeight="1" x14ac:dyDescent="0.35">
      <c r="A3" s="491" t="s">
        <v>377</v>
      </c>
      <c r="B3" s="491"/>
      <c r="C3" s="491"/>
      <c r="D3" s="491"/>
      <c r="E3" s="491"/>
      <c r="F3" s="491"/>
      <c r="G3" s="491"/>
      <c r="H3" s="491"/>
      <c r="I3" s="491"/>
    </row>
    <row r="4" spans="1:14" ht="15" x14ac:dyDescent="0.35">
      <c r="A4" s="492"/>
      <c r="B4" s="492"/>
      <c r="C4" s="492"/>
      <c r="D4" s="492"/>
      <c r="E4" s="492"/>
      <c r="F4" s="492"/>
      <c r="G4" s="492"/>
      <c r="H4" s="492"/>
      <c r="I4" s="492"/>
    </row>
    <row r="5" spans="1:14" x14ac:dyDescent="0.35">
      <c r="A5" s="493" t="s">
        <v>219</v>
      </c>
      <c r="B5" s="426" t="s">
        <v>220</v>
      </c>
      <c r="C5" s="426" t="s">
        <v>221</v>
      </c>
      <c r="D5" s="426" t="s">
        <v>222</v>
      </c>
      <c r="E5" s="426" t="s">
        <v>223</v>
      </c>
      <c r="F5" s="426" t="s">
        <v>224</v>
      </c>
      <c r="G5" s="426" t="s">
        <v>225</v>
      </c>
      <c r="H5" s="426" t="s">
        <v>226</v>
      </c>
      <c r="I5" s="426" t="s">
        <v>227</v>
      </c>
    </row>
    <row r="6" spans="1:14" ht="65" x14ac:dyDescent="0.35">
      <c r="A6" s="493"/>
      <c r="B6" s="426" t="s">
        <v>228</v>
      </c>
      <c r="C6" s="426" t="s">
        <v>229</v>
      </c>
      <c r="D6" s="426" t="s">
        <v>230</v>
      </c>
      <c r="E6" s="426" t="s">
        <v>231</v>
      </c>
      <c r="F6" s="426" t="s">
        <v>232</v>
      </c>
      <c r="G6" s="426" t="s">
        <v>233</v>
      </c>
      <c r="H6" s="426" t="s">
        <v>234</v>
      </c>
      <c r="I6" s="426" t="s">
        <v>235</v>
      </c>
    </row>
    <row r="7" spans="1:14" x14ac:dyDescent="0.35">
      <c r="A7" s="493"/>
      <c r="B7" s="227"/>
      <c r="C7" s="227"/>
      <c r="D7" s="426" t="s">
        <v>236</v>
      </c>
      <c r="E7" s="354"/>
      <c r="F7" s="426" t="s">
        <v>237</v>
      </c>
      <c r="G7" s="426" t="s">
        <v>238</v>
      </c>
      <c r="H7" s="426" t="s">
        <v>239</v>
      </c>
      <c r="I7" s="227"/>
      <c r="K7" s="480" t="s">
        <v>123</v>
      </c>
      <c r="L7" s="480"/>
      <c r="M7" s="226"/>
      <c r="N7" s="224" t="s">
        <v>120</v>
      </c>
    </row>
    <row r="8" spans="1:14" ht="67" customHeight="1" x14ac:dyDescent="0.35">
      <c r="A8" s="261" t="s">
        <v>289</v>
      </c>
      <c r="B8" s="115">
        <v>0</v>
      </c>
      <c r="C8" s="115">
        <v>0</v>
      </c>
      <c r="D8" s="317">
        <f>B8*C8</f>
        <v>0</v>
      </c>
      <c r="E8" s="355">
        <v>0</v>
      </c>
      <c r="F8" s="229">
        <f>D8*E8</f>
        <v>0</v>
      </c>
      <c r="G8" s="229">
        <f>F8*0.05</f>
        <v>0</v>
      </c>
      <c r="H8" s="229">
        <f>F8*0.1</f>
        <v>0</v>
      </c>
      <c r="I8" s="230">
        <f>(F8*$L$9)+(G8*$L$8)+(H8*$L$10)</f>
        <v>0</v>
      </c>
      <c r="K8" s="194" t="s">
        <v>125</v>
      </c>
      <c r="L8" s="158">
        <v>69.040000000000006</v>
      </c>
      <c r="M8" s="196" t="s">
        <v>240</v>
      </c>
      <c r="N8" s="224">
        <f>C9*E9</f>
        <v>0</v>
      </c>
    </row>
    <row r="9" spans="1:14" ht="15.5" x14ac:dyDescent="0.35">
      <c r="A9" s="228" t="s">
        <v>335</v>
      </c>
      <c r="B9" s="115">
        <v>0</v>
      </c>
      <c r="C9" s="115">
        <v>0</v>
      </c>
      <c r="D9" s="115">
        <f>B9*C9</f>
        <v>0</v>
      </c>
      <c r="E9" s="115">
        <f>'II-Y1'!E28</f>
        <v>0</v>
      </c>
      <c r="F9" s="229">
        <f>D9*E9</f>
        <v>0</v>
      </c>
      <c r="G9" s="229">
        <f>F9*0.05</f>
        <v>0</v>
      </c>
      <c r="H9" s="229">
        <f>F9*0.1</f>
        <v>0</v>
      </c>
      <c r="I9" s="230">
        <f>(F9*$L$9)+(G9*$L$8)+(H9*$L$10)</f>
        <v>0</v>
      </c>
      <c r="K9" s="194" t="s">
        <v>128</v>
      </c>
      <c r="L9" s="162">
        <v>51.23</v>
      </c>
      <c r="M9" s="231"/>
      <c r="N9" s="224">
        <f t="shared" ref="N9:N17" si="0">C10*E10</f>
        <v>0</v>
      </c>
    </row>
    <row r="10" spans="1:14" ht="15.5" x14ac:dyDescent="0.35">
      <c r="A10" s="114" t="s">
        <v>336</v>
      </c>
      <c r="B10" s="115">
        <v>0</v>
      </c>
      <c r="C10" s="115">
        <v>0</v>
      </c>
      <c r="D10" s="115">
        <f>B10*C10</f>
        <v>0</v>
      </c>
      <c r="E10" s="115">
        <v>0</v>
      </c>
      <c r="F10" s="232">
        <f>D10*E10</f>
        <v>0</v>
      </c>
      <c r="G10" s="232">
        <f>F10*0.05</f>
        <v>0</v>
      </c>
      <c r="H10" s="232">
        <f>F10*0.1</f>
        <v>0</v>
      </c>
      <c r="I10" s="233">
        <f>(F10*$L$9)+(G10*$L$8)+(H10*$L$10)</f>
        <v>0</v>
      </c>
      <c r="K10" s="194" t="s">
        <v>130</v>
      </c>
      <c r="L10" s="162">
        <v>27.73</v>
      </c>
      <c r="M10" s="231"/>
      <c r="N10" s="224">
        <f t="shared" si="0"/>
        <v>0</v>
      </c>
    </row>
    <row r="11" spans="1:14" ht="45.65" customHeight="1" x14ac:dyDescent="0.35">
      <c r="A11" s="228" t="s">
        <v>243</v>
      </c>
      <c r="B11" s="115"/>
      <c r="C11" s="115"/>
      <c r="D11" s="115"/>
      <c r="E11" s="115"/>
      <c r="F11" s="229"/>
      <c r="G11" s="229"/>
      <c r="H11" s="229"/>
      <c r="I11" s="234"/>
      <c r="K11" s="115"/>
      <c r="L11" s="117"/>
      <c r="M11" s="231"/>
      <c r="N11" s="224">
        <f t="shared" si="0"/>
        <v>0</v>
      </c>
    </row>
    <row r="12" spans="1:14" ht="39" x14ac:dyDescent="0.35">
      <c r="A12" s="114" t="s">
        <v>390</v>
      </c>
      <c r="B12" s="115">
        <v>0</v>
      </c>
      <c r="C12" s="115">
        <v>0</v>
      </c>
      <c r="D12" s="115">
        <f t="shared" ref="D12:D18" si="1">B12*C12</f>
        <v>0</v>
      </c>
      <c r="E12" s="355">
        <v>0</v>
      </c>
      <c r="F12" s="229">
        <f t="shared" ref="F12:F18" si="2">D12*E12</f>
        <v>0</v>
      </c>
      <c r="G12" s="235">
        <f t="shared" ref="G12:G18" si="3">F12*0.05</f>
        <v>0</v>
      </c>
      <c r="H12" s="235">
        <f t="shared" ref="H12:H18" si="4">F12*0.1</f>
        <v>0</v>
      </c>
      <c r="I12" s="230">
        <f t="shared" ref="I12:I18" si="5">(F12*$L$9)+(G12*$L$8)+(H12*$L$10)</f>
        <v>0</v>
      </c>
      <c r="K12" s="285"/>
      <c r="L12" s="117"/>
      <c r="M12" s="231"/>
      <c r="N12" s="224">
        <f t="shared" si="0"/>
        <v>0</v>
      </c>
    </row>
    <row r="13" spans="1:14" ht="28" customHeight="1" x14ac:dyDescent="0.35">
      <c r="A13" s="114" t="s">
        <v>378</v>
      </c>
      <c r="B13" s="115">
        <v>0</v>
      </c>
      <c r="C13" s="115">
        <v>0</v>
      </c>
      <c r="D13" s="115">
        <f t="shared" si="1"/>
        <v>0</v>
      </c>
      <c r="E13" s="115">
        <v>0</v>
      </c>
      <c r="F13" s="229">
        <f t="shared" si="2"/>
        <v>0</v>
      </c>
      <c r="G13" s="235">
        <f t="shared" si="3"/>
        <v>0</v>
      </c>
      <c r="H13" s="235">
        <f t="shared" si="4"/>
        <v>0</v>
      </c>
      <c r="I13" s="230">
        <f t="shared" si="5"/>
        <v>0</v>
      </c>
      <c r="K13" s="115"/>
      <c r="L13" s="117"/>
      <c r="M13" s="231"/>
      <c r="N13" s="224">
        <f t="shared" si="0"/>
        <v>0</v>
      </c>
    </row>
    <row r="14" spans="1:14" ht="24" customHeight="1" x14ac:dyDescent="0.35">
      <c r="A14" s="114" t="s">
        <v>379</v>
      </c>
      <c r="B14" s="115">
        <v>0</v>
      </c>
      <c r="C14" s="115">
        <v>0</v>
      </c>
      <c r="D14" s="115">
        <f t="shared" si="1"/>
        <v>0</v>
      </c>
      <c r="E14" s="115">
        <v>0</v>
      </c>
      <c r="F14" s="229">
        <f t="shared" si="2"/>
        <v>0</v>
      </c>
      <c r="G14" s="235">
        <f t="shared" si="3"/>
        <v>0</v>
      </c>
      <c r="H14" s="235">
        <f t="shared" si="4"/>
        <v>0</v>
      </c>
      <c r="I14" s="230">
        <f t="shared" si="5"/>
        <v>0</v>
      </c>
      <c r="K14" s="115"/>
      <c r="L14" s="117"/>
      <c r="M14" s="231"/>
      <c r="N14" s="224">
        <f t="shared" si="0"/>
        <v>0</v>
      </c>
    </row>
    <row r="15" spans="1:14" ht="26" x14ac:dyDescent="0.35">
      <c r="A15" s="114" t="s">
        <v>380</v>
      </c>
      <c r="B15" s="115">
        <v>0</v>
      </c>
      <c r="C15" s="115">
        <v>0</v>
      </c>
      <c r="D15" s="115">
        <f t="shared" si="1"/>
        <v>0</v>
      </c>
      <c r="E15" s="115">
        <v>0</v>
      </c>
      <c r="F15" s="229">
        <f t="shared" si="2"/>
        <v>0</v>
      </c>
      <c r="G15" s="235">
        <f t="shared" si="3"/>
        <v>0</v>
      </c>
      <c r="H15" s="235">
        <f t="shared" si="4"/>
        <v>0</v>
      </c>
      <c r="I15" s="230">
        <f t="shared" si="5"/>
        <v>0</v>
      </c>
      <c r="N15" s="224">
        <f t="shared" si="0"/>
        <v>31.900000000000002</v>
      </c>
    </row>
    <row r="16" spans="1:14" ht="28.5" x14ac:dyDescent="0.35">
      <c r="A16" s="114" t="s">
        <v>339</v>
      </c>
      <c r="B16" s="115">
        <v>0.5</v>
      </c>
      <c r="C16" s="115">
        <v>1.1000000000000001</v>
      </c>
      <c r="D16" s="115">
        <f t="shared" si="1"/>
        <v>0.55000000000000004</v>
      </c>
      <c r="E16" s="355">
        <f>'II-Y1'!$L$22</f>
        <v>29</v>
      </c>
      <c r="F16" s="229">
        <f t="shared" si="2"/>
        <v>15.950000000000001</v>
      </c>
      <c r="G16" s="229">
        <f t="shared" si="3"/>
        <v>0.7975000000000001</v>
      </c>
      <c r="H16" s="229">
        <f t="shared" si="4"/>
        <v>1.5950000000000002</v>
      </c>
      <c r="I16" s="230">
        <f t="shared" si="5"/>
        <v>916.40724999999998</v>
      </c>
      <c r="N16" s="224">
        <f t="shared" si="0"/>
        <v>29</v>
      </c>
    </row>
    <row r="17" spans="1:15" ht="28.5" x14ac:dyDescent="0.35">
      <c r="A17" s="114" t="s">
        <v>340</v>
      </c>
      <c r="B17" s="115">
        <v>2</v>
      </c>
      <c r="C17" s="115">
        <v>1</v>
      </c>
      <c r="D17" s="115">
        <f t="shared" si="1"/>
        <v>2</v>
      </c>
      <c r="E17" s="355">
        <f>'II-Y1'!$L$22</f>
        <v>29</v>
      </c>
      <c r="F17" s="229">
        <f t="shared" si="2"/>
        <v>58</v>
      </c>
      <c r="G17" s="235">
        <f t="shared" si="3"/>
        <v>2.9000000000000004</v>
      </c>
      <c r="H17" s="235">
        <f t="shared" si="4"/>
        <v>5.8000000000000007</v>
      </c>
      <c r="I17" s="230">
        <f t="shared" si="5"/>
        <v>3332.3899999999994</v>
      </c>
      <c r="N17" s="224">
        <f t="shared" si="0"/>
        <v>29</v>
      </c>
    </row>
    <row r="18" spans="1:15" ht="33.65" customHeight="1" x14ac:dyDescent="0.35">
      <c r="A18" s="116" t="s">
        <v>381</v>
      </c>
      <c r="B18" s="115">
        <v>2</v>
      </c>
      <c r="C18" s="115">
        <v>1</v>
      </c>
      <c r="D18" s="115">
        <f t="shared" si="1"/>
        <v>2</v>
      </c>
      <c r="E18" s="355">
        <f>'II-Y1'!$L$22</f>
        <v>29</v>
      </c>
      <c r="F18" s="232">
        <f t="shared" si="2"/>
        <v>58</v>
      </c>
      <c r="G18" s="229">
        <f t="shared" si="3"/>
        <v>2.9000000000000004</v>
      </c>
      <c r="H18" s="229">
        <f t="shared" si="4"/>
        <v>5.8000000000000007</v>
      </c>
      <c r="I18" s="230">
        <f t="shared" si="5"/>
        <v>3332.3899999999994</v>
      </c>
      <c r="N18" s="224">
        <f>SUM(N8:N17)</f>
        <v>89.9</v>
      </c>
      <c r="O18" s="224" t="s">
        <v>248</v>
      </c>
    </row>
    <row r="19" spans="1:15" ht="18.649999999999999" customHeight="1" x14ac:dyDescent="0.35">
      <c r="A19" s="222" t="s">
        <v>247</v>
      </c>
      <c r="B19" s="222"/>
      <c r="C19" s="222"/>
      <c r="D19" s="222"/>
      <c r="E19" s="426"/>
      <c r="F19" s="218">
        <f>ROUND(SUM(F8:H18), -1)</f>
        <v>150</v>
      </c>
      <c r="G19" s="236"/>
      <c r="H19" s="236"/>
      <c r="I19" s="237">
        <f>ROUND(SUM(I8:I18), -2)</f>
        <v>7600</v>
      </c>
    </row>
    <row r="20" spans="1:15" x14ac:dyDescent="0.35">
      <c r="A20" s="238"/>
      <c r="G20" s="239"/>
    </row>
    <row r="21" spans="1:15" ht="24.75" customHeight="1" x14ac:dyDescent="0.35">
      <c r="A21" s="238" t="s">
        <v>249</v>
      </c>
    </row>
    <row r="22" spans="1:15" ht="22.5" customHeight="1" x14ac:dyDescent="0.35">
      <c r="A22" s="490" t="s">
        <v>382</v>
      </c>
      <c r="B22" s="490"/>
      <c r="C22" s="490"/>
      <c r="D22" s="490"/>
      <c r="E22" s="490"/>
      <c r="F22" s="490"/>
      <c r="G22" s="490"/>
      <c r="H22" s="490"/>
      <c r="I22" s="490"/>
    </row>
    <row r="23" spans="1:15" ht="63" customHeight="1" x14ac:dyDescent="0.35">
      <c r="A23" s="475" t="s">
        <v>251</v>
      </c>
      <c r="B23" s="475"/>
      <c r="C23" s="475"/>
      <c r="D23" s="475"/>
      <c r="E23" s="475"/>
      <c r="F23" s="475"/>
      <c r="G23" s="475"/>
      <c r="H23" s="475"/>
      <c r="I23" s="475"/>
    </row>
    <row r="24" spans="1:15" ht="15.5" x14ac:dyDescent="0.35">
      <c r="A24" s="487" t="s">
        <v>383</v>
      </c>
      <c r="B24" s="487"/>
      <c r="C24" s="487"/>
      <c r="D24" s="487"/>
      <c r="E24" s="487"/>
      <c r="F24" s="487"/>
      <c r="G24" s="487"/>
      <c r="H24" s="487"/>
      <c r="I24" s="487"/>
    </row>
    <row r="25" spans="1:15" ht="15.5" x14ac:dyDescent="0.35">
      <c r="A25" s="488" t="s">
        <v>253</v>
      </c>
      <c r="B25" s="488"/>
      <c r="C25" s="488"/>
      <c r="D25" s="488"/>
      <c r="E25" s="488"/>
      <c r="F25" s="488"/>
      <c r="G25" s="488"/>
      <c r="H25" s="488"/>
      <c r="I25" s="488"/>
    </row>
    <row r="26" spans="1:15" ht="15.5" x14ac:dyDescent="0.35">
      <c r="A26" s="489" t="s">
        <v>384</v>
      </c>
      <c r="B26" s="489"/>
      <c r="C26" s="489"/>
      <c r="D26" s="489"/>
      <c r="E26" s="489"/>
      <c r="F26" s="489"/>
      <c r="G26" s="489"/>
      <c r="H26" s="489"/>
      <c r="I26" s="489"/>
    </row>
    <row r="27" spans="1:15" ht="15.5" x14ac:dyDescent="0.35">
      <c r="A27" s="489" t="s">
        <v>255</v>
      </c>
      <c r="B27" s="489"/>
      <c r="C27" s="489"/>
      <c r="D27" s="489"/>
      <c r="E27" s="489"/>
      <c r="F27" s="489"/>
      <c r="G27" s="489"/>
      <c r="H27" s="489"/>
      <c r="I27" s="489"/>
    </row>
    <row r="29" spans="1:15" x14ac:dyDescent="0.35">
      <c r="A29" s="240"/>
    </row>
    <row r="30" spans="1:15" x14ac:dyDescent="0.35">
      <c r="A30" s="240"/>
    </row>
    <row r="31" spans="1:15" x14ac:dyDescent="0.35">
      <c r="A31" s="240"/>
    </row>
    <row r="32" spans="1:15" x14ac:dyDescent="0.35">
      <c r="A32" s="240"/>
    </row>
  </sheetData>
  <mergeCells count="11">
    <mergeCell ref="A1:I1"/>
    <mergeCell ref="A3:I3"/>
    <mergeCell ref="A4:I4"/>
    <mergeCell ref="A5:A7"/>
    <mergeCell ref="A27:I27"/>
    <mergeCell ref="K7:L7"/>
    <mergeCell ref="A23:I23"/>
    <mergeCell ref="A24:I24"/>
    <mergeCell ref="A25:I25"/>
    <mergeCell ref="A26:I26"/>
    <mergeCell ref="A22:I2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6994-AAF4-4F29-8D9A-CACF83AE8C81}">
  <sheetPr codeName="Sheet21"/>
  <dimension ref="A1:I25"/>
  <sheetViews>
    <sheetView zoomScale="80" zoomScaleNormal="80" workbookViewId="0">
      <selection activeCell="G16" sqref="G16"/>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15" customHeight="1" x14ac:dyDescent="0.35">
      <c r="A1" s="462" t="s">
        <v>391</v>
      </c>
      <c r="B1" s="462"/>
      <c r="C1" s="462"/>
      <c r="D1" s="462"/>
      <c r="E1" s="462"/>
      <c r="F1" s="462"/>
      <c r="G1" s="462"/>
      <c r="H1" s="462"/>
      <c r="I1" s="462"/>
    </row>
    <row r="2" spans="1:9" ht="15" x14ac:dyDescent="0.35">
      <c r="A2" s="423" t="s">
        <v>392</v>
      </c>
      <c r="B2" s="423"/>
      <c r="C2" s="423"/>
      <c r="D2" s="423"/>
      <c r="E2" s="423"/>
      <c r="F2" s="423"/>
      <c r="G2" s="423"/>
      <c r="H2" s="423"/>
      <c r="I2" s="423"/>
    </row>
    <row r="3" spans="1:9" ht="15.65" customHeight="1" x14ac:dyDescent="0.35">
      <c r="A3" s="478" t="s">
        <v>346</v>
      </c>
      <c r="B3" s="478"/>
      <c r="C3" s="478"/>
      <c r="D3" s="478"/>
      <c r="E3" s="478"/>
      <c r="F3" s="478"/>
      <c r="G3" s="478"/>
    </row>
    <row r="4" spans="1:9" ht="15" x14ac:dyDescent="0.35">
      <c r="A4" s="288"/>
      <c r="B4" s="289"/>
      <c r="C4" s="289"/>
      <c r="D4" s="289"/>
      <c r="E4" s="289"/>
      <c r="F4" s="289"/>
      <c r="G4" s="289"/>
    </row>
    <row r="5" spans="1:9" x14ac:dyDescent="0.35">
      <c r="B5" s="290" t="s">
        <v>220</v>
      </c>
      <c r="C5" s="179" t="s">
        <v>221</v>
      </c>
      <c r="D5" s="179" t="s">
        <v>222</v>
      </c>
      <c r="E5" s="179" t="s">
        <v>223</v>
      </c>
      <c r="F5" s="179" t="s">
        <v>224</v>
      </c>
      <c r="G5" s="179" t="s">
        <v>225</v>
      </c>
      <c r="H5" s="180" t="s">
        <v>226</v>
      </c>
    </row>
    <row r="6" spans="1:9" ht="52" x14ac:dyDescent="0.35">
      <c r="A6" s="181" t="s">
        <v>264</v>
      </c>
      <c r="B6" s="181" t="s">
        <v>265</v>
      </c>
      <c r="C6" s="181" t="s">
        <v>266</v>
      </c>
      <c r="D6" s="181" t="s">
        <v>347</v>
      </c>
      <c r="E6" s="181" t="s">
        <v>268</v>
      </c>
      <c r="F6" s="181" t="s">
        <v>269</v>
      </c>
      <c r="G6" s="181" t="s">
        <v>348</v>
      </c>
      <c r="H6" s="181" t="s">
        <v>271</v>
      </c>
    </row>
    <row r="7" spans="1:9" x14ac:dyDescent="0.35">
      <c r="A7" s="181" t="s">
        <v>86</v>
      </c>
      <c r="B7" s="182" t="s">
        <v>272</v>
      </c>
      <c r="C7" s="118">
        <v>0</v>
      </c>
      <c r="D7" s="181">
        <v>0</v>
      </c>
      <c r="E7" s="118">
        <f>C7*D7</f>
        <v>0</v>
      </c>
      <c r="F7" s="118">
        <v>0</v>
      </c>
      <c r="G7" s="181"/>
      <c r="H7" s="118">
        <f>F7*G7</f>
        <v>0</v>
      </c>
    </row>
    <row r="8" spans="1:9" ht="26" x14ac:dyDescent="0.35">
      <c r="A8" s="181" t="s">
        <v>86</v>
      </c>
      <c r="B8" s="181" t="s">
        <v>393</v>
      </c>
      <c r="C8" s="118">
        <v>0</v>
      </c>
      <c r="D8" s="181">
        <v>0</v>
      </c>
      <c r="E8" s="118">
        <f>C8*D8</f>
        <v>0</v>
      </c>
      <c r="F8" s="118"/>
      <c r="G8" s="181"/>
      <c r="H8" s="118"/>
    </row>
    <row r="9" spans="1:9" x14ac:dyDescent="0.35">
      <c r="A9" s="181" t="s">
        <v>87</v>
      </c>
      <c r="B9" s="182" t="s">
        <v>272</v>
      </c>
      <c r="C9" s="118">
        <v>0</v>
      </c>
      <c r="D9" s="181">
        <v>0</v>
      </c>
      <c r="E9" s="118">
        <f>C9*D9</f>
        <v>0</v>
      </c>
      <c r="F9" s="118">
        <v>0</v>
      </c>
      <c r="G9" s="181"/>
      <c r="H9" s="181"/>
    </row>
    <row r="10" spans="1:9" ht="26" x14ac:dyDescent="0.35">
      <c r="A10" s="181" t="s">
        <v>87</v>
      </c>
      <c r="B10" s="181" t="s">
        <v>393</v>
      </c>
      <c r="C10" s="118">
        <v>0</v>
      </c>
      <c r="D10" s="181">
        <v>0</v>
      </c>
      <c r="E10" s="118">
        <f>C10*D10</f>
        <v>0</v>
      </c>
      <c r="F10" s="118"/>
      <c r="G10" s="181"/>
      <c r="H10" s="181"/>
    </row>
    <row r="11" spans="1:9" x14ac:dyDescent="0.35">
      <c r="A11" s="181" t="s">
        <v>88</v>
      </c>
      <c r="B11" s="182" t="s">
        <v>272</v>
      </c>
      <c r="C11" s="118"/>
      <c r="D11" s="181">
        <v>0</v>
      </c>
      <c r="E11" s="118">
        <f>C11*D11</f>
        <v>0</v>
      </c>
      <c r="F11" s="118"/>
      <c r="G11" s="181"/>
      <c r="H11" s="118">
        <f>F11*G11</f>
        <v>0</v>
      </c>
    </row>
    <row r="12" spans="1:9" ht="16" x14ac:dyDescent="0.35">
      <c r="A12" s="181" t="s">
        <v>88</v>
      </c>
      <c r="B12" s="182" t="s">
        <v>349</v>
      </c>
      <c r="C12" s="118"/>
      <c r="D12" s="181"/>
      <c r="E12" s="118"/>
      <c r="F12" s="118">
        <v>781</v>
      </c>
      <c r="G12" s="200">
        <f>'II-Y1'!$L$22</f>
        <v>29</v>
      </c>
      <c r="H12" s="118">
        <f>F12*G12</f>
        <v>22649</v>
      </c>
    </row>
    <row r="13" spans="1:9" ht="15.5" x14ac:dyDescent="0.35">
      <c r="A13" s="181" t="s">
        <v>88</v>
      </c>
      <c r="B13" s="182" t="s">
        <v>274</v>
      </c>
      <c r="C13" s="118"/>
      <c r="D13" s="181"/>
      <c r="E13" s="118"/>
      <c r="F13" s="118">
        <v>697</v>
      </c>
      <c r="G13" s="200">
        <f>'II-Y1'!$L$22</f>
        <v>29</v>
      </c>
      <c r="H13" s="118">
        <f>F13*G13</f>
        <v>20213</v>
      </c>
    </row>
    <row r="14" spans="1:9" x14ac:dyDescent="0.35">
      <c r="A14" s="183"/>
      <c r="B14" s="184" t="s">
        <v>276</v>
      </c>
      <c r="C14" s="118"/>
      <c r="D14" s="181"/>
      <c r="E14" s="118">
        <f>ROUND(SUM(E11:E13), -4)</f>
        <v>0</v>
      </c>
      <c r="F14" s="118"/>
      <c r="G14" s="181"/>
      <c r="H14" s="118">
        <f>ROUND(SUM(H11:H13), -4)</f>
        <v>40000</v>
      </c>
    </row>
    <row r="15" spans="1:9" x14ac:dyDescent="0.35">
      <c r="B15" s="185"/>
      <c r="D15" s="185"/>
      <c r="E15" s="185"/>
      <c r="G15" s="185"/>
    </row>
    <row r="16" spans="1:9" ht="29" x14ac:dyDescent="0.35">
      <c r="B16" s="185"/>
      <c r="D16" s="185"/>
      <c r="F16" s="185"/>
      <c r="G16" s="415" t="s">
        <v>277</v>
      </c>
      <c r="H16" s="185">
        <f>ROUND(SUM(E11:E13,H11:H13), -4)</f>
        <v>40000</v>
      </c>
    </row>
    <row r="17" spans="1:5" x14ac:dyDescent="0.35">
      <c r="B17" s="185"/>
      <c r="E17" s="185"/>
    </row>
    <row r="18" spans="1:5" x14ac:dyDescent="0.35">
      <c r="A18" s="187" t="s">
        <v>278</v>
      </c>
    </row>
    <row r="19" spans="1:5" x14ac:dyDescent="0.35">
      <c r="A19" s="187" t="s">
        <v>279</v>
      </c>
    </row>
    <row r="25" spans="1:5" x14ac:dyDescent="0.35">
      <c r="A25" s="412"/>
    </row>
  </sheetData>
  <mergeCells count="2">
    <mergeCell ref="A1:I1"/>
    <mergeCell ref="A3:G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3431-2EC9-47E0-8283-6081666E2701}">
  <dimension ref="A1:I20"/>
  <sheetViews>
    <sheetView zoomScale="80" zoomScaleNormal="80" workbookViewId="0">
      <selection activeCell="G17" sqref="G17"/>
    </sheetView>
  </sheetViews>
  <sheetFormatPr defaultColWidth="8.54296875" defaultRowHeight="14.5" x14ac:dyDescent="0.35"/>
  <cols>
    <col min="1" max="1" width="17.54296875" style="173" customWidth="1"/>
    <col min="2" max="2" width="18.1796875" style="173" customWidth="1"/>
    <col min="3" max="3" width="13.1796875" style="173" customWidth="1"/>
    <col min="4" max="4" width="12.81640625" style="173" customWidth="1"/>
    <col min="5" max="6" width="11.453125" style="173" customWidth="1"/>
    <col min="7" max="7" width="20.1796875" style="358" customWidth="1"/>
    <col min="8" max="8" width="16.54296875" style="173" customWidth="1"/>
    <col min="9" max="16384" width="8.54296875" style="173"/>
  </cols>
  <sheetData>
    <row r="1" spans="1:9" ht="15" customHeight="1" x14ac:dyDescent="0.35">
      <c r="A1" s="462" t="s">
        <v>394</v>
      </c>
      <c r="B1" s="462"/>
      <c r="C1" s="462"/>
      <c r="D1" s="462"/>
      <c r="E1" s="462"/>
      <c r="F1" s="462"/>
      <c r="G1" s="462"/>
      <c r="H1" s="462"/>
      <c r="I1" s="462"/>
    </row>
    <row r="2" spans="1:9" ht="15" x14ac:dyDescent="0.35">
      <c r="A2" s="423" t="s">
        <v>392</v>
      </c>
      <c r="B2" s="423"/>
      <c r="C2" s="423"/>
      <c r="D2" s="423"/>
      <c r="E2" s="423"/>
      <c r="F2" s="423"/>
      <c r="G2" s="350"/>
      <c r="H2" s="423"/>
      <c r="I2" s="423"/>
    </row>
    <row r="3" spans="1:9" ht="15.65" customHeight="1" x14ac:dyDescent="0.35">
      <c r="A3" s="478" t="s">
        <v>346</v>
      </c>
      <c r="B3" s="478"/>
      <c r="C3" s="478"/>
      <c r="D3" s="478"/>
      <c r="E3" s="478"/>
      <c r="F3" s="478"/>
      <c r="G3" s="478"/>
    </row>
    <row r="4" spans="1:9" ht="15" x14ac:dyDescent="0.35">
      <c r="A4" s="288"/>
      <c r="B4" s="289"/>
      <c r="C4" s="289"/>
      <c r="D4" s="289"/>
      <c r="E4" s="289"/>
      <c r="F4" s="289"/>
      <c r="G4" s="292"/>
    </row>
    <row r="5" spans="1:9" x14ac:dyDescent="0.35">
      <c r="B5" s="290" t="s">
        <v>220</v>
      </c>
      <c r="C5" s="179" t="s">
        <v>221</v>
      </c>
      <c r="D5" s="179" t="s">
        <v>222</v>
      </c>
      <c r="E5" s="179" t="s">
        <v>223</v>
      </c>
      <c r="F5" s="179" t="s">
        <v>224</v>
      </c>
      <c r="G5" s="179" t="s">
        <v>225</v>
      </c>
      <c r="H5" s="180" t="s">
        <v>226</v>
      </c>
    </row>
    <row r="6" spans="1:9" ht="52" x14ac:dyDescent="0.35">
      <c r="A6" s="181" t="s">
        <v>264</v>
      </c>
      <c r="B6" s="181" t="s">
        <v>265</v>
      </c>
      <c r="C6" s="181" t="s">
        <v>266</v>
      </c>
      <c r="D6" s="181" t="s">
        <v>347</v>
      </c>
      <c r="E6" s="181" t="s">
        <v>268</v>
      </c>
      <c r="F6" s="181" t="s">
        <v>269</v>
      </c>
      <c r="G6" s="356" t="s">
        <v>348</v>
      </c>
      <c r="H6" s="181" t="s">
        <v>271</v>
      </c>
    </row>
    <row r="7" spans="1:9" x14ac:dyDescent="0.35">
      <c r="A7" s="181" t="s">
        <v>89</v>
      </c>
      <c r="B7" s="182" t="s">
        <v>272</v>
      </c>
      <c r="C7" s="118">
        <v>0</v>
      </c>
      <c r="D7" s="181">
        <v>0</v>
      </c>
      <c r="E7" s="118">
        <f>C7*D7</f>
        <v>0</v>
      </c>
      <c r="F7" s="118">
        <v>0</v>
      </c>
      <c r="G7" s="356"/>
      <c r="H7" s="118">
        <f>F7*G7</f>
        <v>0</v>
      </c>
    </row>
    <row r="8" spans="1:9" ht="16" x14ac:dyDescent="0.35">
      <c r="A8" s="181" t="s">
        <v>89</v>
      </c>
      <c r="B8" s="182" t="s">
        <v>349</v>
      </c>
      <c r="C8" s="118">
        <v>0</v>
      </c>
      <c r="D8" s="181">
        <v>0</v>
      </c>
      <c r="E8" s="118">
        <f>C8*D8</f>
        <v>0</v>
      </c>
      <c r="F8" s="118"/>
      <c r="G8" s="355"/>
      <c r="H8" s="118">
        <f t="shared" ref="H8:H11" si="0">F8*G8</f>
        <v>0</v>
      </c>
    </row>
    <row r="9" spans="1:9" ht="15.5" x14ac:dyDescent="0.35">
      <c r="A9" s="181" t="s">
        <v>89</v>
      </c>
      <c r="B9" s="182" t="s">
        <v>274</v>
      </c>
      <c r="C9" s="118"/>
      <c r="D9" s="181"/>
      <c r="E9" s="118"/>
      <c r="F9" s="118">
        <v>697</v>
      </c>
      <c r="G9" s="355">
        <f>'II-Y1'!$L$22</f>
        <v>29</v>
      </c>
      <c r="H9" s="118">
        <f t="shared" si="0"/>
        <v>20213</v>
      </c>
    </row>
    <row r="10" spans="1:9" x14ac:dyDescent="0.35">
      <c r="A10" s="181" t="s">
        <v>90</v>
      </c>
      <c r="B10" s="182" t="s">
        <v>272</v>
      </c>
      <c r="C10" s="118">
        <v>0</v>
      </c>
      <c r="D10" s="181">
        <v>0</v>
      </c>
      <c r="E10" s="118">
        <f>C10*D10</f>
        <v>0</v>
      </c>
      <c r="F10" s="118"/>
      <c r="G10" s="355"/>
      <c r="H10" s="118">
        <f t="shared" si="0"/>
        <v>0</v>
      </c>
    </row>
    <row r="11" spans="1:9" ht="15.5" x14ac:dyDescent="0.35">
      <c r="A11" s="181" t="s">
        <v>90</v>
      </c>
      <c r="B11" s="182" t="s">
        <v>274</v>
      </c>
      <c r="C11" s="118">
        <v>0</v>
      </c>
      <c r="D11" s="181">
        <v>19</v>
      </c>
      <c r="E11" s="118">
        <f>C11*D11</f>
        <v>0</v>
      </c>
      <c r="F11" s="118">
        <v>697</v>
      </c>
      <c r="G11" s="355">
        <f>'II-Y1'!$L$22</f>
        <v>29</v>
      </c>
      <c r="H11" s="118">
        <f t="shared" si="0"/>
        <v>20213</v>
      </c>
    </row>
    <row r="12" spans="1:9" x14ac:dyDescent="0.35">
      <c r="A12" s="181" t="s">
        <v>91</v>
      </c>
      <c r="B12" s="182" t="s">
        <v>272</v>
      </c>
      <c r="C12" s="118"/>
      <c r="D12" s="181">
        <v>0</v>
      </c>
      <c r="E12" s="118">
        <f>C12*D12</f>
        <v>0</v>
      </c>
      <c r="F12" s="118"/>
      <c r="G12" s="356"/>
      <c r="H12" s="118">
        <f>F12*G12</f>
        <v>0</v>
      </c>
    </row>
    <row r="13" spans="1:9" ht="16" x14ac:dyDescent="0.35">
      <c r="A13" s="181" t="s">
        <v>91</v>
      </c>
      <c r="B13" s="182" t="s">
        <v>349</v>
      </c>
      <c r="C13" s="118"/>
      <c r="D13" s="181"/>
      <c r="E13" s="118"/>
      <c r="F13" s="118"/>
      <c r="G13" s="355"/>
      <c r="H13" s="118">
        <f>F13*G13</f>
        <v>0</v>
      </c>
    </row>
    <row r="14" spans="1:9" ht="15.5" x14ac:dyDescent="0.35">
      <c r="A14" s="181" t="s">
        <v>91</v>
      </c>
      <c r="B14" s="182" t="s">
        <v>274</v>
      </c>
      <c r="C14" s="118"/>
      <c r="D14" s="181"/>
      <c r="E14" s="118"/>
      <c r="F14" s="118">
        <v>697</v>
      </c>
      <c r="G14" s="355">
        <f>'II-Y1'!$L$22</f>
        <v>29</v>
      </c>
      <c r="H14" s="118">
        <f>F14*G14</f>
        <v>20213</v>
      </c>
    </row>
    <row r="15" spans="1:9" x14ac:dyDescent="0.35">
      <c r="A15" s="183"/>
      <c r="B15" s="184" t="s">
        <v>276</v>
      </c>
      <c r="C15" s="118"/>
      <c r="D15" s="181"/>
      <c r="E15" s="118">
        <f>ROUND(SUM(E12:E14), -4)</f>
        <v>0</v>
      </c>
      <c r="F15" s="118"/>
      <c r="G15" s="356"/>
      <c r="H15" s="118">
        <f>ROUND(SUM(H12:H14), -4)</f>
        <v>20000</v>
      </c>
    </row>
    <row r="16" spans="1:9" x14ac:dyDescent="0.35">
      <c r="B16" s="185"/>
      <c r="D16" s="185"/>
      <c r="E16" s="185"/>
      <c r="G16" s="357"/>
    </row>
    <row r="17" spans="1:8" x14ac:dyDescent="0.35">
      <c r="B17" s="185"/>
      <c r="D17" s="185"/>
      <c r="F17" s="185"/>
      <c r="G17" s="415" t="s">
        <v>277</v>
      </c>
      <c r="H17" s="185">
        <f>ROUND(SUM(E12:E14,H12:H14), -4)</f>
        <v>20000</v>
      </c>
    </row>
    <row r="18" spans="1:8" x14ac:dyDescent="0.35">
      <c r="B18" s="185"/>
      <c r="E18" s="185"/>
    </row>
    <row r="19" spans="1:8" x14ac:dyDescent="0.35">
      <c r="A19" s="187" t="s">
        <v>278</v>
      </c>
    </row>
    <row r="20" spans="1:8" x14ac:dyDescent="0.35">
      <c r="A20" s="187" t="s">
        <v>279</v>
      </c>
    </row>
  </sheetData>
  <mergeCells count="2">
    <mergeCell ref="A1:I1"/>
    <mergeCell ref="A3:G3"/>
  </mergeCells>
  <phoneticPr fontId="50"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52DF-C5E8-44D6-8862-65FE36EE2454}">
  <sheetPr codeName="Sheet22">
    <pageSetUpPr fitToPage="1"/>
  </sheetPr>
  <dimension ref="A1:P71"/>
  <sheetViews>
    <sheetView zoomScale="80" zoomScaleNormal="80" workbookViewId="0">
      <pane xSplit="9" ySplit="5" topLeftCell="J6" activePane="bottomRight" state="frozen"/>
      <selection pane="topRight" activeCell="A73" sqref="A73"/>
      <selection pane="bottomLeft" activeCell="A73" sqref="A73"/>
      <selection pane="bottomRight" activeCell="I52" sqref="I52"/>
    </sheetView>
  </sheetViews>
  <sheetFormatPr defaultColWidth="9.1796875" defaultRowHeight="13" x14ac:dyDescent="0.3"/>
  <cols>
    <col min="1" max="1" width="27.1796875" style="188" customWidth="1"/>
    <col min="2" max="2" width="9.36328125" style="188" customWidth="1"/>
    <col min="3" max="3" width="12" style="231" customWidth="1"/>
    <col min="4" max="4" width="11.1796875" style="188" customWidth="1"/>
    <col min="5" max="5" width="11.26953125" style="231" customWidth="1"/>
    <col min="6" max="6" width="10.453125" style="188" customWidth="1"/>
    <col min="7" max="7" width="11.54296875" style="188" customWidth="1"/>
    <col min="8" max="8" width="10.7265625" style="188" customWidth="1"/>
    <col min="9" max="9" width="11.4531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395</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60" si="0">C7*E7</f>
        <v>0</v>
      </c>
    </row>
    <row r="8" spans="1:15" ht="56.5" customHeight="1" x14ac:dyDescent="0.3">
      <c r="A8" s="259" t="s">
        <v>127</v>
      </c>
      <c r="B8" s="257">
        <v>0</v>
      </c>
      <c r="C8" s="159">
        <v>0</v>
      </c>
      <c r="D8" s="257">
        <f>B8*C8</f>
        <v>0</v>
      </c>
      <c r="E8" s="159">
        <f>L16</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ht="52" x14ac:dyDescent="0.3">
      <c r="A10" s="76" t="s">
        <v>131</v>
      </c>
      <c r="B10" s="73">
        <v>156</v>
      </c>
      <c r="C10" s="74">
        <v>1</v>
      </c>
      <c r="D10" s="73">
        <f>B10*C10</f>
        <v>156</v>
      </c>
      <c r="E10" s="159">
        <f>L18*0.01</f>
        <v>0.85</v>
      </c>
      <c r="F10" s="257">
        <f>D10*E10</f>
        <v>132.6</v>
      </c>
      <c r="G10" s="257">
        <f>F10*0.05</f>
        <v>6.63</v>
      </c>
      <c r="H10" s="257">
        <f>F10*0.1</f>
        <v>13.26</v>
      </c>
      <c r="I10" s="197">
        <f>F10*$L$8+G10*$L$7+H10*$L$9</f>
        <v>18853.412759999999</v>
      </c>
      <c r="K10" s="312"/>
      <c r="L10" s="311"/>
      <c r="M10" s="198"/>
    </row>
    <row r="11" spans="1:15" ht="27.65" customHeight="1" x14ac:dyDescent="0.3">
      <c r="A11" s="259" t="s">
        <v>289</v>
      </c>
      <c r="B11" s="257">
        <v>0.5</v>
      </c>
      <c r="C11" s="159">
        <v>1</v>
      </c>
      <c r="D11" s="257">
        <f>B11*C11</f>
        <v>0.5</v>
      </c>
      <c r="E11" s="159">
        <f>$L$18</f>
        <v>85</v>
      </c>
      <c r="F11" s="257">
        <f>D11*E11</f>
        <v>42.5</v>
      </c>
      <c r="G11" s="257">
        <f>F11*0.05</f>
        <v>2.125</v>
      </c>
      <c r="H11" s="257">
        <f>F11*0.1</f>
        <v>4.25</v>
      </c>
      <c r="I11" s="197">
        <f>F11*$L$8+G11*$L$7+H11*$L$9</f>
        <v>6042.7605000000003</v>
      </c>
      <c r="K11" s="312"/>
      <c r="L11" s="311"/>
      <c r="M11" s="198"/>
      <c r="O11" s="188">
        <f t="shared" si="0"/>
        <v>85</v>
      </c>
    </row>
    <row r="12" spans="1:15" ht="26" x14ac:dyDescent="0.3">
      <c r="A12" s="303" t="s">
        <v>132</v>
      </c>
      <c r="B12" s="257">
        <v>10</v>
      </c>
      <c r="C12" s="159">
        <v>1</v>
      </c>
      <c r="D12" s="257">
        <f>B12*C12</f>
        <v>10</v>
      </c>
      <c r="E12" s="159">
        <f>L18</f>
        <v>85</v>
      </c>
      <c r="F12" s="257">
        <f>D12*E12</f>
        <v>850</v>
      </c>
      <c r="G12" s="257">
        <f>F12*0.05</f>
        <v>42.5</v>
      </c>
      <c r="H12" s="257">
        <f>F12*0.1</f>
        <v>85</v>
      </c>
      <c r="I12" s="197">
        <f>F12*$L$8+G12*$L$7+H12*$L$9</f>
        <v>120855.20999999999</v>
      </c>
      <c r="K12" s="264"/>
      <c r="O12" s="188">
        <f t="shared" si="0"/>
        <v>85</v>
      </c>
    </row>
    <row r="13" spans="1:15" ht="15.75" customHeight="1" x14ac:dyDescent="0.3">
      <c r="A13" s="303" t="s">
        <v>133</v>
      </c>
      <c r="B13" s="257"/>
      <c r="C13" s="159"/>
      <c r="D13" s="257"/>
      <c r="E13" s="159"/>
      <c r="F13" s="257"/>
      <c r="G13" s="257"/>
      <c r="H13" s="257"/>
      <c r="I13" s="263"/>
      <c r="O13" s="188">
        <f t="shared" si="0"/>
        <v>0</v>
      </c>
    </row>
    <row r="14" spans="1:15" ht="15.5" x14ac:dyDescent="0.3">
      <c r="A14" s="304" t="s">
        <v>290</v>
      </c>
      <c r="B14" s="257"/>
      <c r="C14" s="159"/>
      <c r="D14" s="257"/>
      <c r="E14" s="266"/>
      <c r="F14" s="267"/>
      <c r="G14" s="257"/>
      <c r="H14" s="257"/>
      <c r="I14" s="263"/>
      <c r="O14" s="188">
        <f t="shared" si="0"/>
        <v>0</v>
      </c>
    </row>
    <row r="15" spans="1:15" ht="25.5" customHeight="1" x14ac:dyDescent="0.3">
      <c r="A15" s="253" t="s">
        <v>370</v>
      </c>
      <c r="B15" s="159">
        <v>0</v>
      </c>
      <c r="C15" s="159">
        <v>0</v>
      </c>
      <c r="D15" s="257">
        <f>B15*C15</f>
        <v>0</v>
      </c>
      <c r="E15" s="266">
        <v>0</v>
      </c>
      <c r="F15" s="267">
        <f>D15*E15</f>
        <v>0</v>
      </c>
      <c r="G15" s="257">
        <f>F15*0.05</f>
        <v>0</v>
      </c>
      <c r="H15" s="257">
        <f>F15*0.1</f>
        <v>0</v>
      </c>
      <c r="I15" s="263">
        <f>F15*$L$8+G15*$L$7+H15*$L$9</f>
        <v>0</v>
      </c>
      <c r="K15" s="265"/>
      <c r="L15" s="265" t="s">
        <v>398</v>
      </c>
      <c r="O15" s="188">
        <f t="shared" si="0"/>
        <v>0</v>
      </c>
    </row>
    <row r="16" spans="1:15" x14ac:dyDescent="0.3">
      <c r="A16" s="253" t="s">
        <v>293</v>
      </c>
      <c r="B16" s="159">
        <v>0</v>
      </c>
      <c r="C16" s="159">
        <v>0</v>
      </c>
      <c r="D16" s="257">
        <f t="shared" ref="D16" si="1">B16*C16</f>
        <v>0</v>
      </c>
      <c r="E16" s="266">
        <f>E15*0.05</f>
        <v>0</v>
      </c>
      <c r="F16" s="267">
        <f t="shared" ref="F16:F24" si="2">D16*E16</f>
        <v>0</v>
      </c>
      <c r="G16" s="257">
        <f t="shared" ref="G16:G24" si="3">F16*0.05</f>
        <v>0</v>
      </c>
      <c r="H16" s="257">
        <f t="shared" ref="H16:H24" si="4">F16*0.1</f>
        <v>0</v>
      </c>
      <c r="I16" s="263">
        <f t="shared" ref="I16:I24" si="5">F16*$L$8+G16*$L$7+H16*$L$9</f>
        <v>0</v>
      </c>
      <c r="J16" s="264"/>
      <c r="K16" s="265"/>
      <c r="L16" s="265">
        <v>0</v>
      </c>
      <c r="O16" s="188">
        <f t="shared" si="0"/>
        <v>0</v>
      </c>
    </row>
    <row r="17" spans="1:15" ht="26" x14ac:dyDescent="0.3">
      <c r="A17" s="301" t="s">
        <v>295</v>
      </c>
      <c r="B17" s="73">
        <v>8</v>
      </c>
      <c r="C17" s="74">
        <v>1</v>
      </c>
      <c r="D17" s="73">
        <f>B17*C17</f>
        <v>8</v>
      </c>
      <c r="E17" s="266"/>
      <c r="F17" s="267"/>
      <c r="G17" s="257"/>
      <c r="H17" s="257"/>
      <c r="I17" s="263"/>
      <c r="J17" s="264"/>
      <c r="K17" s="265" t="s">
        <v>136</v>
      </c>
      <c r="L17" s="265">
        <f>L16+L18*0.07</f>
        <v>5.95</v>
      </c>
      <c r="M17" s="264" t="s">
        <v>294</v>
      </c>
      <c r="O17" s="188">
        <f t="shared" si="0"/>
        <v>0</v>
      </c>
    </row>
    <row r="18" spans="1:15" ht="26" x14ac:dyDescent="0.3">
      <c r="A18" s="301" t="s">
        <v>296</v>
      </c>
      <c r="B18" s="74">
        <v>8</v>
      </c>
      <c r="C18" s="74">
        <v>1</v>
      </c>
      <c r="D18" s="73">
        <f t="shared" ref="D18" si="6">B18*C18</f>
        <v>8</v>
      </c>
      <c r="E18" s="266"/>
      <c r="F18" s="267"/>
      <c r="G18" s="257"/>
      <c r="H18" s="257"/>
      <c r="I18" s="263"/>
      <c r="J18" s="264"/>
      <c r="K18" s="265" t="s">
        <v>141</v>
      </c>
      <c r="L18" s="265">
        <v>85</v>
      </c>
      <c r="O18" s="188">
        <f t="shared" si="0"/>
        <v>0</v>
      </c>
    </row>
    <row r="19" spans="1:15" ht="15.5" x14ac:dyDescent="0.3">
      <c r="A19" s="306" t="s">
        <v>297</v>
      </c>
      <c r="B19" s="74"/>
      <c r="C19" s="74"/>
      <c r="D19" s="73"/>
      <c r="E19" s="266"/>
      <c r="F19" s="267"/>
      <c r="G19" s="257"/>
      <c r="H19" s="257"/>
      <c r="I19" s="263"/>
      <c r="J19" s="264"/>
      <c r="K19" s="327"/>
      <c r="L19" s="327"/>
      <c r="O19" s="188">
        <f t="shared" si="0"/>
        <v>0</v>
      </c>
    </row>
    <row r="20" spans="1:15" ht="26" x14ac:dyDescent="0.3">
      <c r="A20" s="301" t="s">
        <v>295</v>
      </c>
      <c r="B20" s="73">
        <v>8</v>
      </c>
      <c r="C20" s="74">
        <v>1</v>
      </c>
      <c r="D20" s="73">
        <f>B20*C20</f>
        <v>8</v>
      </c>
      <c r="E20" s="266"/>
      <c r="F20" s="267"/>
      <c r="G20" s="257"/>
      <c r="H20" s="257"/>
      <c r="I20" s="263"/>
      <c r="J20" s="264"/>
      <c r="K20" s="327"/>
      <c r="L20" s="327"/>
      <c r="O20" s="188">
        <f t="shared" si="0"/>
        <v>0</v>
      </c>
    </row>
    <row r="21" spans="1:15" ht="26" x14ac:dyDescent="0.3">
      <c r="A21" s="301" t="s">
        <v>296</v>
      </c>
      <c r="B21" s="74">
        <v>8</v>
      </c>
      <c r="C21" s="74">
        <v>1</v>
      </c>
      <c r="D21" s="73">
        <f t="shared" ref="D21" si="7">B21*C21</f>
        <v>8</v>
      </c>
      <c r="E21" s="266"/>
      <c r="F21" s="267"/>
      <c r="G21" s="257"/>
      <c r="H21" s="257"/>
      <c r="I21" s="263"/>
      <c r="J21" s="264"/>
      <c r="K21" s="327"/>
      <c r="L21" s="327"/>
      <c r="O21" s="188">
        <f t="shared" si="0"/>
        <v>0</v>
      </c>
    </row>
    <row r="22" spans="1:15" ht="28.5" x14ac:dyDescent="0.3">
      <c r="A22" s="304" t="s">
        <v>298</v>
      </c>
      <c r="B22" s="257"/>
      <c r="C22" s="159"/>
      <c r="D22" s="257"/>
      <c r="E22" s="159"/>
      <c r="F22" s="267"/>
      <c r="G22" s="257"/>
      <c r="H22" s="257"/>
      <c r="I22" s="263"/>
      <c r="L22" s="264"/>
      <c r="M22" s="264"/>
      <c r="O22" s="188">
        <f t="shared" si="0"/>
        <v>0</v>
      </c>
    </row>
    <row r="23" spans="1:15" ht="26" x14ac:dyDescent="0.3">
      <c r="A23" s="303" t="s">
        <v>372</v>
      </c>
      <c r="B23" s="257">
        <v>0</v>
      </c>
      <c r="C23" s="159">
        <v>0</v>
      </c>
      <c r="D23" s="257">
        <f>B23*C23</f>
        <v>0</v>
      </c>
      <c r="E23" s="266">
        <v>0</v>
      </c>
      <c r="F23" s="267">
        <f t="shared" si="2"/>
        <v>0</v>
      </c>
      <c r="G23" s="257">
        <f t="shared" si="3"/>
        <v>0</v>
      </c>
      <c r="H23" s="257">
        <f t="shared" si="4"/>
        <v>0</v>
      </c>
      <c r="I23" s="263">
        <f t="shared" si="5"/>
        <v>0</v>
      </c>
      <c r="J23" s="198"/>
      <c r="N23" s="264"/>
      <c r="O23" s="188">
        <f t="shared" si="0"/>
        <v>0</v>
      </c>
    </row>
    <row r="24" spans="1:15" x14ac:dyDescent="0.3">
      <c r="A24" s="303" t="s">
        <v>300</v>
      </c>
      <c r="B24" s="159">
        <v>0</v>
      </c>
      <c r="C24" s="159">
        <v>0</v>
      </c>
      <c r="D24" s="257">
        <f t="shared" ref="D24" si="8">B24*C24</f>
        <v>0</v>
      </c>
      <c r="E24" s="266">
        <f>E23*0.05</f>
        <v>0</v>
      </c>
      <c r="F24" s="267">
        <f t="shared" si="2"/>
        <v>0</v>
      </c>
      <c r="G24" s="257">
        <f t="shared" si="3"/>
        <v>0</v>
      </c>
      <c r="H24" s="257">
        <f t="shared" si="4"/>
        <v>0</v>
      </c>
      <c r="I24" s="263">
        <f t="shared" si="5"/>
        <v>0</v>
      </c>
      <c r="J24" s="198"/>
      <c r="O24" s="188">
        <f t="shared" si="0"/>
        <v>0</v>
      </c>
    </row>
    <row r="25" spans="1:15" ht="28.5" x14ac:dyDescent="0.3">
      <c r="A25" s="306" t="s">
        <v>151</v>
      </c>
      <c r="B25" s="92"/>
      <c r="C25" s="93"/>
      <c r="D25" s="92"/>
      <c r="E25" s="266"/>
      <c r="F25" s="267"/>
      <c r="G25" s="257"/>
      <c r="H25" s="257"/>
      <c r="I25" s="263"/>
      <c r="J25" s="198"/>
      <c r="O25" s="188">
        <f t="shared" si="0"/>
        <v>0</v>
      </c>
    </row>
    <row r="26" spans="1:15" x14ac:dyDescent="0.3">
      <c r="A26" s="301"/>
      <c r="B26" s="73"/>
      <c r="C26" s="74"/>
      <c r="D26" s="73"/>
      <c r="E26" s="266"/>
      <c r="F26" s="267"/>
      <c r="G26" s="257"/>
      <c r="H26" s="257"/>
      <c r="I26" s="263"/>
      <c r="J26" s="198"/>
      <c r="O26" s="188">
        <f t="shared" si="0"/>
        <v>0</v>
      </c>
    </row>
    <row r="27" spans="1:15" x14ac:dyDescent="0.3">
      <c r="A27" s="301"/>
      <c r="B27" s="73"/>
      <c r="C27" s="74"/>
      <c r="D27" s="73"/>
      <c r="E27" s="266"/>
      <c r="F27" s="267"/>
      <c r="G27" s="257"/>
      <c r="H27" s="257"/>
      <c r="I27" s="263"/>
      <c r="J27" s="198"/>
      <c r="O27" s="188">
        <f t="shared" si="0"/>
        <v>0</v>
      </c>
    </row>
    <row r="28" spans="1:15" ht="26" x14ac:dyDescent="0.3">
      <c r="A28" s="301" t="s">
        <v>155</v>
      </c>
      <c r="B28" s="73"/>
      <c r="C28" s="77"/>
      <c r="D28" s="78"/>
      <c r="E28" s="266"/>
      <c r="F28" s="267"/>
      <c r="G28" s="257"/>
      <c r="H28" s="257"/>
      <c r="I28" s="263"/>
      <c r="J28" s="198"/>
      <c r="O28" s="188">
        <f t="shared" si="0"/>
        <v>0</v>
      </c>
    </row>
    <row r="29" spans="1:15" ht="26" x14ac:dyDescent="0.3">
      <c r="A29" s="301" t="s">
        <v>156</v>
      </c>
      <c r="B29" s="73"/>
      <c r="C29" s="77"/>
      <c r="D29" s="78"/>
      <c r="E29" s="266"/>
      <c r="F29" s="267"/>
      <c r="G29" s="257"/>
      <c r="H29" s="257"/>
      <c r="I29" s="263"/>
      <c r="J29" s="198"/>
      <c r="O29" s="188">
        <f t="shared" si="0"/>
        <v>0</v>
      </c>
    </row>
    <row r="30" spans="1:15" x14ac:dyDescent="0.3">
      <c r="A30" s="301" t="s">
        <v>157</v>
      </c>
      <c r="B30" s="78"/>
      <c r="C30" s="77"/>
      <c r="D30" s="78"/>
      <c r="E30" s="266"/>
      <c r="F30" s="267"/>
      <c r="G30" s="257"/>
      <c r="H30" s="257"/>
      <c r="I30" s="263"/>
      <c r="J30" s="198"/>
      <c r="O30" s="188">
        <f t="shared" si="0"/>
        <v>0</v>
      </c>
    </row>
    <row r="31" spans="1:15" x14ac:dyDescent="0.3">
      <c r="A31" s="305" t="s">
        <v>399</v>
      </c>
      <c r="B31" s="257"/>
      <c r="C31" s="159"/>
      <c r="D31" s="257"/>
      <c r="E31" s="266"/>
      <c r="F31" s="257"/>
      <c r="G31" s="257"/>
      <c r="H31" s="257"/>
      <c r="I31" s="263"/>
      <c r="O31" s="188">
        <f t="shared" si="0"/>
        <v>0</v>
      </c>
    </row>
    <row r="32" spans="1:15" ht="28.5" customHeight="1" x14ac:dyDescent="0.3">
      <c r="A32" s="303" t="s">
        <v>160</v>
      </c>
      <c r="B32" s="257">
        <v>0</v>
      </c>
      <c r="C32" s="159">
        <v>0</v>
      </c>
      <c r="D32" s="257">
        <f>B32*C32</f>
        <v>0</v>
      </c>
      <c r="E32" s="266">
        <f>E15</f>
        <v>0</v>
      </c>
      <c r="F32" s="257">
        <f t="shared" ref="F32:F33" si="9">D32*E32</f>
        <v>0</v>
      </c>
      <c r="G32" s="257">
        <f t="shared" ref="G32:G33" si="10">F32*0.05</f>
        <v>0</v>
      </c>
      <c r="H32" s="257">
        <f t="shared" ref="H32:H33" si="11">F32*0.1</f>
        <v>0</v>
      </c>
      <c r="I32" s="263">
        <f t="shared" ref="I32:I33" si="12">F32*$L$8+G32*$L$7+H32*$L$9</f>
        <v>0</v>
      </c>
      <c r="O32" s="188">
        <f t="shared" si="0"/>
        <v>0</v>
      </c>
    </row>
    <row r="33" spans="1:15" ht="39" x14ac:dyDescent="0.3">
      <c r="A33" s="303" t="s">
        <v>400</v>
      </c>
      <c r="B33" s="257">
        <v>0</v>
      </c>
      <c r="C33" s="159">
        <v>0</v>
      </c>
      <c r="D33" s="257">
        <f>B33*C33</f>
        <v>0</v>
      </c>
      <c r="E33" s="266">
        <f>E15</f>
        <v>0</v>
      </c>
      <c r="F33" s="257">
        <f t="shared" si="9"/>
        <v>0</v>
      </c>
      <c r="G33" s="257">
        <f t="shared" si="10"/>
        <v>0</v>
      </c>
      <c r="H33" s="257">
        <f t="shared" si="11"/>
        <v>0</v>
      </c>
      <c r="I33" s="263">
        <f t="shared" si="12"/>
        <v>0</v>
      </c>
      <c r="O33" s="188">
        <f t="shared" si="0"/>
        <v>0</v>
      </c>
    </row>
    <row r="34" spans="1:15" ht="26" x14ac:dyDescent="0.3">
      <c r="A34" s="301" t="s">
        <v>212</v>
      </c>
      <c r="B34" s="257">
        <v>0</v>
      </c>
      <c r="C34" s="159">
        <v>0</v>
      </c>
      <c r="D34" s="257">
        <f t="shared" ref="D34:D36" si="13">B34*C34</f>
        <v>0</v>
      </c>
      <c r="E34" s="266">
        <f t="shared" ref="E34:E36" si="14">E16</f>
        <v>0</v>
      </c>
      <c r="F34" s="257">
        <f t="shared" ref="F34:F36" si="15">D34*E34</f>
        <v>0</v>
      </c>
      <c r="G34" s="257">
        <f t="shared" ref="G34:G36" si="16">F34*0.05</f>
        <v>0</v>
      </c>
      <c r="H34" s="257">
        <f t="shared" ref="H34:H36" si="17">F34*0.1</f>
        <v>0</v>
      </c>
      <c r="I34" s="263">
        <f t="shared" ref="I34:I36" si="18">F34*$L$8+G34*$L$7+H34*$L$9</f>
        <v>0</v>
      </c>
      <c r="O34" s="188">
        <f t="shared" si="0"/>
        <v>0</v>
      </c>
    </row>
    <row r="35" spans="1:15" ht="26" x14ac:dyDescent="0.3">
      <c r="A35" s="301" t="s">
        <v>303</v>
      </c>
      <c r="B35" s="257">
        <v>0</v>
      </c>
      <c r="C35" s="159">
        <v>0</v>
      </c>
      <c r="D35" s="257">
        <f t="shared" si="13"/>
        <v>0</v>
      </c>
      <c r="E35" s="266">
        <f t="shared" si="14"/>
        <v>0</v>
      </c>
      <c r="F35" s="257">
        <f t="shared" si="15"/>
        <v>0</v>
      </c>
      <c r="G35" s="257">
        <f t="shared" si="16"/>
        <v>0</v>
      </c>
      <c r="H35" s="257">
        <f t="shared" si="17"/>
        <v>0</v>
      </c>
      <c r="I35" s="263">
        <f t="shared" si="18"/>
        <v>0</v>
      </c>
      <c r="O35" s="188">
        <f t="shared" si="0"/>
        <v>0</v>
      </c>
    </row>
    <row r="36" spans="1:15" ht="26" x14ac:dyDescent="0.3">
      <c r="A36" s="301" t="s">
        <v>304</v>
      </c>
      <c r="B36" s="257">
        <v>0</v>
      </c>
      <c r="C36" s="159">
        <v>0</v>
      </c>
      <c r="D36" s="257">
        <f t="shared" si="13"/>
        <v>0</v>
      </c>
      <c r="E36" s="266">
        <f t="shared" si="14"/>
        <v>0</v>
      </c>
      <c r="F36" s="257">
        <f t="shared" si="15"/>
        <v>0</v>
      </c>
      <c r="G36" s="257">
        <f t="shared" si="16"/>
        <v>0</v>
      </c>
      <c r="H36" s="257">
        <f t="shared" si="17"/>
        <v>0</v>
      </c>
      <c r="I36" s="263">
        <f t="shared" si="18"/>
        <v>0</v>
      </c>
      <c r="O36" s="188">
        <f t="shared" si="0"/>
        <v>0</v>
      </c>
    </row>
    <row r="37" spans="1:15" x14ac:dyDescent="0.3">
      <c r="A37" s="305" t="s">
        <v>306</v>
      </c>
      <c r="B37" s="261"/>
      <c r="C37" s="260"/>
      <c r="D37" s="261"/>
      <c r="E37" s="268"/>
      <c r="F37" s="261"/>
      <c r="G37" s="261"/>
      <c r="H37" s="261"/>
      <c r="I37" s="261"/>
      <c r="O37" s="188">
        <f t="shared" si="0"/>
        <v>0</v>
      </c>
    </row>
    <row r="38" spans="1:15" ht="26" x14ac:dyDescent="0.3">
      <c r="A38" s="303" t="s">
        <v>307</v>
      </c>
      <c r="B38" s="257">
        <v>0</v>
      </c>
      <c r="C38" s="159">
        <v>0</v>
      </c>
      <c r="D38" s="257">
        <f>B38*C38</f>
        <v>0</v>
      </c>
      <c r="E38" s="266">
        <v>0</v>
      </c>
      <c r="F38" s="257">
        <f>D38*E38</f>
        <v>0</v>
      </c>
      <c r="G38" s="257">
        <f>F38*0.05</f>
        <v>0</v>
      </c>
      <c r="H38" s="257">
        <f>F38*0.1</f>
        <v>0</v>
      </c>
      <c r="I38" s="263">
        <f>F38*$L$8+G38*$L$7+H38*$L$9</f>
        <v>0</v>
      </c>
      <c r="O38" s="188">
        <f t="shared" si="0"/>
        <v>0</v>
      </c>
    </row>
    <row r="39" spans="1:15" ht="39" x14ac:dyDescent="0.3">
      <c r="A39" s="303" t="s">
        <v>401</v>
      </c>
      <c r="B39" s="257">
        <v>0</v>
      </c>
      <c r="C39" s="159">
        <v>0</v>
      </c>
      <c r="D39" s="257">
        <f>B39*C39</f>
        <v>0</v>
      </c>
      <c r="E39" s="266">
        <f>E38</f>
        <v>0</v>
      </c>
      <c r="F39" s="257">
        <f>D39*E39</f>
        <v>0</v>
      </c>
      <c r="G39" s="257">
        <f>F39*0.05</f>
        <v>0</v>
      </c>
      <c r="H39" s="257">
        <f>F39*0.1</f>
        <v>0</v>
      </c>
      <c r="I39" s="263">
        <f>F39*$L$8+G39*$L$7+H39*$L$9</f>
        <v>0</v>
      </c>
      <c r="O39" s="188">
        <f t="shared" si="0"/>
        <v>0</v>
      </c>
    </row>
    <row r="40" spans="1:15" ht="26" x14ac:dyDescent="0.3">
      <c r="A40" s="301" t="s">
        <v>159</v>
      </c>
      <c r="B40" s="257">
        <v>0</v>
      </c>
      <c r="C40" s="159">
        <v>0</v>
      </c>
      <c r="D40" s="257">
        <f t="shared" ref="D40:D42" si="19">B40*C40</f>
        <v>0</v>
      </c>
      <c r="E40" s="266">
        <f t="shared" ref="E40:E42" si="20">E39</f>
        <v>0</v>
      </c>
      <c r="F40" s="257">
        <f t="shared" ref="F40:F42" si="21">D40*E40</f>
        <v>0</v>
      </c>
      <c r="G40" s="257">
        <f t="shared" ref="G40:G42" si="22">F40*0.05</f>
        <v>0</v>
      </c>
      <c r="H40" s="257">
        <f t="shared" ref="H40:H42" si="23">F40*0.1</f>
        <v>0</v>
      </c>
      <c r="I40" s="263">
        <f t="shared" ref="I40:I42" si="24">F40*$L$8+G40*$L$7+H40*$L$9</f>
        <v>0</v>
      </c>
      <c r="O40" s="188">
        <f t="shared" si="0"/>
        <v>0</v>
      </c>
    </row>
    <row r="41" spans="1:15" ht="26" x14ac:dyDescent="0.3">
      <c r="A41" s="301" t="s">
        <v>303</v>
      </c>
      <c r="B41" s="257">
        <v>0</v>
      </c>
      <c r="C41" s="159">
        <v>0</v>
      </c>
      <c r="D41" s="257">
        <f t="shared" si="19"/>
        <v>0</v>
      </c>
      <c r="E41" s="266">
        <f t="shared" si="20"/>
        <v>0</v>
      </c>
      <c r="F41" s="257">
        <f t="shared" si="21"/>
        <v>0</v>
      </c>
      <c r="G41" s="257">
        <f t="shared" si="22"/>
        <v>0</v>
      </c>
      <c r="H41" s="257">
        <f t="shared" si="23"/>
        <v>0</v>
      </c>
      <c r="I41" s="263">
        <f t="shared" si="24"/>
        <v>0</v>
      </c>
      <c r="O41" s="188">
        <f t="shared" si="0"/>
        <v>0</v>
      </c>
    </row>
    <row r="42" spans="1:15" ht="26" x14ac:dyDescent="0.3">
      <c r="A42" s="301" t="s">
        <v>309</v>
      </c>
      <c r="B42" s="257">
        <v>0</v>
      </c>
      <c r="C42" s="159">
        <v>0</v>
      </c>
      <c r="D42" s="257">
        <f t="shared" si="19"/>
        <v>0</v>
      </c>
      <c r="E42" s="266">
        <f t="shared" si="20"/>
        <v>0</v>
      </c>
      <c r="F42" s="257">
        <f t="shared" si="21"/>
        <v>0</v>
      </c>
      <c r="G42" s="257">
        <f t="shared" si="22"/>
        <v>0</v>
      </c>
      <c r="H42" s="257">
        <f t="shared" si="23"/>
        <v>0</v>
      </c>
      <c r="I42" s="263">
        <f t="shared" si="24"/>
        <v>0</v>
      </c>
      <c r="O42" s="188">
        <f t="shared" si="0"/>
        <v>0</v>
      </c>
    </row>
    <row r="43" spans="1:15" x14ac:dyDescent="0.3">
      <c r="A43" s="301"/>
      <c r="B43" s="73"/>
      <c r="C43" s="74"/>
      <c r="D43" s="73"/>
      <c r="E43" s="328"/>
      <c r="F43" s="257"/>
      <c r="G43" s="257"/>
      <c r="H43" s="257"/>
      <c r="I43" s="263"/>
      <c r="O43" s="188">
        <f t="shared" si="0"/>
        <v>0</v>
      </c>
    </row>
    <row r="44" spans="1:15" ht="26.5" customHeight="1" x14ac:dyDescent="0.3">
      <c r="A44" s="269" t="s">
        <v>167</v>
      </c>
      <c r="B44" s="270"/>
      <c r="C44" s="271"/>
      <c r="D44" s="270"/>
      <c r="E44" s="272"/>
      <c r="F44" s="273">
        <f>SUM(F8:H43)</f>
        <v>1178.865</v>
      </c>
      <c r="G44" s="273"/>
      <c r="H44" s="273"/>
      <c r="I44" s="274">
        <f>SUM(I8:I43)</f>
        <v>145751.38326</v>
      </c>
      <c r="O44" s="188">
        <f t="shared" si="0"/>
        <v>0</v>
      </c>
    </row>
    <row r="45" spans="1:15" ht="26" x14ac:dyDescent="0.3">
      <c r="A45" s="259" t="s">
        <v>168</v>
      </c>
      <c r="B45" s="261"/>
      <c r="C45" s="260"/>
      <c r="D45" s="261"/>
      <c r="E45" s="268"/>
      <c r="F45" s="261"/>
      <c r="G45" s="261"/>
      <c r="H45" s="261"/>
      <c r="I45" s="261"/>
      <c r="O45" s="188">
        <f t="shared" si="0"/>
        <v>0</v>
      </c>
    </row>
    <row r="46" spans="1:15" ht="26" x14ac:dyDescent="0.3">
      <c r="A46" s="303" t="s">
        <v>132</v>
      </c>
      <c r="B46" s="257"/>
      <c r="C46" s="260"/>
      <c r="D46" s="261"/>
      <c r="E46" s="260"/>
      <c r="F46" s="261"/>
      <c r="G46" s="261"/>
      <c r="H46" s="261"/>
      <c r="I46" s="261"/>
      <c r="O46" s="188">
        <f t="shared" si="0"/>
        <v>0</v>
      </c>
    </row>
    <row r="47" spans="1:15" x14ac:dyDescent="0.3">
      <c r="A47" s="303" t="s">
        <v>169</v>
      </c>
      <c r="B47" s="257"/>
      <c r="C47" s="260"/>
      <c r="D47" s="261"/>
      <c r="E47" s="260"/>
      <c r="F47" s="261"/>
      <c r="G47" s="261"/>
      <c r="H47" s="261"/>
      <c r="I47" s="261"/>
      <c r="O47" s="188">
        <f t="shared" si="0"/>
        <v>0</v>
      </c>
    </row>
    <row r="48" spans="1:15" x14ac:dyDescent="0.3">
      <c r="A48" s="303" t="s">
        <v>170</v>
      </c>
      <c r="B48" s="257"/>
      <c r="C48" s="260"/>
      <c r="D48" s="261"/>
      <c r="E48" s="260"/>
      <c r="F48" s="261"/>
      <c r="G48" s="261"/>
      <c r="H48" s="261"/>
      <c r="I48" s="261"/>
      <c r="O48" s="188">
        <f t="shared" si="0"/>
        <v>0</v>
      </c>
    </row>
    <row r="49" spans="1:16" x14ac:dyDescent="0.3">
      <c r="A49" s="303" t="s">
        <v>171</v>
      </c>
      <c r="B49" s="257" t="s">
        <v>122</v>
      </c>
      <c r="C49" s="260"/>
      <c r="D49" s="261"/>
      <c r="E49" s="260"/>
      <c r="F49" s="261"/>
      <c r="G49" s="261"/>
      <c r="H49" s="261"/>
      <c r="I49" s="261"/>
      <c r="O49" s="188">
        <f t="shared" si="0"/>
        <v>0</v>
      </c>
    </row>
    <row r="50" spans="1:16" ht="26" x14ac:dyDescent="0.3">
      <c r="A50" s="303" t="s">
        <v>172</v>
      </c>
      <c r="B50" s="261"/>
      <c r="C50" s="260"/>
      <c r="D50" s="261"/>
      <c r="E50" s="260"/>
      <c r="F50" s="261"/>
      <c r="G50" s="261"/>
      <c r="H50" s="261"/>
      <c r="I50" s="261"/>
      <c r="O50" s="188">
        <f t="shared" si="0"/>
        <v>0</v>
      </c>
    </row>
    <row r="51" spans="1:16" x14ac:dyDescent="0.3">
      <c r="A51" s="305" t="s">
        <v>163</v>
      </c>
      <c r="B51" s="261"/>
      <c r="C51" s="260"/>
      <c r="D51" s="261"/>
      <c r="E51" s="260"/>
      <c r="F51" s="261"/>
      <c r="G51" s="261"/>
      <c r="H51" s="261"/>
      <c r="I51" s="261"/>
      <c r="O51" s="188">
        <f t="shared" si="0"/>
        <v>0</v>
      </c>
    </row>
    <row r="52" spans="1:16" x14ac:dyDescent="0.3">
      <c r="A52" s="303" t="s">
        <v>173</v>
      </c>
      <c r="B52" s="257">
        <v>0.1</v>
      </c>
      <c r="C52" s="159">
        <v>1</v>
      </c>
      <c r="D52" s="257">
        <f>B52*C52</f>
        <v>0.1</v>
      </c>
      <c r="E52" s="159">
        <f>$L$18</f>
        <v>85</v>
      </c>
      <c r="F52" s="267">
        <f t="shared" ref="F52:F59" si="25">D52*E52</f>
        <v>8.5</v>
      </c>
      <c r="G52" s="257">
        <f t="shared" ref="G52:G59" si="26">F52*0.05</f>
        <v>0.42500000000000004</v>
      </c>
      <c r="H52" s="257">
        <f t="shared" ref="H52:H59" si="27">F52*0.1</f>
        <v>0.85000000000000009</v>
      </c>
      <c r="I52" s="197">
        <f>F52*$L$8+G52*$L$7+H52*$L$9</f>
        <v>1208.5520999999999</v>
      </c>
      <c r="O52" s="188">
        <f t="shared" si="0"/>
        <v>85</v>
      </c>
    </row>
    <row r="53" spans="1:16" x14ac:dyDescent="0.3">
      <c r="A53" s="303" t="s">
        <v>310</v>
      </c>
      <c r="B53" s="257">
        <v>0</v>
      </c>
      <c r="C53" s="159">
        <v>0</v>
      </c>
      <c r="D53" s="257">
        <v>24</v>
      </c>
      <c r="E53" s="266">
        <v>0</v>
      </c>
      <c r="F53" s="267">
        <f t="shared" si="25"/>
        <v>0</v>
      </c>
      <c r="G53" s="257">
        <f t="shared" si="26"/>
        <v>0</v>
      </c>
      <c r="H53" s="257">
        <f t="shared" si="27"/>
        <v>0</v>
      </c>
      <c r="I53" s="263">
        <f>F53*$L$8+G53*$L$7+H53*$L$9</f>
        <v>0</v>
      </c>
      <c r="O53" s="188">
        <f t="shared" si="0"/>
        <v>0</v>
      </c>
    </row>
    <row r="54" spans="1:16" ht="39" x14ac:dyDescent="0.3">
      <c r="A54" s="301" t="s">
        <v>311</v>
      </c>
      <c r="B54" s="73">
        <v>0</v>
      </c>
      <c r="C54" s="74">
        <v>0</v>
      </c>
      <c r="D54" s="73">
        <f t="shared" ref="D54" si="28">B54*C54</f>
        <v>0</v>
      </c>
      <c r="E54" s="266">
        <v>0</v>
      </c>
      <c r="F54" s="267">
        <f t="shared" ref="F54" si="29">D54*E54</f>
        <v>0</v>
      </c>
      <c r="G54" s="257">
        <f t="shared" ref="G54" si="30">F54*0.05</f>
        <v>0</v>
      </c>
      <c r="H54" s="257">
        <f t="shared" ref="H54" si="31">F54*0.1</f>
        <v>0</v>
      </c>
      <c r="I54" s="263">
        <f>F54*$L$8+G54*$L$7+H54*$L$9</f>
        <v>0</v>
      </c>
      <c r="O54" s="188">
        <f t="shared" si="0"/>
        <v>0</v>
      </c>
    </row>
    <row r="55" spans="1:16" x14ac:dyDescent="0.3">
      <c r="A55" s="305" t="s">
        <v>158</v>
      </c>
      <c r="B55" s="257"/>
      <c r="C55" s="159"/>
      <c r="D55" s="257"/>
      <c r="E55" s="266"/>
      <c r="F55" s="267"/>
      <c r="G55" s="257"/>
      <c r="H55" s="257"/>
      <c r="I55" s="263"/>
      <c r="O55" s="188">
        <f t="shared" si="0"/>
        <v>0</v>
      </c>
    </row>
    <row r="56" spans="1:16" x14ac:dyDescent="0.3">
      <c r="A56" s="303" t="s">
        <v>173</v>
      </c>
      <c r="B56" s="257">
        <v>0</v>
      </c>
      <c r="C56" s="159">
        <v>0</v>
      </c>
      <c r="D56" s="257">
        <f>B56*C56</f>
        <v>0</v>
      </c>
      <c r="E56" s="266">
        <f>$L$16</f>
        <v>0</v>
      </c>
      <c r="F56" s="267">
        <f t="shared" ref="F56:F57" si="32">D56*E56</f>
        <v>0</v>
      </c>
      <c r="G56" s="257">
        <f t="shared" ref="G56:G57" si="33">F56*0.05</f>
        <v>0</v>
      </c>
      <c r="H56" s="257">
        <f t="shared" ref="H56:H57" si="34">F56*0.1</f>
        <v>0</v>
      </c>
      <c r="I56" s="262">
        <f>F56*$L$8+G56*$L$7+H56*$L$9</f>
        <v>0</v>
      </c>
      <c r="O56" s="188">
        <f t="shared" si="0"/>
        <v>0</v>
      </c>
    </row>
    <row r="57" spans="1:16" x14ac:dyDescent="0.3">
      <c r="A57" s="303" t="s">
        <v>310</v>
      </c>
      <c r="B57" s="257">
        <v>0</v>
      </c>
      <c r="C57" s="159">
        <v>0</v>
      </c>
      <c r="D57" s="257">
        <f t="shared" ref="D57:D59" si="35">B57*C57</f>
        <v>0</v>
      </c>
      <c r="E57" s="266">
        <f>$L$16</f>
        <v>0</v>
      </c>
      <c r="F57" s="267">
        <f t="shared" si="32"/>
        <v>0</v>
      </c>
      <c r="G57" s="257">
        <f t="shared" si="33"/>
        <v>0</v>
      </c>
      <c r="H57" s="257">
        <f t="shared" si="34"/>
        <v>0</v>
      </c>
      <c r="I57" s="262">
        <f>F57*$L$8+G57*$L$7+H57*$L$9</f>
        <v>0</v>
      </c>
      <c r="O57" s="188">
        <f t="shared" si="0"/>
        <v>0</v>
      </c>
    </row>
    <row r="58" spans="1:16" x14ac:dyDescent="0.3">
      <c r="A58" s="301" t="s">
        <v>312</v>
      </c>
      <c r="B58" s="257">
        <v>0</v>
      </c>
      <c r="C58" s="159">
        <v>0</v>
      </c>
      <c r="D58" s="73">
        <f t="shared" si="35"/>
        <v>0</v>
      </c>
      <c r="E58" s="266">
        <f>$L$16</f>
        <v>0</v>
      </c>
      <c r="F58" s="267">
        <f t="shared" ref="F58" si="36">D58*E58</f>
        <v>0</v>
      </c>
      <c r="G58" s="257">
        <f t="shared" ref="G58" si="37">F58*0.05</f>
        <v>0</v>
      </c>
      <c r="H58" s="257">
        <f t="shared" ref="H58" si="38">F58*0.1</f>
        <v>0</v>
      </c>
      <c r="I58" s="262">
        <f>F58*$L$8+G58*$L$7+H58*$L$9</f>
        <v>0</v>
      </c>
      <c r="O58" s="188">
        <f t="shared" si="0"/>
        <v>0</v>
      </c>
    </row>
    <row r="59" spans="1:16" x14ac:dyDescent="0.3">
      <c r="A59" s="303" t="s">
        <v>313</v>
      </c>
      <c r="B59" s="257">
        <v>0</v>
      </c>
      <c r="C59" s="159">
        <v>0</v>
      </c>
      <c r="D59" s="257">
        <f t="shared" si="35"/>
        <v>0</v>
      </c>
      <c r="E59" s="266">
        <f>$L$16</f>
        <v>0</v>
      </c>
      <c r="F59" s="267">
        <f t="shared" si="25"/>
        <v>0</v>
      </c>
      <c r="G59" s="257">
        <f t="shared" si="26"/>
        <v>0</v>
      </c>
      <c r="H59" s="257">
        <f t="shared" si="27"/>
        <v>0</v>
      </c>
      <c r="I59" s="262">
        <f>F59*$L$8+G59*$L$7+H59*$L$9</f>
        <v>0</v>
      </c>
      <c r="O59" s="188">
        <f t="shared" si="0"/>
        <v>0</v>
      </c>
    </row>
    <row r="60" spans="1:16" x14ac:dyDescent="0.3">
      <c r="A60" s="303" t="s">
        <v>186</v>
      </c>
      <c r="B60" s="257" t="s">
        <v>122</v>
      </c>
      <c r="C60" s="260"/>
      <c r="D60" s="261"/>
      <c r="E60" s="260"/>
      <c r="F60" s="261"/>
      <c r="G60" s="261"/>
      <c r="H60" s="261"/>
      <c r="I60" s="261"/>
      <c r="O60" s="188">
        <f t="shared" si="0"/>
        <v>0</v>
      </c>
    </row>
    <row r="61" spans="1:16" ht="31.5" customHeight="1" x14ac:dyDescent="0.3">
      <c r="A61" s="269" t="s">
        <v>188</v>
      </c>
      <c r="B61" s="275"/>
      <c r="C61" s="276"/>
      <c r="D61" s="275"/>
      <c r="E61" s="277"/>
      <c r="F61" s="273">
        <f>SUM(F52:H60)</f>
        <v>9.7750000000000004</v>
      </c>
      <c r="G61" s="273"/>
      <c r="H61" s="273"/>
      <c r="I61" s="274">
        <f>SUM(I52:I60)</f>
        <v>1208.5520999999999</v>
      </c>
      <c r="O61" s="188">
        <f>SUM(O6:O60)</f>
        <v>255</v>
      </c>
      <c r="P61" s="188" t="s">
        <v>248</v>
      </c>
    </row>
    <row r="62" spans="1:16" ht="37" customHeight="1" x14ac:dyDescent="0.3">
      <c r="A62" s="278" t="s">
        <v>314</v>
      </c>
      <c r="B62" s="279"/>
      <c r="C62" s="169"/>
      <c r="D62" s="279"/>
      <c r="E62" s="280"/>
      <c r="F62" s="469">
        <f>ROUND(F61+F44, -2)</f>
        <v>1200</v>
      </c>
      <c r="G62" s="469"/>
      <c r="H62" s="469"/>
      <c r="I62" s="281">
        <f>ROUND(I61+I44, -4)</f>
        <v>150000</v>
      </c>
      <c r="K62" s="282">
        <f>F62/212</f>
        <v>5.6603773584905657</v>
      </c>
      <c r="L62" s="188" t="s">
        <v>190</v>
      </c>
    </row>
    <row r="63" spans="1:16" ht="31" customHeight="1" x14ac:dyDescent="0.3">
      <c r="A63" s="168" t="s">
        <v>315</v>
      </c>
      <c r="B63" s="261"/>
      <c r="C63" s="260"/>
      <c r="D63" s="261"/>
      <c r="E63" s="260"/>
      <c r="F63" s="261"/>
      <c r="G63" s="261"/>
      <c r="H63" s="261"/>
      <c r="I63" s="281"/>
    </row>
    <row r="64" spans="1:16" ht="15" x14ac:dyDescent="0.3">
      <c r="A64" s="168" t="s">
        <v>316</v>
      </c>
      <c r="B64" s="261"/>
      <c r="C64" s="260"/>
      <c r="D64" s="261"/>
      <c r="E64" s="260"/>
      <c r="F64" s="261"/>
      <c r="G64" s="261"/>
      <c r="H64" s="261"/>
      <c r="I64" s="281">
        <f>ROUND(I62+I63, -5)</f>
        <v>200000</v>
      </c>
    </row>
    <row r="65" spans="1:9" ht="6" customHeight="1" x14ac:dyDescent="0.3"/>
    <row r="66" spans="1:9" ht="15" customHeight="1" x14ac:dyDescent="0.3">
      <c r="A66" s="467" t="s">
        <v>402</v>
      </c>
      <c r="B66" s="467"/>
      <c r="C66" s="467"/>
      <c r="D66" s="467"/>
      <c r="E66" s="467"/>
      <c r="F66" s="467"/>
      <c r="G66" s="467"/>
      <c r="H66" s="467"/>
      <c r="I66" s="467"/>
    </row>
    <row r="67" spans="1:9" ht="79" customHeight="1" x14ac:dyDescent="0.3">
      <c r="A67" s="446" t="s">
        <v>194</v>
      </c>
      <c r="B67" s="446"/>
      <c r="C67" s="446"/>
      <c r="D67" s="446"/>
      <c r="E67" s="446"/>
      <c r="F67" s="446"/>
      <c r="G67" s="446"/>
      <c r="H67" s="446"/>
      <c r="I67" s="446"/>
    </row>
    <row r="68" spans="1:9" ht="8.5" customHeight="1" x14ac:dyDescent="0.3">
      <c r="A68" s="467" t="s">
        <v>403</v>
      </c>
      <c r="B68" s="467"/>
      <c r="C68" s="467"/>
      <c r="D68" s="467"/>
      <c r="E68" s="467"/>
      <c r="F68" s="467"/>
      <c r="G68" s="467"/>
      <c r="H68" s="467"/>
      <c r="I68" s="467"/>
    </row>
    <row r="69" spans="1:9" ht="11.15" customHeight="1" x14ac:dyDescent="0.3">
      <c r="A69" s="470" t="s">
        <v>404</v>
      </c>
      <c r="B69" s="470"/>
      <c r="C69" s="470"/>
      <c r="D69" s="470"/>
      <c r="E69" s="470"/>
      <c r="F69" s="470"/>
      <c r="G69" s="470"/>
      <c r="H69" s="470"/>
      <c r="I69" s="470"/>
    </row>
    <row r="70" spans="1:9" ht="11.5" customHeight="1" x14ac:dyDescent="0.3">
      <c r="A70" s="466" t="s">
        <v>319</v>
      </c>
      <c r="B70" s="466"/>
      <c r="C70" s="466"/>
      <c r="D70" s="466"/>
      <c r="E70" s="466"/>
      <c r="F70" s="466"/>
      <c r="G70" s="466"/>
      <c r="H70" s="466"/>
      <c r="I70" s="466"/>
    </row>
    <row r="71" spans="1:9" ht="18.75" customHeight="1" x14ac:dyDescent="0.3">
      <c r="A71" s="466"/>
      <c r="B71" s="466"/>
      <c r="C71" s="466"/>
      <c r="D71" s="466"/>
      <c r="E71" s="466"/>
      <c r="F71" s="466"/>
      <c r="G71" s="466"/>
      <c r="H71" s="466"/>
      <c r="I71" s="466"/>
    </row>
  </sheetData>
  <mergeCells count="10">
    <mergeCell ref="A71:I71"/>
    <mergeCell ref="A1:I1"/>
    <mergeCell ref="A3:I3"/>
    <mergeCell ref="K6:L6"/>
    <mergeCell ref="F62:H62"/>
    <mergeCell ref="A66:I66"/>
    <mergeCell ref="A67:I67"/>
    <mergeCell ref="A68:I68"/>
    <mergeCell ref="A69:I69"/>
    <mergeCell ref="A70:I70"/>
  </mergeCells>
  <pageMargins left="0.7" right="0.7" top="0.75" bottom="0.75" header="0.3" footer="0.3"/>
  <pageSetup scale="3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58F7C-AAE3-4E6D-9D8C-6FCE24EC180C}">
  <sheetPr>
    <pageSetUpPr fitToPage="1"/>
  </sheetPr>
  <dimension ref="A1:P70"/>
  <sheetViews>
    <sheetView zoomScale="80" zoomScaleNormal="80" workbookViewId="0">
      <pane xSplit="9" ySplit="5" topLeftCell="J6" activePane="bottomRight" state="frozen"/>
      <selection pane="topRight" activeCell="A73" sqref="A73"/>
      <selection pane="bottomLeft" activeCell="A73" sqref="A73"/>
      <selection pane="bottomRight" activeCell="I11" sqref="I11"/>
    </sheetView>
  </sheetViews>
  <sheetFormatPr defaultColWidth="9.1796875" defaultRowHeight="13" x14ac:dyDescent="0.3"/>
  <cols>
    <col min="1" max="1" width="26.4531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0.816406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405</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59" si="0">C7*E7</f>
        <v>0</v>
      </c>
    </row>
    <row r="8" spans="1:15" ht="56.5" customHeight="1" x14ac:dyDescent="0.3">
      <c r="A8" s="259" t="s">
        <v>127</v>
      </c>
      <c r="B8" s="257">
        <v>0</v>
      </c>
      <c r="C8" s="159">
        <v>0</v>
      </c>
      <c r="D8" s="257">
        <f>B8*C8</f>
        <v>0</v>
      </c>
      <c r="E8" s="159">
        <f>L15</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ht="26" x14ac:dyDescent="0.3">
      <c r="A10" s="259" t="s">
        <v>289</v>
      </c>
      <c r="B10" s="257">
        <v>0</v>
      </c>
      <c r="C10" s="159">
        <v>0</v>
      </c>
      <c r="D10" s="257">
        <f>B10*C10</f>
        <v>0</v>
      </c>
      <c r="E10" s="159">
        <v>0</v>
      </c>
      <c r="F10" s="257">
        <f>D10*E10</f>
        <v>0</v>
      </c>
      <c r="G10" s="257">
        <f>F10*0.05</f>
        <v>0</v>
      </c>
      <c r="H10" s="257">
        <f>F10*0.1</f>
        <v>0</v>
      </c>
      <c r="I10" s="263">
        <f>F10*$L$8+G10*$L$7+H10*$L$9</f>
        <v>0</v>
      </c>
      <c r="K10" s="312"/>
      <c r="L10" s="311"/>
      <c r="M10" s="198"/>
      <c r="O10" s="188">
        <f t="shared" si="0"/>
        <v>0</v>
      </c>
    </row>
    <row r="11" spans="1:15" ht="26" x14ac:dyDescent="0.3">
      <c r="A11" s="303" t="s">
        <v>132</v>
      </c>
      <c r="B11" s="257">
        <v>0</v>
      </c>
      <c r="C11" s="159">
        <v>0</v>
      </c>
      <c r="D11" s="257">
        <f>B11*C11</f>
        <v>0</v>
      </c>
      <c r="E11" s="159">
        <v>0</v>
      </c>
      <c r="F11" s="257">
        <f>D11*E11</f>
        <v>0</v>
      </c>
      <c r="G11" s="257">
        <f>F11*0.05</f>
        <v>0</v>
      </c>
      <c r="H11" s="257">
        <f>F11*0.1</f>
        <v>0</v>
      </c>
      <c r="I11" s="197">
        <f>F11*$L$8+G11*$L$7+H11*$L$9</f>
        <v>0</v>
      </c>
      <c r="K11" s="264"/>
      <c r="O11" s="188">
        <f t="shared" si="0"/>
        <v>0</v>
      </c>
    </row>
    <row r="12" spans="1:15" ht="15.75" customHeight="1" x14ac:dyDescent="0.3">
      <c r="A12" s="303" t="s">
        <v>133</v>
      </c>
      <c r="B12" s="257"/>
      <c r="C12" s="159"/>
      <c r="D12" s="257"/>
      <c r="E12" s="159"/>
      <c r="F12" s="257"/>
      <c r="G12" s="257"/>
      <c r="H12" s="257"/>
      <c r="I12" s="263"/>
      <c r="O12" s="188">
        <f t="shared" si="0"/>
        <v>0</v>
      </c>
    </row>
    <row r="13" spans="1:15" ht="15.5" x14ac:dyDescent="0.3">
      <c r="A13" s="304" t="s">
        <v>290</v>
      </c>
      <c r="B13" s="257"/>
      <c r="C13" s="159"/>
      <c r="D13" s="257"/>
      <c r="E13" s="266"/>
      <c r="F13" s="267"/>
      <c r="G13" s="257"/>
      <c r="H13" s="257"/>
      <c r="I13" s="263"/>
      <c r="O13" s="188">
        <f t="shared" si="0"/>
        <v>0</v>
      </c>
    </row>
    <row r="14" spans="1:15" ht="25.5" customHeight="1" x14ac:dyDescent="0.3">
      <c r="A14" s="253" t="s">
        <v>370</v>
      </c>
      <c r="B14" s="257">
        <v>0</v>
      </c>
      <c r="C14" s="159">
        <v>0</v>
      </c>
      <c r="D14" s="257">
        <f>B14*C14</f>
        <v>0</v>
      </c>
      <c r="E14" s="266">
        <v>0</v>
      </c>
      <c r="F14" s="267">
        <f>D14*E14</f>
        <v>0</v>
      </c>
      <c r="G14" s="257">
        <f>F14*0.05</f>
        <v>0</v>
      </c>
      <c r="H14" s="257">
        <f>F14*0.1</f>
        <v>0</v>
      </c>
      <c r="I14" s="263">
        <f>F14*$L$8+G14*$L$7+H14*$L$9</f>
        <v>0</v>
      </c>
      <c r="K14" s="265"/>
      <c r="L14" s="265" t="s">
        <v>398</v>
      </c>
      <c r="O14" s="188">
        <f t="shared" si="0"/>
        <v>0</v>
      </c>
    </row>
    <row r="15" spans="1:15" x14ac:dyDescent="0.3">
      <c r="A15" s="253" t="s">
        <v>293</v>
      </c>
      <c r="B15" s="257">
        <v>0</v>
      </c>
      <c r="C15" s="159">
        <v>0</v>
      </c>
      <c r="D15" s="257">
        <f t="shared" ref="D15" si="1">B15*C15</f>
        <v>0</v>
      </c>
      <c r="E15" s="266">
        <f>E14*0.05</f>
        <v>0</v>
      </c>
      <c r="F15" s="267">
        <f t="shared" ref="F15:F23" si="2">D15*E15</f>
        <v>0</v>
      </c>
      <c r="G15" s="257">
        <f t="shared" ref="G15:G23" si="3">F15*0.05</f>
        <v>0</v>
      </c>
      <c r="H15" s="257">
        <f t="shared" ref="H15:H23" si="4">F15*0.1</f>
        <v>0</v>
      </c>
      <c r="I15" s="263">
        <f t="shared" ref="I15:I23" si="5">F15*$L$8+G15*$L$7+H15*$L$9</f>
        <v>0</v>
      </c>
      <c r="J15" s="264"/>
      <c r="K15" s="265"/>
      <c r="L15" s="265">
        <v>0</v>
      </c>
      <c r="O15" s="188">
        <f t="shared" si="0"/>
        <v>0</v>
      </c>
    </row>
    <row r="16" spans="1:15" ht="26" x14ac:dyDescent="0.3">
      <c r="A16" s="301" t="s">
        <v>406</v>
      </c>
      <c r="B16" s="257">
        <v>0</v>
      </c>
      <c r="C16" s="159">
        <v>0</v>
      </c>
      <c r="D16" s="73">
        <f>B16*C16</f>
        <v>0</v>
      </c>
      <c r="E16" s="266">
        <f t="shared" ref="E16:E17" si="6">E15*0.05</f>
        <v>0</v>
      </c>
      <c r="F16" s="267">
        <f t="shared" ref="F16:F17" si="7">D16*E16</f>
        <v>0</v>
      </c>
      <c r="G16" s="257">
        <f t="shared" ref="G16:G17" si="8">F16*0.05</f>
        <v>0</v>
      </c>
      <c r="H16" s="257">
        <f t="shared" ref="H16:H17" si="9">F16*0.1</f>
        <v>0</v>
      </c>
      <c r="I16" s="263">
        <f t="shared" ref="I16:I17" si="10">F16*$L$8+G16*$L$7+H16*$L$9</f>
        <v>0</v>
      </c>
      <c r="J16" s="264"/>
      <c r="K16" s="265" t="s">
        <v>136</v>
      </c>
      <c r="L16" s="265">
        <f>L15+L17*0.07</f>
        <v>5.95</v>
      </c>
      <c r="M16" s="264" t="s">
        <v>294</v>
      </c>
      <c r="O16" s="188">
        <f t="shared" si="0"/>
        <v>0</v>
      </c>
    </row>
    <row r="17" spans="1:15" ht="26" x14ac:dyDescent="0.3">
      <c r="A17" s="301" t="s">
        <v>407</v>
      </c>
      <c r="B17" s="257">
        <v>0</v>
      </c>
      <c r="C17" s="159">
        <v>0</v>
      </c>
      <c r="D17" s="73">
        <f t="shared" ref="D17" si="11">B17*C17</f>
        <v>0</v>
      </c>
      <c r="E17" s="266">
        <f t="shared" si="6"/>
        <v>0</v>
      </c>
      <c r="F17" s="267">
        <f t="shared" si="7"/>
        <v>0</v>
      </c>
      <c r="G17" s="257">
        <f t="shared" si="8"/>
        <v>0</v>
      </c>
      <c r="H17" s="257">
        <f t="shared" si="9"/>
        <v>0</v>
      </c>
      <c r="I17" s="263">
        <f t="shared" si="10"/>
        <v>0</v>
      </c>
      <c r="J17" s="264"/>
      <c r="K17" s="265" t="s">
        <v>141</v>
      </c>
      <c r="L17" s="265">
        <f>'SI-Y1'!$L$18</f>
        <v>85</v>
      </c>
      <c r="O17" s="188">
        <f t="shared" si="0"/>
        <v>0</v>
      </c>
    </row>
    <row r="18" spans="1:15" ht="28.5" x14ac:dyDescent="0.3">
      <c r="A18" s="306" t="s">
        <v>297</v>
      </c>
      <c r="B18" s="74"/>
      <c r="C18" s="74"/>
      <c r="D18" s="73"/>
      <c r="E18" s="266"/>
      <c r="F18" s="267"/>
      <c r="G18" s="257"/>
      <c r="H18" s="257"/>
      <c r="I18" s="263"/>
      <c r="J18" s="264"/>
      <c r="K18" s="327"/>
      <c r="L18" s="327"/>
      <c r="O18" s="188">
        <f t="shared" si="0"/>
        <v>0</v>
      </c>
    </row>
    <row r="19" spans="1:15" ht="26" x14ac:dyDescent="0.3">
      <c r="A19" s="301" t="s">
        <v>406</v>
      </c>
      <c r="B19" s="257">
        <v>0</v>
      </c>
      <c r="C19" s="159">
        <v>0</v>
      </c>
      <c r="D19" s="73">
        <f>B19*C19</f>
        <v>0</v>
      </c>
      <c r="E19" s="266">
        <f t="shared" ref="E19:E20" si="12">E18*0.05</f>
        <v>0</v>
      </c>
      <c r="F19" s="267">
        <f t="shared" ref="F19:F20" si="13">D19*E19</f>
        <v>0</v>
      </c>
      <c r="G19" s="257">
        <f t="shared" ref="G19:G20" si="14">F19*0.05</f>
        <v>0</v>
      </c>
      <c r="H19" s="257">
        <f t="shared" ref="H19:H20" si="15">F19*0.1</f>
        <v>0</v>
      </c>
      <c r="I19" s="263">
        <f t="shared" ref="I19:I20" si="16">F19*$L$8+G19*$L$7+H19*$L$9</f>
        <v>0</v>
      </c>
      <c r="J19" s="264"/>
      <c r="K19" s="327"/>
      <c r="L19" s="327"/>
      <c r="O19" s="188">
        <f t="shared" si="0"/>
        <v>0</v>
      </c>
    </row>
    <row r="20" spans="1:15" ht="26" x14ac:dyDescent="0.3">
      <c r="A20" s="301" t="s">
        <v>407</v>
      </c>
      <c r="B20" s="257">
        <v>0</v>
      </c>
      <c r="C20" s="159">
        <v>0</v>
      </c>
      <c r="D20" s="73">
        <f t="shared" ref="D20" si="17">B20*C20</f>
        <v>0</v>
      </c>
      <c r="E20" s="266">
        <f t="shared" si="12"/>
        <v>0</v>
      </c>
      <c r="F20" s="267">
        <f t="shared" si="13"/>
        <v>0</v>
      </c>
      <c r="G20" s="257">
        <f t="shared" si="14"/>
        <v>0</v>
      </c>
      <c r="H20" s="257">
        <f t="shared" si="15"/>
        <v>0</v>
      </c>
      <c r="I20" s="263">
        <f t="shared" si="16"/>
        <v>0</v>
      </c>
      <c r="J20" s="264"/>
      <c r="K20" s="327"/>
      <c r="L20" s="327"/>
      <c r="O20" s="188">
        <f t="shared" si="0"/>
        <v>0</v>
      </c>
    </row>
    <row r="21" spans="1:15" ht="28.5" x14ac:dyDescent="0.3">
      <c r="A21" s="304" t="s">
        <v>298</v>
      </c>
      <c r="B21" s="257"/>
      <c r="C21" s="159"/>
      <c r="D21" s="257"/>
      <c r="E21" s="159"/>
      <c r="F21" s="267"/>
      <c r="G21" s="257"/>
      <c r="H21" s="257"/>
      <c r="I21" s="263"/>
      <c r="L21" s="264"/>
      <c r="M21" s="264"/>
      <c r="O21" s="188">
        <f t="shared" si="0"/>
        <v>0</v>
      </c>
    </row>
    <row r="22" spans="1:15" ht="26" x14ac:dyDescent="0.3">
      <c r="A22" s="303" t="s">
        <v>372</v>
      </c>
      <c r="B22" s="257">
        <v>0</v>
      </c>
      <c r="C22" s="159">
        <v>0</v>
      </c>
      <c r="D22" s="257">
        <f>B22*C22</f>
        <v>0</v>
      </c>
      <c r="E22" s="266">
        <v>0</v>
      </c>
      <c r="F22" s="267">
        <f t="shared" si="2"/>
        <v>0</v>
      </c>
      <c r="G22" s="257">
        <f t="shared" si="3"/>
        <v>0</v>
      </c>
      <c r="H22" s="257">
        <f t="shared" si="4"/>
        <v>0</v>
      </c>
      <c r="I22" s="263">
        <f t="shared" si="5"/>
        <v>0</v>
      </c>
      <c r="J22" s="198"/>
      <c r="N22" s="264"/>
      <c r="O22" s="188">
        <f t="shared" si="0"/>
        <v>0</v>
      </c>
    </row>
    <row r="23" spans="1:15" x14ac:dyDescent="0.3">
      <c r="A23" s="303" t="s">
        <v>300</v>
      </c>
      <c r="B23" s="257">
        <v>0</v>
      </c>
      <c r="C23" s="159">
        <v>0</v>
      </c>
      <c r="D23" s="257">
        <f t="shared" ref="D23" si="18">B23*C23</f>
        <v>0</v>
      </c>
      <c r="E23" s="266">
        <f>E22*0.05</f>
        <v>0</v>
      </c>
      <c r="F23" s="267">
        <f t="shared" si="2"/>
        <v>0</v>
      </c>
      <c r="G23" s="257">
        <f t="shared" si="3"/>
        <v>0</v>
      </c>
      <c r="H23" s="257">
        <f t="shared" si="4"/>
        <v>0</v>
      </c>
      <c r="I23" s="263">
        <f t="shared" si="5"/>
        <v>0</v>
      </c>
      <c r="J23" s="198"/>
      <c r="O23" s="188">
        <f t="shared" si="0"/>
        <v>0</v>
      </c>
    </row>
    <row r="24" spans="1:15" ht="26.15" customHeight="1" x14ac:dyDescent="0.3">
      <c r="A24" s="306" t="s">
        <v>151</v>
      </c>
      <c r="B24" s="92"/>
      <c r="C24" s="93"/>
      <c r="D24" s="92"/>
      <c r="E24" s="266"/>
      <c r="F24" s="267"/>
      <c r="G24" s="257"/>
      <c r="H24" s="257"/>
      <c r="I24" s="263"/>
      <c r="J24" s="198"/>
      <c r="O24" s="188">
        <f t="shared" si="0"/>
        <v>0</v>
      </c>
    </row>
    <row r="25" spans="1:15" ht="26" x14ac:dyDescent="0.3">
      <c r="A25" s="301" t="s">
        <v>154</v>
      </c>
      <c r="B25" s="257">
        <v>0</v>
      </c>
      <c r="C25" s="159">
        <v>0</v>
      </c>
      <c r="D25" s="73">
        <f>B25*C25</f>
        <v>0</v>
      </c>
      <c r="E25" s="266">
        <f t="shared" ref="E25" si="19">E24*0.05</f>
        <v>0</v>
      </c>
      <c r="F25" s="267">
        <f t="shared" ref="F25" si="20">D25*E25</f>
        <v>0</v>
      </c>
      <c r="G25" s="257">
        <f t="shared" ref="G25" si="21">F25*0.05</f>
        <v>0</v>
      </c>
      <c r="H25" s="257">
        <f t="shared" ref="H25" si="22">F25*0.1</f>
        <v>0</v>
      </c>
      <c r="I25" s="263">
        <f t="shared" ref="I25" si="23">F25*$L$8+G25*$L$7+H25*$L$9</f>
        <v>0</v>
      </c>
      <c r="J25" s="198"/>
      <c r="O25" s="188">
        <f t="shared" si="0"/>
        <v>0</v>
      </c>
    </row>
    <row r="26" spans="1:15" x14ac:dyDescent="0.3">
      <c r="A26" s="301" t="s">
        <v>408</v>
      </c>
      <c r="B26" s="73"/>
      <c r="C26" s="74"/>
      <c r="D26" s="73"/>
      <c r="E26" s="266"/>
      <c r="F26" s="267"/>
      <c r="G26" s="257"/>
      <c r="H26" s="257"/>
      <c r="I26" s="263"/>
      <c r="J26" s="198"/>
      <c r="O26" s="188">
        <f t="shared" si="0"/>
        <v>0</v>
      </c>
    </row>
    <row r="27" spans="1:15" ht="26" x14ac:dyDescent="0.3">
      <c r="A27" s="301" t="s">
        <v>155</v>
      </c>
      <c r="B27" s="73"/>
      <c r="C27" s="77"/>
      <c r="D27" s="78"/>
      <c r="E27" s="266"/>
      <c r="F27" s="267"/>
      <c r="G27" s="257"/>
      <c r="H27" s="257"/>
      <c r="I27" s="263"/>
      <c r="J27" s="198"/>
      <c r="O27" s="188">
        <f t="shared" si="0"/>
        <v>0</v>
      </c>
    </row>
    <row r="28" spans="1:15" ht="26" x14ac:dyDescent="0.3">
      <c r="A28" s="301" t="s">
        <v>156</v>
      </c>
      <c r="B28" s="73"/>
      <c r="C28" s="77"/>
      <c r="D28" s="78"/>
      <c r="E28" s="266"/>
      <c r="F28" s="267"/>
      <c r="G28" s="257"/>
      <c r="H28" s="257"/>
      <c r="I28" s="263"/>
      <c r="J28" s="198"/>
      <c r="O28" s="188">
        <f t="shared" si="0"/>
        <v>0</v>
      </c>
    </row>
    <row r="29" spans="1:15" x14ac:dyDescent="0.3">
      <c r="A29" s="301" t="s">
        <v>157</v>
      </c>
      <c r="B29" s="78"/>
      <c r="C29" s="77"/>
      <c r="D29" s="78"/>
      <c r="E29" s="266"/>
      <c r="F29" s="267"/>
      <c r="G29" s="257"/>
      <c r="H29" s="257"/>
      <c r="I29" s="263"/>
      <c r="J29" s="198"/>
      <c r="O29" s="188">
        <f t="shared" si="0"/>
        <v>0</v>
      </c>
    </row>
    <row r="30" spans="1:15" x14ac:dyDescent="0.3">
      <c r="A30" s="305" t="s">
        <v>399</v>
      </c>
      <c r="B30" s="257"/>
      <c r="C30" s="159"/>
      <c r="D30" s="257"/>
      <c r="E30" s="266"/>
      <c r="F30" s="257"/>
      <c r="G30" s="257"/>
      <c r="H30" s="257"/>
      <c r="I30" s="263"/>
      <c r="O30" s="188">
        <f t="shared" si="0"/>
        <v>0</v>
      </c>
    </row>
    <row r="31" spans="1:15" ht="28.5" customHeight="1" x14ac:dyDescent="0.3">
      <c r="A31" s="303" t="s">
        <v>160</v>
      </c>
      <c r="B31" s="257">
        <v>0</v>
      </c>
      <c r="C31" s="159">
        <v>0</v>
      </c>
      <c r="D31" s="257">
        <f>B31*C31</f>
        <v>0</v>
      </c>
      <c r="E31" s="266">
        <f>E14</f>
        <v>0</v>
      </c>
      <c r="F31" s="257">
        <f t="shared" ref="F31:F32" si="24">D31*E31</f>
        <v>0</v>
      </c>
      <c r="G31" s="257">
        <f t="shared" ref="G31:G32" si="25">F31*0.05</f>
        <v>0</v>
      </c>
      <c r="H31" s="257">
        <f t="shared" ref="H31:H32" si="26">F31*0.1</f>
        <v>0</v>
      </c>
      <c r="I31" s="263">
        <f t="shared" ref="I31:I32" si="27">F31*$L$8+G31*$L$7+H31*$L$9</f>
        <v>0</v>
      </c>
      <c r="O31" s="188">
        <f t="shared" si="0"/>
        <v>0</v>
      </c>
    </row>
    <row r="32" spans="1:15" ht="39" x14ac:dyDescent="0.3">
      <c r="A32" s="303" t="s">
        <v>400</v>
      </c>
      <c r="B32" s="257">
        <v>0</v>
      </c>
      <c r="C32" s="159">
        <v>0</v>
      </c>
      <c r="D32" s="257">
        <f>B32*C32</f>
        <v>0</v>
      </c>
      <c r="E32" s="266">
        <f>E14</f>
        <v>0</v>
      </c>
      <c r="F32" s="257">
        <f t="shared" si="24"/>
        <v>0</v>
      </c>
      <c r="G32" s="257">
        <f t="shared" si="25"/>
        <v>0</v>
      </c>
      <c r="H32" s="257">
        <f t="shared" si="26"/>
        <v>0</v>
      </c>
      <c r="I32" s="263">
        <f t="shared" si="27"/>
        <v>0</v>
      </c>
      <c r="O32" s="188">
        <f t="shared" si="0"/>
        <v>0</v>
      </c>
    </row>
    <row r="33" spans="1:15" ht="26" x14ac:dyDescent="0.3">
      <c r="A33" s="301" t="s">
        <v>409</v>
      </c>
      <c r="B33" s="257">
        <v>0</v>
      </c>
      <c r="C33" s="159">
        <v>0</v>
      </c>
      <c r="D33" s="257">
        <f t="shared" ref="D33:D35" si="28">B33*C33</f>
        <v>0</v>
      </c>
      <c r="E33" s="266">
        <f t="shared" ref="E33:E35" si="29">E15</f>
        <v>0</v>
      </c>
      <c r="F33" s="257">
        <f t="shared" ref="F33:F35" si="30">D33*E33</f>
        <v>0</v>
      </c>
      <c r="G33" s="257">
        <f t="shared" ref="G33:G35" si="31">F33*0.05</f>
        <v>0</v>
      </c>
      <c r="H33" s="257">
        <f t="shared" ref="H33:H35" si="32">F33*0.1</f>
        <v>0</v>
      </c>
      <c r="I33" s="263">
        <f t="shared" ref="I33:I35" si="33">F33*$L$8+G33*$L$7+H33*$L$9</f>
        <v>0</v>
      </c>
      <c r="O33" s="188">
        <f t="shared" si="0"/>
        <v>0</v>
      </c>
    </row>
    <row r="34" spans="1:15" ht="39" x14ac:dyDescent="0.3">
      <c r="A34" s="301" t="s">
        <v>330</v>
      </c>
      <c r="B34" s="257">
        <v>0</v>
      </c>
      <c r="C34" s="159">
        <v>0</v>
      </c>
      <c r="D34" s="257">
        <f t="shared" si="28"/>
        <v>0</v>
      </c>
      <c r="E34" s="266">
        <f t="shared" si="29"/>
        <v>0</v>
      </c>
      <c r="F34" s="257">
        <f t="shared" si="30"/>
        <v>0</v>
      </c>
      <c r="G34" s="257">
        <f t="shared" si="31"/>
        <v>0</v>
      </c>
      <c r="H34" s="257">
        <f t="shared" si="32"/>
        <v>0</v>
      </c>
      <c r="I34" s="263">
        <f t="shared" si="33"/>
        <v>0</v>
      </c>
      <c r="O34" s="188">
        <f t="shared" si="0"/>
        <v>0</v>
      </c>
    </row>
    <row r="35" spans="1:15" ht="26" x14ac:dyDescent="0.3">
      <c r="A35" s="301" t="s">
        <v>410</v>
      </c>
      <c r="B35" s="257">
        <v>0</v>
      </c>
      <c r="C35" s="159">
        <v>0</v>
      </c>
      <c r="D35" s="257">
        <f t="shared" si="28"/>
        <v>0</v>
      </c>
      <c r="E35" s="266">
        <f t="shared" si="29"/>
        <v>0</v>
      </c>
      <c r="F35" s="257">
        <f t="shared" si="30"/>
        <v>0</v>
      </c>
      <c r="G35" s="257">
        <f t="shared" si="31"/>
        <v>0</v>
      </c>
      <c r="H35" s="257">
        <f t="shared" si="32"/>
        <v>0</v>
      </c>
      <c r="I35" s="263">
        <f t="shared" si="33"/>
        <v>0</v>
      </c>
      <c r="O35" s="188">
        <f t="shared" si="0"/>
        <v>0</v>
      </c>
    </row>
    <row r="36" spans="1:15" x14ac:dyDescent="0.3">
      <c r="A36" s="305" t="s">
        <v>306</v>
      </c>
      <c r="B36" s="261"/>
      <c r="C36" s="260"/>
      <c r="D36" s="261"/>
      <c r="E36" s="268"/>
      <c r="F36" s="261"/>
      <c r="G36" s="261"/>
      <c r="H36" s="261"/>
      <c r="I36" s="261"/>
      <c r="O36" s="188">
        <f t="shared" si="0"/>
        <v>0</v>
      </c>
    </row>
    <row r="37" spans="1:15" ht="26" x14ac:dyDescent="0.3">
      <c r="A37" s="303" t="s">
        <v>307</v>
      </c>
      <c r="B37" s="257">
        <v>0</v>
      </c>
      <c r="C37" s="159">
        <v>0</v>
      </c>
      <c r="D37" s="257">
        <f>B37*C37</f>
        <v>0</v>
      </c>
      <c r="E37" s="266">
        <v>0</v>
      </c>
      <c r="F37" s="257">
        <f>D37*E37</f>
        <v>0</v>
      </c>
      <c r="G37" s="257">
        <f>F37*0.05</f>
        <v>0</v>
      </c>
      <c r="H37" s="257">
        <f>F37*0.1</f>
        <v>0</v>
      </c>
      <c r="I37" s="263">
        <f>F37*$L$8+G37*$L$7+H37*$L$9</f>
        <v>0</v>
      </c>
      <c r="O37" s="188">
        <f t="shared" si="0"/>
        <v>0</v>
      </c>
    </row>
    <row r="38" spans="1:15" ht="39" x14ac:dyDescent="0.3">
      <c r="A38" s="303" t="s">
        <v>401</v>
      </c>
      <c r="B38" s="257">
        <v>0</v>
      </c>
      <c r="C38" s="159">
        <v>0</v>
      </c>
      <c r="D38" s="257">
        <f>B38*C38</f>
        <v>0</v>
      </c>
      <c r="E38" s="266">
        <f>E37</f>
        <v>0</v>
      </c>
      <c r="F38" s="257">
        <f>D38*E38</f>
        <v>0</v>
      </c>
      <c r="G38" s="257">
        <f>F38*0.05</f>
        <v>0</v>
      </c>
      <c r="H38" s="257">
        <f>F38*0.1</f>
        <v>0</v>
      </c>
      <c r="I38" s="263">
        <f>F38*$L$8+G38*$L$7+H38*$L$9</f>
        <v>0</v>
      </c>
      <c r="O38" s="188">
        <f t="shared" si="0"/>
        <v>0</v>
      </c>
    </row>
    <row r="39" spans="1:15" ht="26" x14ac:dyDescent="0.3">
      <c r="A39" s="301" t="s">
        <v>159</v>
      </c>
      <c r="B39" s="257">
        <v>0</v>
      </c>
      <c r="C39" s="159">
        <v>0</v>
      </c>
      <c r="D39" s="257">
        <f t="shared" ref="D39:D41" si="34">B39*C39</f>
        <v>0</v>
      </c>
      <c r="E39" s="266">
        <f t="shared" ref="E39:E41" si="35">E38</f>
        <v>0</v>
      </c>
      <c r="F39" s="257">
        <f t="shared" ref="F39:F41" si="36">D39*E39</f>
        <v>0</v>
      </c>
      <c r="G39" s="257">
        <f t="shared" ref="G39:G41" si="37">F39*0.05</f>
        <v>0</v>
      </c>
      <c r="H39" s="257">
        <f t="shared" ref="H39:H41" si="38">F39*0.1</f>
        <v>0</v>
      </c>
      <c r="I39" s="263">
        <f t="shared" ref="I39:I41" si="39">F39*$L$8+G39*$L$7+H39*$L$9</f>
        <v>0</v>
      </c>
      <c r="O39" s="188">
        <f t="shared" si="0"/>
        <v>0</v>
      </c>
    </row>
    <row r="40" spans="1:15" ht="39" x14ac:dyDescent="0.3">
      <c r="A40" s="301" t="s">
        <v>330</v>
      </c>
      <c r="B40" s="257">
        <v>0</v>
      </c>
      <c r="C40" s="159">
        <v>0</v>
      </c>
      <c r="D40" s="257">
        <f t="shared" si="34"/>
        <v>0</v>
      </c>
      <c r="E40" s="266">
        <f t="shared" si="35"/>
        <v>0</v>
      </c>
      <c r="F40" s="257">
        <f t="shared" si="36"/>
        <v>0</v>
      </c>
      <c r="G40" s="257">
        <f t="shared" si="37"/>
        <v>0</v>
      </c>
      <c r="H40" s="257">
        <f t="shared" si="38"/>
        <v>0</v>
      </c>
      <c r="I40" s="263">
        <f t="shared" si="39"/>
        <v>0</v>
      </c>
      <c r="O40" s="188">
        <f t="shared" si="0"/>
        <v>0</v>
      </c>
    </row>
    <row r="41" spans="1:15" ht="39" x14ac:dyDescent="0.3">
      <c r="A41" s="301" t="s">
        <v>325</v>
      </c>
      <c r="B41" s="257">
        <v>0</v>
      </c>
      <c r="C41" s="159">
        <v>0</v>
      </c>
      <c r="D41" s="257">
        <f t="shared" si="34"/>
        <v>0</v>
      </c>
      <c r="E41" s="266">
        <f t="shared" si="35"/>
        <v>0</v>
      </c>
      <c r="F41" s="257">
        <f t="shared" si="36"/>
        <v>0</v>
      </c>
      <c r="G41" s="257">
        <f t="shared" si="37"/>
        <v>0</v>
      </c>
      <c r="H41" s="257">
        <f t="shared" si="38"/>
        <v>0</v>
      </c>
      <c r="I41" s="263">
        <f t="shared" si="39"/>
        <v>0</v>
      </c>
      <c r="O41" s="188">
        <f t="shared" si="0"/>
        <v>0</v>
      </c>
    </row>
    <row r="42" spans="1:15" x14ac:dyDescent="0.3">
      <c r="A42" s="301"/>
      <c r="B42" s="73"/>
      <c r="C42" s="74"/>
      <c r="D42" s="73"/>
      <c r="E42" s="328"/>
      <c r="F42" s="257"/>
      <c r="G42" s="257"/>
      <c r="H42" s="257"/>
      <c r="I42" s="263"/>
      <c r="O42" s="188">
        <f t="shared" si="0"/>
        <v>0</v>
      </c>
    </row>
    <row r="43" spans="1:15" ht="26.5" customHeight="1" x14ac:dyDescent="0.3">
      <c r="A43" s="269" t="s">
        <v>167</v>
      </c>
      <c r="B43" s="270"/>
      <c r="C43" s="271"/>
      <c r="D43" s="270"/>
      <c r="E43" s="272"/>
      <c r="F43" s="273">
        <f>SUM(F8:H42)</f>
        <v>0</v>
      </c>
      <c r="G43" s="273"/>
      <c r="H43" s="273"/>
      <c r="I43" s="274">
        <f>SUM(I8:I42)</f>
        <v>0</v>
      </c>
      <c r="O43" s="188">
        <f t="shared" si="0"/>
        <v>0</v>
      </c>
    </row>
    <row r="44" spans="1:15" ht="26" x14ac:dyDescent="0.3">
      <c r="A44" s="259" t="s">
        <v>168</v>
      </c>
      <c r="B44" s="261"/>
      <c r="C44" s="260"/>
      <c r="D44" s="261"/>
      <c r="E44" s="268"/>
      <c r="F44" s="261"/>
      <c r="G44" s="261"/>
      <c r="H44" s="261"/>
      <c r="I44" s="261"/>
      <c r="O44" s="188">
        <f t="shared" si="0"/>
        <v>0</v>
      </c>
    </row>
    <row r="45" spans="1:15" ht="26" x14ac:dyDescent="0.3">
      <c r="A45" s="303" t="s">
        <v>132</v>
      </c>
      <c r="B45" s="257"/>
      <c r="C45" s="260"/>
      <c r="D45" s="261"/>
      <c r="E45" s="260"/>
      <c r="F45" s="261"/>
      <c r="G45" s="261"/>
      <c r="H45" s="261"/>
      <c r="I45" s="261"/>
      <c r="O45" s="188">
        <f t="shared" si="0"/>
        <v>0</v>
      </c>
    </row>
    <row r="46" spans="1:15" x14ac:dyDescent="0.3">
      <c r="A46" s="303" t="s">
        <v>169</v>
      </c>
      <c r="B46" s="257"/>
      <c r="C46" s="260"/>
      <c r="D46" s="261"/>
      <c r="E46" s="260"/>
      <c r="F46" s="261"/>
      <c r="G46" s="261"/>
      <c r="H46" s="261"/>
      <c r="I46" s="261"/>
      <c r="O46" s="188">
        <f t="shared" si="0"/>
        <v>0</v>
      </c>
    </row>
    <row r="47" spans="1:15" x14ac:dyDescent="0.3">
      <c r="A47" s="303" t="s">
        <v>170</v>
      </c>
      <c r="B47" s="257"/>
      <c r="C47" s="260"/>
      <c r="D47" s="261"/>
      <c r="E47" s="260"/>
      <c r="F47" s="261"/>
      <c r="G47" s="261"/>
      <c r="H47" s="261"/>
      <c r="I47" s="261"/>
      <c r="O47" s="188">
        <f t="shared" si="0"/>
        <v>0</v>
      </c>
    </row>
    <row r="48" spans="1:15" x14ac:dyDescent="0.3">
      <c r="A48" s="303" t="s">
        <v>171</v>
      </c>
      <c r="B48" s="257" t="s">
        <v>122</v>
      </c>
      <c r="C48" s="260"/>
      <c r="D48" s="261"/>
      <c r="E48" s="260"/>
      <c r="F48" s="261"/>
      <c r="G48" s="261"/>
      <c r="H48" s="261"/>
      <c r="I48" s="261"/>
      <c r="O48" s="188">
        <f t="shared" si="0"/>
        <v>0</v>
      </c>
    </row>
    <row r="49" spans="1:16" ht="26" x14ac:dyDescent="0.3">
      <c r="A49" s="303" t="s">
        <v>172</v>
      </c>
      <c r="B49" s="261"/>
      <c r="C49" s="260"/>
      <c r="D49" s="261"/>
      <c r="E49" s="260"/>
      <c r="F49" s="261"/>
      <c r="G49" s="261"/>
      <c r="H49" s="261"/>
      <c r="I49" s="261"/>
      <c r="O49" s="188">
        <f t="shared" si="0"/>
        <v>0</v>
      </c>
    </row>
    <row r="50" spans="1:16" x14ac:dyDescent="0.3">
      <c r="A50" s="305" t="s">
        <v>163</v>
      </c>
      <c r="B50" s="261"/>
      <c r="C50" s="260"/>
      <c r="D50" s="261"/>
      <c r="E50" s="260"/>
      <c r="F50" s="261"/>
      <c r="G50" s="261"/>
      <c r="H50" s="261"/>
      <c r="I50" s="261"/>
      <c r="O50" s="188">
        <f t="shared" si="0"/>
        <v>0</v>
      </c>
    </row>
    <row r="51" spans="1:16" x14ac:dyDescent="0.3">
      <c r="A51" s="303" t="s">
        <v>173</v>
      </c>
      <c r="B51" s="257">
        <v>0</v>
      </c>
      <c r="C51" s="159">
        <v>0</v>
      </c>
      <c r="D51" s="257">
        <f>B51*C51</f>
        <v>0</v>
      </c>
      <c r="E51" s="266">
        <v>0</v>
      </c>
      <c r="F51" s="267">
        <f t="shared" ref="F51:F58" si="40">D51*E51</f>
        <v>0</v>
      </c>
      <c r="G51" s="257">
        <f t="shared" ref="G51:G58" si="41">F51*0.05</f>
        <v>0</v>
      </c>
      <c r="H51" s="257">
        <f t="shared" ref="H51:H58" si="42">F51*0.1</f>
        <v>0</v>
      </c>
      <c r="I51" s="263">
        <f>F51*$L$8+G51*$L$7+H51*$L$9</f>
        <v>0</v>
      </c>
      <c r="O51" s="188">
        <f t="shared" si="0"/>
        <v>0</v>
      </c>
    </row>
    <row r="52" spans="1:16" x14ac:dyDescent="0.3">
      <c r="A52" s="303" t="s">
        <v>310</v>
      </c>
      <c r="B52" s="257">
        <v>0</v>
      </c>
      <c r="C52" s="159">
        <v>0</v>
      </c>
      <c r="D52" s="257">
        <f>B52*C52</f>
        <v>0</v>
      </c>
      <c r="E52" s="266">
        <v>0</v>
      </c>
      <c r="F52" s="267">
        <f t="shared" si="40"/>
        <v>0</v>
      </c>
      <c r="G52" s="257">
        <f t="shared" si="41"/>
        <v>0</v>
      </c>
      <c r="H52" s="257">
        <f t="shared" si="42"/>
        <v>0</v>
      </c>
      <c r="I52" s="263">
        <f>F52*$L$8+G52*$L$7+H52*$L$9</f>
        <v>0</v>
      </c>
      <c r="O52" s="188">
        <f t="shared" si="0"/>
        <v>0</v>
      </c>
    </row>
    <row r="53" spans="1:16" ht="39" x14ac:dyDescent="0.3">
      <c r="A53" s="301" t="s">
        <v>411</v>
      </c>
      <c r="B53" s="73">
        <v>0</v>
      </c>
      <c r="C53" s="74">
        <v>0</v>
      </c>
      <c r="D53" s="73">
        <f t="shared" ref="D53" si="43">B53*C53</f>
        <v>0</v>
      </c>
      <c r="E53" s="266">
        <v>0</v>
      </c>
      <c r="F53" s="267">
        <f t="shared" si="40"/>
        <v>0</v>
      </c>
      <c r="G53" s="257">
        <f t="shared" si="41"/>
        <v>0</v>
      </c>
      <c r="H53" s="257">
        <f t="shared" si="42"/>
        <v>0</v>
      </c>
      <c r="I53" s="263">
        <f>F53*$L$8+G53*$L$7+H53*$L$9</f>
        <v>0</v>
      </c>
      <c r="O53" s="188">
        <f t="shared" si="0"/>
        <v>0</v>
      </c>
    </row>
    <row r="54" spans="1:16" x14ac:dyDescent="0.3">
      <c r="A54" s="305" t="s">
        <v>158</v>
      </c>
      <c r="B54" s="257"/>
      <c r="C54" s="159"/>
      <c r="D54" s="257"/>
      <c r="E54" s="266"/>
      <c r="F54" s="267"/>
      <c r="G54" s="257"/>
      <c r="H54" s="257"/>
      <c r="I54" s="263"/>
      <c r="O54" s="188">
        <f t="shared" si="0"/>
        <v>0</v>
      </c>
    </row>
    <row r="55" spans="1:16" x14ac:dyDescent="0.3">
      <c r="A55" s="303" t="s">
        <v>173</v>
      </c>
      <c r="B55" s="257">
        <v>0</v>
      </c>
      <c r="C55" s="159">
        <v>0</v>
      </c>
      <c r="D55" s="257">
        <f>B55*C55</f>
        <v>0</v>
      </c>
      <c r="E55" s="266">
        <f>$L$15</f>
        <v>0</v>
      </c>
      <c r="F55" s="267">
        <f t="shared" ref="F55:F56" si="44">D55*E55</f>
        <v>0</v>
      </c>
      <c r="G55" s="257">
        <f t="shared" ref="G55:G56" si="45">F55*0.05</f>
        <v>0</v>
      </c>
      <c r="H55" s="257">
        <f t="shared" ref="H55:H56" si="46">F55*0.1</f>
        <v>0</v>
      </c>
      <c r="I55" s="262">
        <f>F55*$L$8+G55*$L$7+H55*$L$9</f>
        <v>0</v>
      </c>
      <c r="O55" s="188">
        <f t="shared" si="0"/>
        <v>0</v>
      </c>
    </row>
    <row r="56" spans="1:16" x14ac:dyDescent="0.3">
      <c r="A56" s="303" t="s">
        <v>310</v>
      </c>
      <c r="B56" s="257">
        <v>0</v>
      </c>
      <c r="C56" s="159">
        <v>0</v>
      </c>
      <c r="D56" s="257">
        <f t="shared" ref="D56:D58" si="47">B56*C56</f>
        <v>0</v>
      </c>
      <c r="E56" s="266">
        <f>$L$15</f>
        <v>0</v>
      </c>
      <c r="F56" s="267">
        <f t="shared" si="44"/>
        <v>0</v>
      </c>
      <c r="G56" s="257">
        <f t="shared" si="45"/>
        <v>0</v>
      </c>
      <c r="H56" s="257">
        <f t="shared" si="46"/>
        <v>0</v>
      </c>
      <c r="I56" s="262">
        <f>F56*$L$8+G56*$L$7+H56*$L$9</f>
        <v>0</v>
      </c>
      <c r="O56" s="188">
        <f t="shared" si="0"/>
        <v>0</v>
      </c>
    </row>
    <row r="57" spans="1:16" x14ac:dyDescent="0.3">
      <c r="A57" s="301" t="s">
        <v>412</v>
      </c>
      <c r="B57" s="257">
        <v>0</v>
      </c>
      <c r="C57" s="159">
        <v>0</v>
      </c>
      <c r="D57" s="73">
        <f t="shared" si="47"/>
        <v>0</v>
      </c>
      <c r="E57" s="266">
        <f>$L$15</f>
        <v>0</v>
      </c>
      <c r="F57" s="267">
        <f t="shared" ref="F57" si="48">D57*E57</f>
        <v>0</v>
      </c>
      <c r="G57" s="257">
        <f t="shared" ref="G57" si="49">F57*0.05</f>
        <v>0</v>
      </c>
      <c r="H57" s="257">
        <f t="shared" ref="H57" si="50">F57*0.1</f>
        <v>0</v>
      </c>
      <c r="I57" s="262">
        <f>F57*$L$8+G57*$L$7+H57*$L$9</f>
        <v>0</v>
      </c>
      <c r="O57" s="188">
        <f t="shared" si="0"/>
        <v>0</v>
      </c>
    </row>
    <row r="58" spans="1:16" x14ac:dyDescent="0.3">
      <c r="A58" s="303" t="s">
        <v>313</v>
      </c>
      <c r="B58" s="257">
        <v>0</v>
      </c>
      <c r="C58" s="159">
        <v>0</v>
      </c>
      <c r="D58" s="257">
        <f t="shared" si="47"/>
        <v>0</v>
      </c>
      <c r="E58" s="266">
        <f>$L$15</f>
        <v>0</v>
      </c>
      <c r="F58" s="267">
        <f t="shared" si="40"/>
        <v>0</v>
      </c>
      <c r="G58" s="257">
        <f t="shared" si="41"/>
        <v>0</v>
      </c>
      <c r="H58" s="257">
        <f t="shared" si="42"/>
        <v>0</v>
      </c>
      <c r="I58" s="262">
        <f>F58*$L$8+G58*$L$7+H58*$L$9</f>
        <v>0</v>
      </c>
      <c r="O58" s="188">
        <f t="shared" si="0"/>
        <v>0</v>
      </c>
    </row>
    <row r="59" spans="1:16" x14ac:dyDescent="0.3">
      <c r="A59" s="303" t="s">
        <v>186</v>
      </c>
      <c r="B59" s="257" t="s">
        <v>122</v>
      </c>
      <c r="C59" s="260"/>
      <c r="D59" s="261"/>
      <c r="E59" s="260"/>
      <c r="F59" s="261"/>
      <c r="G59" s="261"/>
      <c r="H59" s="261"/>
      <c r="I59" s="261"/>
      <c r="O59" s="188">
        <f t="shared" si="0"/>
        <v>0</v>
      </c>
    </row>
    <row r="60" spans="1:16" ht="31.5" customHeight="1" x14ac:dyDescent="0.3">
      <c r="A60" s="269" t="s">
        <v>188</v>
      </c>
      <c r="B60" s="275"/>
      <c r="C60" s="276"/>
      <c r="D60" s="275"/>
      <c r="E60" s="277"/>
      <c r="F60" s="273">
        <f>SUM(F51:H59)</f>
        <v>0</v>
      </c>
      <c r="G60" s="273"/>
      <c r="H60" s="273"/>
      <c r="I60" s="274">
        <f>SUM(I51:I59)</f>
        <v>0</v>
      </c>
      <c r="O60" s="188">
        <f>SUM(O6:O59)</f>
        <v>0</v>
      </c>
      <c r="P60" s="188" t="s">
        <v>248</v>
      </c>
    </row>
    <row r="61" spans="1:16" ht="37" customHeight="1" x14ac:dyDescent="0.3">
      <c r="A61" s="278" t="s">
        <v>314</v>
      </c>
      <c r="B61" s="279"/>
      <c r="C61" s="169"/>
      <c r="D61" s="279"/>
      <c r="E61" s="280"/>
      <c r="F61" s="469">
        <f>ROUND(F60+F43, -2)</f>
        <v>0</v>
      </c>
      <c r="G61" s="469"/>
      <c r="H61" s="469"/>
      <c r="I61" s="281">
        <f>ROUND(I60+I43, -4)</f>
        <v>0</v>
      </c>
      <c r="K61" s="282">
        <f>F61/212</f>
        <v>0</v>
      </c>
      <c r="L61" s="188" t="s">
        <v>190</v>
      </c>
    </row>
    <row r="62" spans="1:16" ht="31" customHeight="1" x14ac:dyDescent="0.3">
      <c r="A62" s="168" t="s">
        <v>315</v>
      </c>
      <c r="B62" s="261"/>
      <c r="C62" s="260"/>
      <c r="D62" s="261"/>
      <c r="E62" s="260"/>
      <c r="F62" s="261"/>
      <c r="G62" s="261"/>
      <c r="H62" s="261"/>
      <c r="I62" s="281"/>
    </row>
    <row r="63" spans="1:16" ht="15" x14ac:dyDescent="0.3">
      <c r="A63" s="168" t="s">
        <v>316</v>
      </c>
      <c r="B63" s="261"/>
      <c r="C63" s="260"/>
      <c r="D63" s="261"/>
      <c r="E63" s="260"/>
      <c r="F63" s="261"/>
      <c r="G63" s="261"/>
      <c r="H63" s="261"/>
      <c r="I63" s="281">
        <f>ROUND(I61+I62, -5)</f>
        <v>0</v>
      </c>
    </row>
    <row r="65" spans="1:9" ht="15.65" customHeight="1" x14ac:dyDescent="0.3">
      <c r="A65" s="467" t="s">
        <v>402</v>
      </c>
      <c r="B65" s="467"/>
      <c r="C65" s="467"/>
      <c r="D65" s="467"/>
      <c r="E65" s="467"/>
      <c r="F65" s="467"/>
      <c r="G65" s="467"/>
      <c r="H65" s="467"/>
      <c r="I65" s="467"/>
    </row>
    <row r="66" spans="1:9" ht="79" customHeight="1" x14ac:dyDescent="0.3">
      <c r="A66" s="446" t="s">
        <v>194</v>
      </c>
      <c r="B66" s="446"/>
      <c r="C66" s="446"/>
      <c r="D66" s="446"/>
      <c r="E66" s="446"/>
      <c r="F66" s="446"/>
      <c r="G66" s="446"/>
      <c r="H66" s="446"/>
      <c r="I66" s="446"/>
    </row>
    <row r="67" spans="1:9" ht="23.15" customHeight="1" x14ac:dyDescent="0.3">
      <c r="A67" s="467" t="s">
        <v>403</v>
      </c>
      <c r="B67" s="467"/>
      <c r="C67" s="467"/>
      <c r="D67" s="467"/>
      <c r="E67" s="467"/>
      <c r="F67" s="467"/>
      <c r="G67" s="467"/>
      <c r="H67" s="467"/>
      <c r="I67" s="467"/>
    </row>
    <row r="68" spans="1:9" ht="21" customHeight="1" x14ac:dyDescent="0.3">
      <c r="A68" s="470" t="s">
        <v>404</v>
      </c>
      <c r="B68" s="470"/>
      <c r="C68" s="470"/>
      <c r="D68" s="470"/>
      <c r="E68" s="470"/>
      <c r="F68" s="470"/>
      <c r="G68" s="470"/>
      <c r="H68" s="470"/>
      <c r="I68" s="470"/>
    </row>
    <row r="69" spans="1:9" ht="18.75" customHeight="1" x14ac:dyDescent="0.3">
      <c r="A69" s="466" t="s">
        <v>319</v>
      </c>
      <c r="B69" s="466"/>
      <c r="C69" s="466"/>
      <c r="D69" s="466"/>
      <c r="E69" s="466"/>
      <c r="F69" s="466"/>
      <c r="G69" s="466"/>
      <c r="H69" s="466"/>
      <c r="I69" s="466"/>
    </row>
    <row r="70" spans="1:9" ht="18.75" customHeight="1" x14ac:dyDescent="0.3">
      <c r="A70" s="466"/>
      <c r="B70" s="466"/>
      <c r="C70" s="466"/>
      <c r="D70" s="466"/>
      <c r="E70" s="466"/>
      <c r="F70" s="466"/>
      <c r="G70" s="466"/>
      <c r="H70" s="466"/>
      <c r="I70" s="466"/>
    </row>
  </sheetData>
  <mergeCells count="10">
    <mergeCell ref="A68:I68"/>
    <mergeCell ref="A69:I69"/>
    <mergeCell ref="A70:I70"/>
    <mergeCell ref="A1:I1"/>
    <mergeCell ref="A3:I3"/>
    <mergeCell ref="K6:L6"/>
    <mergeCell ref="F61:H61"/>
    <mergeCell ref="A65:I65"/>
    <mergeCell ref="A66:I66"/>
    <mergeCell ref="A67:I67"/>
  </mergeCells>
  <pageMargins left="0.7" right="0.7" top="0.75" bottom="0.75" header="0.3" footer="0.3"/>
  <pageSetup scale="37"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3421-FBD0-470E-970D-59F42C8665B7}">
  <sheetPr>
    <pageSetUpPr fitToPage="1"/>
  </sheetPr>
  <dimension ref="A1:P71"/>
  <sheetViews>
    <sheetView zoomScale="80" zoomScaleNormal="80" workbookViewId="0">
      <pane xSplit="9" ySplit="5" topLeftCell="J6" activePane="bottomRight" state="frozen"/>
      <selection pane="topRight" activeCell="A73" sqref="A73"/>
      <selection pane="bottomLeft" activeCell="A73" sqref="A73"/>
      <selection pane="bottomRight" activeCell="I52" sqref="I52"/>
    </sheetView>
  </sheetViews>
  <sheetFormatPr defaultColWidth="9.1796875" defaultRowHeight="13" x14ac:dyDescent="0.3"/>
  <cols>
    <col min="1" max="1" width="25.54296875" style="188" customWidth="1"/>
    <col min="2" max="2" width="10.1796875" style="188" customWidth="1"/>
    <col min="3" max="3" width="12" style="231" customWidth="1"/>
    <col min="4" max="4" width="11.1796875" style="188" customWidth="1"/>
    <col min="5" max="5" width="10.81640625" style="231" customWidth="1"/>
    <col min="6" max="6" width="10.453125" style="188" customWidth="1"/>
    <col min="7" max="7" width="11.54296875" style="188" customWidth="1"/>
    <col min="8" max="8" width="11.453125" style="188" customWidth="1"/>
    <col min="9" max="9" width="10.816406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413</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60" si="0">C7*E7</f>
        <v>0</v>
      </c>
    </row>
    <row r="8" spans="1:15" ht="56.5" customHeight="1" x14ac:dyDescent="0.3">
      <c r="A8" s="259" t="s">
        <v>127</v>
      </c>
      <c r="B8" s="257">
        <v>0</v>
      </c>
      <c r="C8" s="159">
        <v>0</v>
      </c>
      <c r="D8" s="257">
        <f>B8*C8</f>
        <v>0</v>
      </c>
      <c r="E8" s="159">
        <f>L16</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ht="52" x14ac:dyDescent="0.3">
      <c r="A10" s="76" t="s">
        <v>211</v>
      </c>
      <c r="B10" s="73">
        <v>156</v>
      </c>
      <c r="C10" s="74">
        <v>1</v>
      </c>
      <c r="D10" s="73">
        <f>B10*C10</f>
        <v>156</v>
      </c>
      <c r="E10" s="159">
        <f>L18*0.01</f>
        <v>0.85</v>
      </c>
      <c r="F10" s="257">
        <f>D10*E10</f>
        <v>132.6</v>
      </c>
      <c r="G10" s="257">
        <f>F10*0.05</f>
        <v>6.63</v>
      </c>
      <c r="H10" s="257">
        <f>F10*0.1</f>
        <v>13.26</v>
      </c>
      <c r="I10" s="197">
        <f>F10*$L$8+G10*$L$7+H10*$L$9</f>
        <v>18853.412759999999</v>
      </c>
      <c r="K10" s="312"/>
      <c r="L10" s="311"/>
      <c r="M10" s="198"/>
    </row>
    <row r="11" spans="1:15" ht="26.5" customHeight="1" x14ac:dyDescent="0.3">
      <c r="A11" s="259" t="s">
        <v>289</v>
      </c>
      <c r="B11" s="257">
        <v>0</v>
      </c>
      <c r="C11" s="159">
        <v>0</v>
      </c>
      <c r="D11" s="257">
        <f>B11*C11</f>
        <v>0</v>
      </c>
      <c r="E11" s="159">
        <v>0</v>
      </c>
      <c r="F11" s="257">
        <f>D11*E11</f>
        <v>0</v>
      </c>
      <c r="G11" s="257">
        <f>F11*0.05</f>
        <v>0</v>
      </c>
      <c r="H11" s="257">
        <f>F11*0.1</f>
        <v>0</v>
      </c>
      <c r="I11" s="263">
        <f>F11*$L$8+G11*$L$7+H11*$L$9</f>
        <v>0</v>
      </c>
      <c r="K11" s="312"/>
      <c r="L11" s="311"/>
      <c r="M11" s="198"/>
      <c r="O11" s="188">
        <f t="shared" si="0"/>
        <v>0</v>
      </c>
    </row>
    <row r="12" spans="1:15" ht="26" x14ac:dyDescent="0.3">
      <c r="A12" s="303" t="s">
        <v>132</v>
      </c>
      <c r="B12" s="257">
        <v>0</v>
      </c>
      <c r="C12" s="159">
        <v>0</v>
      </c>
      <c r="D12" s="257">
        <f>B12*C12</f>
        <v>0</v>
      </c>
      <c r="E12" s="159">
        <v>0</v>
      </c>
      <c r="F12" s="257">
        <f>D12*E12</f>
        <v>0</v>
      </c>
      <c r="G12" s="257">
        <f>F12*0.05</f>
        <v>0</v>
      </c>
      <c r="H12" s="257">
        <f>F12*0.1</f>
        <v>0</v>
      </c>
      <c r="I12" s="263">
        <f>F12*$L$8+G12*$L$7+H12*$L$9</f>
        <v>0</v>
      </c>
      <c r="K12" s="264"/>
      <c r="O12" s="188">
        <f t="shared" si="0"/>
        <v>0</v>
      </c>
    </row>
    <row r="13" spans="1:15" ht="15.75" customHeight="1" x14ac:dyDescent="0.3">
      <c r="A13" s="303" t="s">
        <v>133</v>
      </c>
      <c r="B13" s="257"/>
      <c r="C13" s="159"/>
      <c r="D13" s="257"/>
      <c r="E13" s="159"/>
      <c r="F13" s="257"/>
      <c r="G13" s="257"/>
      <c r="H13" s="257"/>
      <c r="I13" s="263"/>
      <c r="O13" s="188">
        <f t="shared" si="0"/>
        <v>0</v>
      </c>
    </row>
    <row r="14" spans="1:15" ht="15.5" x14ac:dyDescent="0.3">
      <c r="A14" s="304" t="s">
        <v>290</v>
      </c>
      <c r="B14" s="257"/>
      <c r="C14" s="159"/>
      <c r="D14" s="257"/>
      <c r="E14" s="266"/>
      <c r="F14" s="267"/>
      <c r="G14" s="257"/>
      <c r="H14" s="257"/>
      <c r="I14" s="263"/>
      <c r="O14" s="188">
        <f t="shared" si="0"/>
        <v>0</v>
      </c>
    </row>
    <row r="15" spans="1:15" ht="25.5" customHeight="1" x14ac:dyDescent="0.3">
      <c r="A15" s="253" t="s">
        <v>370</v>
      </c>
      <c r="B15" s="257">
        <v>0</v>
      </c>
      <c r="C15" s="159">
        <v>0</v>
      </c>
      <c r="D15" s="257">
        <f>B15*C15</f>
        <v>0</v>
      </c>
      <c r="E15" s="266">
        <v>0</v>
      </c>
      <c r="F15" s="267">
        <f>D15*E15</f>
        <v>0</v>
      </c>
      <c r="G15" s="257">
        <f>F15*0.05</f>
        <v>0</v>
      </c>
      <c r="H15" s="257">
        <f>F15*0.1</f>
        <v>0</v>
      </c>
      <c r="I15" s="263">
        <f>F15*$L$8+G15*$L$7+H15*$L$9</f>
        <v>0</v>
      </c>
      <c r="K15" s="265"/>
      <c r="L15" s="265" t="s">
        <v>398</v>
      </c>
      <c r="O15" s="188">
        <f t="shared" si="0"/>
        <v>0</v>
      </c>
    </row>
    <row r="16" spans="1:15" x14ac:dyDescent="0.3">
      <c r="A16" s="253" t="s">
        <v>293</v>
      </c>
      <c r="B16" s="257">
        <v>0</v>
      </c>
      <c r="C16" s="159">
        <v>0</v>
      </c>
      <c r="D16" s="257">
        <f t="shared" ref="D16" si="1">B16*C16</f>
        <v>0</v>
      </c>
      <c r="E16" s="266">
        <f>E15*0.05</f>
        <v>0</v>
      </c>
      <c r="F16" s="267">
        <f t="shared" ref="F16:F24" si="2">D16*E16</f>
        <v>0</v>
      </c>
      <c r="G16" s="257">
        <f t="shared" ref="G16:G24" si="3">F16*0.05</f>
        <v>0</v>
      </c>
      <c r="H16" s="257">
        <f t="shared" ref="H16:H24" si="4">F16*0.1</f>
        <v>0</v>
      </c>
      <c r="I16" s="263">
        <f t="shared" ref="I16:I24" si="5">F16*$L$8+G16*$L$7+H16*$L$9</f>
        <v>0</v>
      </c>
      <c r="J16" s="264"/>
      <c r="K16" s="265"/>
      <c r="L16" s="265">
        <v>0</v>
      </c>
      <c r="O16" s="188">
        <f t="shared" si="0"/>
        <v>0</v>
      </c>
    </row>
    <row r="17" spans="1:15" ht="26" x14ac:dyDescent="0.3">
      <c r="A17" s="301" t="s">
        <v>406</v>
      </c>
      <c r="B17" s="257">
        <v>0</v>
      </c>
      <c r="C17" s="159">
        <v>0</v>
      </c>
      <c r="D17" s="73">
        <f>B17*C17</f>
        <v>0</v>
      </c>
      <c r="E17" s="266">
        <v>0</v>
      </c>
      <c r="F17" s="267">
        <f t="shared" ref="F17:F18" si="6">D17*E17</f>
        <v>0</v>
      </c>
      <c r="G17" s="257">
        <f t="shared" ref="G17:G18" si="7">F17*0.05</f>
        <v>0</v>
      </c>
      <c r="H17" s="257">
        <f t="shared" ref="H17:H18" si="8">F17*0.1</f>
        <v>0</v>
      </c>
      <c r="I17" s="263">
        <f t="shared" ref="I17:I18" si="9">F17*$L$8+G17*$L$7+H17*$L$9</f>
        <v>0</v>
      </c>
      <c r="J17" s="264"/>
      <c r="K17" s="265" t="s">
        <v>136</v>
      </c>
      <c r="L17" s="265">
        <f>L16+L18*0.07</f>
        <v>5.95</v>
      </c>
      <c r="M17" s="264" t="s">
        <v>294</v>
      </c>
      <c r="O17" s="188">
        <f t="shared" si="0"/>
        <v>0</v>
      </c>
    </row>
    <row r="18" spans="1:15" ht="26" x14ac:dyDescent="0.3">
      <c r="A18" s="301" t="s">
        <v>407</v>
      </c>
      <c r="B18" s="257">
        <v>0</v>
      </c>
      <c r="C18" s="159">
        <v>0</v>
      </c>
      <c r="D18" s="73">
        <f t="shared" ref="D18" si="10">B18*C18</f>
        <v>0</v>
      </c>
      <c r="E18" s="266">
        <f>E17*0.05</f>
        <v>0</v>
      </c>
      <c r="F18" s="267">
        <f t="shared" si="6"/>
        <v>0</v>
      </c>
      <c r="G18" s="257">
        <f t="shared" si="7"/>
        <v>0</v>
      </c>
      <c r="H18" s="257">
        <f t="shared" si="8"/>
        <v>0</v>
      </c>
      <c r="I18" s="263">
        <f t="shared" si="9"/>
        <v>0</v>
      </c>
      <c r="J18" s="264"/>
      <c r="K18" s="265" t="s">
        <v>141</v>
      </c>
      <c r="L18" s="265">
        <f>'SI-Y1'!$L$18</f>
        <v>85</v>
      </c>
      <c r="O18" s="188">
        <f t="shared" si="0"/>
        <v>0</v>
      </c>
    </row>
    <row r="19" spans="1:15" ht="28.5" x14ac:dyDescent="0.3">
      <c r="A19" s="306" t="s">
        <v>297</v>
      </c>
      <c r="B19" s="74"/>
      <c r="C19" s="74"/>
      <c r="D19" s="73"/>
      <c r="E19" s="266"/>
      <c r="F19" s="267"/>
      <c r="G19" s="257"/>
      <c r="H19" s="257"/>
      <c r="I19" s="263"/>
      <c r="J19" s="264"/>
      <c r="K19" s="327"/>
      <c r="L19" s="327"/>
      <c r="O19" s="188">
        <f t="shared" si="0"/>
        <v>0</v>
      </c>
    </row>
    <row r="20" spans="1:15" ht="26" x14ac:dyDescent="0.3">
      <c r="A20" s="301" t="s">
        <v>406</v>
      </c>
      <c r="B20" s="257">
        <v>0</v>
      </c>
      <c r="C20" s="159">
        <v>0</v>
      </c>
      <c r="D20" s="73">
        <f>B20*C20</f>
        <v>0</v>
      </c>
      <c r="E20" s="266">
        <v>0</v>
      </c>
      <c r="F20" s="267">
        <f t="shared" ref="F20:F21" si="11">D20*E20</f>
        <v>0</v>
      </c>
      <c r="G20" s="257">
        <f t="shared" ref="G20:G21" si="12">F20*0.05</f>
        <v>0</v>
      </c>
      <c r="H20" s="257">
        <f t="shared" ref="H20:H21" si="13">F20*0.1</f>
        <v>0</v>
      </c>
      <c r="I20" s="263">
        <f t="shared" ref="I20:I21" si="14">F20*$L$8+G20*$L$7+H20*$L$9</f>
        <v>0</v>
      </c>
      <c r="J20" s="264"/>
      <c r="K20" s="327"/>
      <c r="L20" s="327"/>
      <c r="O20" s="188">
        <f t="shared" si="0"/>
        <v>0</v>
      </c>
    </row>
    <row r="21" spans="1:15" ht="26" x14ac:dyDescent="0.3">
      <c r="A21" s="301" t="s">
        <v>407</v>
      </c>
      <c r="B21" s="257">
        <v>0</v>
      </c>
      <c r="C21" s="159">
        <v>0</v>
      </c>
      <c r="D21" s="73">
        <f t="shared" ref="D21" si="15">B21*C21</f>
        <v>0</v>
      </c>
      <c r="E21" s="266">
        <f>E20*0.05</f>
        <v>0</v>
      </c>
      <c r="F21" s="267">
        <f t="shared" si="11"/>
        <v>0</v>
      </c>
      <c r="G21" s="257">
        <f t="shared" si="12"/>
        <v>0</v>
      </c>
      <c r="H21" s="257">
        <f t="shared" si="13"/>
        <v>0</v>
      </c>
      <c r="I21" s="263">
        <f t="shared" si="14"/>
        <v>0</v>
      </c>
      <c r="J21" s="264"/>
      <c r="K21" s="327"/>
      <c r="L21" s="327"/>
      <c r="O21" s="188">
        <f t="shared" si="0"/>
        <v>0</v>
      </c>
    </row>
    <row r="22" spans="1:15" ht="28.5" x14ac:dyDescent="0.3">
      <c r="A22" s="304" t="s">
        <v>298</v>
      </c>
      <c r="B22" s="257"/>
      <c r="C22" s="159"/>
      <c r="D22" s="257"/>
      <c r="E22" s="159"/>
      <c r="F22" s="267"/>
      <c r="G22" s="257"/>
      <c r="H22" s="257"/>
      <c r="I22" s="263"/>
      <c r="L22" s="264"/>
      <c r="M22" s="264"/>
      <c r="O22" s="188">
        <f t="shared" si="0"/>
        <v>0</v>
      </c>
    </row>
    <row r="23" spans="1:15" ht="26" x14ac:dyDescent="0.3">
      <c r="A23" s="303" t="s">
        <v>372</v>
      </c>
      <c r="B23" s="257">
        <v>0</v>
      </c>
      <c r="C23" s="159">
        <v>0</v>
      </c>
      <c r="D23" s="257">
        <f>B23*C23</f>
        <v>0</v>
      </c>
      <c r="E23" s="266">
        <v>0</v>
      </c>
      <c r="F23" s="267">
        <f t="shared" si="2"/>
        <v>0</v>
      </c>
      <c r="G23" s="257">
        <f t="shared" si="3"/>
        <v>0</v>
      </c>
      <c r="H23" s="257">
        <f t="shared" si="4"/>
        <v>0</v>
      </c>
      <c r="I23" s="263">
        <f t="shared" si="5"/>
        <v>0</v>
      </c>
      <c r="J23" s="198"/>
      <c r="N23" s="264"/>
      <c r="O23" s="188">
        <f t="shared" si="0"/>
        <v>0</v>
      </c>
    </row>
    <row r="24" spans="1:15" x14ac:dyDescent="0.3">
      <c r="A24" s="303" t="s">
        <v>300</v>
      </c>
      <c r="B24" s="257">
        <v>0</v>
      </c>
      <c r="C24" s="159">
        <v>0</v>
      </c>
      <c r="D24" s="257">
        <f t="shared" ref="D24" si="16">B24*C24</f>
        <v>0</v>
      </c>
      <c r="E24" s="266">
        <f>E23*0.05</f>
        <v>0</v>
      </c>
      <c r="F24" s="267">
        <f t="shared" si="2"/>
        <v>0</v>
      </c>
      <c r="G24" s="257">
        <f t="shared" si="3"/>
        <v>0</v>
      </c>
      <c r="H24" s="257">
        <f t="shared" si="4"/>
        <v>0</v>
      </c>
      <c r="I24" s="263">
        <f t="shared" si="5"/>
        <v>0</v>
      </c>
      <c r="J24" s="198"/>
      <c r="O24" s="188">
        <f t="shared" si="0"/>
        <v>0</v>
      </c>
    </row>
    <row r="25" spans="1:15" ht="28.5" x14ac:dyDescent="0.3">
      <c r="A25" s="306" t="s">
        <v>151</v>
      </c>
      <c r="B25" s="92"/>
      <c r="C25" s="93"/>
      <c r="D25" s="92"/>
      <c r="E25" s="266"/>
      <c r="F25" s="267"/>
      <c r="G25" s="257"/>
      <c r="H25" s="257"/>
      <c r="I25" s="263"/>
      <c r="J25" s="198"/>
      <c r="O25" s="188">
        <f t="shared" si="0"/>
        <v>0</v>
      </c>
    </row>
    <row r="26" spans="1:15" ht="26" x14ac:dyDescent="0.3">
      <c r="A26" s="301" t="s">
        <v>154</v>
      </c>
      <c r="B26" s="257">
        <v>0</v>
      </c>
      <c r="C26" s="159">
        <v>0</v>
      </c>
      <c r="D26" s="73">
        <f>B26*C26</f>
        <v>0</v>
      </c>
      <c r="E26" s="266">
        <v>0</v>
      </c>
      <c r="F26" s="267">
        <f t="shared" ref="F26:F27" si="17">D26*E26</f>
        <v>0</v>
      </c>
      <c r="G26" s="257">
        <f t="shared" ref="G26:G27" si="18">F26*0.05</f>
        <v>0</v>
      </c>
      <c r="H26" s="257">
        <f t="shared" ref="H26:H27" si="19">F26*0.1</f>
        <v>0</v>
      </c>
      <c r="I26" s="263">
        <f t="shared" ref="I26:I27" si="20">F26*$L$8+G26*$L$7+H26*$L$9</f>
        <v>0</v>
      </c>
      <c r="J26" s="198"/>
      <c r="O26" s="188">
        <f t="shared" si="0"/>
        <v>0</v>
      </c>
    </row>
    <row r="27" spans="1:15" x14ac:dyDescent="0.3">
      <c r="A27" s="301" t="s">
        <v>408</v>
      </c>
      <c r="B27" s="257">
        <v>0</v>
      </c>
      <c r="C27" s="159">
        <v>0</v>
      </c>
      <c r="D27" s="73">
        <f>B27*C27</f>
        <v>0</v>
      </c>
      <c r="E27" s="266">
        <v>0</v>
      </c>
      <c r="F27" s="267">
        <f t="shared" si="17"/>
        <v>0</v>
      </c>
      <c r="G27" s="257">
        <f t="shared" si="18"/>
        <v>0</v>
      </c>
      <c r="H27" s="257">
        <f t="shared" si="19"/>
        <v>0</v>
      </c>
      <c r="I27" s="263">
        <f t="shared" si="20"/>
        <v>0</v>
      </c>
      <c r="J27" s="198"/>
      <c r="O27" s="188">
        <f t="shared" si="0"/>
        <v>0</v>
      </c>
    </row>
    <row r="28" spans="1:15" ht="26" x14ac:dyDescent="0.3">
      <c r="A28" s="301" t="s">
        <v>155</v>
      </c>
      <c r="B28" s="73"/>
      <c r="C28" s="77"/>
      <c r="D28" s="78"/>
      <c r="E28" s="266">
        <v>0</v>
      </c>
      <c r="F28" s="267"/>
      <c r="G28" s="257"/>
      <c r="H28" s="257"/>
      <c r="I28" s="263"/>
      <c r="J28" s="198"/>
      <c r="O28" s="188">
        <f t="shared" si="0"/>
        <v>0</v>
      </c>
    </row>
    <row r="29" spans="1:15" ht="26" x14ac:dyDescent="0.3">
      <c r="A29" s="301" t="s">
        <v>156</v>
      </c>
      <c r="B29" s="73"/>
      <c r="C29" s="77"/>
      <c r="D29" s="78"/>
      <c r="E29" s="266">
        <v>0</v>
      </c>
      <c r="F29" s="267"/>
      <c r="G29" s="257"/>
      <c r="H29" s="257"/>
      <c r="I29" s="263"/>
      <c r="J29" s="198"/>
      <c r="O29" s="188">
        <f t="shared" si="0"/>
        <v>0</v>
      </c>
    </row>
    <row r="30" spans="1:15" x14ac:dyDescent="0.3">
      <c r="A30" s="301" t="s">
        <v>157</v>
      </c>
      <c r="B30" s="78"/>
      <c r="C30" s="77"/>
      <c r="D30" s="78"/>
      <c r="E30" s="266">
        <v>0</v>
      </c>
      <c r="F30" s="267"/>
      <c r="G30" s="257"/>
      <c r="H30" s="257"/>
      <c r="I30" s="263"/>
      <c r="J30" s="198"/>
      <c r="O30" s="188">
        <f t="shared" si="0"/>
        <v>0</v>
      </c>
    </row>
    <row r="31" spans="1:15" x14ac:dyDescent="0.3">
      <c r="A31" s="305" t="s">
        <v>399</v>
      </c>
      <c r="B31" s="257"/>
      <c r="C31" s="159"/>
      <c r="D31" s="257"/>
      <c r="E31" s="266"/>
      <c r="F31" s="257"/>
      <c r="G31" s="257"/>
      <c r="H31" s="257"/>
      <c r="I31" s="263"/>
      <c r="O31" s="188">
        <f t="shared" si="0"/>
        <v>0</v>
      </c>
    </row>
    <row r="32" spans="1:15" ht="28.5" customHeight="1" x14ac:dyDescent="0.3">
      <c r="A32" s="303" t="s">
        <v>160</v>
      </c>
      <c r="B32" s="257">
        <v>0</v>
      </c>
      <c r="C32" s="159">
        <v>0</v>
      </c>
      <c r="D32" s="257">
        <f>B32*C32</f>
        <v>0</v>
      </c>
      <c r="E32" s="266">
        <f>E15</f>
        <v>0</v>
      </c>
      <c r="F32" s="257">
        <f t="shared" ref="F32:F33" si="21">D32*E32</f>
        <v>0</v>
      </c>
      <c r="G32" s="257">
        <f t="shared" ref="G32:G33" si="22">F32*0.05</f>
        <v>0</v>
      </c>
      <c r="H32" s="257">
        <f t="shared" ref="H32:H33" si="23">F32*0.1</f>
        <v>0</v>
      </c>
      <c r="I32" s="263">
        <f t="shared" ref="I32:I33" si="24">F32*$L$8+G32*$L$7+H32*$L$9</f>
        <v>0</v>
      </c>
      <c r="O32" s="188">
        <f t="shared" si="0"/>
        <v>0</v>
      </c>
    </row>
    <row r="33" spans="1:15" ht="39" x14ac:dyDescent="0.3">
      <c r="A33" s="303" t="s">
        <v>400</v>
      </c>
      <c r="B33" s="257">
        <v>0</v>
      </c>
      <c r="C33" s="159">
        <v>0</v>
      </c>
      <c r="D33" s="257">
        <f>B33*C33</f>
        <v>0</v>
      </c>
      <c r="E33" s="266">
        <f>E15</f>
        <v>0</v>
      </c>
      <c r="F33" s="257">
        <f t="shared" si="21"/>
        <v>0</v>
      </c>
      <c r="G33" s="257">
        <f t="shared" si="22"/>
        <v>0</v>
      </c>
      <c r="H33" s="257">
        <f t="shared" si="23"/>
        <v>0</v>
      </c>
      <c r="I33" s="263">
        <f t="shared" si="24"/>
        <v>0</v>
      </c>
      <c r="O33" s="188">
        <f t="shared" si="0"/>
        <v>0</v>
      </c>
    </row>
    <row r="34" spans="1:15" ht="26" x14ac:dyDescent="0.3">
      <c r="A34" s="301" t="s">
        <v>409</v>
      </c>
      <c r="B34" s="257">
        <v>0</v>
      </c>
      <c r="C34" s="159">
        <v>0</v>
      </c>
      <c r="D34" s="73">
        <f t="shared" ref="D34:D36" si="25">B34*C34</f>
        <v>0</v>
      </c>
      <c r="E34" s="266">
        <v>0</v>
      </c>
      <c r="F34" s="257">
        <f t="shared" ref="F34:F36" si="26">D34*E34</f>
        <v>0</v>
      </c>
      <c r="G34" s="257">
        <f t="shared" ref="G34:G36" si="27">F34*0.05</f>
        <v>0</v>
      </c>
      <c r="H34" s="257">
        <f t="shared" ref="H34:H36" si="28">F34*0.1</f>
        <v>0</v>
      </c>
      <c r="I34" s="263">
        <f t="shared" ref="I34:I36" si="29">F34*$L$8+G34*$L$7+H34*$L$9</f>
        <v>0</v>
      </c>
      <c r="O34" s="188">
        <f t="shared" si="0"/>
        <v>0</v>
      </c>
    </row>
    <row r="35" spans="1:15" ht="39" x14ac:dyDescent="0.3">
      <c r="A35" s="301" t="s">
        <v>330</v>
      </c>
      <c r="B35" s="257">
        <v>0</v>
      </c>
      <c r="C35" s="159">
        <v>0</v>
      </c>
      <c r="D35" s="73">
        <f t="shared" si="25"/>
        <v>0</v>
      </c>
      <c r="E35" s="266">
        <v>0</v>
      </c>
      <c r="F35" s="257">
        <f t="shared" si="26"/>
        <v>0</v>
      </c>
      <c r="G35" s="257">
        <f t="shared" si="27"/>
        <v>0</v>
      </c>
      <c r="H35" s="257">
        <f t="shared" si="28"/>
        <v>0</v>
      </c>
      <c r="I35" s="263">
        <f t="shared" si="29"/>
        <v>0</v>
      </c>
      <c r="O35" s="188">
        <f t="shared" si="0"/>
        <v>0</v>
      </c>
    </row>
    <row r="36" spans="1:15" ht="39" x14ac:dyDescent="0.3">
      <c r="A36" s="301" t="s">
        <v>410</v>
      </c>
      <c r="B36" s="257">
        <v>0</v>
      </c>
      <c r="C36" s="159">
        <v>0</v>
      </c>
      <c r="D36" s="73">
        <f t="shared" si="25"/>
        <v>0</v>
      </c>
      <c r="E36" s="266">
        <v>0</v>
      </c>
      <c r="F36" s="257">
        <f t="shared" si="26"/>
        <v>0</v>
      </c>
      <c r="G36" s="257">
        <f t="shared" si="27"/>
        <v>0</v>
      </c>
      <c r="H36" s="257">
        <f t="shared" si="28"/>
        <v>0</v>
      </c>
      <c r="I36" s="263">
        <f t="shared" si="29"/>
        <v>0</v>
      </c>
      <c r="O36" s="188">
        <f t="shared" si="0"/>
        <v>0</v>
      </c>
    </row>
    <row r="37" spans="1:15" x14ac:dyDescent="0.3">
      <c r="A37" s="305" t="s">
        <v>306</v>
      </c>
      <c r="B37" s="261"/>
      <c r="C37" s="260"/>
      <c r="D37" s="261"/>
      <c r="E37" s="268"/>
      <c r="F37" s="261"/>
      <c r="G37" s="261"/>
      <c r="H37" s="261"/>
      <c r="I37" s="261"/>
      <c r="O37" s="188">
        <f t="shared" si="0"/>
        <v>0</v>
      </c>
    </row>
    <row r="38" spans="1:15" ht="26" x14ac:dyDescent="0.3">
      <c r="A38" s="303" t="s">
        <v>307</v>
      </c>
      <c r="B38" s="257">
        <v>0</v>
      </c>
      <c r="C38" s="159">
        <v>0</v>
      </c>
      <c r="D38" s="257">
        <f>B38*C38</f>
        <v>0</v>
      </c>
      <c r="E38" s="266">
        <v>0</v>
      </c>
      <c r="F38" s="257">
        <f>D38*E38</f>
        <v>0</v>
      </c>
      <c r="G38" s="257">
        <f>F38*0.05</f>
        <v>0</v>
      </c>
      <c r="H38" s="257">
        <f>F38*0.1</f>
        <v>0</v>
      </c>
      <c r="I38" s="263">
        <f>F38*$L$8+G38*$L$7+H38*$L$9</f>
        <v>0</v>
      </c>
      <c r="O38" s="188">
        <f t="shared" si="0"/>
        <v>0</v>
      </c>
    </row>
    <row r="39" spans="1:15" ht="52" x14ac:dyDescent="0.3">
      <c r="A39" s="303" t="s">
        <v>401</v>
      </c>
      <c r="B39" s="257">
        <v>0</v>
      </c>
      <c r="C39" s="159">
        <v>0</v>
      </c>
      <c r="D39" s="257">
        <f>B39*C39</f>
        <v>0</v>
      </c>
      <c r="E39" s="266">
        <v>0</v>
      </c>
      <c r="F39" s="257">
        <f>D39*E39</f>
        <v>0</v>
      </c>
      <c r="G39" s="257">
        <f>F39*0.05</f>
        <v>0</v>
      </c>
      <c r="H39" s="257">
        <f>F39*0.1</f>
        <v>0</v>
      </c>
      <c r="I39" s="263">
        <f>F39*$L$8+G39*$L$7+H39*$L$9</f>
        <v>0</v>
      </c>
      <c r="O39" s="188">
        <f t="shared" si="0"/>
        <v>0</v>
      </c>
    </row>
    <row r="40" spans="1:15" ht="26" x14ac:dyDescent="0.3">
      <c r="A40" s="301" t="s">
        <v>159</v>
      </c>
      <c r="B40" s="257">
        <v>0</v>
      </c>
      <c r="C40" s="159">
        <v>0</v>
      </c>
      <c r="D40" s="73">
        <f t="shared" ref="D40:D42" si="30">B40*C40</f>
        <v>0</v>
      </c>
      <c r="E40" s="266">
        <v>0</v>
      </c>
      <c r="F40" s="257">
        <f t="shared" ref="F40:F42" si="31">D40*E40</f>
        <v>0</v>
      </c>
      <c r="G40" s="257">
        <f t="shared" ref="G40:G42" si="32">F40*0.05</f>
        <v>0</v>
      </c>
      <c r="H40" s="257">
        <f t="shared" ref="H40:H42" si="33">F40*0.1</f>
        <v>0</v>
      </c>
      <c r="I40" s="263">
        <f t="shared" ref="I40:I42" si="34">F40*$L$8+G40*$L$7+H40*$L$9</f>
        <v>0</v>
      </c>
      <c r="O40" s="188">
        <f t="shared" si="0"/>
        <v>0</v>
      </c>
    </row>
    <row r="41" spans="1:15" ht="39" x14ac:dyDescent="0.3">
      <c r="A41" s="301" t="s">
        <v>330</v>
      </c>
      <c r="B41" s="257">
        <v>0</v>
      </c>
      <c r="C41" s="159">
        <v>0</v>
      </c>
      <c r="D41" s="73">
        <f t="shared" si="30"/>
        <v>0</v>
      </c>
      <c r="E41" s="266">
        <v>0</v>
      </c>
      <c r="F41" s="257">
        <f t="shared" si="31"/>
        <v>0</v>
      </c>
      <c r="G41" s="257">
        <f t="shared" si="32"/>
        <v>0</v>
      </c>
      <c r="H41" s="257">
        <f t="shared" si="33"/>
        <v>0</v>
      </c>
      <c r="I41" s="263">
        <f t="shared" si="34"/>
        <v>0</v>
      </c>
      <c r="O41" s="188">
        <f t="shared" si="0"/>
        <v>0</v>
      </c>
    </row>
    <row r="42" spans="1:15" ht="39" x14ac:dyDescent="0.3">
      <c r="A42" s="301" t="s">
        <v>325</v>
      </c>
      <c r="B42" s="257">
        <v>0</v>
      </c>
      <c r="C42" s="159">
        <v>0</v>
      </c>
      <c r="D42" s="73">
        <f t="shared" si="30"/>
        <v>0</v>
      </c>
      <c r="E42" s="266">
        <v>0</v>
      </c>
      <c r="F42" s="257">
        <f t="shared" si="31"/>
        <v>0</v>
      </c>
      <c r="G42" s="257">
        <f t="shared" si="32"/>
        <v>0</v>
      </c>
      <c r="H42" s="257">
        <f t="shared" si="33"/>
        <v>0</v>
      </c>
      <c r="I42" s="263">
        <f t="shared" si="34"/>
        <v>0</v>
      </c>
      <c r="O42" s="188">
        <f t="shared" si="0"/>
        <v>0</v>
      </c>
    </row>
    <row r="43" spans="1:15" x14ac:dyDescent="0.3">
      <c r="A43" s="301"/>
      <c r="B43" s="73"/>
      <c r="C43" s="74"/>
      <c r="D43" s="73"/>
      <c r="E43" s="266"/>
      <c r="F43" s="257"/>
      <c r="G43" s="257"/>
      <c r="H43" s="257"/>
      <c r="I43" s="263"/>
      <c r="O43" s="188">
        <f t="shared" si="0"/>
        <v>0</v>
      </c>
    </row>
    <row r="44" spans="1:15" ht="26.5" customHeight="1" x14ac:dyDescent="0.3">
      <c r="A44" s="269" t="s">
        <v>167</v>
      </c>
      <c r="B44" s="270"/>
      <c r="C44" s="271"/>
      <c r="D44" s="270"/>
      <c r="E44" s="272"/>
      <c r="F44" s="273">
        <f>SUM(F8:H43)</f>
        <v>152.48999999999998</v>
      </c>
      <c r="G44" s="273"/>
      <c r="H44" s="273"/>
      <c r="I44" s="274">
        <f>SUM(I8:I43)</f>
        <v>18853.412759999999</v>
      </c>
      <c r="O44" s="188">
        <f t="shared" si="0"/>
        <v>0</v>
      </c>
    </row>
    <row r="45" spans="1:15" ht="26" x14ac:dyDescent="0.3">
      <c r="A45" s="259" t="s">
        <v>168</v>
      </c>
      <c r="B45" s="261"/>
      <c r="C45" s="260"/>
      <c r="D45" s="261"/>
      <c r="E45" s="268"/>
      <c r="F45" s="261"/>
      <c r="G45" s="261"/>
      <c r="H45" s="261"/>
      <c r="I45" s="261"/>
      <c r="O45" s="188">
        <f t="shared" si="0"/>
        <v>0</v>
      </c>
    </row>
    <row r="46" spans="1:15" ht="26" x14ac:dyDescent="0.3">
      <c r="A46" s="303" t="s">
        <v>132</v>
      </c>
      <c r="B46" s="257"/>
      <c r="C46" s="260"/>
      <c r="D46" s="261"/>
      <c r="E46" s="260"/>
      <c r="F46" s="261"/>
      <c r="G46" s="261"/>
      <c r="H46" s="261"/>
      <c r="I46" s="261"/>
      <c r="O46" s="188">
        <f t="shared" si="0"/>
        <v>0</v>
      </c>
    </row>
    <row r="47" spans="1:15" x14ac:dyDescent="0.3">
      <c r="A47" s="303" t="s">
        <v>169</v>
      </c>
      <c r="B47" s="257"/>
      <c r="C47" s="260"/>
      <c r="D47" s="261"/>
      <c r="E47" s="260"/>
      <c r="F47" s="261"/>
      <c r="G47" s="261"/>
      <c r="H47" s="261"/>
      <c r="I47" s="261"/>
      <c r="O47" s="188">
        <f t="shared" si="0"/>
        <v>0</v>
      </c>
    </row>
    <row r="48" spans="1:15" x14ac:dyDescent="0.3">
      <c r="A48" s="303" t="s">
        <v>170</v>
      </c>
      <c r="B48" s="257"/>
      <c r="C48" s="260"/>
      <c r="D48" s="261"/>
      <c r="E48" s="260"/>
      <c r="F48" s="261"/>
      <c r="G48" s="261"/>
      <c r="H48" s="261"/>
      <c r="I48" s="261"/>
      <c r="O48" s="188">
        <f t="shared" si="0"/>
        <v>0</v>
      </c>
    </row>
    <row r="49" spans="1:16" x14ac:dyDescent="0.3">
      <c r="A49" s="303" t="s">
        <v>171</v>
      </c>
      <c r="B49" s="257" t="s">
        <v>122</v>
      </c>
      <c r="C49" s="260"/>
      <c r="D49" s="261"/>
      <c r="E49" s="260"/>
      <c r="F49" s="261"/>
      <c r="G49" s="261"/>
      <c r="H49" s="261"/>
      <c r="I49" s="261"/>
      <c r="O49" s="188">
        <f t="shared" si="0"/>
        <v>0</v>
      </c>
    </row>
    <row r="50" spans="1:16" ht="26" x14ac:dyDescent="0.3">
      <c r="A50" s="303" t="s">
        <v>172</v>
      </c>
      <c r="B50" s="261"/>
      <c r="C50" s="260"/>
      <c r="D50" s="261"/>
      <c r="E50" s="260"/>
      <c r="F50" s="261"/>
      <c r="G50" s="261"/>
      <c r="H50" s="261"/>
      <c r="I50" s="261"/>
      <c r="O50" s="188">
        <f t="shared" si="0"/>
        <v>0</v>
      </c>
    </row>
    <row r="51" spans="1:16" x14ac:dyDescent="0.3">
      <c r="A51" s="305" t="s">
        <v>163</v>
      </c>
      <c r="B51" s="261"/>
      <c r="C51" s="260"/>
      <c r="D51" s="261"/>
      <c r="E51" s="260"/>
      <c r="F51" s="261"/>
      <c r="G51" s="261"/>
      <c r="H51" s="261"/>
      <c r="I51" s="261"/>
      <c r="O51" s="188">
        <f t="shared" si="0"/>
        <v>0</v>
      </c>
    </row>
    <row r="52" spans="1:16" x14ac:dyDescent="0.3">
      <c r="A52" s="303" t="s">
        <v>173</v>
      </c>
      <c r="B52" s="257">
        <v>0.1</v>
      </c>
      <c r="C52" s="159">
        <v>1</v>
      </c>
      <c r="D52" s="257">
        <f>B52*C52</f>
        <v>0.1</v>
      </c>
      <c r="E52" s="266">
        <f>$L$18</f>
        <v>85</v>
      </c>
      <c r="F52" s="267">
        <f t="shared" ref="F52:F59" si="35">D52*E52</f>
        <v>8.5</v>
      </c>
      <c r="G52" s="257">
        <f t="shared" ref="G52:G59" si="36">F52*0.05</f>
        <v>0.42500000000000004</v>
      </c>
      <c r="H52" s="257">
        <f t="shared" ref="H52:H59" si="37">F52*0.1</f>
        <v>0.85000000000000009</v>
      </c>
      <c r="I52" s="197">
        <f>F52*$L$8+G52*$L$7+H52*$L$9</f>
        <v>1208.5520999999999</v>
      </c>
      <c r="O52" s="188">
        <f t="shared" si="0"/>
        <v>85</v>
      </c>
    </row>
    <row r="53" spans="1:16" x14ac:dyDescent="0.3">
      <c r="A53" s="303" t="s">
        <v>310</v>
      </c>
      <c r="B53" s="257">
        <v>0</v>
      </c>
      <c r="C53" s="159">
        <v>0</v>
      </c>
      <c r="D53" s="257">
        <f>B53*C53</f>
        <v>0</v>
      </c>
      <c r="E53" s="266">
        <v>0</v>
      </c>
      <c r="F53" s="267">
        <f t="shared" si="35"/>
        <v>0</v>
      </c>
      <c r="G53" s="257">
        <f t="shared" si="36"/>
        <v>0</v>
      </c>
      <c r="H53" s="257">
        <f t="shared" si="37"/>
        <v>0</v>
      </c>
      <c r="I53" s="263">
        <f>F53*$L$8+G53*$L$7+H53*$L$9</f>
        <v>0</v>
      </c>
      <c r="O53" s="188">
        <f t="shared" si="0"/>
        <v>0</v>
      </c>
    </row>
    <row r="54" spans="1:16" ht="39" x14ac:dyDescent="0.3">
      <c r="A54" s="301" t="s">
        <v>411</v>
      </c>
      <c r="B54" s="257">
        <v>0</v>
      </c>
      <c r="C54" s="159">
        <v>0</v>
      </c>
      <c r="D54" s="73">
        <f t="shared" ref="D54" si="38">B54*C54</f>
        <v>0</v>
      </c>
      <c r="E54" s="266">
        <v>0</v>
      </c>
      <c r="F54" s="267">
        <f t="shared" si="35"/>
        <v>0</v>
      </c>
      <c r="G54" s="257">
        <f t="shared" si="36"/>
        <v>0</v>
      </c>
      <c r="H54" s="257">
        <f t="shared" si="37"/>
        <v>0</v>
      </c>
      <c r="I54" s="263">
        <f>F54*$L$8+G54*$L$7+H54*$L$9</f>
        <v>0</v>
      </c>
      <c r="O54" s="188">
        <f t="shared" si="0"/>
        <v>0</v>
      </c>
    </row>
    <row r="55" spans="1:16" x14ac:dyDescent="0.3">
      <c r="A55" s="305" t="s">
        <v>158</v>
      </c>
      <c r="B55" s="257"/>
      <c r="C55" s="159"/>
      <c r="D55" s="257"/>
      <c r="E55" s="266"/>
      <c r="F55" s="267"/>
      <c r="G55" s="257"/>
      <c r="H55" s="257"/>
      <c r="I55" s="263"/>
      <c r="O55" s="188">
        <f t="shared" si="0"/>
        <v>0</v>
      </c>
    </row>
    <row r="56" spans="1:16" x14ac:dyDescent="0.3">
      <c r="A56" s="303" t="s">
        <v>173</v>
      </c>
      <c r="B56" s="257">
        <v>0</v>
      </c>
      <c r="C56" s="159">
        <v>0</v>
      </c>
      <c r="D56" s="257">
        <f>B56*C56</f>
        <v>0</v>
      </c>
      <c r="E56" s="266">
        <f>$L$16</f>
        <v>0</v>
      </c>
      <c r="F56" s="267">
        <f t="shared" ref="F56:F57" si="39">D56*E56</f>
        <v>0</v>
      </c>
      <c r="G56" s="257">
        <f t="shared" ref="G56:G57" si="40">F56*0.05</f>
        <v>0</v>
      </c>
      <c r="H56" s="257">
        <f t="shared" ref="H56:H57" si="41">F56*0.1</f>
        <v>0</v>
      </c>
      <c r="I56" s="262">
        <f>F56*$L$8+G56*$L$7+H56*$L$9</f>
        <v>0</v>
      </c>
      <c r="O56" s="188">
        <f t="shared" si="0"/>
        <v>0</v>
      </c>
    </row>
    <row r="57" spans="1:16" x14ac:dyDescent="0.3">
      <c r="A57" s="303" t="s">
        <v>310</v>
      </c>
      <c r="B57" s="257">
        <v>0</v>
      </c>
      <c r="C57" s="159">
        <v>0</v>
      </c>
      <c r="D57" s="257">
        <f t="shared" ref="D57:D59" si="42">B57*C57</f>
        <v>0</v>
      </c>
      <c r="E57" s="266">
        <f>$L$16</f>
        <v>0</v>
      </c>
      <c r="F57" s="267">
        <f t="shared" si="39"/>
        <v>0</v>
      </c>
      <c r="G57" s="257">
        <f t="shared" si="40"/>
        <v>0</v>
      </c>
      <c r="H57" s="257">
        <f t="shared" si="41"/>
        <v>0</v>
      </c>
      <c r="I57" s="262">
        <f>F57*$L$8+G57*$L$7+H57*$L$9</f>
        <v>0</v>
      </c>
      <c r="O57" s="188">
        <f t="shared" si="0"/>
        <v>0</v>
      </c>
    </row>
    <row r="58" spans="1:16" x14ac:dyDescent="0.3">
      <c r="A58" s="301" t="s">
        <v>412</v>
      </c>
      <c r="B58" s="257">
        <v>0</v>
      </c>
      <c r="C58" s="159">
        <v>0</v>
      </c>
      <c r="D58" s="73">
        <f t="shared" si="42"/>
        <v>0</v>
      </c>
      <c r="E58" s="266"/>
      <c r="F58" s="267"/>
      <c r="G58" s="257"/>
      <c r="H58" s="257"/>
      <c r="I58" s="262"/>
      <c r="O58" s="188">
        <f t="shared" si="0"/>
        <v>0</v>
      </c>
    </row>
    <row r="59" spans="1:16" x14ac:dyDescent="0.3">
      <c r="A59" s="303" t="s">
        <v>313</v>
      </c>
      <c r="B59" s="257">
        <v>0</v>
      </c>
      <c r="C59" s="159">
        <v>0</v>
      </c>
      <c r="D59" s="257">
        <f t="shared" si="42"/>
        <v>0</v>
      </c>
      <c r="E59" s="266">
        <f>$L$16</f>
        <v>0</v>
      </c>
      <c r="F59" s="267">
        <f t="shared" si="35"/>
        <v>0</v>
      </c>
      <c r="G59" s="257">
        <f t="shared" si="36"/>
        <v>0</v>
      </c>
      <c r="H59" s="257">
        <f t="shared" si="37"/>
        <v>0</v>
      </c>
      <c r="I59" s="262">
        <f>F59*$L$8+G59*$L$7+H59*$L$9</f>
        <v>0</v>
      </c>
      <c r="O59" s="188">
        <f t="shared" si="0"/>
        <v>0</v>
      </c>
    </row>
    <row r="60" spans="1:16" x14ac:dyDescent="0.3">
      <c r="A60" s="303" t="s">
        <v>186</v>
      </c>
      <c r="B60" s="257" t="s">
        <v>122</v>
      </c>
      <c r="C60" s="260"/>
      <c r="D60" s="261"/>
      <c r="E60" s="260"/>
      <c r="F60" s="261"/>
      <c r="G60" s="261"/>
      <c r="H60" s="261"/>
      <c r="I60" s="261"/>
      <c r="O60" s="188">
        <f t="shared" si="0"/>
        <v>0</v>
      </c>
    </row>
    <row r="61" spans="1:16" ht="31.5" customHeight="1" x14ac:dyDescent="0.3">
      <c r="A61" s="269" t="s">
        <v>188</v>
      </c>
      <c r="B61" s="275"/>
      <c r="C61" s="276"/>
      <c r="D61" s="275"/>
      <c r="E61" s="277"/>
      <c r="F61" s="273">
        <f>SUM(F52:H60)</f>
        <v>9.7750000000000004</v>
      </c>
      <c r="G61" s="273"/>
      <c r="H61" s="273"/>
      <c r="I61" s="274">
        <f>SUM(I52:I60)</f>
        <v>1208.5520999999999</v>
      </c>
      <c r="O61" s="188">
        <f>SUM(O6:O60)</f>
        <v>85</v>
      </c>
      <c r="P61" s="188" t="s">
        <v>248</v>
      </c>
    </row>
    <row r="62" spans="1:16" ht="37" customHeight="1" x14ac:dyDescent="0.3">
      <c r="A62" s="278" t="s">
        <v>314</v>
      </c>
      <c r="B62" s="279"/>
      <c r="C62" s="169"/>
      <c r="D62" s="279"/>
      <c r="E62" s="280"/>
      <c r="F62" s="469">
        <f>ROUND(F61+F44, -2)</f>
        <v>200</v>
      </c>
      <c r="G62" s="469"/>
      <c r="H62" s="469"/>
      <c r="I62" s="281">
        <f>ROUND(I61+I44, -4)</f>
        <v>20000</v>
      </c>
      <c r="K62" s="282">
        <f>F62/212</f>
        <v>0.94339622641509435</v>
      </c>
      <c r="L62" s="188" t="s">
        <v>190</v>
      </c>
    </row>
    <row r="63" spans="1:16" ht="31" customHeight="1" x14ac:dyDescent="0.3">
      <c r="A63" s="168" t="s">
        <v>315</v>
      </c>
      <c r="B63" s="261"/>
      <c r="C63" s="260"/>
      <c r="D63" s="261"/>
      <c r="E63" s="260"/>
      <c r="F63" s="261"/>
      <c r="G63" s="261"/>
      <c r="H63" s="261"/>
      <c r="I63" s="281"/>
    </row>
    <row r="64" spans="1:16" ht="15" x14ac:dyDescent="0.3">
      <c r="A64" s="168" t="s">
        <v>316</v>
      </c>
      <c r="B64" s="261"/>
      <c r="C64" s="260"/>
      <c r="D64" s="261"/>
      <c r="E64" s="260"/>
      <c r="F64" s="261"/>
      <c r="G64" s="261"/>
      <c r="H64" s="261"/>
      <c r="I64" s="281">
        <f>ROUND(I62+I63, -5)</f>
        <v>0</v>
      </c>
    </row>
    <row r="66" spans="1:9" ht="15.65" customHeight="1" x14ac:dyDescent="0.3">
      <c r="A66" s="467" t="s">
        <v>402</v>
      </c>
      <c r="B66" s="467"/>
      <c r="C66" s="467"/>
      <c r="D66" s="467"/>
      <c r="E66" s="467"/>
      <c r="F66" s="467"/>
      <c r="G66" s="467"/>
      <c r="H66" s="467"/>
      <c r="I66" s="467"/>
    </row>
    <row r="67" spans="1:9" ht="79" customHeight="1" x14ac:dyDescent="0.3">
      <c r="A67" s="446" t="s">
        <v>194</v>
      </c>
      <c r="B67" s="446"/>
      <c r="C67" s="446"/>
      <c r="D67" s="446"/>
      <c r="E67" s="446"/>
      <c r="F67" s="446"/>
      <c r="G67" s="446"/>
      <c r="H67" s="446"/>
      <c r="I67" s="446"/>
    </row>
    <row r="68" spans="1:9" ht="23.15" customHeight="1" x14ac:dyDescent="0.3">
      <c r="A68" s="467" t="s">
        <v>403</v>
      </c>
      <c r="B68" s="467"/>
      <c r="C68" s="467"/>
      <c r="D68" s="467"/>
      <c r="E68" s="467"/>
      <c r="F68" s="467"/>
      <c r="G68" s="467"/>
      <c r="H68" s="467"/>
      <c r="I68" s="467"/>
    </row>
    <row r="69" spans="1:9" ht="21" customHeight="1" x14ac:dyDescent="0.3">
      <c r="A69" s="470" t="s">
        <v>404</v>
      </c>
      <c r="B69" s="470"/>
      <c r="C69" s="470"/>
      <c r="D69" s="470"/>
      <c r="E69" s="470"/>
      <c r="F69" s="470"/>
      <c r="G69" s="470"/>
      <c r="H69" s="470"/>
      <c r="I69" s="470"/>
    </row>
    <row r="70" spans="1:9" ht="18.75" customHeight="1" x14ac:dyDescent="0.3">
      <c r="A70" s="466" t="s">
        <v>319</v>
      </c>
      <c r="B70" s="466"/>
      <c r="C70" s="466"/>
      <c r="D70" s="466"/>
      <c r="E70" s="466"/>
      <c r="F70" s="466"/>
      <c r="G70" s="466"/>
      <c r="H70" s="466"/>
      <c r="I70" s="466"/>
    </row>
    <row r="71" spans="1:9" ht="18.75" customHeight="1" x14ac:dyDescent="0.3">
      <c r="A71" s="466"/>
      <c r="B71" s="466"/>
      <c r="C71" s="466"/>
      <c r="D71" s="466"/>
      <c r="E71" s="466"/>
      <c r="F71" s="466"/>
      <c r="G71" s="466"/>
      <c r="H71" s="466"/>
      <c r="I71" s="466"/>
    </row>
  </sheetData>
  <mergeCells count="10">
    <mergeCell ref="A69:I69"/>
    <mergeCell ref="A70:I70"/>
    <mergeCell ref="A71:I71"/>
    <mergeCell ref="A1:I1"/>
    <mergeCell ref="A3:I3"/>
    <mergeCell ref="K6:L6"/>
    <mergeCell ref="F62:H62"/>
    <mergeCell ref="A66:I66"/>
    <mergeCell ref="A67:I67"/>
    <mergeCell ref="A68:I68"/>
  </mergeCells>
  <pageMargins left="0.7" right="0.7" top="0.75" bottom="0.75" header="0.3" footer="0.3"/>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7442-D883-45AB-82A0-A62079621CB8}">
  <sheetPr codeName="Sheet6">
    <pageSetUpPr fitToPage="1"/>
  </sheetPr>
  <dimension ref="A1:P72"/>
  <sheetViews>
    <sheetView zoomScale="70" zoomScaleNormal="70" workbookViewId="0">
      <pane xSplit="13" ySplit="5" topLeftCell="N56" activePane="bottomRight" state="frozen"/>
      <selection activeCell="A25" sqref="A25:I25"/>
      <selection pane="topRight" activeCell="A25" sqref="A25:I25"/>
      <selection pane="bottomLeft" activeCell="A25" sqref="A25:I25"/>
      <selection pane="bottomRight" activeCell="A72" sqref="A72:I72"/>
    </sheetView>
  </sheetViews>
  <sheetFormatPr defaultColWidth="9.1796875" defaultRowHeight="13" x14ac:dyDescent="0.3"/>
  <cols>
    <col min="1" max="1" width="25.1796875" style="71" customWidth="1"/>
    <col min="2" max="2" width="10.1796875" style="71" customWidth="1"/>
    <col min="3" max="3" width="11.453125" style="80" customWidth="1"/>
    <col min="4" max="4" width="10.54296875" style="71" customWidth="1"/>
    <col min="5" max="5" width="10.7265625" style="80" bestFit="1" customWidth="1"/>
    <col min="6" max="6" width="10.453125" style="71" customWidth="1"/>
    <col min="7" max="7" width="11.54296875" style="71" customWidth="1"/>
    <col min="8" max="8" width="10.54296875" style="71" customWidth="1"/>
    <col min="9" max="9" width="10.81640625" style="71" customWidth="1"/>
    <col min="10" max="10" width="7.1796875" style="71" customWidth="1"/>
    <col min="11" max="11" width="37.81640625" style="71" customWidth="1"/>
    <col min="12" max="12" width="14.453125" style="71" customWidth="1"/>
    <col min="13" max="13" width="86.54296875" style="71" customWidth="1"/>
    <col min="14" max="14" width="23" style="71" customWidth="1"/>
    <col min="15" max="15" width="20.453125" style="71" customWidth="1"/>
    <col min="16" max="16" width="14.1796875" style="71" customWidth="1"/>
    <col min="17" max="16384" width="9.1796875" style="71"/>
  </cols>
  <sheetData>
    <row r="1" spans="1:15" s="54" customFormat="1" ht="15" x14ac:dyDescent="0.3">
      <c r="A1" s="57" t="s">
        <v>108</v>
      </c>
      <c r="J1" s="56"/>
    </row>
    <row r="2" spans="1:15" s="54" customFormat="1" ht="15" x14ac:dyDescent="0.3">
      <c r="A2" s="55" t="s">
        <v>109</v>
      </c>
      <c r="J2" s="56"/>
    </row>
    <row r="3" spans="1:15" s="54" customFormat="1" ht="31" customHeight="1" x14ac:dyDescent="0.3">
      <c r="A3" s="441" t="s">
        <v>110</v>
      </c>
      <c r="B3" s="442"/>
      <c r="C3" s="442"/>
      <c r="D3" s="442"/>
      <c r="E3" s="442"/>
      <c r="F3" s="442"/>
      <c r="G3" s="442"/>
      <c r="H3" s="442"/>
      <c r="I3" s="153"/>
      <c r="J3" s="56"/>
    </row>
    <row r="5" spans="1:15" ht="65" x14ac:dyDescent="0.3">
      <c r="A5" s="72" t="s">
        <v>111</v>
      </c>
      <c r="B5" s="73" t="s">
        <v>112</v>
      </c>
      <c r="C5" s="74" t="s">
        <v>113</v>
      </c>
      <c r="D5" s="73" t="s">
        <v>114</v>
      </c>
      <c r="E5" s="74" t="s">
        <v>115</v>
      </c>
      <c r="F5" s="73" t="s">
        <v>116</v>
      </c>
      <c r="G5" s="73" t="s">
        <v>117</v>
      </c>
      <c r="H5" s="73" t="s">
        <v>118</v>
      </c>
      <c r="I5" s="73" t="s">
        <v>119</v>
      </c>
      <c r="J5" s="75"/>
      <c r="O5" s="71" t="s">
        <v>120</v>
      </c>
    </row>
    <row r="6" spans="1:15" x14ac:dyDescent="0.3">
      <c r="A6" s="76" t="s">
        <v>121</v>
      </c>
      <c r="B6" s="73" t="s">
        <v>122</v>
      </c>
      <c r="C6" s="77"/>
      <c r="D6" s="78"/>
      <c r="E6" s="77"/>
      <c r="F6" s="78"/>
      <c r="G6" s="78"/>
      <c r="H6" s="78"/>
      <c r="I6" s="78"/>
      <c r="K6" s="443" t="s">
        <v>123</v>
      </c>
      <c r="L6" s="443"/>
    </row>
    <row r="7" spans="1:15" ht="89.5" customHeight="1" x14ac:dyDescent="0.3">
      <c r="A7" s="76" t="s">
        <v>124</v>
      </c>
      <c r="B7" s="73" t="s">
        <v>122</v>
      </c>
      <c r="C7" s="77"/>
      <c r="D7" s="78"/>
      <c r="E7" s="77"/>
      <c r="F7" s="78"/>
      <c r="G7" s="78"/>
      <c r="H7" s="78"/>
      <c r="I7" s="78"/>
      <c r="K7" s="79" t="s">
        <v>125</v>
      </c>
      <c r="L7" s="195">
        <f>76.96*2.1</f>
        <v>161.61599999999999</v>
      </c>
      <c r="M7" s="144" t="s">
        <v>126</v>
      </c>
      <c r="N7" s="144"/>
    </row>
    <row r="8" spans="1:15" ht="46.5" customHeight="1" x14ac:dyDescent="0.3">
      <c r="A8" s="76" t="s">
        <v>127</v>
      </c>
      <c r="B8" s="73">
        <v>24</v>
      </c>
      <c r="C8" s="74">
        <v>1</v>
      </c>
      <c r="D8" s="73">
        <f>B8*C8</f>
        <v>24</v>
      </c>
      <c r="E8" s="296">
        <f>L13</f>
        <v>23.9148</v>
      </c>
      <c r="F8" s="295">
        <f>D8*E8</f>
        <v>573.95519999999999</v>
      </c>
      <c r="G8" s="295">
        <f>F8*0.05</f>
        <v>28.697760000000002</v>
      </c>
      <c r="H8" s="295">
        <f>F8*0.1</f>
        <v>57.395520000000005</v>
      </c>
      <c r="I8" s="81">
        <f>F8*$L$8+G8*$L$7+H8*$L$9</f>
        <v>81606.442619519992</v>
      </c>
      <c r="K8" s="79" t="s">
        <v>128</v>
      </c>
      <c r="L8" s="195">
        <f>60.8*2.1</f>
        <v>127.67999999999999</v>
      </c>
      <c r="M8" s="145"/>
      <c r="N8" s="145"/>
      <c r="O8" s="111">
        <f>C8*E8</f>
        <v>23.9148</v>
      </c>
    </row>
    <row r="9" spans="1:15" x14ac:dyDescent="0.3">
      <c r="A9" s="76" t="s">
        <v>129</v>
      </c>
      <c r="B9" s="73"/>
      <c r="C9" s="74"/>
      <c r="D9" s="73"/>
      <c r="E9" s="74"/>
      <c r="F9" s="73"/>
      <c r="G9" s="73"/>
      <c r="H9" s="73"/>
      <c r="I9" s="78"/>
      <c r="K9" s="79" t="s">
        <v>130</v>
      </c>
      <c r="L9" s="195">
        <f>30.58*2.1</f>
        <v>64.218000000000004</v>
      </c>
      <c r="M9" s="145"/>
      <c r="N9" s="145"/>
      <c r="O9" s="71">
        <f t="shared" ref="O9:O58" si="0">C9*E9</f>
        <v>0</v>
      </c>
    </row>
    <row r="10" spans="1:15" ht="52" x14ac:dyDescent="0.3">
      <c r="A10" s="76" t="s">
        <v>131</v>
      </c>
      <c r="B10" s="73">
        <v>156</v>
      </c>
      <c r="C10" s="74">
        <v>1</v>
      </c>
      <c r="D10" s="73">
        <f>B10*C10</f>
        <v>156</v>
      </c>
      <c r="E10" s="74">
        <f>0.01*L15</f>
        <v>28.47</v>
      </c>
      <c r="F10" s="73">
        <f>D10*E10</f>
        <v>4441.32</v>
      </c>
      <c r="G10" s="73">
        <f>F10*0.05</f>
        <v>222.066</v>
      </c>
      <c r="H10" s="73">
        <f>F10*0.1</f>
        <v>444.13200000000001</v>
      </c>
      <c r="I10" s="81">
        <f>F10*$L$8+G10*$L$7+H10*$L$9</f>
        <v>631478.42503199982</v>
      </c>
      <c r="K10" s="365"/>
      <c r="L10" s="311"/>
      <c r="M10" s="145"/>
      <c r="N10" s="145"/>
    </row>
    <row r="11" spans="1:15" x14ac:dyDescent="0.3">
      <c r="A11" s="83" t="s">
        <v>132</v>
      </c>
      <c r="B11" s="73">
        <v>1</v>
      </c>
      <c r="C11" s="74">
        <v>1</v>
      </c>
      <c r="D11" s="73">
        <f>B11*C11</f>
        <v>1</v>
      </c>
      <c r="E11" s="74">
        <f>$L$15</f>
        <v>2847</v>
      </c>
      <c r="F11" s="73">
        <f>D11*E11</f>
        <v>2847</v>
      </c>
      <c r="G11" s="73">
        <f>F11*0.05</f>
        <v>142.35</v>
      </c>
      <c r="H11" s="73">
        <f>F11*0.1</f>
        <v>284.7</v>
      </c>
      <c r="I11" s="81">
        <f>F11*$L$8+G11*$L$7+H11*$L$9</f>
        <v>404793.86219999997</v>
      </c>
      <c r="K11" s="85"/>
      <c r="L11" s="150"/>
      <c r="M11" s="85"/>
      <c r="N11" s="85"/>
      <c r="O11" s="71">
        <f t="shared" si="0"/>
        <v>2847</v>
      </c>
    </row>
    <row r="12" spans="1:15" ht="15.75" customHeight="1" x14ac:dyDescent="0.3">
      <c r="A12" s="83" t="s">
        <v>133</v>
      </c>
      <c r="B12" s="73"/>
      <c r="C12" s="74"/>
      <c r="D12" s="73"/>
      <c r="E12" s="74"/>
      <c r="F12" s="73"/>
      <c r="G12" s="73"/>
      <c r="H12" s="73"/>
      <c r="I12" s="84"/>
      <c r="K12" s="86"/>
      <c r="L12" s="86" t="s">
        <v>134</v>
      </c>
      <c r="M12" s="85"/>
      <c r="N12" s="85"/>
      <c r="O12" s="71">
        <f t="shared" si="0"/>
        <v>0</v>
      </c>
    </row>
    <row r="13" spans="1:15" ht="28.5" x14ac:dyDescent="0.3">
      <c r="A13" s="119" t="s">
        <v>135</v>
      </c>
      <c r="B13" s="73"/>
      <c r="C13" s="74"/>
      <c r="D13" s="73"/>
      <c r="E13" s="88"/>
      <c r="F13" s="89"/>
      <c r="G13" s="73"/>
      <c r="H13" s="73"/>
      <c r="I13" s="84"/>
      <c r="K13" s="86" t="s">
        <v>136</v>
      </c>
      <c r="L13" s="86">
        <f>L15*0.0084</f>
        <v>23.9148</v>
      </c>
      <c r="M13" s="85" t="s">
        <v>137</v>
      </c>
      <c r="N13" s="85"/>
      <c r="O13" s="71">
        <f t="shared" si="0"/>
        <v>0</v>
      </c>
    </row>
    <row r="14" spans="1:15" ht="15" customHeight="1" x14ac:dyDescent="0.3">
      <c r="A14" s="90" t="s">
        <v>138</v>
      </c>
      <c r="B14" s="74">
        <v>0</v>
      </c>
      <c r="C14" s="74">
        <v>0</v>
      </c>
      <c r="D14" s="73">
        <f>B14*C14</f>
        <v>0</v>
      </c>
      <c r="E14" s="88">
        <v>0</v>
      </c>
      <c r="F14" s="89">
        <f>D14*E14</f>
        <v>0</v>
      </c>
      <c r="G14" s="73">
        <f>F14*0.05</f>
        <v>0</v>
      </c>
      <c r="H14" s="73">
        <f>F14*0.1</f>
        <v>0</v>
      </c>
      <c r="I14" s="84">
        <f>F14*$L$8+G14*$L$7+H14*$L$9</f>
        <v>0</v>
      </c>
      <c r="K14" s="86" t="s">
        <v>139</v>
      </c>
      <c r="L14" s="86">
        <v>0</v>
      </c>
      <c r="M14" s="85"/>
      <c r="N14" s="85"/>
      <c r="O14" s="71">
        <f t="shared" si="0"/>
        <v>0</v>
      </c>
    </row>
    <row r="15" spans="1:15" ht="26.5" customHeight="1" x14ac:dyDescent="0.3">
      <c r="A15" s="324" t="s">
        <v>140</v>
      </c>
      <c r="B15" s="74">
        <v>0</v>
      </c>
      <c r="C15" s="74">
        <v>0</v>
      </c>
      <c r="D15" s="73">
        <f t="shared" ref="D15" si="1">B15*C15</f>
        <v>0</v>
      </c>
      <c r="E15" s="88">
        <v>0</v>
      </c>
      <c r="F15" s="89">
        <f t="shared" ref="F15:F22" si="2">D15*E15</f>
        <v>0</v>
      </c>
      <c r="G15" s="73">
        <f t="shared" ref="G15:G22" si="3">F15*0.05</f>
        <v>0</v>
      </c>
      <c r="H15" s="73">
        <f t="shared" ref="H15:H22" si="4">F15*0.1</f>
        <v>0</v>
      </c>
      <c r="I15" s="84">
        <f t="shared" ref="I15:I22" si="5">F15*$L$8+G15*$L$7+H15*$L$9</f>
        <v>0</v>
      </c>
      <c r="J15" s="85"/>
      <c r="K15" s="86" t="s">
        <v>141</v>
      </c>
      <c r="L15" s="86">
        <v>2847</v>
      </c>
      <c r="M15" s="85"/>
      <c r="N15" s="85"/>
      <c r="O15" s="71">
        <f t="shared" si="0"/>
        <v>0</v>
      </c>
    </row>
    <row r="16" spans="1:15" ht="15.5" x14ac:dyDescent="0.3">
      <c r="A16" s="87" t="s">
        <v>142</v>
      </c>
      <c r="B16" s="73"/>
      <c r="C16" s="74"/>
      <c r="D16" s="73"/>
      <c r="E16" s="74"/>
      <c r="F16" s="89"/>
      <c r="G16" s="73"/>
      <c r="H16" s="73"/>
      <c r="I16" s="84"/>
      <c r="K16" s="86" t="s">
        <v>143</v>
      </c>
      <c r="L16" s="321">
        <f>L18*0.0084</f>
        <v>12.316121999999998</v>
      </c>
      <c r="M16" s="85" t="s">
        <v>137</v>
      </c>
      <c r="N16" s="85"/>
      <c r="O16" s="71">
        <f t="shared" si="0"/>
        <v>0</v>
      </c>
    </row>
    <row r="17" spans="1:15" x14ac:dyDescent="0.3">
      <c r="A17" s="90" t="s">
        <v>138</v>
      </c>
      <c r="B17" s="73">
        <v>0</v>
      </c>
      <c r="C17" s="74">
        <v>0</v>
      </c>
      <c r="D17" s="73">
        <f>B17*C17</f>
        <v>0</v>
      </c>
      <c r="E17" s="88">
        <v>0</v>
      </c>
      <c r="F17" s="89">
        <f t="shared" si="2"/>
        <v>0</v>
      </c>
      <c r="G17" s="73">
        <f t="shared" si="3"/>
        <v>0</v>
      </c>
      <c r="H17" s="73">
        <f t="shared" si="4"/>
        <v>0</v>
      </c>
      <c r="I17" s="84">
        <f t="shared" si="5"/>
        <v>0</v>
      </c>
      <c r="J17" s="82"/>
      <c r="K17" s="86" t="s">
        <v>144</v>
      </c>
      <c r="L17" s="321">
        <f>L19*0.0084</f>
        <v>7.6019999999999994</v>
      </c>
      <c r="M17" s="85" t="s">
        <v>137</v>
      </c>
      <c r="N17" s="85"/>
      <c r="O17" s="71">
        <f t="shared" si="0"/>
        <v>0</v>
      </c>
    </row>
    <row r="18" spans="1:15" x14ac:dyDescent="0.3">
      <c r="A18" s="90" t="s">
        <v>140</v>
      </c>
      <c r="B18" s="74">
        <v>0</v>
      </c>
      <c r="C18" s="74">
        <v>0</v>
      </c>
      <c r="D18" s="73">
        <f t="shared" ref="D18:D20" si="6">B18*C18</f>
        <v>0</v>
      </c>
      <c r="E18" s="88">
        <f>E17*0.05</f>
        <v>0</v>
      </c>
      <c r="F18" s="89">
        <f t="shared" si="2"/>
        <v>0</v>
      </c>
      <c r="G18" s="73">
        <f t="shared" si="3"/>
        <v>0</v>
      </c>
      <c r="H18" s="73">
        <f t="shared" si="4"/>
        <v>0</v>
      </c>
      <c r="I18" s="84">
        <f t="shared" si="5"/>
        <v>0</v>
      </c>
      <c r="J18" s="82"/>
      <c r="K18" s="86" t="s">
        <v>145</v>
      </c>
      <c r="L18" s="320">
        <f>0.515*L15</f>
        <v>1466.2049999999999</v>
      </c>
      <c r="O18" s="71">
        <f t="shared" si="0"/>
        <v>0</v>
      </c>
    </row>
    <row r="19" spans="1:15" ht="30.65" customHeight="1" x14ac:dyDescent="0.3">
      <c r="A19" s="97" t="s">
        <v>146</v>
      </c>
      <c r="B19" s="93">
        <v>0</v>
      </c>
      <c r="C19" s="93">
        <v>0</v>
      </c>
      <c r="D19" s="92">
        <f t="shared" si="6"/>
        <v>0</v>
      </c>
      <c r="E19" s="94">
        <v>0</v>
      </c>
      <c r="F19" s="89">
        <f t="shared" si="2"/>
        <v>0</v>
      </c>
      <c r="G19" s="73">
        <f t="shared" si="3"/>
        <v>0</v>
      </c>
      <c r="H19" s="73">
        <f t="shared" si="4"/>
        <v>0</v>
      </c>
      <c r="I19" s="84">
        <f t="shared" si="5"/>
        <v>0</v>
      </c>
      <c r="K19" s="414" t="s">
        <v>147</v>
      </c>
      <c r="L19" s="321">
        <v>905</v>
      </c>
      <c r="O19" s="71">
        <f t="shared" si="0"/>
        <v>0</v>
      </c>
    </row>
    <row r="20" spans="1:15" ht="60" customHeight="1" x14ac:dyDescent="0.3">
      <c r="A20" s="97" t="s">
        <v>148</v>
      </c>
      <c r="B20" s="93">
        <v>0</v>
      </c>
      <c r="C20" s="93">
        <v>0</v>
      </c>
      <c r="D20" s="92">
        <f t="shared" si="6"/>
        <v>0</v>
      </c>
      <c r="E20" s="94">
        <f>E19*0.05</f>
        <v>0</v>
      </c>
      <c r="F20" s="89">
        <f t="shared" ref="F20" si="7">D20*E20</f>
        <v>0</v>
      </c>
      <c r="G20" s="73">
        <f t="shared" ref="G20" si="8">F20*0.05</f>
        <v>0</v>
      </c>
      <c r="H20" s="73">
        <f t="shared" ref="H20" si="9">F20*0.1</f>
        <v>0</v>
      </c>
      <c r="I20" s="84">
        <f t="shared" ref="I20" si="10">F20*$L$8+G20*$L$7+H20*$L$9</f>
        <v>0</v>
      </c>
      <c r="K20" s="71" t="s">
        <v>149</v>
      </c>
      <c r="L20" s="111">
        <f>L15*0.56</f>
        <v>1594.3200000000002</v>
      </c>
      <c r="M20" s="85" t="s">
        <v>150</v>
      </c>
      <c r="N20" s="85"/>
      <c r="O20" s="71">
        <f t="shared" si="0"/>
        <v>0</v>
      </c>
    </row>
    <row r="21" spans="1:15" ht="64.5" customHeight="1" x14ac:dyDescent="0.3">
      <c r="A21" s="87" t="s">
        <v>151</v>
      </c>
      <c r="B21" s="92"/>
      <c r="C21" s="93"/>
      <c r="D21" s="92"/>
      <c r="E21" s="94"/>
      <c r="F21" s="89"/>
      <c r="G21" s="73"/>
      <c r="H21" s="73"/>
      <c r="I21" s="84"/>
      <c r="K21" s="71" t="s">
        <v>152</v>
      </c>
      <c r="L21" s="111">
        <f>L15*0.44</f>
        <v>1252.68</v>
      </c>
      <c r="M21" s="85" t="s">
        <v>153</v>
      </c>
      <c r="N21" s="85"/>
      <c r="O21" s="71">
        <f t="shared" si="0"/>
        <v>0</v>
      </c>
    </row>
    <row r="22" spans="1:15" x14ac:dyDescent="0.3">
      <c r="A22" s="91" t="s">
        <v>154</v>
      </c>
      <c r="B22" s="73">
        <v>0</v>
      </c>
      <c r="C22" s="74">
        <v>0</v>
      </c>
      <c r="D22" s="73">
        <f>B22*C22</f>
        <v>0</v>
      </c>
      <c r="E22" s="88">
        <v>0</v>
      </c>
      <c r="F22" s="89">
        <f t="shared" si="2"/>
        <v>0</v>
      </c>
      <c r="G22" s="73">
        <f t="shared" si="3"/>
        <v>0</v>
      </c>
      <c r="H22" s="73">
        <f t="shared" si="4"/>
        <v>0</v>
      </c>
      <c r="I22" s="84">
        <f t="shared" si="5"/>
        <v>0</v>
      </c>
      <c r="O22" s="71">
        <f t="shared" si="0"/>
        <v>0</v>
      </c>
    </row>
    <row r="23" spans="1:15" x14ac:dyDescent="0.3">
      <c r="A23" s="83" t="s">
        <v>155</v>
      </c>
      <c r="B23" s="73"/>
      <c r="C23" s="77"/>
      <c r="D23" s="78"/>
      <c r="E23" s="95"/>
      <c r="F23" s="78"/>
      <c r="G23" s="78"/>
      <c r="H23" s="78"/>
      <c r="I23" s="78"/>
      <c r="O23" s="71">
        <f t="shared" si="0"/>
        <v>0</v>
      </c>
    </row>
    <row r="24" spans="1:15" ht="26" x14ac:dyDescent="0.3">
      <c r="A24" s="113" t="s">
        <v>156</v>
      </c>
      <c r="B24" s="73"/>
      <c r="C24" s="77"/>
      <c r="D24" s="78"/>
      <c r="E24" s="95"/>
      <c r="F24" s="78"/>
      <c r="G24" s="78"/>
      <c r="H24" s="78"/>
      <c r="I24" s="78"/>
      <c r="O24" s="71">
        <f t="shared" si="0"/>
        <v>0</v>
      </c>
    </row>
    <row r="25" spans="1:15" x14ac:dyDescent="0.3">
      <c r="A25" s="83" t="s">
        <v>157</v>
      </c>
      <c r="B25" s="78"/>
      <c r="C25" s="77"/>
      <c r="D25" s="78"/>
      <c r="E25" s="95"/>
      <c r="F25" s="78"/>
      <c r="G25" s="78"/>
      <c r="H25" s="78"/>
      <c r="I25" s="78"/>
      <c r="L25" s="311"/>
      <c r="O25" s="71">
        <f t="shared" si="0"/>
        <v>0</v>
      </c>
    </row>
    <row r="26" spans="1:15" ht="15.75" customHeight="1" x14ac:dyDescent="0.3">
      <c r="A26" s="96" t="s">
        <v>158</v>
      </c>
      <c r="B26" s="73"/>
      <c r="C26" s="74"/>
      <c r="D26" s="73"/>
      <c r="E26" s="88"/>
      <c r="F26" s="73"/>
      <c r="G26" s="73"/>
      <c r="H26" s="73"/>
      <c r="I26" s="84"/>
      <c r="L26" s="311"/>
      <c r="O26" s="71">
        <f t="shared" si="0"/>
        <v>0</v>
      </c>
    </row>
    <row r="27" spans="1:15" ht="26" x14ac:dyDescent="0.3">
      <c r="A27" s="97" t="s">
        <v>159</v>
      </c>
      <c r="B27" s="73">
        <v>0</v>
      </c>
      <c r="C27" s="74">
        <v>0</v>
      </c>
      <c r="D27" s="73">
        <v>2</v>
      </c>
      <c r="E27" s="88">
        <v>0</v>
      </c>
      <c r="F27" s="73">
        <f t="shared" ref="F27:F30" si="11">D27*E27</f>
        <v>0</v>
      </c>
      <c r="G27" s="73">
        <f t="shared" ref="G27:G30" si="12">F27*0.05</f>
        <v>0</v>
      </c>
      <c r="H27" s="73">
        <f t="shared" ref="H27:H30" si="13">F27*0.1</f>
        <v>0</v>
      </c>
      <c r="I27" s="84">
        <f>F27*$L$8+G27*$L$7+H27*$L$9</f>
        <v>0</v>
      </c>
      <c r="L27" s="311"/>
      <c r="O27" s="71">
        <f t="shared" si="0"/>
        <v>0</v>
      </c>
    </row>
    <row r="28" spans="1:15" ht="26" x14ac:dyDescent="0.3">
      <c r="A28" s="97" t="s">
        <v>160</v>
      </c>
      <c r="B28" s="73">
        <v>0</v>
      </c>
      <c r="C28" s="74">
        <v>0</v>
      </c>
      <c r="D28" s="73">
        <v>2</v>
      </c>
      <c r="E28" s="88">
        <v>0</v>
      </c>
      <c r="F28" s="73">
        <f t="shared" si="11"/>
        <v>0</v>
      </c>
      <c r="G28" s="73">
        <f t="shared" si="12"/>
        <v>0</v>
      </c>
      <c r="H28" s="73">
        <f t="shared" si="13"/>
        <v>0</v>
      </c>
      <c r="I28" s="84">
        <f>F28*$L$8+G28*$L$7+H28*$L$9</f>
        <v>0</v>
      </c>
      <c r="O28" s="71">
        <f t="shared" si="0"/>
        <v>0</v>
      </c>
    </row>
    <row r="29" spans="1:15" x14ac:dyDescent="0.3">
      <c r="A29" s="97" t="s">
        <v>161</v>
      </c>
      <c r="B29" s="73">
        <v>0</v>
      </c>
      <c r="C29" s="74">
        <v>0</v>
      </c>
      <c r="D29" s="73">
        <v>2</v>
      </c>
      <c r="E29" s="88">
        <v>0</v>
      </c>
      <c r="F29" s="73">
        <f t="shared" si="11"/>
        <v>0</v>
      </c>
      <c r="G29" s="73">
        <f t="shared" si="12"/>
        <v>0</v>
      </c>
      <c r="H29" s="73">
        <f t="shared" si="13"/>
        <v>0</v>
      </c>
      <c r="I29" s="84">
        <f>F29*$L$8+G29*$L$7+H29*$L$9</f>
        <v>0</v>
      </c>
      <c r="O29" s="71">
        <f t="shared" si="0"/>
        <v>0</v>
      </c>
    </row>
    <row r="30" spans="1:15" ht="38.15" customHeight="1" x14ac:dyDescent="0.3">
      <c r="A30" s="114" t="s">
        <v>162</v>
      </c>
      <c r="B30" s="73">
        <v>0</v>
      </c>
      <c r="C30" s="115">
        <v>0</v>
      </c>
      <c r="D30" s="73">
        <f>B30*C30</f>
        <v>0</v>
      </c>
      <c r="E30" s="294">
        <v>0</v>
      </c>
      <c r="F30" s="295">
        <f t="shared" si="11"/>
        <v>0</v>
      </c>
      <c r="G30" s="295">
        <f t="shared" si="12"/>
        <v>0</v>
      </c>
      <c r="H30" s="295">
        <f t="shared" si="13"/>
        <v>0</v>
      </c>
      <c r="I30" s="81">
        <f>F30*$L$8+G30*$L$7+H30*$L$9</f>
        <v>0</v>
      </c>
      <c r="O30" s="71">
        <f t="shared" si="0"/>
        <v>0</v>
      </c>
    </row>
    <row r="31" spans="1:15" x14ac:dyDescent="0.3">
      <c r="A31" s="96" t="s">
        <v>163</v>
      </c>
      <c r="B31" s="78"/>
      <c r="C31" s="77"/>
      <c r="D31" s="78"/>
      <c r="E31" s="95"/>
      <c r="F31" s="78"/>
      <c r="G31" s="78"/>
      <c r="H31" s="78"/>
      <c r="I31" s="78"/>
      <c r="O31" s="71">
        <f t="shared" si="0"/>
        <v>0</v>
      </c>
    </row>
    <row r="32" spans="1:15" ht="26" x14ac:dyDescent="0.3">
      <c r="A32" s="97" t="s">
        <v>159</v>
      </c>
      <c r="B32" s="73">
        <v>0</v>
      </c>
      <c r="C32" s="74">
        <v>0</v>
      </c>
      <c r="D32" s="73">
        <v>2</v>
      </c>
      <c r="E32" s="88">
        <v>0</v>
      </c>
      <c r="F32" s="73">
        <f>D32*E32</f>
        <v>0</v>
      </c>
      <c r="G32" s="73">
        <f>F32*0.05</f>
        <v>0</v>
      </c>
      <c r="H32" s="73">
        <f>F32*0.1</f>
        <v>0</v>
      </c>
      <c r="I32" s="84">
        <f>F32*$L$8+G32*$L$7+H32*$L$9</f>
        <v>0</v>
      </c>
      <c r="O32" s="71">
        <f t="shared" si="0"/>
        <v>0</v>
      </c>
    </row>
    <row r="33" spans="1:15" ht="39" x14ac:dyDescent="0.3">
      <c r="A33" s="97" t="s">
        <v>164</v>
      </c>
      <c r="B33" s="73">
        <v>0</v>
      </c>
      <c r="C33" s="74">
        <v>0</v>
      </c>
      <c r="D33" s="73">
        <v>2</v>
      </c>
      <c r="E33" s="294">
        <f>SUM(E19:E20)</f>
        <v>0</v>
      </c>
      <c r="F33" s="295">
        <f>D33*E33</f>
        <v>0</v>
      </c>
      <c r="G33" s="295">
        <f>F33*0.05</f>
        <v>0</v>
      </c>
      <c r="H33" s="295">
        <f>F33*0.1</f>
        <v>0</v>
      </c>
      <c r="I33" s="84">
        <f>F33*$L$8+G33*$L$7+H33*$L$9</f>
        <v>0</v>
      </c>
      <c r="O33" s="71">
        <f t="shared" si="0"/>
        <v>0</v>
      </c>
    </row>
    <row r="34" spans="1:15" ht="49" customHeight="1" x14ac:dyDescent="0.3">
      <c r="A34" s="97" t="s">
        <v>165</v>
      </c>
      <c r="B34" s="73">
        <v>0</v>
      </c>
      <c r="C34" s="74">
        <v>0</v>
      </c>
      <c r="D34" s="73">
        <v>2</v>
      </c>
      <c r="E34" s="294">
        <f>SUM(E19:E20)</f>
        <v>0</v>
      </c>
      <c r="F34" s="295">
        <f>D34*E34</f>
        <v>0</v>
      </c>
      <c r="G34" s="295">
        <f>F34*0.05</f>
        <v>0</v>
      </c>
      <c r="H34" s="295">
        <f>F34*0.1</f>
        <v>0</v>
      </c>
      <c r="I34" s="84">
        <f>F34*$L$8+G34*$L$7+H34*$L$9</f>
        <v>0</v>
      </c>
      <c r="O34" s="71">
        <f t="shared" si="0"/>
        <v>0</v>
      </c>
    </row>
    <row r="35" spans="1:15" ht="39" x14ac:dyDescent="0.3">
      <c r="A35" s="114" t="s">
        <v>166</v>
      </c>
      <c r="B35" s="73">
        <v>0</v>
      </c>
      <c r="C35" s="115">
        <v>0</v>
      </c>
      <c r="D35" s="73">
        <f>B35*C35</f>
        <v>0</v>
      </c>
      <c r="E35" s="88">
        <v>0</v>
      </c>
      <c r="F35" s="73">
        <f t="shared" ref="F35" si="14">D35*E35</f>
        <v>0</v>
      </c>
      <c r="G35" s="73">
        <f t="shared" ref="G35" si="15">F35*0.05</f>
        <v>0</v>
      </c>
      <c r="H35" s="73">
        <f t="shared" ref="H35" si="16">F35*0.1</f>
        <v>0</v>
      </c>
      <c r="I35" s="81">
        <f>F35*$L$8+G35*$L$7+H35*$L$9</f>
        <v>0</v>
      </c>
      <c r="O35" s="71">
        <f t="shared" si="0"/>
        <v>0</v>
      </c>
    </row>
    <row r="36" spans="1:15" ht="27" x14ac:dyDescent="0.3">
      <c r="A36" s="98" t="s">
        <v>167</v>
      </c>
      <c r="B36" s="99"/>
      <c r="C36" s="100"/>
      <c r="D36" s="99"/>
      <c r="E36" s="101"/>
      <c r="F36" s="142">
        <f>SUM(F8:H35)</f>
        <v>9041.6164800000006</v>
      </c>
      <c r="G36" s="142"/>
      <c r="H36" s="142"/>
      <c r="I36" s="102">
        <f>SUM(I8:I35)</f>
        <v>1117878.7298515197</v>
      </c>
      <c r="O36" s="71">
        <f t="shared" si="0"/>
        <v>0</v>
      </c>
    </row>
    <row r="37" spans="1:15" ht="26" x14ac:dyDescent="0.3">
      <c r="A37" s="76" t="s">
        <v>168</v>
      </c>
      <c r="B37" s="78"/>
      <c r="C37" s="77"/>
      <c r="D37" s="78"/>
      <c r="E37" s="95"/>
      <c r="F37" s="78"/>
      <c r="G37" s="78"/>
      <c r="H37" s="78"/>
      <c r="I37" s="78"/>
      <c r="O37" s="71">
        <f t="shared" si="0"/>
        <v>0</v>
      </c>
    </row>
    <row r="38" spans="1:15" x14ac:dyDescent="0.3">
      <c r="A38" s="83" t="s">
        <v>132</v>
      </c>
      <c r="B38" s="73"/>
      <c r="C38" s="77"/>
      <c r="D38" s="78"/>
      <c r="E38" s="77"/>
      <c r="F38" s="78"/>
      <c r="G38" s="78"/>
      <c r="H38" s="78"/>
      <c r="I38" s="78"/>
      <c r="O38" s="71">
        <f t="shared" si="0"/>
        <v>0</v>
      </c>
    </row>
    <row r="39" spans="1:15" x14ac:dyDescent="0.3">
      <c r="A39" s="83" t="s">
        <v>169</v>
      </c>
      <c r="B39" s="73"/>
      <c r="C39" s="77"/>
      <c r="D39" s="78"/>
      <c r="E39" s="77"/>
      <c r="F39" s="78"/>
      <c r="G39" s="78"/>
      <c r="H39" s="78"/>
      <c r="I39" s="78"/>
      <c r="O39" s="71">
        <f t="shared" si="0"/>
        <v>0</v>
      </c>
    </row>
    <row r="40" spans="1:15" x14ac:dyDescent="0.3">
      <c r="A40" s="83" t="s">
        <v>170</v>
      </c>
      <c r="B40" s="73"/>
      <c r="C40" s="77"/>
      <c r="D40" s="78"/>
      <c r="E40" s="77"/>
      <c r="F40" s="78"/>
      <c r="G40" s="78"/>
      <c r="H40" s="78"/>
      <c r="I40" s="78"/>
      <c r="O40" s="71">
        <f t="shared" si="0"/>
        <v>0</v>
      </c>
    </row>
    <row r="41" spans="1:15" x14ac:dyDescent="0.3">
      <c r="A41" s="83" t="s">
        <v>171</v>
      </c>
      <c r="B41" s="73" t="s">
        <v>122</v>
      </c>
      <c r="C41" s="77"/>
      <c r="D41" s="78"/>
      <c r="E41" s="77"/>
      <c r="F41" s="78"/>
      <c r="G41" s="78"/>
      <c r="H41" s="78"/>
      <c r="I41" s="78"/>
      <c r="O41" s="71">
        <f t="shared" si="0"/>
        <v>0</v>
      </c>
    </row>
    <row r="42" spans="1:15" x14ac:dyDescent="0.3">
      <c r="A42" s="83" t="s">
        <v>172</v>
      </c>
      <c r="B42" s="78"/>
      <c r="C42" s="77"/>
      <c r="D42" s="78"/>
      <c r="E42" s="77"/>
      <c r="F42" s="78"/>
      <c r="G42" s="78"/>
      <c r="H42" s="78"/>
      <c r="I42" s="78"/>
      <c r="O42" s="71">
        <f t="shared" si="0"/>
        <v>0</v>
      </c>
    </row>
    <row r="43" spans="1:15" x14ac:dyDescent="0.3">
      <c r="A43" s="96" t="s">
        <v>163</v>
      </c>
      <c r="B43" s="78"/>
      <c r="C43" s="77"/>
      <c r="D43" s="78"/>
      <c r="E43" s="77"/>
      <c r="F43" s="78"/>
      <c r="G43" s="78"/>
      <c r="H43" s="78"/>
      <c r="I43" s="78"/>
      <c r="O43" s="71">
        <f t="shared" si="0"/>
        <v>0</v>
      </c>
    </row>
    <row r="44" spans="1:15" x14ac:dyDescent="0.3">
      <c r="A44" s="91" t="s">
        <v>173</v>
      </c>
      <c r="B44" s="73">
        <v>0</v>
      </c>
      <c r="C44" s="74">
        <v>0</v>
      </c>
      <c r="D44" s="73">
        <f t="shared" ref="D44:D58" si="17">B44*C44</f>
        <v>0</v>
      </c>
      <c r="E44" s="88">
        <v>0</v>
      </c>
      <c r="F44" s="89">
        <f t="shared" ref="F44:F58" si="18">D44*E44</f>
        <v>0</v>
      </c>
      <c r="G44" s="73">
        <f t="shared" ref="G44:G58" si="19">F44*0.05</f>
        <v>0</v>
      </c>
      <c r="H44" s="73">
        <f t="shared" ref="H44:H58" si="20">F44*0.1</f>
        <v>0</v>
      </c>
      <c r="I44" s="84">
        <f>F44*$L$8+G44*$L$7+H44*$L$9</f>
        <v>0</v>
      </c>
      <c r="K44" s="150"/>
      <c r="L44" s="150"/>
      <c r="M44" s="150"/>
      <c r="N44" s="150"/>
      <c r="O44" s="71">
        <f t="shared" si="0"/>
        <v>0</v>
      </c>
    </row>
    <row r="45" spans="1:15" ht="14.5" customHeight="1" x14ac:dyDescent="0.3">
      <c r="A45" s="91" t="s">
        <v>174</v>
      </c>
      <c r="B45" s="73">
        <v>0</v>
      </c>
      <c r="C45" s="74">
        <v>0</v>
      </c>
      <c r="D45" s="73">
        <f t="shared" ref="D45" si="21">B45*C45</f>
        <v>0</v>
      </c>
      <c r="E45" s="88">
        <v>0</v>
      </c>
      <c r="F45" s="89">
        <f t="shared" ref="F45" si="22">D45*E45</f>
        <v>0</v>
      </c>
      <c r="G45" s="73">
        <f t="shared" ref="G45" si="23">F45*0.05</f>
        <v>0</v>
      </c>
      <c r="H45" s="73">
        <f t="shared" ref="H45" si="24">F45*0.1</f>
        <v>0</v>
      </c>
      <c r="I45" s="84">
        <f>F45*$L$8+G45*$L$7+H45*$L$9</f>
        <v>0</v>
      </c>
      <c r="L45" s="150"/>
      <c r="M45" s="150"/>
      <c r="N45" s="150"/>
      <c r="O45" s="71">
        <f t="shared" si="0"/>
        <v>0</v>
      </c>
    </row>
    <row r="46" spans="1:15" ht="17.5" customHeight="1" x14ac:dyDescent="0.3">
      <c r="A46" s="91" t="s">
        <v>175</v>
      </c>
      <c r="B46" s="73">
        <v>0</v>
      </c>
      <c r="C46" s="115">
        <v>0</v>
      </c>
      <c r="D46" s="73">
        <f t="shared" ref="D46" si="25">B46*C46</f>
        <v>0</v>
      </c>
      <c r="E46" s="88">
        <v>0</v>
      </c>
      <c r="F46" s="89">
        <f t="shared" ref="F46" si="26">D46*E46</f>
        <v>0</v>
      </c>
      <c r="G46" s="73">
        <f t="shared" ref="G46" si="27">F46*0.05</f>
        <v>0</v>
      </c>
      <c r="H46" s="73">
        <f t="shared" ref="H46" si="28">F46*0.1</f>
        <v>0</v>
      </c>
      <c r="I46" s="84">
        <f>F46*$L$8+G46*$L$7+H46*$L$9</f>
        <v>0</v>
      </c>
      <c r="L46" s="150"/>
      <c r="M46" s="150"/>
      <c r="N46" s="150"/>
      <c r="O46" s="71">
        <f t="shared" si="0"/>
        <v>0</v>
      </c>
    </row>
    <row r="47" spans="1:15" ht="26.5" customHeight="1" x14ac:dyDescent="0.3">
      <c r="A47" s="114" t="s">
        <v>176</v>
      </c>
      <c r="B47" s="73">
        <v>0</v>
      </c>
      <c r="C47" s="74">
        <v>0</v>
      </c>
      <c r="D47" s="73">
        <f t="shared" si="17"/>
        <v>0</v>
      </c>
      <c r="E47" s="88">
        <f>E44</f>
        <v>0</v>
      </c>
      <c r="F47" s="89">
        <f t="shared" si="18"/>
        <v>0</v>
      </c>
      <c r="G47" s="73">
        <f t="shared" si="19"/>
        <v>0</v>
      </c>
      <c r="H47" s="73">
        <f t="shared" si="20"/>
        <v>0</v>
      </c>
      <c r="I47" s="84">
        <f>F47*$L$8+G47*$L$7+H47*$L$9</f>
        <v>0</v>
      </c>
      <c r="O47" s="71">
        <f t="shared" si="0"/>
        <v>0</v>
      </c>
    </row>
    <row r="48" spans="1:15" ht="26.5" customHeight="1" x14ac:dyDescent="0.3">
      <c r="A48" s="87" t="s">
        <v>177</v>
      </c>
      <c r="B48" s="73"/>
      <c r="C48" s="74"/>
      <c r="D48" s="73"/>
      <c r="E48" s="88"/>
      <c r="F48" s="89"/>
      <c r="G48" s="73"/>
      <c r="H48" s="73"/>
      <c r="I48" s="84"/>
      <c r="O48" s="71">
        <f t="shared" si="0"/>
        <v>0</v>
      </c>
    </row>
    <row r="49" spans="1:16" ht="26.5" customHeight="1" x14ac:dyDescent="0.3">
      <c r="A49" s="114" t="s">
        <v>178</v>
      </c>
      <c r="B49" s="73">
        <v>0</v>
      </c>
      <c r="C49" s="74">
        <v>0</v>
      </c>
      <c r="D49" s="73">
        <f t="shared" ref="D49" si="29">B49*C49</f>
        <v>0</v>
      </c>
      <c r="E49" s="88">
        <v>0</v>
      </c>
      <c r="F49" s="89">
        <f t="shared" ref="F49" si="30">D49*E49</f>
        <v>0</v>
      </c>
      <c r="G49" s="73">
        <f t="shared" ref="G49" si="31">F49*0.05</f>
        <v>0</v>
      </c>
      <c r="H49" s="73">
        <f t="shared" ref="H49" si="32">F49*0.1</f>
        <v>0</v>
      </c>
      <c r="I49" s="84">
        <f>F49*$L$8+G49*$L$7+H49*$L$9</f>
        <v>0</v>
      </c>
      <c r="O49" s="71">
        <f t="shared" si="0"/>
        <v>0</v>
      </c>
    </row>
    <row r="50" spans="1:16" ht="26.5" customHeight="1" x14ac:dyDescent="0.3">
      <c r="A50" s="114" t="s">
        <v>179</v>
      </c>
      <c r="B50" s="73">
        <v>0</v>
      </c>
      <c r="C50" s="74">
        <v>0</v>
      </c>
      <c r="D50" s="73">
        <f t="shared" ref="D50" si="33">B50*C50</f>
        <v>0</v>
      </c>
      <c r="E50" s="88">
        <v>0</v>
      </c>
      <c r="F50" s="89">
        <f t="shared" ref="F50" si="34">D50*E50</f>
        <v>0</v>
      </c>
      <c r="G50" s="73">
        <f t="shared" ref="G50" si="35">F50*0.05</f>
        <v>0</v>
      </c>
      <c r="H50" s="73">
        <f t="shared" ref="H50" si="36">F50*0.1</f>
        <v>0</v>
      </c>
      <c r="I50" s="84">
        <f>F50*$L$8+G50*$L$7+H50*$L$9</f>
        <v>0</v>
      </c>
      <c r="K50" s="125"/>
      <c r="O50" s="71">
        <f t="shared" si="0"/>
        <v>0</v>
      </c>
    </row>
    <row r="51" spans="1:16" ht="26.5" customHeight="1" x14ac:dyDescent="0.3">
      <c r="A51" s="87" t="s">
        <v>180</v>
      </c>
      <c r="B51" s="73"/>
      <c r="C51" s="74"/>
      <c r="D51" s="73"/>
      <c r="E51" s="88"/>
      <c r="F51" s="89"/>
      <c r="G51" s="73"/>
      <c r="H51" s="73"/>
      <c r="I51" s="84"/>
      <c r="K51" s="125"/>
      <c r="O51" s="71">
        <f t="shared" si="0"/>
        <v>0</v>
      </c>
    </row>
    <row r="52" spans="1:16" ht="26.5" customHeight="1" x14ac:dyDescent="0.3">
      <c r="A52" s="114" t="s">
        <v>181</v>
      </c>
      <c r="B52" s="73">
        <v>0</v>
      </c>
      <c r="C52" s="74">
        <v>0</v>
      </c>
      <c r="D52" s="73">
        <f t="shared" ref="D52" si="37">B52*C52</f>
        <v>0</v>
      </c>
      <c r="E52" s="88">
        <v>0</v>
      </c>
      <c r="F52" s="89">
        <f t="shared" ref="F52" si="38">D52*E52</f>
        <v>0</v>
      </c>
      <c r="G52" s="73">
        <f t="shared" ref="G52" si="39">F52*0.05</f>
        <v>0</v>
      </c>
      <c r="H52" s="73">
        <f t="shared" ref="H52" si="40">F52*0.1</f>
        <v>0</v>
      </c>
      <c r="I52" s="84">
        <f>F52*$L$8+G52*$L$7+H52*$L$9</f>
        <v>0</v>
      </c>
      <c r="O52" s="71">
        <f t="shared" si="0"/>
        <v>0</v>
      </c>
    </row>
    <row r="53" spans="1:16" ht="26" x14ac:dyDescent="0.3">
      <c r="A53" s="114" t="s">
        <v>182</v>
      </c>
      <c r="B53" s="73">
        <v>0</v>
      </c>
      <c r="C53" s="74">
        <v>0</v>
      </c>
      <c r="D53" s="73">
        <f t="shared" ref="D53" si="41">B53*C53</f>
        <v>0</v>
      </c>
      <c r="E53" s="88">
        <v>0</v>
      </c>
      <c r="F53" s="89">
        <f t="shared" ref="F53" si="42">D53*E53</f>
        <v>0</v>
      </c>
      <c r="G53" s="73">
        <f t="shared" ref="G53" si="43">F53*0.05</f>
        <v>0</v>
      </c>
      <c r="H53" s="73">
        <f t="shared" ref="H53" si="44">F53*0.1</f>
        <v>0</v>
      </c>
      <c r="I53" s="84">
        <f>F53*$L$8+G53*$L$7+H53*$L$9</f>
        <v>0</v>
      </c>
      <c r="O53" s="71">
        <f t="shared" si="0"/>
        <v>0</v>
      </c>
    </row>
    <row r="54" spans="1:16" ht="39" x14ac:dyDescent="0.3">
      <c r="A54" s="114" t="s">
        <v>183</v>
      </c>
      <c r="B54" s="73">
        <v>0</v>
      </c>
      <c r="C54" s="74">
        <v>0</v>
      </c>
      <c r="D54" s="73">
        <f t="shared" ref="D54" si="45">B54*C54</f>
        <v>0</v>
      </c>
      <c r="E54" s="88">
        <v>0</v>
      </c>
      <c r="F54" s="89">
        <f t="shared" ref="F54" si="46">D54*E54</f>
        <v>0</v>
      </c>
      <c r="G54" s="73">
        <f t="shared" ref="G54" si="47">F54*0.05</f>
        <v>0</v>
      </c>
      <c r="H54" s="73">
        <f t="shared" ref="H54" si="48">F54*0.1</f>
        <v>0</v>
      </c>
      <c r="I54" s="84">
        <f>F54*$L$8+G54*$L$7+H54*$L$9</f>
        <v>0</v>
      </c>
      <c r="O54" s="71">
        <f t="shared" si="0"/>
        <v>0</v>
      </c>
    </row>
    <row r="55" spans="1:16" x14ac:dyDescent="0.3">
      <c r="A55" s="96" t="s">
        <v>158</v>
      </c>
      <c r="B55" s="73"/>
      <c r="C55" s="74"/>
      <c r="D55" s="73"/>
      <c r="E55" s="88"/>
      <c r="F55" s="89"/>
      <c r="G55" s="73"/>
      <c r="H55" s="73"/>
      <c r="I55" s="84"/>
      <c r="O55" s="71">
        <f t="shared" si="0"/>
        <v>0</v>
      </c>
    </row>
    <row r="56" spans="1:16" x14ac:dyDescent="0.3">
      <c r="A56" s="91" t="s">
        <v>173</v>
      </c>
      <c r="B56" s="257">
        <v>0.5</v>
      </c>
      <c r="C56" s="159">
        <v>1</v>
      </c>
      <c r="D56" s="73">
        <f>B56*C56</f>
        <v>0.5</v>
      </c>
      <c r="E56" s="86">
        <v>2847</v>
      </c>
      <c r="F56" s="89">
        <f t="shared" ref="F56:F57" si="49">D56*E56</f>
        <v>1423.5</v>
      </c>
      <c r="G56" s="73">
        <f t="shared" ref="G56:G57" si="50">F56*0.05</f>
        <v>71.174999999999997</v>
      </c>
      <c r="H56" s="73">
        <f t="shared" ref="H56:H57" si="51">F56*0.1</f>
        <v>142.35</v>
      </c>
      <c r="I56" s="81">
        <f>F56*$L$8+G56*$L$7+H56*$L$9</f>
        <v>202396.93109999999</v>
      </c>
      <c r="O56" s="71">
        <f t="shared" si="0"/>
        <v>2847</v>
      </c>
    </row>
    <row r="57" spans="1:16" x14ac:dyDescent="0.3">
      <c r="A57" s="91" t="s">
        <v>184</v>
      </c>
      <c r="B57" s="73">
        <v>0</v>
      </c>
      <c r="C57" s="74">
        <v>0</v>
      </c>
      <c r="D57" s="73">
        <f t="shared" ref="D57" si="52">B57*C57</f>
        <v>0</v>
      </c>
      <c r="E57" s="88">
        <v>0</v>
      </c>
      <c r="F57" s="89">
        <f t="shared" si="49"/>
        <v>0</v>
      </c>
      <c r="G57" s="73">
        <f t="shared" si="50"/>
        <v>0</v>
      </c>
      <c r="H57" s="73">
        <f t="shared" si="51"/>
        <v>0</v>
      </c>
      <c r="I57" s="81">
        <f>F57*$L$8+G57*$L$7+H57*$L$9</f>
        <v>0</v>
      </c>
      <c r="O57" s="71">
        <f t="shared" si="0"/>
        <v>0</v>
      </c>
    </row>
    <row r="58" spans="1:16" ht="30.65" customHeight="1" x14ac:dyDescent="0.3">
      <c r="A58" s="113" t="s">
        <v>185</v>
      </c>
      <c r="B58" s="73">
        <v>0</v>
      </c>
      <c r="C58" s="74">
        <v>0</v>
      </c>
      <c r="D58" s="73">
        <f t="shared" si="17"/>
        <v>0</v>
      </c>
      <c r="E58" s="88">
        <v>0</v>
      </c>
      <c r="F58" s="89">
        <f t="shared" si="18"/>
        <v>0</v>
      </c>
      <c r="G58" s="73">
        <f t="shared" si="19"/>
        <v>0</v>
      </c>
      <c r="H58" s="73">
        <f t="shared" si="20"/>
        <v>0</v>
      </c>
      <c r="I58" s="81">
        <f>F58*$L$8+G58*$L$7+H58*$L$9</f>
        <v>0</v>
      </c>
      <c r="O58" s="71">
        <f t="shared" si="0"/>
        <v>0</v>
      </c>
    </row>
    <row r="59" spans="1:16" x14ac:dyDescent="0.3">
      <c r="A59" s="83" t="s">
        <v>186</v>
      </c>
      <c r="B59" s="73" t="s">
        <v>122</v>
      </c>
      <c r="C59" s="77"/>
      <c r="D59" s="78"/>
      <c r="E59" s="77"/>
      <c r="F59" s="78"/>
      <c r="G59" s="78"/>
      <c r="H59" s="78"/>
      <c r="I59" s="78"/>
      <c r="O59" s="71">
        <f>SUM(O8:O58)</f>
        <v>5717.9148000000005</v>
      </c>
      <c r="P59" s="71" t="s">
        <v>187</v>
      </c>
    </row>
    <row r="60" spans="1:16" ht="27" x14ac:dyDescent="0.3">
      <c r="A60" s="98" t="s">
        <v>188</v>
      </c>
      <c r="B60" s="103"/>
      <c r="C60" s="104"/>
      <c r="D60" s="103"/>
      <c r="E60" s="105"/>
      <c r="F60" s="142">
        <f>SUM(F44:H58)</f>
        <v>1637.0249999999999</v>
      </c>
      <c r="G60" s="142"/>
      <c r="H60" s="142"/>
      <c r="I60" s="102">
        <f>SUM(I44:I59)</f>
        <v>202396.93109999999</v>
      </c>
    </row>
    <row r="61" spans="1:16" ht="28" x14ac:dyDescent="0.3">
      <c r="A61" s="106" t="s">
        <v>189</v>
      </c>
      <c r="B61" s="107"/>
      <c r="C61" s="108"/>
      <c r="D61" s="107"/>
      <c r="E61" s="109"/>
      <c r="F61" s="444">
        <f>ROUND(F60+F36, -2)</f>
        <v>10700</v>
      </c>
      <c r="G61" s="444"/>
      <c r="H61" s="444"/>
      <c r="I61" s="110">
        <f>ROUND(I60+I36, -4)</f>
        <v>1320000</v>
      </c>
      <c r="K61" s="111">
        <f>F61/212</f>
        <v>50.471698113207545</v>
      </c>
      <c r="L61" s="71" t="s">
        <v>190</v>
      </c>
    </row>
    <row r="62" spans="1:16" ht="28" x14ac:dyDescent="0.3">
      <c r="A62" s="112" t="s">
        <v>191</v>
      </c>
      <c r="B62" s="78"/>
      <c r="C62" s="77"/>
      <c r="D62" s="78"/>
      <c r="E62" s="77"/>
      <c r="F62" s="78"/>
      <c r="G62" s="78"/>
      <c r="H62" s="78"/>
      <c r="I62" s="110">
        <v>0</v>
      </c>
    </row>
    <row r="63" spans="1:16" ht="15" x14ac:dyDescent="0.3">
      <c r="A63" s="112" t="s">
        <v>192</v>
      </c>
      <c r="B63" s="78"/>
      <c r="C63" s="77"/>
      <c r="D63" s="78"/>
      <c r="E63" s="77"/>
      <c r="F63" s="78"/>
      <c r="G63" s="78"/>
      <c r="H63" s="78"/>
      <c r="I63" s="110">
        <f>ROUND(I61+I62, -5)</f>
        <v>1300000</v>
      </c>
    </row>
    <row r="64" spans="1:16" ht="5.5" customHeight="1" x14ac:dyDescent="0.3"/>
    <row r="65" spans="1:9" ht="11.5" customHeight="1" x14ac:dyDescent="0.3">
      <c r="A65" s="445" t="s">
        <v>193</v>
      </c>
      <c r="B65" s="445"/>
      <c r="C65" s="445"/>
      <c r="D65" s="445"/>
      <c r="E65" s="445"/>
      <c r="F65" s="445"/>
      <c r="G65" s="445"/>
      <c r="H65" s="445"/>
      <c r="I65" s="445"/>
    </row>
    <row r="66" spans="1:9" ht="62.5" customHeight="1" x14ac:dyDescent="0.3">
      <c r="A66" s="446" t="s">
        <v>194</v>
      </c>
      <c r="B66" s="446"/>
      <c r="C66" s="446"/>
      <c r="D66" s="446"/>
      <c r="E66" s="446"/>
      <c r="F66" s="446"/>
      <c r="G66" s="446"/>
      <c r="H66" s="446"/>
      <c r="I66" s="446"/>
    </row>
    <row r="67" spans="1:9" ht="23.15" customHeight="1" x14ac:dyDescent="0.3">
      <c r="A67" s="445" t="s">
        <v>195</v>
      </c>
      <c r="B67" s="445"/>
      <c r="C67" s="445"/>
      <c r="D67" s="445"/>
      <c r="E67" s="445"/>
      <c r="F67" s="445"/>
      <c r="G67" s="445"/>
      <c r="H67" s="445"/>
      <c r="I67" s="445"/>
    </row>
    <row r="68" spans="1:9" ht="11.5" customHeight="1" x14ac:dyDescent="0.3">
      <c r="A68" s="447" t="s">
        <v>196</v>
      </c>
      <c r="B68" s="447"/>
      <c r="C68" s="447"/>
      <c r="D68" s="447"/>
      <c r="E68" s="447"/>
      <c r="F68" s="447"/>
      <c r="G68" s="447"/>
      <c r="H68" s="447"/>
      <c r="I68" s="447"/>
    </row>
    <row r="69" spans="1:9" ht="15.5" x14ac:dyDescent="0.3">
      <c r="A69" s="448" t="s">
        <v>197</v>
      </c>
      <c r="B69" s="448"/>
      <c r="C69" s="448"/>
      <c r="D69" s="448"/>
      <c r="E69" s="448"/>
      <c r="F69" s="448"/>
      <c r="G69" s="448"/>
      <c r="H69" s="448"/>
      <c r="I69" s="448"/>
    </row>
    <row r="70" spans="1:9" ht="14.15" customHeight="1" x14ac:dyDescent="0.3">
      <c r="A70" s="440" t="s">
        <v>198</v>
      </c>
      <c r="B70" s="440"/>
      <c r="C70" s="440"/>
      <c r="D70" s="440"/>
      <c r="E70" s="440"/>
      <c r="F70" s="440"/>
      <c r="G70" s="440"/>
      <c r="H70" s="440"/>
      <c r="I70" s="440"/>
    </row>
    <row r="71" spans="1:9" ht="15" customHeight="1" x14ac:dyDescent="0.3">
      <c r="A71" s="440" t="s">
        <v>199</v>
      </c>
      <c r="B71" s="440"/>
      <c r="C71" s="440"/>
      <c r="D71" s="440"/>
      <c r="E71" s="440"/>
      <c r="F71" s="440"/>
      <c r="G71" s="440"/>
      <c r="H71" s="440"/>
      <c r="I71" s="440"/>
    </row>
    <row r="72" spans="1:9" ht="89.15" customHeight="1" x14ac:dyDescent="0.3">
      <c r="A72" s="440" t="s">
        <v>200</v>
      </c>
      <c r="B72" s="440"/>
      <c r="C72" s="440"/>
      <c r="D72" s="440"/>
      <c r="E72" s="440"/>
      <c r="F72" s="440"/>
      <c r="G72" s="440"/>
      <c r="H72" s="440"/>
      <c r="I72" s="440"/>
    </row>
  </sheetData>
  <mergeCells count="11">
    <mergeCell ref="A72:I72"/>
    <mergeCell ref="A71:I71"/>
    <mergeCell ref="A3:H3"/>
    <mergeCell ref="A70:I70"/>
    <mergeCell ref="K6:L6"/>
    <mergeCell ref="F61:H61"/>
    <mergeCell ref="A65:I65"/>
    <mergeCell ref="A66:I66"/>
    <mergeCell ref="A67:I67"/>
    <mergeCell ref="A68:I68"/>
    <mergeCell ref="A69:I69"/>
  </mergeCells>
  <pageMargins left="0.7" right="0.7" top="0.75" bottom="0.75" header="0.3" footer="0.3"/>
  <pageSetup scale="33"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E908-CACF-4FF6-BAF0-F7D1D757A765}">
  <sheetPr>
    <pageSetUpPr fitToPage="1"/>
  </sheetPr>
  <dimension ref="A1:P70"/>
  <sheetViews>
    <sheetView zoomScale="80" zoomScaleNormal="80" workbookViewId="0">
      <pane xSplit="9" ySplit="5" topLeftCell="J57" activePane="bottomRight" state="frozen"/>
      <selection pane="topRight" activeCell="A65" sqref="A65:I65"/>
      <selection pane="bottomLeft" activeCell="A65" sqref="A65:I65"/>
      <selection pane="bottomRight" activeCell="I53" sqref="I53"/>
    </sheetView>
  </sheetViews>
  <sheetFormatPr defaultColWidth="9.1796875" defaultRowHeight="13" x14ac:dyDescent="0.3"/>
  <cols>
    <col min="1" max="1" width="33.4531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414</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59" si="0">C7*E7</f>
        <v>0</v>
      </c>
    </row>
    <row r="8" spans="1:15" ht="56.5" customHeight="1" x14ac:dyDescent="0.3">
      <c r="A8" s="259" t="s">
        <v>127</v>
      </c>
      <c r="B8" s="257">
        <v>0</v>
      </c>
      <c r="C8" s="159">
        <v>0</v>
      </c>
      <c r="D8" s="257">
        <f>B8*C8</f>
        <v>0</v>
      </c>
      <c r="E8" s="159">
        <f>L15</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x14ac:dyDescent="0.3">
      <c r="A10" s="259" t="s">
        <v>289</v>
      </c>
      <c r="B10" s="257">
        <v>0</v>
      </c>
      <c r="C10" s="159">
        <v>0</v>
      </c>
      <c r="D10" s="257">
        <f>B10*C10</f>
        <v>0</v>
      </c>
      <c r="E10" s="159">
        <v>0</v>
      </c>
      <c r="F10" s="257">
        <f>D10*E10</f>
        <v>0</v>
      </c>
      <c r="G10" s="257">
        <f>F10*0.05</f>
        <v>0</v>
      </c>
      <c r="H10" s="257">
        <f>F10*0.1</f>
        <v>0</v>
      </c>
      <c r="I10" s="263">
        <f>F10*$L$8+G10*$L$7+H10*$L$9</f>
        <v>0</v>
      </c>
      <c r="K10" s="312"/>
      <c r="L10" s="311"/>
      <c r="M10" s="198"/>
      <c r="O10" s="188">
        <f t="shared" si="0"/>
        <v>0</v>
      </c>
    </row>
    <row r="11" spans="1:15" x14ac:dyDescent="0.3">
      <c r="A11" s="303" t="s">
        <v>132</v>
      </c>
      <c r="B11" s="257">
        <v>1</v>
      </c>
      <c r="C11" s="159">
        <v>1</v>
      </c>
      <c r="D11" s="257">
        <f>B11*C11</f>
        <v>1</v>
      </c>
      <c r="E11" s="159">
        <f>L17</f>
        <v>85</v>
      </c>
      <c r="F11" s="257">
        <f>D11*E11</f>
        <v>85</v>
      </c>
      <c r="G11" s="257">
        <f>F11*0.05</f>
        <v>4.25</v>
      </c>
      <c r="H11" s="257">
        <f>F11*0.1</f>
        <v>8.5</v>
      </c>
      <c r="I11" s="197">
        <f>F11*$L$8+G11*$L$7+H11*$L$9</f>
        <v>12085.521000000001</v>
      </c>
      <c r="K11" s="264"/>
      <c r="O11" s="188">
        <f t="shared" si="0"/>
        <v>85</v>
      </c>
    </row>
    <row r="12" spans="1:15" ht="15.75" customHeight="1" x14ac:dyDescent="0.3">
      <c r="A12" s="303" t="s">
        <v>133</v>
      </c>
      <c r="B12" s="257"/>
      <c r="C12" s="159"/>
      <c r="D12" s="257"/>
      <c r="E12" s="159"/>
      <c r="F12" s="257"/>
      <c r="G12" s="257"/>
      <c r="H12" s="257"/>
      <c r="I12" s="263"/>
      <c r="O12" s="188">
        <f t="shared" si="0"/>
        <v>0</v>
      </c>
    </row>
    <row r="13" spans="1:15" ht="15.5" x14ac:dyDescent="0.3">
      <c r="A13" s="304" t="s">
        <v>290</v>
      </c>
      <c r="B13" s="257"/>
      <c r="C13" s="159"/>
      <c r="D13" s="257"/>
      <c r="E13" s="266"/>
      <c r="F13" s="267"/>
      <c r="G13" s="257"/>
      <c r="H13" s="257"/>
      <c r="I13" s="263"/>
      <c r="O13" s="188">
        <f t="shared" si="0"/>
        <v>0</v>
      </c>
    </row>
    <row r="14" spans="1:15" ht="25.5" customHeight="1" x14ac:dyDescent="0.3">
      <c r="A14" s="253" t="s">
        <v>370</v>
      </c>
      <c r="B14" s="159">
        <v>6</v>
      </c>
      <c r="C14" s="159">
        <v>1</v>
      </c>
      <c r="D14" s="257">
        <f>B14*C14</f>
        <v>6</v>
      </c>
      <c r="E14" s="266">
        <f>L$16</f>
        <v>5.95</v>
      </c>
      <c r="F14" s="267">
        <f>D14*E14</f>
        <v>35.700000000000003</v>
      </c>
      <c r="G14" s="257">
        <f>F14*0.05</f>
        <v>1.7850000000000001</v>
      </c>
      <c r="H14" s="257">
        <f>F14*0.1</f>
        <v>3.5700000000000003</v>
      </c>
      <c r="I14" s="262">
        <f>F14*$L$8+G14*$L$7+H14*$L$9</f>
        <v>5075.9188199999999</v>
      </c>
      <c r="K14" s="265"/>
      <c r="L14" s="265" t="s">
        <v>398</v>
      </c>
      <c r="O14" s="188">
        <f t="shared" si="0"/>
        <v>5.95</v>
      </c>
    </row>
    <row r="15" spans="1:15" x14ac:dyDescent="0.3">
      <c r="A15" s="253" t="s">
        <v>293</v>
      </c>
      <c r="B15" s="159">
        <v>6</v>
      </c>
      <c r="C15" s="159">
        <v>1</v>
      </c>
      <c r="D15" s="257">
        <f t="shared" ref="D15" si="1">B15*C15</f>
        <v>6</v>
      </c>
      <c r="E15" s="266">
        <f>E14*0.05</f>
        <v>0.29750000000000004</v>
      </c>
      <c r="F15" s="267">
        <f t="shared" ref="F15:F23" si="2">D15*E15</f>
        <v>1.7850000000000001</v>
      </c>
      <c r="G15" s="257">
        <f t="shared" ref="G15:G23" si="3">F15*0.05</f>
        <v>8.925000000000001E-2</v>
      </c>
      <c r="H15" s="257">
        <f t="shared" ref="H15:H23" si="4">F15*0.1</f>
        <v>0.17850000000000002</v>
      </c>
      <c r="I15" s="262">
        <f t="shared" ref="I15:I23" si="5">F15*$L$8+G15*$L$7+H15*$L$9</f>
        <v>253.79594100000003</v>
      </c>
      <c r="J15" s="264"/>
      <c r="K15" s="265"/>
      <c r="L15" s="265">
        <v>0</v>
      </c>
      <c r="O15" s="188">
        <f t="shared" si="0"/>
        <v>0.29750000000000004</v>
      </c>
    </row>
    <row r="16" spans="1:15" ht="26" x14ac:dyDescent="0.3">
      <c r="A16" s="301" t="s">
        <v>295</v>
      </c>
      <c r="B16" s="73">
        <v>8</v>
      </c>
      <c r="C16" s="74">
        <v>1</v>
      </c>
      <c r="D16" s="73">
        <f>B16*C16</f>
        <v>8</v>
      </c>
      <c r="E16" s="266">
        <f>L$16</f>
        <v>5.95</v>
      </c>
      <c r="F16" s="267">
        <f t="shared" ref="F16:F20" si="6">D16*E16</f>
        <v>47.6</v>
      </c>
      <c r="G16" s="257">
        <f t="shared" ref="G16:G20" si="7">F16*0.05</f>
        <v>2.3800000000000003</v>
      </c>
      <c r="H16" s="257">
        <f t="shared" ref="H16:H20" si="8">F16*0.1</f>
        <v>4.7600000000000007</v>
      </c>
      <c r="I16" s="262">
        <f t="shared" ref="I16:I20" si="9">F16*$L$8+G16*$L$7+H16*$L$9</f>
        <v>6767.8917600000004</v>
      </c>
      <c r="J16" s="264"/>
      <c r="K16" s="265" t="s">
        <v>136</v>
      </c>
      <c r="L16" s="265">
        <f>L15+L17*0.07</f>
        <v>5.95</v>
      </c>
      <c r="M16" s="264" t="s">
        <v>294</v>
      </c>
      <c r="O16" s="188">
        <f t="shared" si="0"/>
        <v>5.95</v>
      </c>
    </row>
    <row r="17" spans="1:15" x14ac:dyDescent="0.3">
      <c r="A17" s="301" t="s">
        <v>296</v>
      </c>
      <c r="B17" s="74">
        <v>8</v>
      </c>
      <c r="C17" s="74">
        <v>1</v>
      </c>
      <c r="D17" s="73">
        <f t="shared" ref="D17" si="10">B17*C17</f>
        <v>8</v>
      </c>
      <c r="E17" s="266">
        <f>E16*0.05</f>
        <v>0.29750000000000004</v>
      </c>
      <c r="F17" s="267">
        <f t="shared" si="6"/>
        <v>2.3800000000000003</v>
      </c>
      <c r="G17" s="257">
        <f t="shared" si="7"/>
        <v>0.11900000000000002</v>
      </c>
      <c r="H17" s="257">
        <f t="shared" si="8"/>
        <v>0.23800000000000004</v>
      </c>
      <c r="I17" s="262">
        <f t="shared" si="9"/>
        <v>338.394588</v>
      </c>
      <c r="J17" s="264"/>
      <c r="K17" s="265" t="s">
        <v>141</v>
      </c>
      <c r="L17" s="265">
        <f>'SI-Y1'!$L$18</f>
        <v>85</v>
      </c>
      <c r="O17" s="188">
        <f t="shared" si="0"/>
        <v>0.29750000000000004</v>
      </c>
    </row>
    <row r="18" spans="1:15" ht="15.5" x14ac:dyDescent="0.3">
      <c r="A18" s="306" t="s">
        <v>297</v>
      </c>
      <c r="B18" s="74"/>
      <c r="C18" s="74"/>
      <c r="D18" s="73"/>
      <c r="E18" s="266"/>
      <c r="F18" s="267">
        <f t="shared" si="6"/>
        <v>0</v>
      </c>
      <c r="G18" s="257">
        <f t="shared" si="7"/>
        <v>0</v>
      </c>
      <c r="H18" s="257">
        <f t="shared" si="8"/>
        <v>0</v>
      </c>
      <c r="I18" s="263">
        <f t="shared" si="9"/>
        <v>0</v>
      </c>
      <c r="J18" s="264"/>
      <c r="K18" s="327"/>
      <c r="L18" s="327"/>
      <c r="O18" s="188">
        <f t="shared" si="0"/>
        <v>0</v>
      </c>
    </row>
    <row r="19" spans="1:15" x14ac:dyDescent="0.3">
      <c r="A19" s="301" t="s">
        <v>295</v>
      </c>
      <c r="B19" s="73">
        <v>8</v>
      </c>
      <c r="C19" s="74">
        <v>1</v>
      </c>
      <c r="D19" s="73">
        <f>B19*C19</f>
        <v>8</v>
      </c>
      <c r="E19" s="266">
        <f>L$17</f>
        <v>85</v>
      </c>
      <c r="F19" s="267">
        <f t="shared" si="6"/>
        <v>680</v>
      </c>
      <c r="G19" s="257">
        <f t="shared" si="7"/>
        <v>34</v>
      </c>
      <c r="H19" s="257">
        <f t="shared" si="8"/>
        <v>68</v>
      </c>
      <c r="I19" s="262">
        <f t="shared" si="9"/>
        <v>96684.168000000005</v>
      </c>
      <c r="J19" s="264"/>
      <c r="K19" s="327"/>
      <c r="L19" s="327"/>
      <c r="O19" s="188">
        <f t="shared" si="0"/>
        <v>85</v>
      </c>
    </row>
    <row r="20" spans="1:15" ht="28" customHeight="1" x14ac:dyDescent="0.3">
      <c r="A20" s="301" t="s">
        <v>296</v>
      </c>
      <c r="B20" s="74">
        <v>8</v>
      </c>
      <c r="C20" s="74">
        <v>1</v>
      </c>
      <c r="D20" s="73">
        <f t="shared" ref="D20" si="11">B20*C20</f>
        <v>8</v>
      </c>
      <c r="E20" s="266">
        <f>E19*0.05</f>
        <v>4.25</v>
      </c>
      <c r="F20" s="267">
        <f t="shared" si="6"/>
        <v>34</v>
      </c>
      <c r="G20" s="257">
        <f t="shared" si="7"/>
        <v>1.7000000000000002</v>
      </c>
      <c r="H20" s="257">
        <f t="shared" si="8"/>
        <v>3.4000000000000004</v>
      </c>
      <c r="I20" s="262">
        <f t="shared" si="9"/>
        <v>4834.2083999999995</v>
      </c>
      <c r="J20" s="264"/>
      <c r="K20" s="327"/>
      <c r="L20" s="327"/>
      <c r="O20" s="188">
        <f t="shared" si="0"/>
        <v>4.25</v>
      </c>
    </row>
    <row r="21" spans="1:15" ht="15.5" x14ac:dyDescent="0.3">
      <c r="A21" s="304" t="s">
        <v>298</v>
      </c>
      <c r="B21" s="257"/>
      <c r="C21" s="159"/>
      <c r="D21" s="257"/>
      <c r="E21" s="159"/>
      <c r="F21" s="267"/>
      <c r="G21" s="257"/>
      <c r="H21" s="257"/>
      <c r="I21" s="263"/>
      <c r="L21" s="264"/>
      <c r="M21" s="264"/>
      <c r="O21" s="188">
        <f t="shared" si="0"/>
        <v>0</v>
      </c>
    </row>
    <row r="22" spans="1:15" x14ac:dyDescent="0.3">
      <c r="A22" s="303" t="s">
        <v>372</v>
      </c>
      <c r="B22" s="257">
        <v>0</v>
      </c>
      <c r="C22" s="159">
        <v>0</v>
      </c>
      <c r="D22" s="257">
        <f>B22*C22</f>
        <v>0</v>
      </c>
      <c r="E22" s="266">
        <v>0</v>
      </c>
      <c r="F22" s="267">
        <f t="shared" si="2"/>
        <v>0</v>
      </c>
      <c r="G22" s="257">
        <f t="shared" si="3"/>
        <v>0</v>
      </c>
      <c r="H22" s="257">
        <f t="shared" si="4"/>
        <v>0</v>
      </c>
      <c r="I22" s="263">
        <f t="shared" si="5"/>
        <v>0</v>
      </c>
      <c r="J22" s="198"/>
      <c r="N22" s="264"/>
      <c r="O22" s="188">
        <f t="shared" si="0"/>
        <v>0</v>
      </c>
    </row>
    <row r="23" spans="1:15" x14ac:dyDescent="0.3">
      <c r="A23" s="303" t="s">
        <v>300</v>
      </c>
      <c r="B23" s="257">
        <v>0</v>
      </c>
      <c r="C23" s="159">
        <v>0</v>
      </c>
      <c r="D23" s="257">
        <f t="shared" ref="D23" si="12">B23*C23</f>
        <v>0</v>
      </c>
      <c r="E23" s="266">
        <f>E22*0.05</f>
        <v>0</v>
      </c>
      <c r="F23" s="267">
        <f t="shared" si="2"/>
        <v>0</v>
      </c>
      <c r="G23" s="257">
        <f t="shared" si="3"/>
        <v>0</v>
      </c>
      <c r="H23" s="257">
        <f t="shared" si="4"/>
        <v>0</v>
      </c>
      <c r="I23" s="263">
        <f t="shared" si="5"/>
        <v>0</v>
      </c>
      <c r="J23" s="198"/>
      <c r="O23" s="188">
        <f t="shared" si="0"/>
        <v>0</v>
      </c>
    </row>
    <row r="24" spans="1:15" ht="15.5" x14ac:dyDescent="0.3">
      <c r="A24" s="306" t="s">
        <v>151</v>
      </c>
      <c r="B24" s="92"/>
      <c r="C24" s="93"/>
      <c r="D24" s="92"/>
      <c r="E24" s="266"/>
      <c r="F24" s="267"/>
      <c r="G24" s="257"/>
      <c r="H24" s="257"/>
      <c r="I24" s="263"/>
      <c r="J24" s="198"/>
      <c r="O24" s="188">
        <f t="shared" si="0"/>
        <v>0</v>
      </c>
    </row>
    <row r="25" spans="1:15" x14ac:dyDescent="0.3">
      <c r="A25" s="301"/>
      <c r="B25" s="73"/>
      <c r="C25" s="74"/>
      <c r="D25" s="73"/>
      <c r="E25" s="266"/>
      <c r="F25" s="267"/>
      <c r="G25" s="257"/>
      <c r="H25" s="257"/>
      <c r="I25" s="263"/>
      <c r="J25" s="198"/>
      <c r="O25" s="188">
        <f t="shared" si="0"/>
        <v>0</v>
      </c>
    </row>
    <row r="26" spans="1:15" x14ac:dyDescent="0.3">
      <c r="A26" s="301"/>
      <c r="B26" s="73"/>
      <c r="C26" s="74"/>
      <c r="D26" s="73"/>
      <c r="E26" s="266"/>
      <c r="F26" s="267"/>
      <c r="G26" s="257"/>
      <c r="H26" s="257"/>
      <c r="I26" s="263"/>
      <c r="J26" s="198"/>
      <c r="O26" s="188">
        <f t="shared" si="0"/>
        <v>0</v>
      </c>
    </row>
    <row r="27" spans="1:15" x14ac:dyDescent="0.3">
      <c r="A27" s="301" t="s">
        <v>155</v>
      </c>
      <c r="B27" s="73"/>
      <c r="C27" s="77"/>
      <c r="D27" s="78"/>
      <c r="E27" s="266"/>
      <c r="F27" s="267"/>
      <c r="G27" s="257"/>
      <c r="H27" s="257"/>
      <c r="I27" s="263"/>
      <c r="J27" s="198"/>
      <c r="O27" s="188">
        <f t="shared" si="0"/>
        <v>0</v>
      </c>
    </row>
    <row r="28" spans="1:15" ht="26" x14ac:dyDescent="0.3">
      <c r="A28" s="301" t="s">
        <v>156</v>
      </c>
      <c r="B28" s="73"/>
      <c r="C28" s="77"/>
      <c r="D28" s="78"/>
      <c r="E28" s="266"/>
      <c r="F28" s="267"/>
      <c r="G28" s="257"/>
      <c r="H28" s="257"/>
      <c r="I28" s="263"/>
      <c r="J28" s="198"/>
      <c r="O28" s="188">
        <f t="shared" si="0"/>
        <v>0</v>
      </c>
    </row>
    <row r="29" spans="1:15" x14ac:dyDescent="0.3">
      <c r="A29" s="301" t="s">
        <v>157</v>
      </c>
      <c r="B29" s="78"/>
      <c r="C29" s="77"/>
      <c r="D29" s="78"/>
      <c r="E29" s="266"/>
      <c r="F29" s="267"/>
      <c r="G29" s="257"/>
      <c r="H29" s="257"/>
      <c r="I29" s="263"/>
      <c r="J29" s="198"/>
      <c r="O29" s="188">
        <f t="shared" si="0"/>
        <v>0</v>
      </c>
    </row>
    <row r="30" spans="1:15" x14ac:dyDescent="0.3">
      <c r="A30" s="305" t="s">
        <v>399</v>
      </c>
      <c r="B30" s="257"/>
      <c r="C30" s="159"/>
      <c r="D30" s="257"/>
      <c r="E30" s="266"/>
      <c r="F30" s="257"/>
      <c r="G30" s="257"/>
      <c r="H30" s="257"/>
      <c r="I30" s="263"/>
      <c r="O30" s="188">
        <f t="shared" si="0"/>
        <v>0</v>
      </c>
    </row>
    <row r="31" spans="1:15" ht="28.5" customHeight="1" x14ac:dyDescent="0.3">
      <c r="A31" s="303" t="s">
        <v>160</v>
      </c>
      <c r="B31" s="257">
        <v>2</v>
      </c>
      <c r="C31" s="159">
        <v>1</v>
      </c>
      <c r="D31" s="257">
        <f>B31*C31</f>
        <v>2</v>
      </c>
      <c r="E31" s="266">
        <f>E14</f>
        <v>5.95</v>
      </c>
      <c r="F31" s="257">
        <f t="shared" ref="F31:F32" si="13">D31*E31</f>
        <v>11.9</v>
      </c>
      <c r="G31" s="257">
        <f t="shared" ref="G31:G32" si="14">F31*0.05</f>
        <v>0.59500000000000008</v>
      </c>
      <c r="H31" s="257">
        <f t="shared" ref="H31:H32" si="15">F31*0.1</f>
        <v>1.1900000000000002</v>
      </c>
      <c r="I31" s="262">
        <f t="shared" ref="I31:I32" si="16">F31*$L$8+G31*$L$7+H31*$L$9</f>
        <v>1691.9729400000001</v>
      </c>
      <c r="O31" s="188">
        <f t="shared" si="0"/>
        <v>5.95</v>
      </c>
    </row>
    <row r="32" spans="1:15" ht="26" x14ac:dyDescent="0.3">
      <c r="A32" s="303" t="s">
        <v>400</v>
      </c>
      <c r="B32" s="257">
        <v>2</v>
      </c>
      <c r="C32" s="159">
        <v>1</v>
      </c>
      <c r="D32" s="257">
        <f>B32*C32</f>
        <v>2</v>
      </c>
      <c r="E32" s="266">
        <f>E14</f>
        <v>5.95</v>
      </c>
      <c r="F32" s="257">
        <f t="shared" si="13"/>
        <v>11.9</v>
      </c>
      <c r="G32" s="257">
        <f t="shared" si="14"/>
        <v>0.59500000000000008</v>
      </c>
      <c r="H32" s="257">
        <f t="shared" si="15"/>
        <v>1.1900000000000002</v>
      </c>
      <c r="I32" s="262">
        <f t="shared" si="16"/>
        <v>1691.9729400000001</v>
      </c>
      <c r="O32" s="188">
        <f t="shared" si="0"/>
        <v>5.95</v>
      </c>
    </row>
    <row r="33" spans="1:15" x14ac:dyDescent="0.3">
      <c r="A33" s="301" t="s">
        <v>212</v>
      </c>
      <c r="B33" s="73">
        <v>2</v>
      </c>
      <c r="C33" s="74">
        <v>1</v>
      </c>
      <c r="D33" s="73">
        <v>2</v>
      </c>
      <c r="E33" s="266">
        <f t="shared" ref="E33:E35" si="17">L$16</f>
        <v>5.95</v>
      </c>
      <c r="F33" s="257">
        <f t="shared" ref="F33:F35" si="18">D33*E33</f>
        <v>11.9</v>
      </c>
      <c r="G33" s="257">
        <f t="shared" ref="G33:G35" si="19">F33*0.05</f>
        <v>0.59500000000000008</v>
      </c>
      <c r="H33" s="257">
        <f t="shared" ref="H33:H35" si="20">F33*0.1</f>
        <v>1.1900000000000002</v>
      </c>
      <c r="I33" s="262">
        <f t="shared" ref="I33:I35" si="21">F33*$L$8+G33*$L$7+H33*$L$9</f>
        <v>1691.9729400000001</v>
      </c>
      <c r="O33" s="188">
        <f t="shared" si="0"/>
        <v>5.95</v>
      </c>
    </row>
    <row r="34" spans="1:15" ht="26" x14ac:dyDescent="0.3">
      <c r="A34" s="301" t="s">
        <v>303</v>
      </c>
      <c r="B34" s="73">
        <v>2</v>
      </c>
      <c r="C34" s="74">
        <v>1</v>
      </c>
      <c r="D34" s="73">
        <v>2</v>
      </c>
      <c r="E34" s="266">
        <f t="shared" si="17"/>
        <v>5.95</v>
      </c>
      <c r="F34" s="257">
        <f t="shared" si="18"/>
        <v>11.9</v>
      </c>
      <c r="G34" s="257">
        <f t="shared" si="19"/>
        <v>0.59500000000000008</v>
      </c>
      <c r="H34" s="257">
        <f t="shared" si="20"/>
        <v>1.1900000000000002</v>
      </c>
      <c r="I34" s="262">
        <f t="shared" si="21"/>
        <v>1691.9729400000001</v>
      </c>
      <c r="O34" s="188">
        <f t="shared" si="0"/>
        <v>5.95</v>
      </c>
    </row>
    <row r="35" spans="1:15" x14ac:dyDescent="0.3">
      <c r="A35" s="301" t="s">
        <v>304</v>
      </c>
      <c r="B35" s="73">
        <v>2</v>
      </c>
      <c r="C35" s="74">
        <v>1</v>
      </c>
      <c r="D35" s="73">
        <v>2</v>
      </c>
      <c r="E35" s="266">
        <f t="shared" si="17"/>
        <v>5.95</v>
      </c>
      <c r="F35" s="257">
        <f t="shared" si="18"/>
        <v>11.9</v>
      </c>
      <c r="G35" s="257">
        <f t="shared" si="19"/>
        <v>0.59500000000000008</v>
      </c>
      <c r="H35" s="257">
        <f t="shared" si="20"/>
        <v>1.1900000000000002</v>
      </c>
      <c r="I35" s="262">
        <f t="shared" si="21"/>
        <v>1691.9729400000001</v>
      </c>
      <c r="O35" s="188">
        <f t="shared" si="0"/>
        <v>5.95</v>
      </c>
    </row>
    <row r="36" spans="1:15" x14ac:dyDescent="0.3">
      <c r="A36" s="305" t="s">
        <v>306</v>
      </c>
      <c r="B36" s="261"/>
      <c r="C36" s="260"/>
      <c r="D36" s="261"/>
      <c r="E36" s="268"/>
      <c r="F36" s="261"/>
      <c r="G36" s="261"/>
      <c r="H36" s="261"/>
      <c r="I36" s="261"/>
      <c r="O36" s="188">
        <f t="shared" si="0"/>
        <v>0</v>
      </c>
    </row>
    <row r="37" spans="1:15" x14ac:dyDescent="0.3">
      <c r="A37" s="303" t="s">
        <v>307</v>
      </c>
      <c r="B37" s="257">
        <v>2</v>
      </c>
      <c r="C37" s="159">
        <v>1</v>
      </c>
      <c r="D37" s="257">
        <f>B37*C37</f>
        <v>2</v>
      </c>
      <c r="E37" s="266">
        <f>$L$17</f>
        <v>85</v>
      </c>
      <c r="F37" s="257">
        <f>D37*E37</f>
        <v>170</v>
      </c>
      <c r="G37" s="257">
        <f>F37*0.05</f>
        <v>8.5</v>
      </c>
      <c r="H37" s="257">
        <f>F37*0.1</f>
        <v>17</v>
      </c>
      <c r="I37" s="262">
        <f>F37*$L$8+G37*$L$7+H37*$L$9</f>
        <v>24171.042000000001</v>
      </c>
      <c r="O37" s="188">
        <f t="shared" si="0"/>
        <v>85</v>
      </c>
    </row>
    <row r="38" spans="1:15" ht="39" x14ac:dyDescent="0.3">
      <c r="A38" s="303" t="s">
        <v>401</v>
      </c>
      <c r="B38" s="257">
        <v>2</v>
      </c>
      <c r="C38" s="159">
        <v>1</v>
      </c>
      <c r="D38" s="257">
        <f>B38*C38</f>
        <v>2</v>
      </c>
      <c r="E38" s="266">
        <f t="shared" ref="E38:E41" si="22">$L$17</f>
        <v>85</v>
      </c>
      <c r="F38" s="257">
        <f>D38*E38</f>
        <v>170</v>
      </c>
      <c r="G38" s="257">
        <f>F38*0.05</f>
        <v>8.5</v>
      </c>
      <c r="H38" s="257">
        <f>F38*0.1</f>
        <v>17</v>
      </c>
      <c r="I38" s="262">
        <f>F38*$L$8+G38*$L$7+H38*$L$9</f>
        <v>24171.042000000001</v>
      </c>
      <c r="O38" s="188">
        <f t="shared" si="0"/>
        <v>85</v>
      </c>
    </row>
    <row r="39" spans="1:15" x14ac:dyDescent="0.3">
      <c r="A39" s="301" t="s">
        <v>212</v>
      </c>
      <c r="B39" s="73">
        <v>2</v>
      </c>
      <c r="C39" s="74">
        <v>1</v>
      </c>
      <c r="D39" s="73">
        <v>2</v>
      </c>
      <c r="E39" s="266">
        <f t="shared" si="22"/>
        <v>85</v>
      </c>
      <c r="F39" s="257">
        <f t="shared" ref="F39:F41" si="23">D39*E39</f>
        <v>170</v>
      </c>
      <c r="G39" s="257">
        <f t="shared" ref="G39:G41" si="24">F39*0.05</f>
        <v>8.5</v>
      </c>
      <c r="H39" s="257">
        <f t="shared" ref="H39:H41" si="25">F39*0.1</f>
        <v>17</v>
      </c>
      <c r="I39" s="262">
        <f t="shared" ref="I39:I41" si="26">F39*$L$8+G39*$L$7+H39*$L$9</f>
        <v>24171.042000000001</v>
      </c>
      <c r="O39" s="188">
        <f t="shared" si="0"/>
        <v>85</v>
      </c>
    </row>
    <row r="40" spans="1:15" ht="26" x14ac:dyDescent="0.3">
      <c r="A40" s="301" t="s">
        <v>303</v>
      </c>
      <c r="B40" s="73">
        <v>2</v>
      </c>
      <c r="C40" s="74">
        <v>1</v>
      </c>
      <c r="D40" s="73">
        <v>2</v>
      </c>
      <c r="E40" s="266">
        <f t="shared" si="22"/>
        <v>85</v>
      </c>
      <c r="F40" s="257">
        <f t="shared" si="23"/>
        <v>170</v>
      </c>
      <c r="G40" s="257">
        <f t="shared" si="24"/>
        <v>8.5</v>
      </c>
      <c r="H40" s="257">
        <f t="shared" si="25"/>
        <v>17</v>
      </c>
      <c r="I40" s="262">
        <f t="shared" si="26"/>
        <v>24171.042000000001</v>
      </c>
      <c r="O40" s="188">
        <f t="shared" si="0"/>
        <v>85</v>
      </c>
    </row>
    <row r="41" spans="1:15" ht="26" x14ac:dyDescent="0.3">
      <c r="A41" s="301" t="s">
        <v>309</v>
      </c>
      <c r="B41" s="73">
        <v>2</v>
      </c>
      <c r="C41" s="74">
        <v>1</v>
      </c>
      <c r="D41" s="73">
        <v>2</v>
      </c>
      <c r="E41" s="266">
        <f t="shared" si="22"/>
        <v>85</v>
      </c>
      <c r="F41" s="257">
        <f t="shared" si="23"/>
        <v>170</v>
      </c>
      <c r="G41" s="257">
        <f t="shared" si="24"/>
        <v>8.5</v>
      </c>
      <c r="H41" s="257">
        <f t="shared" si="25"/>
        <v>17</v>
      </c>
      <c r="I41" s="262">
        <f t="shared" si="26"/>
        <v>24171.042000000001</v>
      </c>
      <c r="O41" s="188">
        <f t="shared" si="0"/>
        <v>85</v>
      </c>
    </row>
    <row r="42" spans="1:15" x14ac:dyDescent="0.3">
      <c r="A42" s="301"/>
      <c r="B42" s="73"/>
      <c r="C42" s="74"/>
      <c r="D42" s="73"/>
      <c r="E42" s="266"/>
      <c r="F42" s="257"/>
      <c r="G42" s="257"/>
      <c r="H42" s="257"/>
      <c r="I42" s="263"/>
      <c r="O42" s="188">
        <f t="shared" si="0"/>
        <v>0</v>
      </c>
    </row>
    <row r="43" spans="1:15" ht="26.5" customHeight="1" x14ac:dyDescent="0.3">
      <c r="A43" s="269" t="s">
        <v>167</v>
      </c>
      <c r="B43" s="270"/>
      <c r="C43" s="271"/>
      <c r="D43" s="270"/>
      <c r="E43" s="272"/>
      <c r="F43" s="273">
        <f>SUM(F8:H42)</f>
        <v>2065.3597500000005</v>
      </c>
      <c r="G43" s="273"/>
      <c r="H43" s="273"/>
      <c r="I43" s="274">
        <f>SUM(I8:I42)</f>
        <v>255354.97320900008</v>
      </c>
      <c r="O43" s="188">
        <f t="shared" si="0"/>
        <v>0</v>
      </c>
    </row>
    <row r="44" spans="1:15" x14ac:dyDescent="0.3">
      <c r="A44" s="259" t="s">
        <v>168</v>
      </c>
      <c r="B44" s="261"/>
      <c r="C44" s="260"/>
      <c r="D44" s="261"/>
      <c r="E44" s="268"/>
      <c r="F44" s="261"/>
      <c r="G44" s="261"/>
      <c r="H44" s="261"/>
      <c r="I44" s="261"/>
      <c r="O44" s="188">
        <f t="shared" si="0"/>
        <v>0</v>
      </c>
    </row>
    <row r="45" spans="1:15" x14ac:dyDescent="0.3">
      <c r="A45" s="303" t="s">
        <v>132</v>
      </c>
      <c r="B45" s="257"/>
      <c r="C45" s="260"/>
      <c r="D45" s="261"/>
      <c r="E45" s="260"/>
      <c r="F45" s="261"/>
      <c r="G45" s="261"/>
      <c r="H45" s="261"/>
      <c r="I45" s="261"/>
      <c r="O45" s="188">
        <f t="shared" si="0"/>
        <v>0</v>
      </c>
    </row>
    <row r="46" spans="1:15" x14ac:dyDescent="0.3">
      <c r="A46" s="303" t="s">
        <v>169</v>
      </c>
      <c r="B46" s="257"/>
      <c r="C46" s="260"/>
      <c r="D46" s="261"/>
      <c r="E46" s="260"/>
      <c r="F46" s="261"/>
      <c r="G46" s="261"/>
      <c r="H46" s="261"/>
      <c r="I46" s="261"/>
      <c r="O46" s="188">
        <f t="shared" si="0"/>
        <v>0</v>
      </c>
    </row>
    <row r="47" spans="1:15" x14ac:dyDescent="0.3">
      <c r="A47" s="303" t="s">
        <v>170</v>
      </c>
      <c r="B47" s="257"/>
      <c r="C47" s="260"/>
      <c r="D47" s="261"/>
      <c r="E47" s="260"/>
      <c r="F47" s="261"/>
      <c r="G47" s="261"/>
      <c r="H47" s="261"/>
      <c r="I47" s="261"/>
      <c r="O47" s="188">
        <f t="shared" si="0"/>
        <v>0</v>
      </c>
    </row>
    <row r="48" spans="1:15" x14ac:dyDescent="0.3">
      <c r="A48" s="303" t="s">
        <v>171</v>
      </c>
      <c r="B48" s="257" t="s">
        <v>122</v>
      </c>
      <c r="C48" s="260"/>
      <c r="D48" s="261"/>
      <c r="E48" s="260"/>
      <c r="F48" s="261"/>
      <c r="G48" s="261"/>
      <c r="H48" s="261"/>
      <c r="I48" s="261"/>
      <c r="O48" s="188">
        <f t="shared" si="0"/>
        <v>0</v>
      </c>
    </row>
    <row r="49" spans="1:16" x14ac:dyDescent="0.3">
      <c r="A49" s="303" t="s">
        <v>172</v>
      </c>
      <c r="B49" s="261"/>
      <c r="C49" s="260"/>
      <c r="D49" s="261"/>
      <c r="E49" s="260"/>
      <c r="F49" s="261"/>
      <c r="G49" s="261"/>
      <c r="H49" s="261"/>
      <c r="I49" s="261"/>
      <c r="O49" s="188">
        <f t="shared" si="0"/>
        <v>0</v>
      </c>
    </row>
    <row r="50" spans="1:16" x14ac:dyDescent="0.3">
      <c r="A50" s="305" t="s">
        <v>163</v>
      </c>
      <c r="B50" s="261"/>
      <c r="C50" s="260"/>
      <c r="D50" s="261"/>
      <c r="E50" s="260"/>
      <c r="F50" s="261"/>
      <c r="G50" s="261"/>
      <c r="H50" s="261"/>
      <c r="I50" s="261"/>
      <c r="O50" s="188">
        <f t="shared" si="0"/>
        <v>0</v>
      </c>
    </row>
    <row r="51" spans="1:16" x14ac:dyDescent="0.3">
      <c r="A51" s="303" t="s">
        <v>173</v>
      </c>
      <c r="B51" s="257">
        <v>0.1</v>
      </c>
      <c r="C51" s="159">
        <v>1</v>
      </c>
      <c r="D51" s="257">
        <f>B51*C51</f>
        <v>0.1</v>
      </c>
      <c r="E51" s="266">
        <f>$L$17</f>
        <v>85</v>
      </c>
      <c r="F51" s="267">
        <f t="shared" ref="F51:F58" si="27">D51*E51</f>
        <v>8.5</v>
      </c>
      <c r="G51" s="257">
        <f t="shared" ref="G51:G58" si="28">F51*0.05</f>
        <v>0.42500000000000004</v>
      </c>
      <c r="H51" s="257">
        <f t="shared" ref="H51:H58" si="29">F51*0.1</f>
        <v>0.85000000000000009</v>
      </c>
      <c r="I51" s="262">
        <f>F51*$L$8+G51*$L$7+H51*$L$9</f>
        <v>1208.5520999999999</v>
      </c>
      <c r="O51" s="188">
        <f t="shared" si="0"/>
        <v>85</v>
      </c>
    </row>
    <row r="52" spans="1:16" x14ac:dyDescent="0.3">
      <c r="A52" s="303" t="s">
        <v>310</v>
      </c>
      <c r="B52" s="257">
        <v>0.1</v>
      </c>
      <c r="C52" s="159">
        <v>1</v>
      </c>
      <c r="D52" s="257">
        <v>24</v>
      </c>
      <c r="E52" s="266">
        <f>E51</f>
        <v>85</v>
      </c>
      <c r="F52" s="267">
        <f t="shared" si="27"/>
        <v>2040</v>
      </c>
      <c r="G52" s="257">
        <f t="shared" si="28"/>
        <v>102</v>
      </c>
      <c r="H52" s="257">
        <f t="shared" si="29"/>
        <v>204</v>
      </c>
      <c r="I52" s="262">
        <f>F52*$L$8+G52*$L$7+H52*$L$9</f>
        <v>290052.50400000002</v>
      </c>
      <c r="O52" s="188">
        <f t="shared" si="0"/>
        <v>85</v>
      </c>
    </row>
    <row r="53" spans="1:16" ht="26" x14ac:dyDescent="0.3">
      <c r="A53" s="301" t="s">
        <v>311</v>
      </c>
      <c r="B53" s="73">
        <v>0.1</v>
      </c>
      <c r="C53" s="74">
        <v>330</v>
      </c>
      <c r="D53" s="73">
        <f t="shared" ref="D53" si="30">B53*C53</f>
        <v>33</v>
      </c>
      <c r="E53" s="266">
        <f>$L$17</f>
        <v>85</v>
      </c>
      <c r="F53" s="267">
        <f t="shared" si="27"/>
        <v>2805</v>
      </c>
      <c r="G53" s="257">
        <f t="shared" si="28"/>
        <v>140.25</v>
      </c>
      <c r="H53" s="257">
        <f t="shared" si="29"/>
        <v>280.5</v>
      </c>
      <c r="I53" s="262">
        <f>F53*$L$8+G53*$L$7+H53*$L$9</f>
        <v>398822.19299999991</v>
      </c>
      <c r="O53" s="188">
        <f t="shared" si="0"/>
        <v>28050</v>
      </c>
    </row>
    <row r="54" spans="1:16" x14ac:dyDescent="0.3">
      <c r="A54" s="305" t="s">
        <v>158</v>
      </c>
      <c r="B54" s="257"/>
      <c r="C54" s="159"/>
      <c r="D54" s="257"/>
      <c r="E54" s="266"/>
      <c r="F54" s="267"/>
      <c r="G54" s="257"/>
      <c r="H54" s="257"/>
      <c r="I54" s="263"/>
      <c r="O54" s="188">
        <f t="shared" si="0"/>
        <v>0</v>
      </c>
    </row>
    <row r="55" spans="1:16" x14ac:dyDescent="0.3">
      <c r="A55" s="303" t="s">
        <v>173</v>
      </c>
      <c r="B55" s="257">
        <v>0</v>
      </c>
      <c r="C55" s="159">
        <v>0</v>
      </c>
      <c r="D55" s="257">
        <f>B55*C55</f>
        <v>0</v>
      </c>
      <c r="E55" s="266">
        <f>$L$15</f>
        <v>0</v>
      </c>
      <c r="F55" s="267">
        <f t="shared" ref="F55:F56" si="31">D55*E55</f>
        <v>0</v>
      </c>
      <c r="G55" s="257">
        <f t="shared" ref="G55:G56" si="32">F55*0.05</f>
        <v>0</v>
      </c>
      <c r="H55" s="257">
        <f t="shared" ref="H55:H56" si="33">F55*0.1</f>
        <v>0</v>
      </c>
      <c r="I55" s="262">
        <f>F55*$L$8+G55*$L$7+H55*$L$9</f>
        <v>0</v>
      </c>
      <c r="O55" s="188">
        <f t="shared" si="0"/>
        <v>0</v>
      </c>
    </row>
    <row r="56" spans="1:16" x14ac:dyDescent="0.3">
      <c r="A56" s="303" t="s">
        <v>310</v>
      </c>
      <c r="B56" s="257">
        <v>0</v>
      </c>
      <c r="C56" s="159">
        <v>0</v>
      </c>
      <c r="D56" s="257">
        <f t="shared" ref="D56:D58" si="34">B56*C56</f>
        <v>0</v>
      </c>
      <c r="E56" s="266">
        <f>$L$15</f>
        <v>0</v>
      </c>
      <c r="F56" s="267">
        <f t="shared" si="31"/>
        <v>0</v>
      </c>
      <c r="G56" s="257">
        <f t="shared" si="32"/>
        <v>0</v>
      </c>
      <c r="H56" s="257">
        <f t="shared" si="33"/>
        <v>0</v>
      </c>
      <c r="I56" s="262">
        <f>F56*$L$8+G56*$L$7+H56*$L$9</f>
        <v>0</v>
      </c>
      <c r="O56" s="188">
        <f t="shared" si="0"/>
        <v>0</v>
      </c>
    </row>
    <row r="57" spans="1:16" x14ac:dyDescent="0.3">
      <c r="A57" s="301" t="s">
        <v>312</v>
      </c>
      <c r="B57" s="257">
        <v>0</v>
      </c>
      <c r="C57" s="159">
        <v>0</v>
      </c>
      <c r="D57" s="73">
        <f t="shared" si="34"/>
        <v>0</v>
      </c>
      <c r="E57" s="266">
        <f>$L$15</f>
        <v>0</v>
      </c>
      <c r="F57" s="267">
        <f t="shared" ref="F57" si="35">D57*E57</f>
        <v>0</v>
      </c>
      <c r="G57" s="257">
        <f t="shared" ref="G57" si="36">F57*0.05</f>
        <v>0</v>
      </c>
      <c r="H57" s="257">
        <f t="shared" ref="H57" si="37">F57*0.1</f>
        <v>0</v>
      </c>
      <c r="I57" s="262">
        <f>F57*$L$8+G57*$L$7+H57*$L$9</f>
        <v>0</v>
      </c>
      <c r="O57" s="188">
        <f t="shared" si="0"/>
        <v>0</v>
      </c>
    </row>
    <row r="58" spans="1:16" x14ac:dyDescent="0.3">
      <c r="A58" s="303" t="s">
        <v>313</v>
      </c>
      <c r="B58" s="257">
        <v>0</v>
      </c>
      <c r="C58" s="159">
        <v>0</v>
      </c>
      <c r="D58" s="257">
        <f t="shared" si="34"/>
        <v>0</v>
      </c>
      <c r="E58" s="266">
        <f>$L$15</f>
        <v>0</v>
      </c>
      <c r="F58" s="267">
        <f t="shared" si="27"/>
        <v>0</v>
      </c>
      <c r="G58" s="257">
        <f t="shared" si="28"/>
        <v>0</v>
      </c>
      <c r="H58" s="257">
        <f t="shared" si="29"/>
        <v>0</v>
      </c>
      <c r="I58" s="262">
        <f>F58*$L$8+G58*$L$7+H58*$L$9</f>
        <v>0</v>
      </c>
      <c r="O58" s="188">
        <f t="shared" si="0"/>
        <v>0</v>
      </c>
    </row>
    <row r="59" spans="1:16" x14ac:dyDescent="0.3">
      <c r="A59" s="303" t="s">
        <v>186</v>
      </c>
      <c r="B59" s="257" t="s">
        <v>122</v>
      </c>
      <c r="C59" s="260"/>
      <c r="D59" s="261"/>
      <c r="E59" s="260"/>
      <c r="F59" s="261"/>
      <c r="G59" s="261"/>
      <c r="H59" s="261"/>
      <c r="I59" s="261"/>
      <c r="O59" s="188">
        <f t="shared" si="0"/>
        <v>0</v>
      </c>
    </row>
    <row r="60" spans="1:16" ht="31.5" customHeight="1" x14ac:dyDescent="0.3">
      <c r="A60" s="269" t="s">
        <v>188</v>
      </c>
      <c r="B60" s="275"/>
      <c r="C60" s="276"/>
      <c r="D60" s="275"/>
      <c r="E60" s="277"/>
      <c r="F60" s="273">
        <f>SUM(F51:H59)</f>
        <v>5581.5249999999996</v>
      </c>
      <c r="G60" s="273"/>
      <c r="H60" s="273"/>
      <c r="I60" s="274">
        <f>SUM(I51:I59)</f>
        <v>690083.2490999999</v>
      </c>
      <c r="O60" s="188">
        <f>SUM(O6:O59)</f>
        <v>28861.494999999999</v>
      </c>
      <c r="P60" s="188" t="s">
        <v>248</v>
      </c>
    </row>
    <row r="61" spans="1:16" ht="37" customHeight="1" x14ac:dyDescent="0.3">
      <c r="A61" s="278" t="s">
        <v>314</v>
      </c>
      <c r="B61" s="279"/>
      <c r="C61" s="169"/>
      <c r="D61" s="279"/>
      <c r="E61" s="280"/>
      <c r="F61" s="469">
        <f>ROUND(F60+F43, -2)</f>
        <v>7600</v>
      </c>
      <c r="G61" s="469"/>
      <c r="H61" s="469"/>
      <c r="I61" s="281">
        <f>ROUND(I60+I43, -4)</f>
        <v>950000</v>
      </c>
      <c r="K61" s="282">
        <f>F61/212</f>
        <v>35.849056603773583</v>
      </c>
      <c r="L61" s="188" t="s">
        <v>190</v>
      </c>
    </row>
    <row r="62" spans="1:16" ht="31" customHeight="1" x14ac:dyDescent="0.3">
      <c r="A62" s="168" t="s">
        <v>315</v>
      </c>
      <c r="B62" s="261"/>
      <c r="C62" s="260"/>
      <c r="D62" s="261"/>
      <c r="E62" s="260"/>
      <c r="F62" s="261"/>
      <c r="G62" s="261"/>
      <c r="H62" s="261"/>
      <c r="I62" s="281"/>
    </row>
    <row r="63" spans="1:16" ht="15" x14ac:dyDescent="0.3">
      <c r="A63" s="168" t="s">
        <v>316</v>
      </c>
      <c r="B63" s="261"/>
      <c r="C63" s="260"/>
      <c r="D63" s="261"/>
      <c r="E63" s="260"/>
      <c r="F63" s="261"/>
      <c r="G63" s="261"/>
      <c r="H63" s="261"/>
      <c r="I63" s="281">
        <f>ROUND(I61+I62, -5)</f>
        <v>1000000</v>
      </c>
    </row>
    <row r="65" spans="1:9" ht="15.65" customHeight="1" x14ac:dyDescent="0.3">
      <c r="A65" s="467" t="s">
        <v>402</v>
      </c>
      <c r="B65" s="467"/>
      <c r="C65" s="467"/>
      <c r="D65" s="467"/>
      <c r="E65" s="467"/>
      <c r="F65" s="467"/>
      <c r="G65" s="467"/>
      <c r="H65" s="467"/>
      <c r="I65" s="467"/>
    </row>
    <row r="66" spans="1:9" ht="79" customHeight="1" x14ac:dyDescent="0.3">
      <c r="A66" s="446" t="s">
        <v>194</v>
      </c>
      <c r="B66" s="446"/>
      <c r="C66" s="446"/>
      <c r="D66" s="446"/>
      <c r="E66" s="446"/>
      <c r="F66" s="446"/>
      <c r="G66" s="446"/>
      <c r="H66" s="446"/>
      <c r="I66" s="446"/>
    </row>
    <row r="67" spans="1:9" ht="23.15" customHeight="1" x14ac:dyDescent="0.3">
      <c r="A67" s="467" t="s">
        <v>403</v>
      </c>
      <c r="B67" s="467"/>
      <c r="C67" s="467"/>
      <c r="D67" s="467"/>
      <c r="E67" s="467"/>
      <c r="F67" s="467"/>
      <c r="G67" s="467"/>
      <c r="H67" s="467"/>
      <c r="I67" s="467"/>
    </row>
    <row r="68" spans="1:9" ht="21" customHeight="1" x14ac:dyDescent="0.3">
      <c r="A68" s="470" t="s">
        <v>404</v>
      </c>
      <c r="B68" s="470"/>
      <c r="C68" s="470"/>
      <c r="D68" s="470"/>
      <c r="E68" s="470"/>
      <c r="F68" s="470"/>
      <c r="G68" s="470"/>
      <c r="H68" s="470"/>
      <c r="I68" s="470"/>
    </row>
    <row r="69" spans="1:9" ht="18.75" customHeight="1" x14ac:dyDescent="0.3">
      <c r="A69" s="466" t="s">
        <v>319</v>
      </c>
      <c r="B69" s="466"/>
      <c r="C69" s="466"/>
      <c r="D69" s="466"/>
      <c r="E69" s="466"/>
      <c r="F69" s="466"/>
      <c r="G69" s="466"/>
      <c r="H69" s="466"/>
      <c r="I69" s="466"/>
    </row>
    <row r="70" spans="1:9" ht="18.75" customHeight="1" x14ac:dyDescent="0.3">
      <c r="A70" s="466"/>
      <c r="B70" s="466"/>
      <c r="C70" s="466"/>
      <c r="D70" s="466"/>
      <c r="E70" s="466"/>
      <c r="F70" s="466"/>
      <c r="G70" s="466"/>
      <c r="H70" s="466"/>
      <c r="I70" s="466"/>
    </row>
  </sheetData>
  <mergeCells count="10">
    <mergeCell ref="K6:L6"/>
    <mergeCell ref="F61:H61"/>
    <mergeCell ref="A65:I65"/>
    <mergeCell ref="A66:I66"/>
    <mergeCell ref="A67:I67"/>
    <mergeCell ref="A68:I68"/>
    <mergeCell ref="A69:I69"/>
    <mergeCell ref="A70:I70"/>
    <mergeCell ref="A1:I1"/>
    <mergeCell ref="A3:I3"/>
  </mergeCells>
  <pageMargins left="0.7" right="0.7" top="0.75" bottom="0.75" header="0.3" footer="0.3"/>
  <pageSetup scale="37"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5EDCF-C0C6-4528-A917-ECAB04BEF733}">
  <sheetPr>
    <pageSetUpPr fitToPage="1"/>
  </sheetPr>
  <dimension ref="A1:P70"/>
  <sheetViews>
    <sheetView zoomScale="80" zoomScaleNormal="80" workbookViewId="0">
      <pane xSplit="9" ySplit="5" topLeftCell="J57" activePane="bottomRight" state="frozen"/>
      <selection pane="topRight" activeCell="A65" sqref="A65:I65"/>
      <selection pane="bottomLeft" activeCell="A65" sqref="A65:I65"/>
      <selection pane="bottomRight" activeCell="I53" sqref="I53"/>
    </sheetView>
  </sheetViews>
  <sheetFormatPr defaultColWidth="9.1796875" defaultRowHeight="13" x14ac:dyDescent="0.3"/>
  <cols>
    <col min="1" max="1" width="33.4531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415</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59" si="0">C7*E7</f>
        <v>0</v>
      </c>
    </row>
    <row r="8" spans="1:15" ht="56.5" customHeight="1" x14ac:dyDescent="0.3">
      <c r="A8" s="259" t="s">
        <v>127</v>
      </c>
      <c r="B8" s="257">
        <v>0</v>
      </c>
      <c r="C8" s="159">
        <v>0</v>
      </c>
      <c r="D8" s="257">
        <f>B8*C8</f>
        <v>0</v>
      </c>
      <c r="E8" s="159">
        <f>L15</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x14ac:dyDescent="0.3">
      <c r="A10" s="259" t="s">
        <v>289</v>
      </c>
      <c r="B10" s="257">
        <v>0</v>
      </c>
      <c r="C10" s="159">
        <v>0</v>
      </c>
      <c r="D10" s="257">
        <f>B10*C10</f>
        <v>0</v>
      </c>
      <c r="E10" s="159">
        <v>0</v>
      </c>
      <c r="F10" s="257">
        <f>D10*E10</f>
        <v>0</v>
      </c>
      <c r="G10" s="257">
        <f>F10*0.05</f>
        <v>0</v>
      </c>
      <c r="H10" s="257">
        <f>F10*0.1</f>
        <v>0</v>
      </c>
      <c r="I10" s="263">
        <f>F10*$L$8+G10*$L$7+H10*$L$9</f>
        <v>0</v>
      </c>
      <c r="K10" s="312"/>
      <c r="L10" s="311"/>
      <c r="M10" s="198"/>
      <c r="O10" s="188">
        <f t="shared" si="0"/>
        <v>0</v>
      </c>
    </row>
    <row r="11" spans="1:15" x14ac:dyDescent="0.3">
      <c r="A11" s="303" t="s">
        <v>132</v>
      </c>
      <c r="B11" s="257">
        <v>0</v>
      </c>
      <c r="C11" s="159">
        <v>0</v>
      </c>
      <c r="D11" s="257">
        <f>B11*C11</f>
        <v>0</v>
      </c>
      <c r="E11" s="159">
        <v>0</v>
      </c>
      <c r="F11" s="257">
        <f>D11*E11</f>
        <v>0</v>
      </c>
      <c r="G11" s="257">
        <f>F11*0.05</f>
        <v>0</v>
      </c>
      <c r="H11" s="257">
        <f>F11*0.1</f>
        <v>0</v>
      </c>
      <c r="I11" s="263">
        <f>F11*$L$8+G11*$L$7+H11*$L$9</f>
        <v>0</v>
      </c>
      <c r="K11" s="264"/>
      <c r="O11" s="188">
        <f t="shared" si="0"/>
        <v>0</v>
      </c>
    </row>
    <row r="12" spans="1:15" ht="15.75" customHeight="1" x14ac:dyDescent="0.3">
      <c r="A12" s="303" t="s">
        <v>133</v>
      </c>
      <c r="B12" s="257"/>
      <c r="C12" s="159"/>
      <c r="D12" s="257"/>
      <c r="E12" s="159"/>
      <c r="F12" s="257"/>
      <c r="G12" s="257"/>
      <c r="H12" s="257"/>
      <c r="I12" s="263"/>
      <c r="O12" s="188">
        <f t="shared" si="0"/>
        <v>0</v>
      </c>
    </row>
    <row r="13" spans="1:15" ht="15.5" x14ac:dyDescent="0.3">
      <c r="A13" s="304" t="s">
        <v>290</v>
      </c>
      <c r="B13" s="257"/>
      <c r="C13" s="159"/>
      <c r="D13" s="257"/>
      <c r="E13" s="266"/>
      <c r="F13" s="267"/>
      <c r="G13" s="257"/>
      <c r="H13" s="257"/>
      <c r="I13" s="263"/>
      <c r="O13" s="188">
        <f t="shared" si="0"/>
        <v>0</v>
      </c>
    </row>
    <row r="14" spans="1:15" ht="25.5" customHeight="1" x14ac:dyDescent="0.3">
      <c r="A14" s="253" t="s">
        <v>370</v>
      </c>
      <c r="B14" s="159">
        <v>6</v>
      </c>
      <c r="C14" s="159">
        <v>1</v>
      </c>
      <c r="D14" s="257">
        <f>B14*C14</f>
        <v>6</v>
      </c>
      <c r="E14" s="266">
        <f>L$16</f>
        <v>5.95</v>
      </c>
      <c r="F14" s="267">
        <f>D14*E14</f>
        <v>35.700000000000003</v>
      </c>
      <c r="G14" s="257">
        <f>F14*0.05</f>
        <v>1.7850000000000001</v>
      </c>
      <c r="H14" s="257">
        <f>F14*0.1</f>
        <v>3.5700000000000003</v>
      </c>
      <c r="I14" s="262">
        <f>F14*$L$8+G14*$L$7+H14*$L$9</f>
        <v>5075.9188199999999</v>
      </c>
      <c r="K14" s="265"/>
      <c r="L14" s="265" t="s">
        <v>398</v>
      </c>
      <c r="O14" s="188">
        <f t="shared" si="0"/>
        <v>5.95</v>
      </c>
    </row>
    <row r="15" spans="1:15" x14ac:dyDescent="0.3">
      <c r="A15" s="253" t="s">
        <v>293</v>
      </c>
      <c r="B15" s="159">
        <v>6</v>
      </c>
      <c r="C15" s="159">
        <v>1</v>
      </c>
      <c r="D15" s="257">
        <f t="shared" ref="D15" si="1">B15*C15</f>
        <v>6</v>
      </c>
      <c r="E15" s="266">
        <f>E14*0.05</f>
        <v>0.29750000000000004</v>
      </c>
      <c r="F15" s="267">
        <f t="shared" ref="F15:F23" si="2">D15*E15</f>
        <v>1.7850000000000001</v>
      </c>
      <c r="G15" s="257">
        <f t="shared" ref="G15:G23" si="3">F15*0.05</f>
        <v>8.925000000000001E-2</v>
      </c>
      <c r="H15" s="257">
        <f t="shared" ref="H15:H23" si="4">F15*0.1</f>
        <v>0.17850000000000002</v>
      </c>
      <c r="I15" s="262">
        <f t="shared" ref="I15:I23" si="5">F15*$L$8+G15*$L$7+H15*$L$9</f>
        <v>253.79594100000003</v>
      </c>
      <c r="J15" s="264"/>
      <c r="K15" s="265"/>
      <c r="L15" s="265">
        <v>0</v>
      </c>
      <c r="O15" s="188">
        <f t="shared" si="0"/>
        <v>0.29750000000000004</v>
      </c>
    </row>
    <row r="16" spans="1:15" ht="26" x14ac:dyDescent="0.3">
      <c r="A16" s="301" t="s">
        <v>295</v>
      </c>
      <c r="B16" s="73">
        <v>8</v>
      </c>
      <c r="C16" s="74">
        <v>1</v>
      </c>
      <c r="D16" s="73">
        <f>B16*C16</f>
        <v>8</v>
      </c>
      <c r="E16" s="266">
        <f>L$16</f>
        <v>5.95</v>
      </c>
      <c r="F16" s="267">
        <f t="shared" si="2"/>
        <v>47.6</v>
      </c>
      <c r="G16" s="257">
        <f t="shared" si="3"/>
        <v>2.3800000000000003</v>
      </c>
      <c r="H16" s="257">
        <f t="shared" si="4"/>
        <v>4.7600000000000007</v>
      </c>
      <c r="I16" s="262">
        <f t="shared" si="5"/>
        <v>6767.8917600000004</v>
      </c>
      <c r="J16" s="264"/>
      <c r="K16" s="265" t="s">
        <v>136</v>
      </c>
      <c r="L16" s="265">
        <f>L15+L17*0.07</f>
        <v>5.95</v>
      </c>
      <c r="M16" s="264" t="s">
        <v>294</v>
      </c>
      <c r="O16" s="188">
        <f t="shared" si="0"/>
        <v>5.95</v>
      </c>
    </row>
    <row r="17" spans="1:15" x14ac:dyDescent="0.3">
      <c r="A17" s="301" t="s">
        <v>296</v>
      </c>
      <c r="B17" s="74">
        <v>8</v>
      </c>
      <c r="C17" s="74">
        <v>1</v>
      </c>
      <c r="D17" s="73">
        <f t="shared" ref="D17" si="6">B17*C17</f>
        <v>8</v>
      </c>
      <c r="E17" s="266">
        <f>E16*0.05</f>
        <v>0.29750000000000004</v>
      </c>
      <c r="F17" s="267">
        <f t="shared" si="2"/>
        <v>2.3800000000000003</v>
      </c>
      <c r="G17" s="257">
        <f t="shared" si="3"/>
        <v>0.11900000000000002</v>
      </c>
      <c r="H17" s="257">
        <f t="shared" si="4"/>
        <v>0.23800000000000004</v>
      </c>
      <c r="I17" s="262">
        <f t="shared" si="5"/>
        <v>338.394588</v>
      </c>
      <c r="J17" s="264"/>
      <c r="K17" s="265" t="s">
        <v>141</v>
      </c>
      <c r="L17" s="265">
        <f>'SI-Y1'!$L$18</f>
        <v>85</v>
      </c>
      <c r="O17" s="188">
        <f t="shared" si="0"/>
        <v>0.29750000000000004</v>
      </c>
    </row>
    <row r="18" spans="1:15" ht="15.5" x14ac:dyDescent="0.3">
      <c r="A18" s="306" t="s">
        <v>297</v>
      </c>
      <c r="B18" s="74"/>
      <c r="C18" s="74"/>
      <c r="D18" s="73"/>
      <c r="E18" s="266"/>
      <c r="F18" s="267"/>
      <c r="G18" s="257"/>
      <c r="H18" s="257"/>
      <c r="I18" s="263"/>
      <c r="J18" s="264"/>
      <c r="K18" s="327"/>
      <c r="L18" s="327"/>
      <c r="O18" s="188">
        <f t="shared" si="0"/>
        <v>0</v>
      </c>
    </row>
    <row r="19" spans="1:15" x14ac:dyDescent="0.3">
      <c r="A19" s="301" t="s">
        <v>295</v>
      </c>
      <c r="B19" s="257">
        <v>0</v>
      </c>
      <c r="C19" s="159">
        <v>0</v>
      </c>
      <c r="D19" s="73">
        <f>B19*C19</f>
        <v>0</v>
      </c>
      <c r="E19" s="266">
        <v>0</v>
      </c>
      <c r="F19" s="267">
        <f t="shared" si="2"/>
        <v>0</v>
      </c>
      <c r="G19" s="257">
        <f t="shared" si="3"/>
        <v>0</v>
      </c>
      <c r="H19" s="257">
        <f t="shared" si="4"/>
        <v>0</v>
      </c>
      <c r="I19" s="263">
        <f t="shared" si="5"/>
        <v>0</v>
      </c>
      <c r="J19" s="264"/>
      <c r="K19" s="327"/>
      <c r="L19" s="327"/>
      <c r="O19" s="188">
        <f t="shared" si="0"/>
        <v>0</v>
      </c>
    </row>
    <row r="20" spans="1:15" x14ac:dyDescent="0.3">
      <c r="A20" s="301" t="s">
        <v>296</v>
      </c>
      <c r="B20" s="257">
        <v>0</v>
      </c>
      <c r="C20" s="159">
        <v>0</v>
      </c>
      <c r="D20" s="73">
        <f t="shared" ref="D20" si="7">B20*C20</f>
        <v>0</v>
      </c>
      <c r="E20" s="266">
        <f>E19*0.05</f>
        <v>0</v>
      </c>
      <c r="F20" s="267">
        <f t="shared" si="2"/>
        <v>0</v>
      </c>
      <c r="G20" s="257">
        <f t="shared" si="3"/>
        <v>0</v>
      </c>
      <c r="H20" s="257">
        <f t="shared" si="4"/>
        <v>0</v>
      </c>
      <c r="I20" s="263">
        <f t="shared" si="5"/>
        <v>0</v>
      </c>
      <c r="J20" s="264"/>
      <c r="K20" s="327"/>
      <c r="L20" s="327"/>
      <c r="O20" s="188">
        <f t="shared" si="0"/>
        <v>0</v>
      </c>
    </row>
    <row r="21" spans="1:15" ht="15.5" x14ac:dyDescent="0.3">
      <c r="A21" s="304" t="s">
        <v>298</v>
      </c>
      <c r="B21" s="257"/>
      <c r="C21" s="159"/>
      <c r="D21" s="257"/>
      <c r="E21" s="159"/>
      <c r="F21" s="267"/>
      <c r="G21" s="257"/>
      <c r="H21" s="257"/>
      <c r="I21" s="263"/>
      <c r="L21" s="264"/>
      <c r="M21" s="264"/>
      <c r="O21" s="188">
        <f t="shared" si="0"/>
        <v>0</v>
      </c>
    </row>
    <row r="22" spans="1:15" x14ac:dyDescent="0.3">
      <c r="A22" s="303" t="s">
        <v>372</v>
      </c>
      <c r="B22" s="257">
        <v>6</v>
      </c>
      <c r="C22" s="159">
        <v>1</v>
      </c>
      <c r="D22" s="257">
        <f>B22*C22</f>
        <v>6</v>
      </c>
      <c r="E22" s="266">
        <f>L$17</f>
        <v>85</v>
      </c>
      <c r="F22" s="267">
        <f t="shared" si="2"/>
        <v>510</v>
      </c>
      <c r="G22" s="257">
        <f t="shared" si="3"/>
        <v>25.5</v>
      </c>
      <c r="H22" s="257">
        <f t="shared" si="4"/>
        <v>51</v>
      </c>
      <c r="I22" s="262">
        <f t="shared" si="5"/>
        <v>72513.126000000004</v>
      </c>
      <c r="J22" s="198"/>
      <c r="N22" s="264"/>
      <c r="O22" s="188">
        <f t="shared" si="0"/>
        <v>85</v>
      </c>
    </row>
    <row r="23" spans="1:15" x14ac:dyDescent="0.3">
      <c r="A23" s="303" t="s">
        <v>300</v>
      </c>
      <c r="B23" s="159">
        <v>6</v>
      </c>
      <c r="C23" s="159">
        <v>1</v>
      </c>
      <c r="D23" s="257">
        <f t="shared" ref="D23" si="8">B23*C23</f>
        <v>6</v>
      </c>
      <c r="E23" s="266">
        <f>E22*0.05</f>
        <v>4.25</v>
      </c>
      <c r="F23" s="267">
        <f t="shared" si="2"/>
        <v>25.5</v>
      </c>
      <c r="G23" s="257">
        <f t="shared" si="3"/>
        <v>1.2750000000000001</v>
      </c>
      <c r="H23" s="257">
        <f t="shared" si="4"/>
        <v>2.5500000000000003</v>
      </c>
      <c r="I23" s="262">
        <f t="shared" si="5"/>
        <v>3625.6562999999996</v>
      </c>
      <c r="J23" s="198"/>
      <c r="O23" s="188">
        <f t="shared" si="0"/>
        <v>4.25</v>
      </c>
    </row>
    <row r="24" spans="1:15" ht="15.5" x14ac:dyDescent="0.3">
      <c r="A24" s="306" t="s">
        <v>151</v>
      </c>
      <c r="B24" s="92"/>
      <c r="C24" s="93"/>
      <c r="D24" s="92"/>
      <c r="E24" s="266"/>
      <c r="F24" s="267"/>
      <c r="G24" s="257"/>
      <c r="H24" s="257"/>
      <c r="I24" s="263"/>
      <c r="J24" s="198"/>
      <c r="O24" s="188">
        <f t="shared" si="0"/>
        <v>0</v>
      </c>
    </row>
    <row r="25" spans="1:15" x14ac:dyDescent="0.3">
      <c r="A25" s="301"/>
      <c r="B25" s="73"/>
      <c r="C25" s="74"/>
      <c r="D25" s="73"/>
      <c r="E25" s="266"/>
      <c r="F25" s="267"/>
      <c r="G25" s="257"/>
      <c r="H25" s="257"/>
      <c r="I25" s="263"/>
      <c r="J25" s="198"/>
      <c r="O25" s="188">
        <f t="shared" si="0"/>
        <v>0</v>
      </c>
    </row>
    <row r="26" spans="1:15" x14ac:dyDescent="0.3">
      <c r="A26" s="301"/>
      <c r="B26" s="73"/>
      <c r="C26" s="74"/>
      <c r="D26" s="73"/>
      <c r="E26" s="266"/>
      <c r="F26" s="267"/>
      <c r="G26" s="257"/>
      <c r="H26" s="257"/>
      <c r="I26" s="263"/>
      <c r="J26" s="198"/>
      <c r="O26" s="188">
        <f t="shared" si="0"/>
        <v>0</v>
      </c>
    </row>
    <row r="27" spans="1:15" x14ac:dyDescent="0.3">
      <c r="A27" s="301" t="s">
        <v>155</v>
      </c>
      <c r="B27" s="73"/>
      <c r="C27" s="77"/>
      <c r="D27" s="78"/>
      <c r="E27" s="266"/>
      <c r="F27" s="267"/>
      <c r="G27" s="257"/>
      <c r="H27" s="257"/>
      <c r="I27" s="263"/>
      <c r="J27" s="198"/>
      <c r="O27" s="188">
        <f t="shared" si="0"/>
        <v>0</v>
      </c>
    </row>
    <row r="28" spans="1:15" ht="26" x14ac:dyDescent="0.3">
      <c r="A28" s="301" t="s">
        <v>156</v>
      </c>
      <c r="B28" s="73"/>
      <c r="C28" s="77"/>
      <c r="D28" s="78"/>
      <c r="E28" s="266"/>
      <c r="F28" s="267"/>
      <c r="G28" s="257"/>
      <c r="H28" s="257"/>
      <c r="I28" s="263"/>
      <c r="J28" s="198"/>
      <c r="O28" s="188">
        <f t="shared" si="0"/>
        <v>0</v>
      </c>
    </row>
    <row r="29" spans="1:15" x14ac:dyDescent="0.3">
      <c r="A29" s="301" t="s">
        <v>157</v>
      </c>
      <c r="B29" s="78"/>
      <c r="C29" s="77"/>
      <c r="D29" s="78"/>
      <c r="E29" s="266"/>
      <c r="F29" s="267"/>
      <c r="G29" s="257"/>
      <c r="H29" s="257"/>
      <c r="I29" s="263"/>
      <c r="J29" s="198"/>
      <c r="O29" s="188">
        <f t="shared" si="0"/>
        <v>0</v>
      </c>
    </row>
    <row r="30" spans="1:15" x14ac:dyDescent="0.3">
      <c r="A30" s="305" t="s">
        <v>399</v>
      </c>
      <c r="B30" s="257"/>
      <c r="C30" s="159"/>
      <c r="D30" s="257"/>
      <c r="E30" s="266"/>
      <c r="F30" s="257"/>
      <c r="G30" s="257"/>
      <c r="H30" s="257"/>
      <c r="I30" s="263"/>
      <c r="O30" s="188">
        <f t="shared" si="0"/>
        <v>0</v>
      </c>
    </row>
    <row r="31" spans="1:15" ht="28.5" customHeight="1" x14ac:dyDescent="0.3">
      <c r="A31" s="303" t="s">
        <v>160</v>
      </c>
      <c r="B31" s="257">
        <v>2</v>
      </c>
      <c r="C31" s="159">
        <v>1</v>
      </c>
      <c r="D31" s="257">
        <f>B31*C31</f>
        <v>2</v>
      </c>
      <c r="E31" s="266">
        <f>E14</f>
        <v>5.95</v>
      </c>
      <c r="F31" s="257">
        <f t="shared" ref="F31:F35" si="9">D31*E31</f>
        <v>11.9</v>
      </c>
      <c r="G31" s="257">
        <f t="shared" ref="G31:G35" si="10">F31*0.05</f>
        <v>0.59500000000000008</v>
      </c>
      <c r="H31" s="257">
        <f t="shared" ref="H31:H35" si="11">F31*0.1</f>
        <v>1.1900000000000002</v>
      </c>
      <c r="I31" s="262">
        <f t="shared" ref="I31:I35" si="12">F31*$L$8+G31*$L$7+H31*$L$9</f>
        <v>1691.9729400000001</v>
      </c>
      <c r="O31" s="188">
        <f t="shared" si="0"/>
        <v>5.95</v>
      </c>
    </row>
    <row r="32" spans="1:15" ht="26" x14ac:dyDescent="0.3">
      <c r="A32" s="303" t="s">
        <v>400</v>
      </c>
      <c r="B32" s="257">
        <v>2</v>
      </c>
      <c r="C32" s="159">
        <v>1</v>
      </c>
      <c r="D32" s="257">
        <f>B32*C32</f>
        <v>2</v>
      </c>
      <c r="E32" s="266">
        <f>E14</f>
        <v>5.95</v>
      </c>
      <c r="F32" s="257">
        <f t="shared" si="9"/>
        <v>11.9</v>
      </c>
      <c r="G32" s="257">
        <f t="shared" si="10"/>
        <v>0.59500000000000008</v>
      </c>
      <c r="H32" s="257">
        <f t="shared" si="11"/>
        <v>1.1900000000000002</v>
      </c>
      <c r="I32" s="262">
        <f t="shared" si="12"/>
        <v>1691.9729400000001</v>
      </c>
      <c r="O32" s="188">
        <f t="shared" si="0"/>
        <v>5.95</v>
      </c>
    </row>
    <row r="33" spans="1:15" x14ac:dyDescent="0.3">
      <c r="A33" s="301" t="s">
        <v>212</v>
      </c>
      <c r="B33" s="73">
        <v>2</v>
      </c>
      <c r="C33" s="74">
        <v>1</v>
      </c>
      <c r="D33" s="73">
        <v>2</v>
      </c>
      <c r="E33" s="266">
        <f t="shared" ref="E33:E35" si="13">L$16</f>
        <v>5.95</v>
      </c>
      <c r="F33" s="257">
        <f t="shared" si="9"/>
        <v>11.9</v>
      </c>
      <c r="G33" s="257">
        <f t="shared" si="10"/>
        <v>0.59500000000000008</v>
      </c>
      <c r="H33" s="257">
        <f t="shared" si="11"/>
        <v>1.1900000000000002</v>
      </c>
      <c r="I33" s="262">
        <f t="shared" si="12"/>
        <v>1691.9729400000001</v>
      </c>
      <c r="O33" s="188">
        <f t="shared" si="0"/>
        <v>5.95</v>
      </c>
    </row>
    <row r="34" spans="1:15" ht="26" x14ac:dyDescent="0.3">
      <c r="A34" s="301" t="s">
        <v>303</v>
      </c>
      <c r="B34" s="73">
        <v>2</v>
      </c>
      <c r="C34" s="74">
        <v>1</v>
      </c>
      <c r="D34" s="73">
        <v>2</v>
      </c>
      <c r="E34" s="266">
        <f t="shared" si="13"/>
        <v>5.95</v>
      </c>
      <c r="F34" s="257">
        <f t="shared" si="9"/>
        <v>11.9</v>
      </c>
      <c r="G34" s="257">
        <f t="shared" si="10"/>
        <v>0.59500000000000008</v>
      </c>
      <c r="H34" s="257">
        <f t="shared" si="11"/>
        <v>1.1900000000000002</v>
      </c>
      <c r="I34" s="262">
        <f t="shared" si="12"/>
        <v>1691.9729400000001</v>
      </c>
      <c r="O34" s="188">
        <f t="shared" si="0"/>
        <v>5.95</v>
      </c>
    </row>
    <row r="35" spans="1:15" x14ac:dyDescent="0.3">
      <c r="A35" s="301" t="s">
        <v>304</v>
      </c>
      <c r="B35" s="73">
        <v>2</v>
      </c>
      <c r="C35" s="74">
        <v>1</v>
      </c>
      <c r="D35" s="73">
        <v>2</v>
      </c>
      <c r="E35" s="266">
        <f t="shared" si="13"/>
        <v>5.95</v>
      </c>
      <c r="F35" s="257">
        <f t="shared" si="9"/>
        <v>11.9</v>
      </c>
      <c r="G35" s="257">
        <f t="shared" si="10"/>
        <v>0.59500000000000008</v>
      </c>
      <c r="H35" s="257">
        <f t="shared" si="11"/>
        <v>1.1900000000000002</v>
      </c>
      <c r="I35" s="262">
        <f t="shared" si="12"/>
        <v>1691.9729400000001</v>
      </c>
      <c r="O35" s="188">
        <f t="shared" si="0"/>
        <v>5.95</v>
      </c>
    </row>
    <row r="36" spans="1:15" x14ac:dyDescent="0.3">
      <c r="A36" s="305" t="s">
        <v>306</v>
      </c>
      <c r="B36" s="261"/>
      <c r="C36" s="260"/>
      <c r="D36" s="261"/>
      <c r="E36" s="268"/>
      <c r="F36" s="261"/>
      <c r="G36" s="261"/>
      <c r="H36" s="261"/>
      <c r="I36" s="261"/>
      <c r="O36" s="188">
        <f t="shared" si="0"/>
        <v>0</v>
      </c>
    </row>
    <row r="37" spans="1:15" x14ac:dyDescent="0.3">
      <c r="A37" s="303" t="s">
        <v>307</v>
      </c>
      <c r="B37" s="257">
        <v>2</v>
      </c>
      <c r="C37" s="159">
        <v>1</v>
      </c>
      <c r="D37" s="257">
        <f>B37*C37</f>
        <v>2</v>
      </c>
      <c r="E37" s="266">
        <f>$L$17</f>
        <v>85</v>
      </c>
      <c r="F37" s="257">
        <f>D37*E37</f>
        <v>170</v>
      </c>
      <c r="G37" s="257">
        <f>F37*0.05</f>
        <v>8.5</v>
      </c>
      <c r="H37" s="257">
        <f>F37*0.1</f>
        <v>17</v>
      </c>
      <c r="I37" s="262">
        <f>F37*$L$8+G37*$L$7+H37*$L$9</f>
        <v>24171.042000000001</v>
      </c>
      <c r="O37" s="188">
        <f t="shared" si="0"/>
        <v>85</v>
      </c>
    </row>
    <row r="38" spans="1:15" ht="39" x14ac:dyDescent="0.3">
      <c r="A38" s="303" t="s">
        <v>401</v>
      </c>
      <c r="B38" s="257">
        <v>2</v>
      </c>
      <c r="C38" s="159">
        <v>1</v>
      </c>
      <c r="D38" s="257">
        <f>B38*C38</f>
        <v>2</v>
      </c>
      <c r="E38" s="266">
        <f t="shared" ref="E38" si="14">$L$17</f>
        <v>85</v>
      </c>
      <c r="F38" s="257">
        <f>D38*E38</f>
        <v>170</v>
      </c>
      <c r="G38" s="257">
        <f>F38*0.05</f>
        <v>8.5</v>
      </c>
      <c r="H38" s="257">
        <f>F38*0.1</f>
        <v>17</v>
      </c>
      <c r="I38" s="262">
        <f>F38*$L$8+G38*$L$7+H38*$L$9</f>
        <v>24171.042000000001</v>
      </c>
      <c r="O38" s="188">
        <f t="shared" si="0"/>
        <v>85</v>
      </c>
    </row>
    <row r="39" spans="1:15" x14ac:dyDescent="0.3">
      <c r="A39" s="301" t="s">
        <v>159</v>
      </c>
      <c r="B39" s="73">
        <v>0</v>
      </c>
      <c r="C39" s="74">
        <v>0</v>
      </c>
      <c r="D39" s="257">
        <f t="shared" ref="D39:D41" si="15">B39*C39</f>
        <v>0</v>
      </c>
      <c r="E39" s="266">
        <v>0</v>
      </c>
      <c r="F39" s="257">
        <f t="shared" ref="F39:F41" si="16">D39*E39</f>
        <v>0</v>
      </c>
      <c r="G39" s="257">
        <f t="shared" ref="G39:G41" si="17">F39*0.05</f>
        <v>0</v>
      </c>
      <c r="H39" s="257">
        <f t="shared" ref="H39:H41" si="18">F39*0.1</f>
        <v>0</v>
      </c>
      <c r="I39" s="263">
        <f t="shared" ref="I39:I41" si="19">F39*$L$8+G39*$L$7+H39*$L$9</f>
        <v>0</v>
      </c>
      <c r="O39" s="188">
        <f t="shared" si="0"/>
        <v>0</v>
      </c>
    </row>
    <row r="40" spans="1:15" ht="26" x14ac:dyDescent="0.3">
      <c r="A40" s="301" t="s">
        <v>303</v>
      </c>
      <c r="B40" s="73">
        <v>0</v>
      </c>
      <c r="C40" s="74">
        <v>0</v>
      </c>
      <c r="D40" s="257">
        <f t="shared" si="15"/>
        <v>0</v>
      </c>
      <c r="E40" s="266">
        <v>0</v>
      </c>
      <c r="F40" s="257">
        <f t="shared" si="16"/>
        <v>0</v>
      </c>
      <c r="G40" s="257">
        <f t="shared" si="17"/>
        <v>0</v>
      </c>
      <c r="H40" s="257">
        <f t="shared" si="18"/>
        <v>0</v>
      </c>
      <c r="I40" s="263">
        <f t="shared" si="19"/>
        <v>0</v>
      </c>
      <c r="O40" s="188">
        <f t="shared" si="0"/>
        <v>0</v>
      </c>
    </row>
    <row r="41" spans="1:15" ht="26" x14ac:dyDescent="0.3">
      <c r="A41" s="301" t="s">
        <v>309</v>
      </c>
      <c r="B41" s="73">
        <v>0</v>
      </c>
      <c r="C41" s="74">
        <v>0</v>
      </c>
      <c r="D41" s="257">
        <f t="shared" si="15"/>
        <v>0</v>
      </c>
      <c r="E41" s="266">
        <v>0</v>
      </c>
      <c r="F41" s="257">
        <f t="shared" si="16"/>
        <v>0</v>
      </c>
      <c r="G41" s="257">
        <f t="shared" si="17"/>
        <v>0</v>
      </c>
      <c r="H41" s="257">
        <f t="shared" si="18"/>
        <v>0</v>
      </c>
      <c r="I41" s="263">
        <f t="shared" si="19"/>
        <v>0</v>
      </c>
      <c r="O41" s="188">
        <f t="shared" si="0"/>
        <v>0</v>
      </c>
    </row>
    <row r="42" spans="1:15" x14ac:dyDescent="0.3">
      <c r="A42" s="301"/>
      <c r="B42" s="73"/>
      <c r="C42" s="74"/>
      <c r="D42" s="73"/>
      <c r="E42" s="266"/>
      <c r="F42" s="257"/>
      <c r="G42" s="257"/>
      <c r="H42" s="257"/>
      <c r="I42" s="263"/>
      <c r="O42" s="188">
        <f t="shared" si="0"/>
        <v>0</v>
      </c>
    </row>
    <row r="43" spans="1:15" ht="26.5" customHeight="1" x14ac:dyDescent="0.3">
      <c r="A43" s="269" t="s">
        <v>167</v>
      </c>
      <c r="B43" s="270"/>
      <c r="C43" s="271"/>
      <c r="D43" s="270"/>
      <c r="E43" s="272"/>
      <c r="F43" s="273">
        <f>SUM(F8:H42)</f>
        <v>1175.8347500000002</v>
      </c>
      <c r="G43" s="273"/>
      <c r="H43" s="273"/>
      <c r="I43" s="274">
        <f>SUM(I8:I42)</f>
        <v>145376.73210900003</v>
      </c>
      <c r="O43" s="188">
        <f t="shared" si="0"/>
        <v>0</v>
      </c>
    </row>
    <row r="44" spans="1:15" x14ac:dyDescent="0.3">
      <c r="A44" s="259" t="s">
        <v>168</v>
      </c>
      <c r="B44" s="261"/>
      <c r="C44" s="260"/>
      <c r="D44" s="261"/>
      <c r="E44" s="268"/>
      <c r="F44" s="261"/>
      <c r="G44" s="261"/>
      <c r="H44" s="261"/>
      <c r="I44" s="261"/>
      <c r="O44" s="188">
        <f t="shared" si="0"/>
        <v>0</v>
      </c>
    </row>
    <row r="45" spans="1:15" x14ac:dyDescent="0.3">
      <c r="A45" s="303" t="s">
        <v>132</v>
      </c>
      <c r="B45" s="257"/>
      <c r="C45" s="260"/>
      <c r="D45" s="261"/>
      <c r="E45" s="260"/>
      <c r="F45" s="261"/>
      <c r="G45" s="261"/>
      <c r="H45" s="261"/>
      <c r="I45" s="261"/>
      <c r="O45" s="188">
        <f t="shared" si="0"/>
        <v>0</v>
      </c>
    </row>
    <row r="46" spans="1:15" x14ac:dyDescent="0.3">
      <c r="A46" s="303" t="s">
        <v>169</v>
      </c>
      <c r="B46" s="257"/>
      <c r="C46" s="260"/>
      <c r="D46" s="261"/>
      <c r="E46" s="260"/>
      <c r="F46" s="261"/>
      <c r="G46" s="261"/>
      <c r="H46" s="261"/>
      <c r="I46" s="261"/>
      <c r="O46" s="188">
        <f t="shared" si="0"/>
        <v>0</v>
      </c>
    </row>
    <row r="47" spans="1:15" x14ac:dyDescent="0.3">
      <c r="A47" s="303" t="s">
        <v>170</v>
      </c>
      <c r="B47" s="257"/>
      <c r="C47" s="260"/>
      <c r="D47" s="261"/>
      <c r="E47" s="260"/>
      <c r="F47" s="261"/>
      <c r="G47" s="261"/>
      <c r="H47" s="261"/>
      <c r="I47" s="261"/>
      <c r="O47" s="188">
        <f t="shared" si="0"/>
        <v>0</v>
      </c>
    </row>
    <row r="48" spans="1:15" x14ac:dyDescent="0.3">
      <c r="A48" s="303" t="s">
        <v>171</v>
      </c>
      <c r="B48" s="257" t="s">
        <v>122</v>
      </c>
      <c r="C48" s="260"/>
      <c r="D48" s="261"/>
      <c r="E48" s="260"/>
      <c r="F48" s="261"/>
      <c r="G48" s="261"/>
      <c r="H48" s="261"/>
      <c r="I48" s="261"/>
      <c r="O48" s="188">
        <f t="shared" si="0"/>
        <v>0</v>
      </c>
    </row>
    <row r="49" spans="1:16" x14ac:dyDescent="0.3">
      <c r="A49" s="303" t="s">
        <v>172</v>
      </c>
      <c r="B49" s="261"/>
      <c r="C49" s="260"/>
      <c r="D49" s="261"/>
      <c r="E49" s="260"/>
      <c r="F49" s="261"/>
      <c r="G49" s="261"/>
      <c r="H49" s="261"/>
      <c r="I49" s="261"/>
      <c r="O49" s="188">
        <f t="shared" si="0"/>
        <v>0</v>
      </c>
    </row>
    <row r="50" spans="1:16" x14ac:dyDescent="0.3">
      <c r="A50" s="305" t="s">
        <v>163</v>
      </c>
      <c r="B50" s="261"/>
      <c r="C50" s="260"/>
      <c r="D50" s="261"/>
      <c r="E50" s="260"/>
      <c r="F50" s="261"/>
      <c r="G50" s="261"/>
      <c r="H50" s="261"/>
      <c r="I50" s="261"/>
      <c r="O50" s="188">
        <f t="shared" si="0"/>
        <v>0</v>
      </c>
    </row>
    <row r="51" spans="1:16" x14ac:dyDescent="0.3">
      <c r="A51" s="303" t="s">
        <v>173</v>
      </c>
      <c r="B51" s="257">
        <v>0.1</v>
      </c>
      <c r="C51" s="159">
        <v>1</v>
      </c>
      <c r="D51" s="257">
        <f>B51*C51</f>
        <v>0.1</v>
      </c>
      <c r="E51" s="266">
        <f>$L$17</f>
        <v>85</v>
      </c>
      <c r="F51" s="267">
        <f t="shared" ref="F51:F58" si="20">D51*E51</f>
        <v>8.5</v>
      </c>
      <c r="G51" s="257">
        <f t="shared" ref="G51:G58" si="21">F51*0.05</f>
        <v>0.42500000000000004</v>
      </c>
      <c r="H51" s="257">
        <f t="shared" ref="H51:H58" si="22">F51*0.1</f>
        <v>0.85000000000000009</v>
      </c>
      <c r="I51" s="262">
        <f>F51*$L$8+G51*$L$7+H51*$L$9</f>
        <v>1208.5520999999999</v>
      </c>
      <c r="O51" s="188">
        <f t="shared" si="0"/>
        <v>85</v>
      </c>
    </row>
    <row r="52" spans="1:16" x14ac:dyDescent="0.3">
      <c r="A52" s="303" t="s">
        <v>310</v>
      </c>
      <c r="B52" s="257">
        <v>0.1</v>
      </c>
      <c r="C52" s="159">
        <v>1</v>
      </c>
      <c r="D52" s="257">
        <v>24</v>
      </c>
      <c r="E52" s="266">
        <f>E51</f>
        <v>85</v>
      </c>
      <c r="F52" s="267">
        <f t="shared" si="20"/>
        <v>2040</v>
      </c>
      <c r="G52" s="257">
        <f t="shared" si="21"/>
        <v>102</v>
      </c>
      <c r="H52" s="257">
        <f t="shared" si="22"/>
        <v>204</v>
      </c>
      <c r="I52" s="262">
        <f>F52*$L$8+G52*$L$7+H52*$L$9</f>
        <v>290052.50400000002</v>
      </c>
      <c r="O52" s="188">
        <f t="shared" si="0"/>
        <v>85</v>
      </c>
    </row>
    <row r="53" spans="1:16" ht="26" x14ac:dyDescent="0.3">
      <c r="A53" s="301" t="s">
        <v>311</v>
      </c>
      <c r="B53" s="73">
        <v>0.1</v>
      </c>
      <c r="C53" s="74">
        <v>330</v>
      </c>
      <c r="D53" s="73">
        <f t="shared" ref="D53" si="23">B53*C53</f>
        <v>33</v>
      </c>
      <c r="E53" s="266">
        <f>$L$17</f>
        <v>85</v>
      </c>
      <c r="F53" s="267">
        <f t="shared" si="20"/>
        <v>2805</v>
      </c>
      <c r="G53" s="257">
        <f t="shared" si="21"/>
        <v>140.25</v>
      </c>
      <c r="H53" s="257">
        <f t="shared" si="22"/>
        <v>280.5</v>
      </c>
      <c r="I53" s="262">
        <f>F53*$L$8+G53*$L$7+H53*$L$9</f>
        <v>398822.19299999991</v>
      </c>
      <c r="O53" s="188">
        <f t="shared" si="0"/>
        <v>28050</v>
      </c>
    </row>
    <row r="54" spans="1:16" x14ac:dyDescent="0.3">
      <c r="A54" s="305" t="s">
        <v>158</v>
      </c>
      <c r="B54" s="257"/>
      <c r="C54" s="159"/>
      <c r="D54" s="257"/>
      <c r="E54" s="266"/>
      <c r="F54" s="267"/>
      <c r="G54" s="257"/>
      <c r="H54" s="257"/>
      <c r="I54" s="263"/>
      <c r="O54" s="188">
        <f t="shared" si="0"/>
        <v>0</v>
      </c>
    </row>
    <row r="55" spans="1:16" x14ac:dyDescent="0.3">
      <c r="A55" s="303" t="s">
        <v>173</v>
      </c>
      <c r="B55" s="73">
        <v>0</v>
      </c>
      <c r="C55" s="74">
        <v>0</v>
      </c>
      <c r="D55" s="257">
        <f>B55*C55</f>
        <v>0</v>
      </c>
      <c r="E55" s="266">
        <f>$L$15</f>
        <v>0</v>
      </c>
      <c r="F55" s="267">
        <f t="shared" ref="F55:F56" si="24">D55*E55</f>
        <v>0</v>
      </c>
      <c r="G55" s="257">
        <f t="shared" ref="G55:G56" si="25">F55*0.05</f>
        <v>0</v>
      </c>
      <c r="H55" s="257">
        <f t="shared" ref="H55:H56" si="26">F55*0.1</f>
        <v>0</v>
      </c>
      <c r="I55" s="262">
        <f>F55*$L$8+G55*$L$7+H55*$L$9</f>
        <v>0</v>
      </c>
      <c r="O55" s="188">
        <f t="shared" si="0"/>
        <v>0</v>
      </c>
    </row>
    <row r="56" spans="1:16" x14ac:dyDescent="0.3">
      <c r="A56" s="303" t="s">
        <v>310</v>
      </c>
      <c r="B56" s="73">
        <v>0</v>
      </c>
      <c r="C56" s="74">
        <v>0</v>
      </c>
      <c r="D56" s="257">
        <f t="shared" ref="D56:D58" si="27">B56*C56</f>
        <v>0</v>
      </c>
      <c r="E56" s="266">
        <f>$L$15</f>
        <v>0</v>
      </c>
      <c r="F56" s="267">
        <f t="shared" si="24"/>
        <v>0</v>
      </c>
      <c r="G56" s="257">
        <f t="shared" si="25"/>
        <v>0</v>
      </c>
      <c r="H56" s="257">
        <f t="shared" si="26"/>
        <v>0</v>
      </c>
      <c r="I56" s="262">
        <f>F56*$L$8+G56*$L$7+H56*$L$9</f>
        <v>0</v>
      </c>
      <c r="O56" s="188">
        <f t="shared" si="0"/>
        <v>0</v>
      </c>
    </row>
    <row r="57" spans="1:16" x14ac:dyDescent="0.3">
      <c r="A57" s="301" t="s">
        <v>312</v>
      </c>
      <c r="B57" s="73">
        <v>0</v>
      </c>
      <c r="C57" s="74">
        <v>0</v>
      </c>
      <c r="D57" s="73">
        <f t="shared" si="27"/>
        <v>0</v>
      </c>
      <c r="E57" s="266">
        <f>$L$15</f>
        <v>0</v>
      </c>
      <c r="F57" s="267">
        <f t="shared" ref="F57" si="28">D57*E57</f>
        <v>0</v>
      </c>
      <c r="G57" s="257">
        <f t="shared" ref="G57" si="29">F57*0.05</f>
        <v>0</v>
      </c>
      <c r="H57" s="257">
        <f t="shared" ref="H57" si="30">F57*0.1</f>
        <v>0</v>
      </c>
      <c r="I57" s="262">
        <f>F57*$L$8+G57*$L$7+H57*$L$9</f>
        <v>0</v>
      </c>
      <c r="O57" s="188">
        <f t="shared" si="0"/>
        <v>0</v>
      </c>
    </row>
    <row r="58" spans="1:16" x14ac:dyDescent="0.3">
      <c r="A58" s="303" t="s">
        <v>313</v>
      </c>
      <c r="B58" s="73">
        <v>0</v>
      </c>
      <c r="C58" s="74">
        <v>0</v>
      </c>
      <c r="D58" s="257">
        <f t="shared" si="27"/>
        <v>0</v>
      </c>
      <c r="E58" s="266">
        <f>$L$15</f>
        <v>0</v>
      </c>
      <c r="F58" s="267">
        <f t="shared" si="20"/>
        <v>0</v>
      </c>
      <c r="G58" s="257">
        <f t="shared" si="21"/>
        <v>0</v>
      </c>
      <c r="H58" s="257">
        <f t="shared" si="22"/>
        <v>0</v>
      </c>
      <c r="I58" s="262">
        <f>F58*$L$8+G58*$L$7+H58*$L$9</f>
        <v>0</v>
      </c>
      <c r="O58" s="188">
        <f t="shared" si="0"/>
        <v>0</v>
      </c>
    </row>
    <row r="59" spans="1:16" x14ac:dyDescent="0.3">
      <c r="A59" s="303" t="s">
        <v>186</v>
      </c>
      <c r="B59" s="257" t="s">
        <v>122</v>
      </c>
      <c r="C59" s="260"/>
      <c r="D59" s="261"/>
      <c r="E59" s="260"/>
      <c r="F59" s="261"/>
      <c r="G59" s="261"/>
      <c r="H59" s="261"/>
      <c r="I59" s="261"/>
      <c r="O59" s="188">
        <f t="shared" si="0"/>
        <v>0</v>
      </c>
    </row>
    <row r="60" spans="1:16" ht="31.5" customHeight="1" x14ac:dyDescent="0.3">
      <c r="A60" s="269" t="s">
        <v>188</v>
      </c>
      <c r="B60" s="275"/>
      <c r="C60" s="276"/>
      <c r="D60" s="275"/>
      <c r="E60" s="277"/>
      <c r="F60" s="273">
        <f>SUM(F51:H59)</f>
        <v>5581.5249999999996</v>
      </c>
      <c r="G60" s="273"/>
      <c r="H60" s="273"/>
      <c r="I60" s="274">
        <f>SUM(I51:I59)</f>
        <v>690083.2490999999</v>
      </c>
      <c r="O60" s="188">
        <f>SUM(O6:O59)</f>
        <v>28521.494999999999</v>
      </c>
      <c r="P60" s="188" t="s">
        <v>248</v>
      </c>
    </row>
    <row r="61" spans="1:16" ht="37" customHeight="1" x14ac:dyDescent="0.3">
      <c r="A61" s="278" t="s">
        <v>314</v>
      </c>
      <c r="B61" s="279"/>
      <c r="C61" s="169"/>
      <c r="D61" s="279"/>
      <c r="E61" s="280"/>
      <c r="F61" s="469">
        <f>ROUND(F60+F43, -2)</f>
        <v>6800</v>
      </c>
      <c r="G61" s="469"/>
      <c r="H61" s="469"/>
      <c r="I61" s="281">
        <f>ROUND(I60+I43, -4)</f>
        <v>840000</v>
      </c>
      <c r="K61" s="282">
        <f>F61/212</f>
        <v>32.075471698113205</v>
      </c>
      <c r="L61" s="188" t="s">
        <v>190</v>
      </c>
    </row>
    <row r="62" spans="1:16" ht="31" customHeight="1" x14ac:dyDescent="0.3">
      <c r="A62" s="168" t="s">
        <v>315</v>
      </c>
      <c r="B62" s="261"/>
      <c r="C62" s="260"/>
      <c r="D62" s="261"/>
      <c r="E62" s="260"/>
      <c r="F62" s="261"/>
      <c r="G62" s="261"/>
      <c r="H62" s="261"/>
      <c r="I62" s="281"/>
    </row>
    <row r="63" spans="1:16" ht="15" x14ac:dyDescent="0.3">
      <c r="A63" s="168" t="s">
        <v>316</v>
      </c>
      <c r="B63" s="261"/>
      <c r="C63" s="260"/>
      <c r="D63" s="261"/>
      <c r="E63" s="260"/>
      <c r="F63" s="261"/>
      <c r="G63" s="261"/>
      <c r="H63" s="261"/>
      <c r="I63" s="281">
        <f>ROUND(I61+I62, -5)</f>
        <v>800000</v>
      </c>
    </row>
    <row r="65" spans="1:9" ht="15.65" customHeight="1" x14ac:dyDescent="0.3">
      <c r="A65" s="467" t="s">
        <v>402</v>
      </c>
      <c r="B65" s="467"/>
      <c r="C65" s="467"/>
      <c r="D65" s="467"/>
      <c r="E65" s="467"/>
      <c r="F65" s="467"/>
      <c r="G65" s="467"/>
      <c r="H65" s="467"/>
      <c r="I65" s="467"/>
    </row>
    <row r="66" spans="1:9" ht="79" customHeight="1" x14ac:dyDescent="0.3">
      <c r="A66" s="446" t="s">
        <v>194</v>
      </c>
      <c r="B66" s="446"/>
      <c r="C66" s="446"/>
      <c r="D66" s="446"/>
      <c r="E66" s="446"/>
      <c r="F66" s="446"/>
      <c r="G66" s="446"/>
      <c r="H66" s="446"/>
      <c r="I66" s="446"/>
    </row>
    <row r="67" spans="1:9" ht="23.15" customHeight="1" x14ac:dyDescent="0.3">
      <c r="A67" s="467" t="s">
        <v>403</v>
      </c>
      <c r="B67" s="467"/>
      <c r="C67" s="467"/>
      <c r="D67" s="467"/>
      <c r="E67" s="467"/>
      <c r="F67" s="467"/>
      <c r="G67" s="467"/>
      <c r="H67" s="467"/>
      <c r="I67" s="467"/>
    </row>
    <row r="68" spans="1:9" ht="21" customHeight="1" x14ac:dyDescent="0.3">
      <c r="A68" s="470" t="s">
        <v>404</v>
      </c>
      <c r="B68" s="470"/>
      <c r="C68" s="470"/>
      <c r="D68" s="470"/>
      <c r="E68" s="470"/>
      <c r="F68" s="470"/>
      <c r="G68" s="470"/>
      <c r="H68" s="470"/>
      <c r="I68" s="470"/>
    </row>
    <row r="69" spans="1:9" ht="18.75" customHeight="1" x14ac:dyDescent="0.3">
      <c r="A69" s="466" t="s">
        <v>319</v>
      </c>
      <c r="B69" s="466"/>
      <c r="C69" s="466"/>
      <c r="D69" s="466"/>
      <c r="E69" s="466"/>
      <c r="F69" s="466"/>
      <c r="G69" s="466"/>
      <c r="H69" s="466"/>
      <c r="I69" s="466"/>
    </row>
    <row r="70" spans="1:9" ht="18.75" customHeight="1" x14ac:dyDescent="0.3">
      <c r="A70" s="466"/>
      <c r="B70" s="466"/>
      <c r="C70" s="466"/>
      <c r="D70" s="466"/>
      <c r="E70" s="466"/>
      <c r="F70" s="466"/>
      <c r="G70" s="466"/>
      <c r="H70" s="466"/>
      <c r="I70" s="466"/>
    </row>
  </sheetData>
  <mergeCells count="10">
    <mergeCell ref="K6:L6"/>
    <mergeCell ref="F61:H61"/>
    <mergeCell ref="A65:I65"/>
    <mergeCell ref="A66:I66"/>
    <mergeCell ref="A67:I67"/>
    <mergeCell ref="A68:I68"/>
    <mergeCell ref="A69:I69"/>
    <mergeCell ref="A70:I70"/>
    <mergeCell ref="A1:I1"/>
    <mergeCell ref="A3:I3"/>
  </mergeCells>
  <pageMargins left="0.7" right="0.7" top="0.75" bottom="0.75" header="0.3" footer="0.3"/>
  <pageSetup scale="37"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9FCB-883E-4DE8-BFD2-4275EE7528AA}">
  <sheetPr>
    <pageSetUpPr fitToPage="1"/>
  </sheetPr>
  <dimension ref="A1:P70"/>
  <sheetViews>
    <sheetView zoomScale="80" zoomScaleNormal="80" workbookViewId="0">
      <pane xSplit="9" ySplit="5" topLeftCell="J54" activePane="bottomRight" state="frozen"/>
      <selection pane="topRight" activeCell="A73" sqref="A73"/>
      <selection pane="bottomLeft" activeCell="A73" sqref="A73"/>
      <selection pane="bottomRight" activeCell="I53" sqref="I53"/>
    </sheetView>
  </sheetViews>
  <sheetFormatPr defaultColWidth="9.1796875" defaultRowHeight="13" x14ac:dyDescent="0.3"/>
  <cols>
    <col min="1" max="1" width="33.453125" style="188" customWidth="1"/>
    <col min="2" max="2" width="10.1796875" style="188" customWidth="1"/>
    <col min="3" max="3" width="12" style="231" customWidth="1"/>
    <col min="4" max="4" width="11.1796875" style="188" customWidth="1"/>
    <col min="5" max="5" width="12.1796875" style="231" customWidth="1"/>
    <col min="6" max="6" width="10.453125" style="188" customWidth="1"/>
    <col min="7" max="7" width="11.54296875" style="188" customWidth="1"/>
    <col min="8" max="8" width="11.453125" style="188" customWidth="1"/>
    <col min="9" max="9" width="14.453125" style="188" customWidth="1"/>
    <col min="10" max="10" width="16.453125" style="188" customWidth="1"/>
    <col min="11" max="11" width="19.453125" style="188" customWidth="1"/>
    <col min="12" max="12" width="15" style="188" customWidth="1"/>
    <col min="13" max="13" width="35.54296875" style="188" customWidth="1"/>
    <col min="14" max="14" width="6.81640625" style="188" customWidth="1"/>
    <col min="15" max="15" width="17.1796875" style="188" customWidth="1"/>
    <col min="16" max="16384" width="9.1796875" style="188"/>
  </cols>
  <sheetData>
    <row r="1" spans="1:15" ht="15" x14ac:dyDescent="0.3">
      <c r="A1" s="462" t="s">
        <v>416</v>
      </c>
      <c r="B1" s="462"/>
      <c r="C1" s="462"/>
      <c r="D1" s="462"/>
      <c r="E1" s="462"/>
      <c r="F1" s="462"/>
      <c r="G1" s="462"/>
      <c r="H1" s="462"/>
      <c r="I1" s="462"/>
    </row>
    <row r="2" spans="1:15" ht="15" x14ac:dyDescent="0.3">
      <c r="A2" s="423" t="s">
        <v>396</v>
      </c>
      <c r="B2" s="423"/>
      <c r="C2" s="423"/>
      <c r="D2" s="423"/>
      <c r="E2" s="423"/>
      <c r="F2" s="423"/>
      <c r="G2" s="423"/>
      <c r="H2" s="423"/>
      <c r="I2" s="423"/>
    </row>
    <row r="3" spans="1:15" ht="33" customHeight="1" x14ac:dyDescent="0.3">
      <c r="A3" s="462" t="s">
        <v>397</v>
      </c>
      <c r="B3" s="462"/>
      <c r="C3" s="462"/>
      <c r="D3" s="462"/>
      <c r="E3" s="462"/>
      <c r="F3" s="462"/>
      <c r="G3" s="462"/>
      <c r="H3" s="462"/>
      <c r="I3" s="462"/>
    </row>
    <row r="5" spans="1:15" ht="65" x14ac:dyDescent="0.3">
      <c r="A5" s="256" t="s">
        <v>111</v>
      </c>
      <c r="B5" s="257" t="s">
        <v>112</v>
      </c>
      <c r="C5" s="159" t="s">
        <v>113</v>
      </c>
      <c r="D5" s="257" t="s">
        <v>114</v>
      </c>
      <c r="E5" s="159" t="s">
        <v>115</v>
      </c>
      <c r="F5" s="257" t="s">
        <v>116</v>
      </c>
      <c r="G5" s="257" t="s">
        <v>117</v>
      </c>
      <c r="H5" s="257" t="s">
        <v>118</v>
      </c>
      <c r="I5" s="257" t="s">
        <v>119</v>
      </c>
      <c r="J5" s="258"/>
      <c r="O5" s="188" t="s">
        <v>120</v>
      </c>
    </row>
    <row r="6" spans="1:15" x14ac:dyDescent="0.3">
      <c r="A6" s="259" t="s">
        <v>121</v>
      </c>
      <c r="B6" s="257" t="s">
        <v>122</v>
      </c>
      <c r="C6" s="260"/>
      <c r="D6" s="261"/>
      <c r="E6" s="260"/>
      <c r="F6" s="261"/>
      <c r="G6" s="261"/>
      <c r="H6" s="261"/>
      <c r="I6" s="261"/>
      <c r="K6" s="468" t="s">
        <v>123</v>
      </c>
      <c r="L6" s="468"/>
      <c r="O6" s="188">
        <f>C6*E6</f>
        <v>0</v>
      </c>
    </row>
    <row r="7" spans="1:15" ht="35.5" customHeight="1" x14ac:dyDescent="0.3">
      <c r="A7" s="259" t="s">
        <v>124</v>
      </c>
      <c r="B7" s="257" t="s">
        <v>122</v>
      </c>
      <c r="C7" s="260"/>
      <c r="D7" s="261"/>
      <c r="E7" s="260"/>
      <c r="F7" s="261"/>
      <c r="G7" s="261"/>
      <c r="H7" s="261"/>
      <c r="I7" s="261"/>
      <c r="K7" s="157" t="s">
        <v>125</v>
      </c>
      <c r="L7" s="195">
        <f>76.96*2.1</f>
        <v>161.61599999999999</v>
      </c>
      <c r="M7" s="196" t="s">
        <v>126</v>
      </c>
      <c r="O7" s="188">
        <f t="shared" ref="O7:O59" si="0">C7*E7</f>
        <v>0</v>
      </c>
    </row>
    <row r="8" spans="1:15" ht="56.5" customHeight="1" x14ac:dyDescent="0.3">
      <c r="A8" s="259" t="s">
        <v>127</v>
      </c>
      <c r="B8" s="257">
        <v>0</v>
      </c>
      <c r="C8" s="159">
        <v>0</v>
      </c>
      <c r="D8" s="257">
        <f>B8*C8</f>
        <v>0</v>
      </c>
      <c r="E8" s="159">
        <f>L15</f>
        <v>0</v>
      </c>
      <c r="F8" s="257">
        <f>D8*E8</f>
        <v>0</v>
      </c>
      <c r="G8" s="257">
        <f>F8*0.05</f>
        <v>0</v>
      </c>
      <c r="H8" s="257">
        <f>F8*0.1</f>
        <v>0</v>
      </c>
      <c r="I8" s="262">
        <f>F8*$L$8+G8*$L$7+H8*$L$9</f>
        <v>0</v>
      </c>
      <c r="K8" s="157" t="s">
        <v>128</v>
      </c>
      <c r="L8" s="195">
        <f>60.8*2.1</f>
        <v>127.67999999999999</v>
      </c>
      <c r="M8" s="198"/>
      <c r="O8" s="188">
        <f t="shared" si="0"/>
        <v>0</v>
      </c>
    </row>
    <row r="9" spans="1:15" x14ac:dyDescent="0.3">
      <c r="A9" s="259" t="s">
        <v>129</v>
      </c>
      <c r="B9" s="257"/>
      <c r="C9" s="159"/>
      <c r="D9" s="257"/>
      <c r="E9" s="159"/>
      <c r="F9" s="257"/>
      <c r="G9" s="257"/>
      <c r="H9" s="257"/>
      <c r="I9" s="261"/>
      <c r="K9" s="157" t="s">
        <v>130</v>
      </c>
      <c r="L9" s="195">
        <f>30.58*2.1</f>
        <v>64.218000000000004</v>
      </c>
      <c r="M9" s="198"/>
      <c r="O9" s="188">
        <f t="shared" si="0"/>
        <v>0</v>
      </c>
    </row>
    <row r="10" spans="1:15" x14ac:dyDescent="0.3">
      <c r="A10" s="259" t="s">
        <v>289</v>
      </c>
      <c r="B10" s="257">
        <v>0</v>
      </c>
      <c r="C10" s="159">
        <v>0</v>
      </c>
      <c r="D10" s="257">
        <f>B10*C10</f>
        <v>0</v>
      </c>
      <c r="E10" s="159">
        <v>0</v>
      </c>
      <c r="F10" s="257">
        <f>D10*E10</f>
        <v>0</v>
      </c>
      <c r="G10" s="257">
        <f>F10*0.05</f>
        <v>0</v>
      </c>
      <c r="H10" s="257">
        <f>F10*0.1</f>
        <v>0</v>
      </c>
      <c r="I10" s="263">
        <f>F10*$L$8+G10*$L$7+H10*$L$9</f>
        <v>0</v>
      </c>
      <c r="K10" s="312"/>
      <c r="L10" s="311"/>
      <c r="M10" s="198"/>
      <c r="O10" s="188">
        <f t="shared" si="0"/>
        <v>0</v>
      </c>
    </row>
    <row r="11" spans="1:15" x14ac:dyDescent="0.3">
      <c r="A11" s="303" t="s">
        <v>132</v>
      </c>
      <c r="B11" s="257">
        <v>0</v>
      </c>
      <c r="C11" s="159">
        <v>0</v>
      </c>
      <c r="D11" s="257">
        <f>B11*C11</f>
        <v>0</v>
      </c>
      <c r="E11" s="159">
        <v>0</v>
      </c>
      <c r="F11" s="257">
        <f>D11*E11</f>
        <v>0</v>
      </c>
      <c r="G11" s="257">
        <f>F11*0.05</f>
        <v>0</v>
      </c>
      <c r="H11" s="257">
        <f>F11*0.1</f>
        <v>0</v>
      </c>
      <c r="I11" s="263">
        <f>F11*$L$8+G11*$L$7+H11*$L$9</f>
        <v>0</v>
      </c>
      <c r="K11" s="264"/>
      <c r="O11" s="188">
        <f t="shared" si="0"/>
        <v>0</v>
      </c>
    </row>
    <row r="12" spans="1:15" ht="15.75" customHeight="1" x14ac:dyDescent="0.3">
      <c r="A12" s="303" t="s">
        <v>133</v>
      </c>
      <c r="B12" s="257"/>
      <c r="C12" s="159"/>
      <c r="D12" s="257"/>
      <c r="E12" s="159"/>
      <c r="F12" s="257"/>
      <c r="G12" s="257"/>
      <c r="H12" s="257"/>
      <c r="I12" s="263"/>
      <c r="O12" s="188">
        <f t="shared" si="0"/>
        <v>0</v>
      </c>
    </row>
    <row r="13" spans="1:15" ht="15.5" x14ac:dyDescent="0.3">
      <c r="A13" s="304" t="s">
        <v>290</v>
      </c>
      <c r="B13" s="257"/>
      <c r="C13" s="159"/>
      <c r="D13" s="257"/>
      <c r="E13" s="266"/>
      <c r="F13" s="267"/>
      <c r="G13" s="257"/>
      <c r="H13" s="257"/>
      <c r="I13" s="263"/>
      <c r="O13" s="188">
        <f t="shared" si="0"/>
        <v>0</v>
      </c>
    </row>
    <row r="14" spans="1:15" ht="25.5" customHeight="1" x14ac:dyDescent="0.3">
      <c r="A14" s="253" t="s">
        <v>370</v>
      </c>
      <c r="B14" s="159">
        <v>6</v>
      </c>
      <c r="C14" s="159">
        <v>1</v>
      </c>
      <c r="D14" s="257">
        <f>B14*C14</f>
        <v>6</v>
      </c>
      <c r="E14" s="266">
        <f>L$16</f>
        <v>5.95</v>
      </c>
      <c r="F14" s="267">
        <f>D14*E14</f>
        <v>35.700000000000003</v>
      </c>
      <c r="G14" s="257">
        <f>F14*0.05</f>
        <v>1.7850000000000001</v>
      </c>
      <c r="H14" s="257">
        <f>F14*0.1</f>
        <v>3.5700000000000003</v>
      </c>
      <c r="I14" s="262">
        <f>F14*$L$8+G14*$L$7+H14*$L$9</f>
        <v>5075.9188199999999</v>
      </c>
      <c r="K14" s="265"/>
      <c r="L14" s="265" t="s">
        <v>398</v>
      </c>
      <c r="O14" s="188">
        <f t="shared" si="0"/>
        <v>5.95</v>
      </c>
    </row>
    <row r="15" spans="1:15" x14ac:dyDescent="0.3">
      <c r="A15" s="253" t="s">
        <v>293</v>
      </c>
      <c r="B15" s="159">
        <v>6</v>
      </c>
      <c r="C15" s="159">
        <v>1</v>
      </c>
      <c r="D15" s="257">
        <f t="shared" ref="D15" si="1">B15*C15</f>
        <v>6</v>
      </c>
      <c r="E15" s="266">
        <f>E14*0.05</f>
        <v>0.29750000000000004</v>
      </c>
      <c r="F15" s="267">
        <f t="shared" ref="F15:F23" si="2">D15*E15</f>
        <v>1.7850000000000001</v>
      </c>
      <c r="G15" s="257">
        <f t="shared" ref="G15:G23" si="3">F15*0.05</f>
        <v>8.925000000000001E-2</v>
      </c>
      <c r="H15" s="257">
        <f t="shared" ref="H15:H23" si="4">F15*0.1</f>
        <v>0.17850000000000002</v>
      </c>
      <c r="I15" s="262">
        <f t="shared" ref="I15:I23" si="5">F15*$L$8+G15*$L$7+H15*$L$9</f>
        <v>253.79594100000003</v>
      </c>
      <c r="J15" s="264"/>
      <c r="K15" s="265"/>
      <c r="L15" s="265">
        <v>0</v>
      </c>
      <c r="O15" s="188">
        <f t="shared" si="0"/>
        <v>0.29750000000000004</v>
      </c>
    </row>
    <row r="16" spans="1:15" ht="26" x14ac:dyDescent="0.3">
      <c r="A16" s="301" t="s">
        <v>295</v>
      </c>
      <c r="B16" s="73">
        <v>8</v>
      </c>
      <c r="C16" s="74">
        <v>1</v>
      </c>
      <c r="D16" s="73">
        <f>B16*C16</f>
        <v>8</v>
      </c>
      <c r="E16" s="266">
        <f>L$16</f>
        <v>5.95</v>
      </c>
      <c r="F16" s="267">
        <f t="shared" si="2"/>
        <v>47.6</v>
      </c>
      <c r="G16" s="257">
        <f t="shared" si="3"/>
        <v>2.3800000000000003</v>
      </c>
      <c r="H16" s="257">
        <f t="shared" si="4"/>
        <v>4.7600000000000007</v>
      </c>
      <c r="I16" s="262">
        <f t="shared" si="5"/>
        <v>6767.8917600000004</v>
      </c>
      <c r="J16" s="264"/>
      <c r="K16" s="265" t="s">
        <v>136</v>
      </c>
      <c r="L16" s="265">
        <f>L15+L17*0.07</f>
        <v>5.95</v>
      </c>
      <c r="M16" s="264" t="s">
        <v>294</v>
      </c>
      <c r="O16" s="188">
        <f t="shared" si="0"/>
        <v>5.95</v>
      </c>
    </row>
    <row r="17" spans="1:15" x14ac:dyDescent="0.3">
      <c r="A17" s="301" t="s">
        <v>296</v>
      </c>
      <c r="B17" s="74">
        <v>8</v>
      </c>
      <c r="C17" s="74">
        <v>1</v>
      </c>
      <c r="D17" s="73">
        <f t="shared" ref="D17" si="6">B17*C17</f>
        <v>8</v>
      </c>
      <c r="E17" s="266">
        <f>E16*0.05</f>
        <v>0.29750000000000004</v>
      </c>
      <c r="F17" s="267">
        <f t="shared" si="2"/>
        <v>2.3800000000000003</v>
      </c>
      <c r="G17" s="257">
        <f t="shared" si="3"/>
        <v>0.11900000000000002</v>
      </c>
      <c r="H17" s="257">
        <f t="shared" si="4"/>
        <v>0.23800000000000004</v>
      </c>
      <c r="I17" s="262">
        <f t="shared" si="5"/>
        <v>338.394588</v>
      </c>
      <c r="J17" s="264"/>
      <c r="K17" s="265" t="s">
        <v>141</v>
      </c>
      <c r="L17" s="265">
        <f>'SI-Y1'!$L$18</f>
        <v>85</v>
      </c>
      <c r="O17" s="188">
        <f t="shared" si="0"/>
        <v>0.29750000000000004</v>
      </c>
    </row>
    <row r="18" spans="1:15" ht="15.5" x14ac:dyDescent="0.3">
      <c r="A18" s="306" t="s">
        <v>297</v>
      </c>
      <c r="B18" s="74"/>
      <c r="C18" s="74"/>
      <c r="D18" s="73"/>
      <c r="E18" s="266"/>
      <c r="F18" s="267"/>
      <c r="G18" s="257"/>
      <c r="H18" s="257"/>
      <c r="I18" s="263"/>
      <c r="J18" s="264"/>
      <c r="K18" s="327"/>
      <c r="L18" s="327"/>
      <c r="O18" s="188">
        <f t="shared" si="0"/>
        <v>0</v>
      </c>
    </row>
    <row r="19" spans="1:15" x14ac:dyDescent="0.3">
      <c r="A19" s="301" t="s">
        <v>295</v>
      </c>
      <c r="B19" s="257">
        <v>0</v>
      </c>
      <c r="C19" s="159">
        <v>0</v>
      </c>
      <c r="D19" s="73">
        <f>B19*C19</f>
        <v>0</v>
      </c>
      <c r="E19" s="266">
        <v>0</v>
      </c>
      <c r="F19" s="267">
        <f t="shared" ref="F19:F20" si="7">D19*E19</f>
        <v>0</v>
      </c>
      <c r="G19" s="257">
        <f t="shared" ref="G19:G20" si="8">F19*0.05</f>
        <v>0</v>
      </c>
      <c r="H19" s="257">
        <f t="shared" ref="H19:H20" si="9">F19*0.1</f>
        <v>0</v>
      </c>
      <c r="I19" s="263">
        <f t="shared" ref="I19:I20" si="10">F19*$L$8+G19*$L$7+H19*$L$9</f>
        <v>0</v>
      </c>
      <c r="J19" s="264"/>
      <c r="K19" s="327"/>
      <c r="L19" s="327"/>
      <c r="O19" s="188">
        <f t="shared" si="0"/>
        <v>0</v>
      </c>
    </row>
    <row r="20" spans="1:15" x14ac:dyDescent="0.3">
      <c r="A20" s="301" t="s">
        <v>296</v>
      </c>
      <c r="B20" s="257">
        <v>0</v>
      </c>
      <c r="C20" s="159">
        <v>0</v>
      </c>
      <c r="D20" s="73">
        <f t="shared" ref="D20" si="11">B20*C20</f>
        <v>0</v>
      </c>
      <c r="E20" s="266">
        <f>E19*0.05</f>
        <v>0</v>
      </c>
      <c r="F20" s="267">
        <f t="shared" si="7"/>
        <v>0</v>
      </c>
      <c r="G20" s="257">
        <f t="shared" si="8"/>
        <v>0</v>
      </c>
      <c r="H20" s="257">
        <f t="shared" si="9"/>
        <v>0</v>
      </c>
      <c r="I20" s="263">
        <f t="shared" si="10"/>
        <v>0</v>
      </c>
      <c r="J20" s="264"/>
      <c r="K20" s="327"/>
      <c r="L20" s="327"/>
      <c r="O20" s="188">
        <f t="shared" si="0"/>
        <v>0</v>
      </c>
    </row>
    <row r="21" spans="1:15" ht="15.5" x14ac:dyDescent="0.3">
      <c r="A21" s="304" t="s">
        <v>298</v>
      </c>
      <c r="B21" s="257"/>
      <c r="C21" s="159"/>
      <c r="D21" s="257"/>
      <c r="E21" s="159"/>
      <c r="F21" s="267"/>
      <c r="G21" s="257"/>
      <c r="H21" s="257"/>
      <c r="I21" s="263"/>
      <c r="L21" s="264"/>
      <c r="M21" s="264"/>
      <c r="O21" s="188">
        <f t="shared" si="0"/>
        <v>0</v>
      </c>
    </row>
    <row r="22" spans="1:15" x14ac:dyDescent="0.3">
      <c r="A22" s="303" t="s">
        <v>372</v>
      </c>
      <c r="B22" s="257">
        <v>6</v>
      </c>
      <c r="C22" s="159">
        <v>1</v>
      </c>
      <c r="D22" s="257">
        <f>B22*C22</f>
        <v>6</v>
      </c>
      <c r="E22" s="266">
        <f>L$17</f>
        <v>85</v>
      </c>
      <c r="F22" s="267">
        <f t="shared" si="2"/>
        <v>510</v>
      </c>
      <c r="G22" s="257">
        <f t="shared" si="3"/>
        <v>25.5</v>
      </c>
      <c r="H22" s="257">
        <f t="shared" si="4"/>
        <v>51</v>
      </c>
      <c r="I22" s="262">
        <f t="shared" si="5"/>
        <v>72513.126000000004</v>
      </c>
      <c r="J22" s="198"/>
      <c r="N22" s="264"/>
      <c r="O22" s="188">
        <f t="shared" si="0"/>
        <v>85</v>
      </c>
    </row>
    <row r="23" spans="1:15" x14ac:dyDescent="0.3">
      <c r="A23" s="303" t="s">
        <v>300</v>
      </c>
      <c r="B23" s="159">
        <v>6</v>
      </c>
      <c r="C23" s="159">
        <v>1</v>
      </c>
      <c r="D23" s="257">
        <f t="shared" ref="D23" si="12">B23*C23</f>
        <v>6</v>
      </c>
      <c r="E23" s="266">
        <f>E22*0.05</f>
        <v>4.25</v>
      </c>
      <c r="F23" s="267">
        <f t="shared" si="2"/>
        <v>25.5</v>
      </c>
      <c r="G23" s="257">
        <f t="shared" si="3"/>
        <v>1.2750000000000001</v>
      </c>
      <c r="H23" s="257">
        <f t="shared" si="4"/>
        <v>2.5500000000000003</v>
      </c>
      <c r="I23" s="262">
        <f t="shared" si="5"/>
        <v>3625.6562999999996</v>
      </c>
      <c r="J23" s="198"/>
      <c r="O23" s="188">
        <f t="shared" si="0"/>
        <v>4.25</v>
      </c>
    </row>
    <row r="24" spans="1:15" ht="15.5" x14ac:dyDescent="0.3">
      <c r="A24" s="306" t="s">
        <v>151</v>
      </c>
      <c r="B24" s="92"/>
      <c r="C24" s="93"/>
      <c r="D24" s="92"/>
      <c r="E24" s="266"/>
      <c r="F24" s="267"/>
      <c r="G24" s="257"/>
      <c r="H24" s="257"/>
      <c r="I24" s="263"/>
      <c r="J24" s="198"/>
      <c r="O24" s="188">
        <f t="shared" si="0"/>
        <v>0</v>
      </c>
    </row>
    <row r="25" spans="1:15" x14ac:dyDescent="0.3">
      <c r="A25" s="301"/>
      <c r="B25" s="73"/>
      <c r="C25" s="74"/>
      <c r="D25" s="73"/>
      <c r="E25" s="266"/>
      <c r="F25" s="267"/>
      <c r="G25" s="257"/>
      <c r="H25" s="257"/>
      <c r="I25" s="263"/>
      <c r="J25" s="198"/>
      <c r="O25" s="188">
        <f t="shared" si="0"/>
        <v>0</v>
      </c>
    </row>
    <row r="26" spans="1:15" x14ac:dyDescent="0.3">
      <c r="A26" s="301"/>
      <c r="B26" s="73"/>
      <c r="C26" s="74"/>
      <c r="D26" s="73"/>
      <c r="E26" s="266"/>
      <c r="F26" s="267"/>
      <c r="G26" s="257"/>
      <c r="H26" s="257"/>
      <c r="I26" s="263"/>
      <c r="J26" s="198"/>
      <c r="O26" s="188">
        <f t="shared" si="0"/>
        <v>0</v>
      </c>
    </row>
    <row r="27" spans="1:15" x14ac:dyDescent="0.3">
      <c r="A27" s="301" t="s">
        <v>155</v>
      </c>
      <c r="B27" s="73"/>
      <c r="C27" s="77"/>
      <c r="D27" s="78"/>
      <c r="E27" s="266">
        <v>0</v>
      </c>
      <c r="F27" s="267"/>
      <c r="G27" s="257"/>
      <c r="H27" s="257"/>
      <c r="I27" s="263"/>
      <c r="J27" s="198"/>
      <c r="O27" s="188">
        <f t="shared" si="0"/>
        <v>0</v>
      </c>
    </row>
    <row r="28" spans="1:15" ht="26" x14ac:dyDescent="0.3">
      <c r="A28" s="301" t="s">
        <v>156</v>
      </c>
      <c r="B28" s="73"/>
      <c r="C28" s="77"/>
      <c r="D28" s="78"/>
      <c r="E28" s="266">
        <v>0</v>
      </c>
      <c r="F28" s="267"/>
      <c r="G28" s="257"/>
      <c r="H28" s="257"/>
      <c r="I28" s="263"/>
      <c r="J28" s="198"/>
      <c r="O28" s="188">
        <f t="shared" si="0"/>
        <v>0</v>
      </c>
    </row>
    <row r="29" spans="1:15" x14ac:dyDescent="0.3">
      <c r="A29" s="301" t="s">
        <v>157</v>
      </c>
      <c r="B29" s="78"/>
      <c r="C29" s="77"/>
      <c r="D29" s="78"/>
      <c r="E29" s="266">
        <v>0</v>
      </c>
      <c r="F29" s="267"/>
      <c r="G29" s="257"/>
      <c r="H29" s="257"/>
      <c r="I29" s="263"/>
      <c r="J29" s="198"/>
      <c r="O29" s="188">
        <f t="shared" si="0"/>
        <v>0</v>
      </c>
    </row>
    <row r="30" spans="1:15" x14ac:dyDescent="0.3">
      <c r="A30" s="305" t="s">
        <v>399</v>
      </c>
      <c r="B30" s="257"/>
      <c r="C30" s="159"/>
      <c r="D30" s="257"/>
      <c r="E30" s="266"/>
      <c r="F30" s="257"/>
      <c r="G30" s="257"/>
      <c r="H30" s="257"/>
      <c r="I30" s="263"/>
      <c r="O30" s="188">
        <f t="shared" si="0"/>
        <v>0</v>
      </c>
    </row>
    <row r="31" spans="1:15" ht="28.5" customHeight="1" x14ac:dyDescent="0.3">
      <c r="A31" s="303" t="s">
        <v>160</v>
      </c>
      <c r="B31" s="257">
        <v>2</v>
      </c>
      <c r="C31" s="159">
        <v>1</v>
      </c>
      <c r="D31" s="257">
        <f>B31*C31</f>
        <v>2</v>
      </c>
      <c r="E31" s="266">
        <f>E14</f>
        <v>5.95</v>
      </c>
      <c r="F31" s="257">
        <f t="shared" ref="F31:F35" si="13">D31*E31</f>
        <v>11.9</v>
      </c>
      <c r="G31" s="257">
        <f t="shared" ref="G31:G35" si="14">F31*0.05</f>
        <v>0.59500000000000008</v>
      </c>
      <c r="H31" s="257">
        <f t="shared" ref="H31:H35" si="15">F31*0.1</f>
        <v>1.1900000000000002</v>
      </c>
      <c r="I31" s="262">
        <f t="shared" ref="I31:I35" si="16">F31*$L$8+G31*$L$7+H31*$L$9</f>
        <v>1691.9729400000001</v>
      </c>
      <c r="O31" s="188">
        <f t="shared" si="0"/>
        <v>5.95</v>
      </c>
    </row>
    <row r="32" spans="1:15" ht="26" x14ac:dyDescent="0.3">
      <c r="A32" s="303" t="s">
        <v>400</v>
      </c>
      <c r="B32" s="257">
        <v>2</v>
      </c>
      <c r="C32" s="159">
        <v>1</v>
      </c>
      <c r="D32" s="257">
        <f>B32*C32</f>
        <v>2</v>
      </c>
      <c r="E32" s="266">
        <f>E14</f>
        <v>5.95</v>
      </c>
      <c r="F32" s="257">
        <f t="shared" si="13"/>
        <v>11.9</v>
      </c>
      <c r="G32" s="257">
        <f t="shared" si="14"/>
        <v>0.59500000000000008</v>
      </c>
      <c r="H32" s="257">
        <f t="shared" si="15"/>
        <v>1.1900000000000002</v>
      </c>
      <c r="I32" s="262">
        <f t="shared" si="16"/>
        <v>1691.9729400000001</v>
      </c>
      <c r="O32" s="188">
        <f t="shared" si="0"/>
        <v>5.95</v>
      </c>
    </row>
    <row r="33" spans="1:15" x14ac:dyDescent="0.3">
      <c r="A33" s="301" t="s">
        <v>212</v>
      </c>
      <c r="B33" s="73">
        <v>2</v>
      </c>
      <c r="C33" s="74">
        <v>1</v>
      </c>
      <c r="D33" s="73">
        <f t="shared" ref="D33:D35" si="17">B33*C33</f>
        <v>2</v>
      </c>
      <c r="E33" s="266">
        <f t="shared" ref="E33:E35" si="18">L$16</f>
        <v>5.95</v>
      </c>
      <c r="F33" s="257">
        <f t="shared" si="13"/>
        <v>11.9</v>
      </c>
      <c r="G33" s="257">
        <f t="shared" si="14"/>
        <v>0.59500000000000008</v>
      </c>
      <c r="H33" s="257">
        <f t="shared" si="15"/>
        <v>1.1900000000000002</v>
      </c>
      <c r="I33" s="262">
        <f t="shared" si="16"/>
        <v>1691.9729400000001</v>
      </c>
      <c r="O33" s="188">
        <f t="shared" si="0"/>
        <v>5.95</v>
      </c>
    </row>
    <row r="34" spans="1:15" ht="26" x14ac:dyDescent="0.3">
      <c r="A34" s="301" t="s">
        <v>303</v>
      </c>
      <c r="B34" s="73">
        <v>2</v>
      </c>
      <c r="C34" s="74">
        <v>1</v>
      </c>
      <c r="D34" s="73">
        <f t="shared" si="17"/>
        <v>2</v>
      </c>
      <c r="E34" s="266">
        <f t="shared" si="18"/>
        <v>5.95</v>
      </c>
      <c r="F34" s="257">
        <f t="shared" si="13"/>
        <v>11.9</v>
      </c>
      <c r="G34" s="257">
        <f t="shared" si="14"/>
        <v>0.59500000000000008</v>
      </c>
      <c r="H34" s="257">
        <f t="shared" si="15"/>
        <v>1.1900000000000002</v>
      </c>
      <c r="I34" s="262">
        <f t="shared" si="16"/>
        <v>1691.9729400000001</v>
      </c>
      <c r="O34" s="188">
        <f t="shared" si="0"/>
        <v>5.95</v>
      </c>
    </row>
    <row r="35" spans="1:15" x14ac:dyDescent="0.3">
      <c r="A35" s="301" t="s">
        <v>304</v>
      </c>
      <c r="B35" s="73">
        <v>2</v>
      </c>
      <c r="C35" s="74">
        <v>1</v>
      </c>
      <c r="D35" s="73">
        <f t="shared" si="17"/>
        <v>2</v>
      </c>
      <c r="E35" s="266">
        <f t="shared" si="18"/>
        <v>5.95</v>
      </c>
      <c r="F35" s="257">
        <f t="shared" si="13"/>
        <v>11.9</v>
      </c>
      <c r="G35" s="257">
        <f t="shared" si="14"/>
        <v>0.59500000000000008</v>
      </c>
      <c r="H35" s="257">
        <f t="shared" si="15"/>
        <v>1.1900000000000002</v>
      </c>
      <c r="I35" s="262">
        <f t="shared" si="16"/>
        <v>1691.9729400000001</v>
      </c>
      <c r="O35" s="188">
        <f t="shared" si="0"/>
        <v>5.95</v>
      </c>
    </row>
    <row r="36" spans="1:15" x14ac:dyDescent="0.3">
      <c r="A36" s="305" t="s">
        <v>306</v>
      </c>
      <c r="B36" s="261"/>
      <c r="C36" s="260"/>
      <c r="D36" s="261"/>
      <c r="E36" s="268"/>
      <c r="F36" s="261"/>
      <c r="G36" s="261"/>
      <c r="H36" s="261"/>
      <c r="I36" s="261"/>
      <c r="O36" s="188">
        <f t="shared" si="0"/>
        <v>0</v>
      </c>
    </row>
    <row r="37" spans="1:15" x14ac:dyDescent="0.3">
      <c r="A37" s="303" t="s">
        <v>307</v>
      </c>
      <c r="B37" s="257">
        <v>2</v>
      </c>
      <c r="C37" s="159">
        <v>1</v>
      </c>
      <c r="D37" s="257">
        <f>B37*C37</f>
        <v>2</v>
      </c>
      <c r="E37" s="266">
        <f>L17</f>
        <v>85</v>
      </c>
      <c r="F37" s="257">
        <f>D37*E37</f>
        <v>170</v>
      </c>
      <c r="G37" s="257">
        <f>F37*0.05</f>
        <v>8.5</v>
      </c>
      <c r="H37" s="257">
        <f>F37*0.1</f>
        <v>17</v>
      </c>
      <c r="I37" s="262">
        <f>F37*$L$8+G37*$L$7+H37*$L$9</f>
        <v>24171.042000000001</v>
      </c>
      <c r="O37" s="188">
        <f t="shared" si="0"/>
        <v>85</v>
      </c>
    </row>
    <row r="38" spans="1:15" ht="39" x14ac:dyDescent="0.3">
      <c r="A38" s="303" t="s">
        <v>401</v>
      </c>
      <c r="B38" s="257">
        <v>2</v>
      </c>
      <c r="C38" s="159">
        <v>1</v>
      </c>
      <c r="D38" s="257">
        <f>B38*C38</f>
        <v>2</v>
      </c>
      <c r="E38" s="266">
        <f>E37</f>
        <v>85</v>
      </c>
      <c r="F38" s="257">
        <f>D38*E38</f>
        <v>170</v>
      </c>
      <c r="G38" s="257">
        <f>F38*0.05</f>
        <v>8.5</v>
      </c>
      <c r="H38" s="257">
        <f>F38*0.1</f>
        <v>17</v>
      </c>
      <c r="I38" s="262">
        <f>F38*$L$8+G38*$L$7+H38*$L$9</f>
        <v>24171.042000000001</v>
      </c>
      <c r="O38" s="188">
        <f t="shared" si="0"/>
        <v>85</v>
      </c>
    </row>
    <row r="39" spans="1:15" x14ac:dyDescent="0.3">
      <c r="A39" s="301" t="s">
        <v>212</v>
      </c>
      <c r="B39" s="257">
        <v>0</v>
      </c>
      <c r="C39" s="159">
        <v>0</v>
      </c>
      <c r="D39" s="73">
        <f t="shared" ref="D39:D41" si="19">B39*C39</f>
        <v>0</v>
      </c>
      <c r="E39" s="266">
        <v>0</v>
      </c>
      <c r="F39" s="257">
        <f t="shared" ref="F39:F41" si="20">D39*E39</f>
        <v>0</v>
      </c>
      <c r="G39" s="257">
        <f t="shared" ref="G39:G41" si="21">F39*0.05</f>
        <v>0</v>
      </c>
      <c r="H39" s="257">
        <f t="shared" ref="H39:H41" si="22">F39*0.1</f>
        <v>0</v>
      </c>
      <c r="I39" s="263">
        <f t="shared" ref="I39:I41" si="23">F39*$L$8+G39*$L$7+H39*$L$9</f>
        <v>0</v>
      </c>
      <c r="O39" s="188">
        <f t="shared" si="0"/>
        <v>0</v>
      </c>
    </row>
    <row r="40" spans="1:15" ht="26" x14ac:dyDescent="0.3">
      <c r="A40" s="301" t="s">
        <v>303</v>
      </c>
      <c r="B40" s="257">
        <v>0</v>
      </c>
      <c r="C40" s="159">
        <v>0</v>
      </c>
      <c r="D40" s="73">
        <f t="shared" si="19"/>
        <v>0</v>
      </c>
      <c r="E40" s="266">
        <v>0</v>
      </c>
      <c r="F40" s="257">
        <f t="shared" si="20"/>
        <v>0</v>
      </c>
      <c r="G40" s="257">
        <f t="shared" si="21"/>
        <v>0</v>
      </c>
      <c r="H40" s="257">
        <f t="shared" si="22"/>
        <v>0</v>
      </c>
      <c r="I40" s="263">
        <f t="shared" si="23"/>
        <v>0</v>
      </c>
      <c r="O40" s="188">
        <f t="shared" si="0"/>
        <v>0</v>
      </c>
    </row>
    <row r="41" spans="1:15" ht="26" x14ac:dyDescent="0.3">
      <c r="A41" s="301" t="s">
        <v>309</v>
      </c>
      <c r="B41" s="257">
        <v>0</v>
      </c>
      <c r="C41" s="159">
        <v>0</v>
      </c>
      <c r="D41" s="73">
        <f t="shared" si="19"/>
        <v>0</v>
      </c>
      <c r="E41" s="266">
        <v>0</v>
      </c>
      <c r="F41" s="257">
        <f t="shared" si="20"/>
        <v>0</v>
      </c>
      <c r="G41" s="257">
        <f t="shared" si="21"/>
        <v>0</v>
      </c>
      <c r="H41" s="257">
        <f t="shared" si="22"/>
        <v>0</v>
      </c>
      <c r="I41" s="263">
        <f t="shared" si="23"/>
        <v>0</v>
      </c>
      <c r="O41" s="188">
        <f t="shared" si="0"/>
        <v>0</v>
      </c>
    </row>
    <row r="42" spans="1:15" x14ac:dyDescent="0.3">
      <c r="A42" s="301"/>
      <c r="B42" s="73"/>
      <c r="C42" s="74"/>
      <c r="D42" s="73"/>
      <c r="E42" s="266"/>
      <c r="F42" s="257"/>
      <c r="G42" s="257"/>
      <c r="H42" s="257"/>
      <c r="I42" s="263"/>
      <c r="O42" s="188">
        <f t="shared" si="0"/>
        <v>0</v>
      </c>
    </row>
    <row r="43" spans="1:15" ht="26.5" customHeight="1" x14ac:dyDescent="0.3">
      <c r="A43" s="269" t="s">
        <v>167</v>
      </c>
      <c r="B43" s="270"/>
      <c r="C43" s="271"/>
      <c r="D43" s="270"/>
      <c r="E43" s="272"/>
      <c r="F43" s="273">
        <f>SUM(F8:H42)</f>
        <v>1175.8347500000002</v>
      </c>
      <c r="G43" s="273"/>
      <c r="H43" s="273"/>
      <c r="I43" s="274">
        <f>SUM(I8:I42)</f>
        <v>145376.73210900003</v>
      </c>
      <c r="O43" s="188">
        <f t="shared" si="0"/>
        <v>0</v>
      </c>
    </row>
    <row r="44" spans="1:15" x14ac:dyDescent="0.3">
      <c r="A44" s="259" t="s">
        <v>168</v>
      </c>
      <c r="B44" s="261"/>
      <c r="C44" s="260"/>
      <c r="D44" s="261"/>
      <c r="E44" s="268"/>
      <c r="F44" s="261"/>
      <c r="G44" s="261"/>
      <c r="H44" s="261"/>
      <c r="I44" s="261"/>
      <c r="O44" s="188">
        <f t="shared" si="0"/>
        <v>0</v>
      </c>
    </row>
    <row r="45" spans="1:15" x14ac:dyDescent="0.3">
      <c r="A45" s="303" t="s">
        <v>132</v>
      </c>
      <c r="B45" s="257"/>
      <c r="C45" s="260"/>
      <c r="D45" s="261"/>
      <c r="E45" s="260"/>
      <c r="F45" s="261"/>
      <c r="G45" s="261"/>
      <c r="H45" s="261"/>
      <c r="I45" s="261"/>
      <c r="O45" s="188">
        <f t="shared" si="0"/>
        <v>0</v>
      </c>
    </row>
    <row r="46" spans="1:15" x14ac:dyDescent="0.3">
      <c r="A46" s="303" t="s">
        <v>169</v>
      </c>
      <c r="B46" s="257"/>
      <c r="C46" s="260"/>
      <c r="D46" s="261"/>
      <c r="E46" s="260"/>
      <c r="F46" s="261"/>
      <c r="G46" s="261"/>
      <c r="H46" s="261"/>
      <c r="I46" s="261"/>
      <c r="O46" s="188">
        <f t="shared" si="0"/>
        <v>0</v>
      </c>
    </row>
    <row r="47" spans="1:15" x14ac:dyDescent="0.3">
      <c r="A47" s="303" t="s">
        <v>170</v>
      </c>
      <c r="B47" s="257"/>
      <c r="C47" s="260"/>
      <c r="D47" s="261"/>
      <c r="E47" s="260"/>
      <c r="F47" s="261"/>
      <c r="G47" s="261"/>
      <c r="H47" s="261"/>
      <c r="I47" s="261"/>
      <c r="O47" s="188">
        <f t="shared" si="0"/>
        <v>0</v>
      </c>
    </row>
    <row r="48" spans="1:15" x14ac:dyDescent="0.3">
      <c r="A48" s="303" t="s">
        <v>171</v>
      </c>
      <c r="B48" s="257" t="s">
        <v>122</v>
      </c>
      <c r="C48" s="260"/>
      <c r="D48" s="261"/>
      <c r="E48" s="260"/>
      <c r="F48" s="261"/>
      <c r="G48" s="261"/>
      <c r="H48" s="261"/>
      <c r="I48" s="261"/>
      <c r="O48" s="188">
        <f t="shared" si="0"/>
        <v>0</v>
      </c>
    </row>
    <row r="49" spans="1:16" x14ac:dyDescent="0.3">
      <c r="A49" s="303" t="s">
        <v>172</v>
      </c>
      <c r="B49" s="261"/>
      <c r="C49" s="260"/>
      <c r="D49" s="261"/>
      <c r="E49" s="260"/>
      <c r="F49" s="261"/>
      <c r="G49" s="261"/>
      <c r="H49" s="261"/>
      <c r="I49" s="261"/>
      <c r="O49" s="188">
        <f t="shared" si="0"/>
        <v>0</v>
      </c>
    </row>
    <row r="50" spans="1:16" x14ac:dyDescent="0.3">
      <c r="A50" s="305" t="s">
        <v>163</v>
      </c>
      <c r="B50" s="261"/>
      <c r="C50" s="260"/>
      <c r="D50" s="261"/>
      <c r="E50" s="260"/>
      <c r="F50" s="261"/>
      <c r="G50" s="261"/>
      <c r="H50" s="261"/>
      <c r="I50" s="262"/>
      <c r="O50" s="188">
        <f t="shared" si="0"/>
        <v>0</v>
      </c>
    </row>
    <row r="51" spans="1:16" x14ac:dyDescent="0.3">
      <c r="A51" s="303" t="s">
        <v>173</v>
      </c>
      <c r="B51" s="257">
        <v>0.1</v>
      </c>
      <c r="C51" s="159">
        <v>1</v>
      </c>
      <c r="D51" s="257">
        <v>33</v>
      </c>
      <c r="E51" s="266">
        <f>$L$17</f>
        <v>85</v>
      </c>
      <c r="F51" s="267">
        <f t="shared" ref="F51:F58" si="24">D51*E51</f>
        <v>2805</v>
      </c>
      <c r="G51" s="257">
        <f t="shared" ref="G51:G58" si="25">F51*0.05</f>
        <v>140.25</v>
      </c>
      <c r="H51" s="257">
        <f t="shared" ref="H51:H58" si="26">F51*0.1</f>
        <v>280.5</v>
      </c>
      <c r="I51" s="262">
        <f>F51*$L$8+G51*$L$7+H51*$L$9</f>
        <v>398822.19299999991</v>
      </c>
      <c r="O51" s="188">
        <f t="shared" si="0"/>
        <v>85</v>
      </c>
    </row>
    <row r="52" spans="1:16" x14ac:dyDescent="0.3">
      <c r="A52" s="303" t="s">
        <v>310</v>
      </c>
      <c r="B52" s="257">
        <v>0.1</v>
      </c>
      <c r="C52" s="159">
        <v>1</v>
      </c>
      <c r="D52" s="257">
        <v>24</v>
      </c>
      <c r="E52" s="266">
        <f>E51</f>
        <v>85</v>
      </c>
      <c r="F52" s="267">
        <f t="shared" si="24"/>
        <v>2040</v>
      </c>
      <c r="G52" s="257">
        <f t="shared" si="25"/>
        <v>102</v>
      </c>
      <c r="H52" s="257">
        <f t="shared" si="26"/>
        <v>204</v>
      </c>
      <c r="I52" s="262">
        <f>F52*$L$8+G52*$L$7+H52*$L$9</f>
        <v>290052.50400000002</v>
      </c>
      <c r="O52" s="188">
        <f t="shared" si="0"/>
        <v>85</v>
      </c>
    </row>
    <row r="53" spans="1:16" ht="26" x14ac:dyDescent="0.3">
      <c r="A53" s="301" t="s">
        <v>311</v>
      </c>
      <c r="B53" s="73">
        <v>0.1</v>
      </c>
      <c r="C53" s="74">
        <v>330</v>
      </c>
      <c r="D53" s="73">
        <f t="shared" ref="D53" si="27">B53*C53</f>
        <v>33</v>
      </c>
      <c r="E53" s="266">
        <f>$L$17</f>
        <v>85</v>
      </c>
      <c r="F53" s="267">
        <f t="shared" si="24"/>
        <v>2805</v>
      </c>
      <c r="G53" s="257">
        <f t="shared" si="25"/>
        <v>140.25</v>
      </c>
      <c r="H53" s="257">
        <f t="shared" si="26"/>
        <v>280.5</v>
      </c>
      <c r="I53" s="262">
        <f>F53*$L$8+G53*$L$7+H53*$L$9</f>
        <v>398822.19299999991</v>
      </c>
      <c r="O53" s="188">
        <f t="shared" si="0"/>
        <v>28050</v>
      </c>
    </row>
    <row r="54" spans="1:16" x14ac:dyDescent="0.3">
      <c r="A54" s="305" t="s">
        <v>158</v>
      </c>
      <c r="B54" s="257"/>
      <c r="C54" s="159"/>
      <c r="D54" s="257"/>
      <c r="E54" s="266"/>
      <c r="F54" s="267"/>
      <c r="G54" s="257"/>
      <c r="H54" s="257"/>
      <c r="I54" s="263"/>
      <c r="O54" s="188">
        <f t="shared" si="0"/>
        <v>0</v>
      </c>
    </row>
    <row r="55" spans="1:16" x14ac:dyDescent="0.3">
      <c r="A55" s="303" t="s">
        <v>173</v>
      </c>
      <c r="B55" s="257">
        <v>0</v>
      </c>
      <c r="C55" s="159">
        <v>0</v>
      </c>
      <c r="D55" s="257">
        <f>B55*C55</f>
        <v>0</v>
      </c>
      <c r="E55" s="266">
        <f>$L$15</f>
        <v>0</v>
      </c>
      <c r="F55" s="267">
        <f t="shared" ref="F55:F56" si="28">D55*E55</f>
        <v>0</v>
      </c>
      <c r="G55" s="257">
        <f t="shared" ref="G55:G56" si="29">F55*0.05</f>
        <v>0</v>
      </c>
      <c r="H55" s="257">
        <f t="shared" ref="H55:H56" si="30">F55*0.1</f>
        <v>0</v>
      </c>
      <c r="I55" s="262">
        <f>F55*$L$8+G55*$L$7+H55*$L$9</f>
        <v>0</v>
      </c>
      <c r="O55" s="188">
        <f t="shared" si="0"/>
        <v>0</v>
      </c>
    </row>
    <row r="56" spans="1:16" x14ac:dyDescent="0.3">
      <c r="A56" s="303" t="s">
        <v>310</v>
      </c>
      <c r="B56" s="257">
        <v>0</v>
      </c>
      <c r="C56" s="159">
        <v>0</v>
      </c>
      <c r="D56" s="257">
        <f t="shared" ref="D56:D58" si="31">B56*C56</f>
        <v>0</v>
      </c>
      <c r="E56" s="266">
        <f>$L$15</f>
        <v>0</v>
      </c>
      <c r="F56" s="267">
        <f t="shared" si="28"/>
        <v>0</v>
      </c>
      <c r="G56" s="257">
        <f t="shared" si="29"/>
        <v>0</v>
      </c>
      <c r="H56" s="257">
        <f t="shared" si="30"/>
        <v>0</v>
      </c>
      <c r="I56" s="262">
        <f>F56*$L$8+G56*$L$7+H56*$L$9</f>
        <v>0</v>
      </c>
      <c r="O56" s="188">
        <f t="shared" si="0"/>
        <v>0</v>
      </c>
    </row>
    <row r="57" spans="1:16" x14ac:dyDescent="0.3">
      <c r="A57" s="301" t="s">
        <v>312</v>
      </c>
      <c r="B57" s="257">
        <v>0</v>
      </c>
      <c r="C57" s="159">
        <v>0</v>
      </c>
      <c r="D57" s="73">
        <f t="shared" si="31"/>
        <v>0</v>
      </c>
      <c r="E57" s="266">
        <f>$L$15</f>
        <v>0</v>
      </c>
      <c r="F57" s="267">
        <f t="shared" ref="F57" si="32">D57*E57</f>
        <v>0</v>
      </c>
      <c r="G57" s="257">
        <f t="shared" ref="G57" si="33">F57*0.05</f>
        <v>0</v>
      </c>
      <c r="H57" s="257">
        <f t="shared" ref="H57" si="34">F57*0.1</f>
        <v>0</v>
      </c>
      <c r="I57" s="262">
        <f>F57*$L$8+G57*$L$7+H57*$L$9</f>
        <v>0</v>
      </c>
      <c r="O57" s="188">
        <f t="shared" si="0"/>
        <v>0</v>
      </c>
    </row>
    <row r="58" spans="1:16" x14ac:dyDescent="0.3">
      <c r="A58" s="303" t="s">
        <v>313</v>
      </c>
      <c r="B58" s="257">
        <v>0</v>
      </c>
      <c r="C58" s="159">
        <v>0</v>
      </c>
      <c r="D58" s="257">
        <f t="shared" si="31"/>
        <v>0</v>
      </c>
      <c r="E58" s="266">
        <f>$L$15</f>
        <v>0</v>
      </c>
      <c r="F58" s="267">
        <f t="shared" si="24"/>
        <v>0</v>
      </c>
      <c r="G58" s="257">
        <f t="shared" si="25"/>
        <v>0</v>
      </c>
      <c r="H58" s="257">
        <f t="shared" si="26"/>
        <v>0</v>
      </c>
      <c r="I58" s="262">
        <f>F58*$L$8+G58*$L$7+H58*$L$9</f>
        <v>0</v>
      </c>
      <c r="O58" s="188">
        <f t="shared" si="0"/>
        <v>0</v>
      </c>
    </row>
    <row r="59" spans="1:16" x14ac:dyDescent="0.3">
      <c r="A59" s="303" t="s">
        <v>186</v>
      </c>
      <c r="B59" s="257" t="s">
        <v>122</v>
      </c>
      <c r="C59" s="260"/>
      <c r="D59" s="261"/>
      <c r="E59" s="260"/>
      <c r="F59" s="261"/>
      <c r="G59" s="261"/>
      <c r="H59" s="261"/>
      <c r="I59" s="261"/>
      <c r="O59" s="188">
        <f t="shared" si="0"/>
        <v>0</v>
      </c>
    </row>
    <row r="60" spans="1:16" ht="31.5" customHeight="1" x14ac:dyDescent="0.3">
      <c r="A60" s="269" t="s">
        <v>188</v>
      </c>
      <c r="B60" s="275"/>
      <c r="C60" s="276"/>
      <c r="D60" s="275"/>
      <c r="E60" s="277"/>
      <c r="F60" s="273">
        <f>SUM(F51:H59)</f>
        <v>8797.5</v>
      </c>
      <c r="G60" s="273"/>
      <c r="H60" s="273"/>
      <c r="I60" s="274">
        <f>SUM(I51:I59)</f>
        <v>1087696.8899999999</v>
      </c>
      <c r="O60" s="188">
        <f>SUM(O6:O59)</f>
        <v>28521.494999999999</v>
      </c>
      <c r="P60" s="188" t="s">
        <v>248</v>
      </c>
    </row>
    <row r="61" spans="1:16" ht="37" customHeight="1" x14ac:dyDescent="0.3">
      <c r="A61" s="278" t="s">
        <v>314</v>
      </c>
      <c r="B61" s="279"/>
      <c r="C61" s="169"/>
      <c r="D61" s="279"/>
      <c r="E61" s="280"/>
      <c r="F61" s="469">
        <f>ROUND(F60+F43, -2)</f>
        <v>10000</v>
      </c>
      <c r="G61" s="469"/>
      <c r="H61" s="469"/>
      <c r="I61" s="281">
        <f>ROUND(I60+I43, -4)</f>
        <v>1230000</v>
      </c>
      <c r="K61" s="282">
        <f>F61/212</f>
        <v>47.169811320754718</v>
      </c>
      <c r="L61" s="188" t="s">
        <v>190</v>
      </c>
    </row>
    <row r="62" spans="1:16" ht="31" customHeight="1" x14ac:dyDescent="0.3">
      <c r="A62" s="168" t="s">
        <v>315</v>
      </c>
      <c r="B62" s="261"/>
      <c r="C62" s="260"/>
      <c r="D62" s="261"/>
      <c r="E62" s="260"/>
      <c r="F62" s="261"/>
      <c r="G62" s="261"/>
      <c r="H62" s="261"/>
      <c r="I62" s="281"/>
    </row>
    <row r="63" spans="1:16" ht="15" x14ac:dyDescent="0.3">
      <c r="A63" s="168" t="s">
        <v>316</v>
      </c>
      <c r="B63" s="261"/>
      <c r="C63" s="260"/>
      <c r="D63" s="261"/>
      <c r="E63" s="260"/>
      <c r="F63" s="261"/>
      <c r="G63" s="261"/>
      <c r="H63" s="261"/>
      <c r="I63" s="281">
        <f>ROUND(I61+I62, -5)</f>
        <v>1200000</v>
      </c>
    </row>
    <row r="65" spans="1:9" ht="15.65" customHeight="1" x14ac:dyDescent="0.3">
      <c r="A65" s="467" t="s">
        <v>402</v>
      </c>
      <c r="B65" s="467"/>
      <c r="C65" s="467"/>
      <c r="D65" s="467"/>
      <c r="E65" s="467"/>
      <c r="F65" s="467"/>
      <c r="G65" s="467"/>
      <c r="H65" s="467"/>
      <c r="I65" s="467"/>
    </row>
    <row r="66" spans="1:9" ht="79" customHeight="1" x14ac:dyDescent="0.3">
      <c r="A66" s="446" t="s">
        <v>194</v>
      </c>
      <c r="B66" s="446"/>
      <c r="C66" s="446"/>
      <c r="D66" s="446"/>
      <c r="E66" s="446"/>
      <c r="F66" s="446"/>
      <c r="G66" s="446"/>
      <c r="H66" s="446"/>
      <c r="I66" s="446"/>
    </row>
    <row r="67" spans="1:9" ht="23.15" customHeight="1" x14ac:dyDescent="0.3">
      <c r="A67" s="467" t="s">
        <v>403</v>
      </c>
      <c r="B67" s="467"/>
      <c r="C67" s="467"/>
      <c r="D67" s="467"/>
      <c r="E67" s="467"/>
      <c r="F67" s="467"/>
      <c r="G67" s="467"/>
      <c r="H67" s="467"/>
      <c r="I67" s="467"/>
    </row>
    <row r="68" spans="1:9" ht="21" customHeight="1" x14ac:dyDescent="0.3">
      <c r="A68" s="470" t="s">
        <v>404</v>
      </c>
      <c r="B68" s="470"/>
      <c r="C68" s="470"/>
      <c r="D68" s="470"/>
      <c r="E68" s="470"/>
      <c r="F68" s="470"/>
      <c r="G68" s="470"/>
      <c r="H68" s="470"/>
      <c r="I68" s="470"/>
    </row>
    <row r="69" spans="1:9" ht="18.75" customHeight="1" x14ac:dyDescent="0.3">
      <c r="A69" s="466" t="s">
        <v>319</v>
      </c>
      <c r="B69" s="466"/>
      <c r="C69" s="466"/>
      <c r="D69" s="466"/>
      <c r="E69" s="466"/>
      <c r="F69" s="466"/>
      <c r="G69" s="466"/>
      <c r="H69" s="466"/>
      <c r="I69" s="466"/>
    </row>
    <row r="70" spans="1:9" ht="18.75" customHeight="1" x14ac:dyDescent="0.3">
      <c r="A70" s="466"/>
      <c r="B70" s="466"/>
      <c r="C70" s="466"/>
      <c r="D70" s="466"/>
      <c r="E70" s="466"/>
      <c r="F70" s="466"/>
      <c r="G70" s="466"/>
      <c r="H70" s="466"/>
      <c r="I70" s="466"/>
    </row>
  </sheetData>
  <mergeCells count="10">
    <mergeCell ref="K6:L6"/>
    <mergeCell ref="F61:H61"/>
    <mergeCell ref="A65:I65"/>
    <mergeCell ref="A66:I66"/>
    <mergeCell ref="A67:I67"/>
    <mergeCell ref="A68:I68"/>
    <mergeCell ref="A69:I69"/>
    <mergeCell ref="A70:I70"/>
    <mergeCell ref="A1:I1"/>
    <mergeCell ref="A3:I3"/>
  </mergeCells>
  <pageMargins left="0.7" right="0.7" top="0.75" bottom="0.75" header="0.3" footer="0.3"/>
  <pageSetup scale="37"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D465-2653-4870-B0B2-7C39E259DBF3}">
  <sheetPr codeName="Sheet23"/>
  <dimension ref="A1:P34"/>
  <sheetViews>
    <sheetView zoomScale="80" zoomScaleNormal="80" workbookViewId="0">
      <selection activeCell="B17" sqref="B17:C18"/>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395</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4">
        <v>0.5</v>
      </c>
      <c r="C8" s="314">
        <v>1</v>
      </c>
      <c r="D8" s="314">
        <f>B8*C8</f>
        <v>0.5</v>
      </c>
      <c r="E8" s="318">
        <f>'SI-Y1'!$L$18</f>
        <v>85</v>
      </c>
      <c r="F8" s="314">
        <f>D8*E8</f>
        <v>42.5</v>
      </c>
      <c r="G8" s="314">
        <f>F8*0.05</f>
        <v>2.125</v>
      </c>
      <c r="H8" s="314">
        <f>F8*0.1</f>
        <v>4.25</v>
      </c>
      <c r="I8" s="315">
        <f>(F8*$L$9)+(G8*$L$8)+(H8*$L$10)</f>
        <v>2441.8375000000001</v>
      </c>
      <c r="K8" s="157" t="s">
        <v>125</v>
      </c>
      <c r="L8" s="158">
        <v>69.040000000000006</v>
      </c>
      <c r="M8" s="196" t="s">
        <v>240</v>
      </c>
      <c r="O8" s="156">
        <f t="shared" ref="O8:O19" si="0">C8*E8</f>
        <v>85</v>
      </c>
    </row>
    <row r="9" spans="1:15" ht="15.5" x14ac:dyDescent="0.35">
      <c r="A9" s="252" t="s">
        <v>333</v>
      </c>
      <c r="B9" s="159">
        <v>0</v>
      </c>
      <c r="C9" s="159">
        <v>0</v>
      </c>
      <c r="D9" s="159">
        <f>B9*C9</f>
        <v>0</v>
      </c>
      <c r="E9" s="159">
        <f>'SI-Y1'!E32</f>
        <v>0</v>
      </c>
      <c r="F9" s="160">
        <f>D9*E9</f>
        <v>0</v>
      </c>
      <c r="G9" s="160">
        <f>F9*0.05</f>
        <v>0</v>
      </c>
      <c r="H9" s="160">
        <f>F9*0.1</f>
        <v>0</v>
      </c>
      <c r="I9" s="161">
        <f>(F9*$L$9)+(G9*$L$8)+(H9*$L$10)</f>
        <v>0</v>
      </c>
      <c r="K9" s="157" t="s">
        <v>128</v>
      </c>
      <c r="L9" s="162">
        <v>51.23</v>
      </c>
      <c r="M9" s="231"/>
      <c r="O9" s="156">
        <f t="shared" si="0"/>
        <v>0</v>
      </c>
    </row>
    <row r="10" spans="1:15" ht="15.5" x14ac:dyDescent="0.35">
      <c r="A10" s="252" t="s">
        <v>334</v>
      </c>
      <c r="B10" s="159">
        <v>0</v>
      </c>
      <c r="C10" s="159">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159">
        <v>0</v>
      </c>
      <c r="C11" s="159">
        <v>0</v>
      </c>
      <c r="D11" s="74">
        <f>B11*C11</f>
        <v>0</v>
      </c>
      <c r="E11" s="159">
        <v>0</v>
      </c>
      <c r="F11" s="163">
        <f t="shared" ref="F11:F12" si="1">D11*E11</f>
        <v>0</v>
      </c>
      <c r="G11" s="163">
        <f t="shared" ref="G11:G12" si="2">F11*0.05</f>
        <v>0</v>
      </c>
      <c r="H11" s="163">
        <f t="shared" ref="H11:H12" si="3">F11*0.1</f>
        <v>0</v>
      </c>
      <c r="I11" s="164">
        <f t="shared" ref="I11:I12" si="4">(F11*$L$9)+(G11*$L$8)+(H11*$L$10)</f>
        <v>0</v>
      </c>
      <c r="K11" s="312"/>
      <c r="L11" s="117"/>
      <c r="M11" s="231"/>
      <c r="O11" s="156">
        <f t="shared" si="0"/>
        <v>0</v>
      </c>
    </row>
    <row r="12" spans="1:15" ht="27.65" customHeight="1" x14ac:dyDescent="0.35">
      <c r="A12" s="114" t="s">
        <v>336</v>
      </c>
      <c r="B12" s="159">
        <v>0</v>
      </c>
      <c r="C12" s="159">
        <v>0</v>
      </c>
      <c r="D12" s="74">
        <f>B12*C12</f>
        <v>0</v>
      </c>
      <c r="E12" s="159">
        <v>0</v>
      </c>
      <c r="F12" s="163">
        <f t="shared" si="1"/>
        <v>0</v>
      </c>
      <c r="G12" s="163">
        <f t="shared" si="2"/>
        <v>0</v>
      </c>
      <c r="H12" s="163">
        <f t="shared" si="3"/>
        <v>0</v>
      </c>
      <c r="I12" s="164">
        <f t="shared" si="4"/>
        <v>0</v>
      </c>
      <c r="K12" s="312"/>
      <c r="L12" s="117"/>
      <c r="M12" s="231"/>
      <c r="O12" s="156">
        <f t="shared" si="0"/>
        <v>0</v>
      </c>
    </row>
    <row r="13" spans="1:15" ht="23.15" customHeight="1" x14ac:dyDescent="0.35">
      <c r="A13" s="368" t="s">
        <v>243</v>
      </c>
      <c r="B13" s="159"/>
      <c r="C13" s="159"/>
      <c r="D13" s="159"/>
      <c r="E13" s="159"/>
      <c r="F13" s="160"/>
      <c r="G13" s="160"/>
      <c r="H13" s="160"/>
      <c r="I13" s="165"/>
      <c r="O13" s="156">
        <f t="shared" si="0"/>
        <v>0</v>
      </c>
    </row>
    <row r="14" spans="1:15" ht="39" x14ac:dyDescent="0.35">
      <c r="A14" s="182" t="s">
        <v>244</v>
      </c>
      <c r="B14" s="58">
        <v>8</v>
      </c>
      <c r="C14" s="58">
        <v>1</v>
      </c>
      <c r="D14" s="159">
        <f>B14*C14</f>
        <v>8</v>
      </c>
      <c r="E14" s="347">
        <f>'SI-Y1'!$L$18*0.01</f>
        <v>0.85</v>
      </c>
      <c r="F14" s="160">
        <f t="shared" ref="F14" si="5">D14*E14</f>
        <v>6.8</v>
      </c>
      <c r="G14" s="160">
        <f t="shared" ref="G14" si="6">F14*0.05</f>
        <v>0.34</v>
      </c>
      <c r="H14" s="160">
        <f t="shared" ref="H14" si="7">F14*0.1</f>
        <v>0.68</v>
      </c>
      <c r="I14" s="161">
        <f t="shared" ref="I14" si="8">(F14*$L$9)+(G14*$L$8)+(H14*$L$10)</f>
        <v>390.69399999999996</v>
      </c>
    </row>
    <row r="15" spans="1:15" ht="15.5" x14ac:dyDescent="0.35">
      <c r="A15" s="253" t="s">
        <v>337</v>
      </c>
      <c r="B15" s="159">
        <v>0</v>
      </c>
      <c r="C15" s="159">
        <v>0</v>
      </c>
      <c r="D15" s="159">
        <f t="shared" ref="D15:D18" si="9">B15*C15</f>
        <v>0</v>
      </c>
      <c r="E15" s="318">
        <v>0</v>
      </c>
      <c r="F15" s="160">
        <f t="shared" ref="F15:F18" si="10">D15*E15</f>
        <v>0</v>
      </c>
      <c r="G15" s="160">
        <f t="shared" ref="G15:G18" si="11">F15*0.05</f>
        <v>0</v>
      </c>
      <c r="H15" s="160">
        <f t="shared" ref="H15:H18" si="12">F15*0.1</f>
        <v>0</v>
      </c>
      <c r="I15" s="161">
        <f t="shared" ref="I15:I18" si="13">(F15*$L$9)+(G15*$L$8)+(H15*$L$10)</f>
        <v>0</v>
      </c>
      <c r="O15" s="156">
        <f t="shared" si="0"/>
        <v>0</v>
      </c>
    </row>
    <row r="16" spans="1:15" ht="20.25" customHeight="1" x14ac:dyDescent="0.35">
      <c r="A16" s="253"/>
      <c r="B16" s="159"/>
      <c r="C16" s="159"/>
      <c r="D16" s="159"/>
      <c r="E16" s="318"/>
      <c r="F16" s="160"/>
      <c r="G16" s="167"/>
      <c r="H16" s="167"/>
      <c r="I16" s="161"/>
      <c r="O16" s="156">
        <f t="shared" si="0"/>
        <v>0</v>
      </c>
    </row>
    <row r="17" spans="1:16" ht="31.5" customHeight="1" x14ac:dyDescent="0.35">
      <c r="A17" s="114" t="s">
        <v>418</v>
      </c>
      <c r="B17" s="159">
        <v>0</v>
      </c>
      <c r="C17" s="159">
        <v>0</v>
      </c>
      <c r="D17" s="74">
        <f t="shared" si="9"/>
        <v>0</v>
      </c>
      <c r="E17" s="159">
        <v>0</v>
      </c>
      <c r="F17" s="163">
        <f t="shared" si="10"/>
        <v>0</v>
      </c>
      <c r="G17" s="163">
        <f t="shared" si="11"/>
        <v>0</v>
      </c>
      <c r="H17" s="163">
        <f t="shared" si="12"/>
        <v>0</v>
      </c>
      <c r="I17" s="164">
        <f t="shared" si="13"/>
        <v>0</v>
      </c>
      <c r="O17" s="156">
        <f t="shared" si="0"/>
        <v>0</v>
      </c>
    </row>
    <row r="18" spans="1:16" ht="40.5" customHeight="1" x14ac:dyDescent="0.35">
      <c r="A18" s="114" t="s">
        <v>419</v>
      </c>
      <c r="B18" s="159">
        <v>0</v>
      </c>
      <c r="C18" s="159">
        <v>0</v>
      </c>
      <c r="D18" s="74">
        <f t="shared" si="9"/>
        <v>0</v>
      </c>
      <c r="E18" s="159">
        <v>0</v>
      </c>
      <c r="F18" s="163">
        <f t="shared" si="10"/>
        <v>0</v>
      </c>
      <c r="G18" s="163">
        <f t="shared" si="11"/>
        <v>0</v>
      </c>
      <c r="H18" s="163">
        <f t="shared" si="12"/>
        <v>0</v>
      </c>
      <c r="I18" s="164">
        <f t="shared" si="13"/>
        <v>0</v>
      </c>
      <c r="O18" s="156">
        <f t="shared" si="0"/>
        <v>0</v>
      </c>
    </row>
    <row r="19" spans="1:16" ht="28.5" customHeight="1" x14ac:dyDescent="0.35">
      <c r="A19" s="116"/>
      <c r="B19" s="74"/>
      <c r="C19" s="74"/>
      <c r="D19" s="74"/>
      <c r="E19" s="159"/>
      <c r="F19" s="163"/>
      <c r="G19" s="163"/>
      <c r="H19" s="163"/>
      <c r="I19" s="164"/>
      <c r="O19" s="156">
        <f t="shared" si="0"/>
        <v>0</v>
      </c>
    </row>
    <row r="20" spans="1:16" ht="15" x14ac:dyDescent="0.35">
      <c r="A20" s="168" t="s">
        <v>247</v>
      </c>
      <c r="B20" s="168"/>
      <c r="C20" s="168"/>
      <c r="D20" s="168"/>
      <c r="E20" s="168"/>
      <c r="F20" s="169">
        <f>ROUND(SUM(F8:H19), -1)</f>
        <v>60</v>
      </c>
      <c r="G20" s="170"/>
      <c r="H20" s="170"/>
      <c r="I20" s="171">
        <f>ROUND(SUM(I8:I19), -2)</f>
        <v>2800</v>
      </c>
      <c r="O20" s="156">
        <f>SUM(O8:O19)</f>
        <v>85</v>
      </c>
      <c r="P20" s="156" t="s">
        <v>248</v>
      </c>
    </row>
    <row r="21" spans="1:16" x14ac:dyDescent="0.35">
      <c r="A21" s="254"/>
      <c r="G21" s="172"/>
    </row>
    <row r="22" spans="1:16" ht="24.75" customHeight="1" x14ac:dyDescent="0.35">
      <c r="A22" s="254" t="s">
        <v>249</v>
      </c>
    </row>
    <row r="23" spans="1:16" ht="27.65" customHeight="1" x14ac:dyDescent="0.35">
      <c r="A23" s="475" t="s">
        <v>420</v>
      </c>
      <c r="B23" s="475"/>
      <c r="C23" s="475"/>
      <c r="D23" s="475"/>
      <c r="E23" s="475"/>
      <c r="F23" s="475"/>
      <c r="G23" s="475"/>
      <c r="H23" s="475"/>
      <c r="I23" s="475"/>
    </row>
    <row r="24" spans="1:16" ht="45" customHeight="1" x14ac:dyDescent="0.35">
      <c r="A24" s="475" t="s">
        <v>251</v>
      </c>
      <c r="B24" s="475"/>
      <c r="C24" s="475"/>
      <c r="D24" s="475"/>
      <c r="E24" s="475"/>
      <c r="F24" s="475"/>
      <c r="G24" s="475"/>
      <c r="H24" s="475"/>
      <c r="I24" s="475"/>
    </row>
    <row r="25" spans="1:16" ht="28.5" customHeight="1" x14ac:dyDescent="0.35">
      <c r="A25" s="476" t="s">
        <v>383</v>
      </c>
      <c r="B25" s="476"/>
      <c r="C25" s="476"/>
      <c r="D25" s="476"/>
      <c r="E25" s="476"/>
      <c r="F25" s="476"/>
      <c r="G25" s="476"/>
      <c r="H25" s="476"/>
      <c r="I25" s="476"/>
    </row>
    <row r="26" spans="1:16" ht="15.5" x14ac:dyDescent="0.35">
      <c r="A26" s="477" t="s">
        <v>253</v>
      </c>
      <c r="B26" s="477"/>
      <c r="C26" s="477"/>
      <c r="D26" s="477"/>
      <c r="E26" s="477"/>
      <c r="F26" s="477"/>
      <c r="G26" s="477"/>
      <c r="H26" s="477"/>
      <c r="I26" s="477"/>
    </row>
    <row r="27" spans="1:16" ht="15.5" x14ac:dyDescent="0.35">
      <c r="A27" s="471" t="s">
        <v>421</v>
      </c>
      <c r="B27" s="471"/>
      <c r="C27" s="471"/>
      <c r="D27" s="471"/>
      <c r="E27" s="471"/>
      <c r="F27" s="471"/>
      <c r="G27" s="471"/>
      <c r="H27" s="471"/>
      <c r="I27" s="471"/>
    </row>
    <row r="28" spans="1:16" ht="15.5" x14ac:dyDescent="0.35">
      <c r="A28" s="496" t="s">
        <v>422</v>
      </c>
      <c r="B28" s="496"/>
      <c r="C28" s="496"/>
      <c r="D28" s="496"/>
      <c r="E28" s="496"/>
      <c r="F28" s="496"/>
      <c r="G28" s="496"/>
      <c r="H28" s="496"/>
      <c r="I28" s="496"/>
    </row>
    <row r="29" spans="1:16" ht="15.5" x14ac:dyDescent="0.35">
      <c r="A29" s="471" t="s">
        <v>423</v>
      </c>
      <c r="B29" s="471"/>
      <c r="C29" s="471"/>
      <c r="D29" s="471"/>
      <c r="E29" s="471"/>
      <c r="F29" s="471"/>
      <c r="G29" s="471"/>
      <c r="H29" s="471"/>
      <c r="I29" s="471"/>
    </row>
    <row r="31" spans="1:16" ht="30" customHeight="1" x14ac:dyDescent="0.35">
      <c r="A31" s="494"/>
      <c r="B31" s="494"/>
      <c r="C31" s="494"/>
      <c r="D31" s="494"/>
      <c r="E31" s="494"/>
      <c r="F31" s="494"/>
      <c r="G31" s="494"/>
      <c r="H31" s="494"/>
      <c r="I31" s="494"/>
    </row>
    <row r="32" spans="1:16" ht="15.5" x14ac:dyDescent="0.35">
      <c r="A32" s="495"/>
      <c r="B32" s="495"/>
      <c r="C32" s="495"/>
      <c r="D32" s="495"/>
      <c r="E32" s="495"/>
      <c r="F32" s="495"/>
      <c r="G32" s="495"/>
      <c r="H32" s="495"/>
      <c r="I32" s="495"/>
    </row>
    <row r="33" spans="1:9" x14ac:dyDescent="0.35">
      <c r="A33" s="496"/>
      <c r="B33" s="496"/>
      <c r="C33" s="496"/>
      <c r="D33" s="496"/>
      <c r="E33" s="496"/>
      <c r="F33" s="496"/>
      <c r="G33" s="496"/>
      <c r="H33" s="496"/>
      <c r="I33" s="496"/>
    </row>
    <row r="34" spans="1:9" x14ac:dyDescent="0.35">
      <c r="A34" s="255"/>
    </row>
  </sheetData>
  <mergeCells count="15">
    <mergeCell ref="A1:I1"/>
    <mergeCell ref="A3:I3"/>
    <mergeCell ref="A4:I4"/>
    <mergeCell ref="A5:A7"/>
    <mergeCell ref="A29:I29"/>
    <mergeCell ref="A31:I31"/>
    <mergeCell ref="A32:I32"/>
    <mergeCell ref="A33:I33"/>
    <mergeCell ref="A28:I28"/>
    <mergeCell ref="K7:L7"/>
    <mergeCell ref="A24:I24"/>
    <mergeCell ref="A25:I25"/>
    <mergeCell ref="A26:I26"/>
    <mergeCell ref="A27:I27"/>
    <mergeCell ref="A23:I23"/>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FEF9-6322-4864-8DA0-3990FD00E1CF}">
  <dimension ref="A1:P33"/>
  <sheetViews>
    <sheetView zoomScale="80" zoomScaleNormal="80" workbookViewId="0">
      <selection activeCell="B16" sqref="B16:C17"/>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405</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3">
        <v>0</v>
      </c>
      <c r="C8" s="313">
        <v>0</v>
      </c>
      <c r="D8" s="314">
        <f>B8*C8</f>
        <v>0</v>
      </c>
      <c r="E8" s="318">
        <v>0</v>
      </c>
      <c r="F8" s="314">
        <f>D8*E8</f>
        <v>0</v>
      </c>
      <c r="G8" s="314">
        <f>F8*0.05</f>
        <v>0</v>
      </c>
      <c r="H8" s="314">
        <f>F8*0.1</f>
        <v>0</v>
      </c>
      <c r="I8" s="315">
        <f>(F8*$L$9)+(G8*$L$8)+(H8*$L$10)</f>
        <v>0</v>
      </c>
      <c r="K8" s="157" t="s">
        <v>125</v>
      </c>
      <c r="L8" s="158">
        <v>69.040000000000006</v>
      </c>
      <c r="M8" s="196" t="s">
        <v>240</v>
      </c>
      <c r="O8" s="156">
        <f t="shared" ref="O8:O18" si="0">C8*E8</f>
        <v>0</v>
      </c>
    </row>
    <row r="9" spans="1:15" ht="15.5" x14ac:dyDescent="0.35">
      <c r="A9" s="252" t="s">
        <v>333</v>
      </c>
      <c r="B9" s="313">
        <v>0</v>
      </c>
      <c r="C9" s="313">
        <v>0</v>
      </c>
      <c r="D9" s="159">
        <f>B9*C9</f>
        <v>0</v>
      </c>
      <c r="E9" s="159">
        <f>'SI-Y1'!E32</f>
        <v>0</v>
      </c>
      <c r="F9" s="160">
        <f>D9*E9</f>
        <v>0</v>
      </c>
      <c r="G9" s="160">
        <f>F9*0.05</f>
        <v>0</v>
      </c>
      <c r="H9" s="160">
        <f>F9*0.1</f>
        <v>0</v>
      </c>
      <c r="I9" s="161">
        <f>(F9*$L$9)+(G9*$L$8)+(H9*$L$10)</f>
        <v>0</v>
      </c>
      <c r="K9" s="157" t="s">
        <v>128</v>
      </c>
      <c r="L9" s="162">
        <v>51.23</v>
      </c>
      <c r="M9" s="231"/>
      <c r="O9" s="156">
        <f t="shared" si="0"/>
        <v>0</v>
      </c>
    </row>
    <row r="10" spans="1:15" ht="15.5" x14ac:dyDescent="0.35">
      <c r="A10" s="252" t="s">
        <v>334</v>
      </c>
      <c r="B10" s="313">
        <v>0</v>
      </c>
      <c r="C10" s="313">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313">
        <v>0</v>
      </c>
      <c r="C11" s="313">
        <v>0</v>
      </c>
      <c r="D11" s="74">
        <f>B11*C11</f>
        <v>0</v>
      </c>
      <c r="E11" s="159">
        <v>0</v>
      </c>
      <c r="F11" s="163">
        <f t="shared" ref="F11:F12" si="1">D11*E11</f>
        <v>0</v>
      </c>
      <c r="G11" s="163">
        <f t="shared" ref="G11:G12" si="2">F11*0.05</f>
        <v>0</v>
      </c>
      <c r="H11" s="163">
        <f t="shared" ref="H11:H12" si="3">F11*0.1</f>
        <v>0</v>
      </c>
      <c r="I11" s="164">
        <f t="shared" ref="I11:I12" si="4">(F11*$L$9)+(G11*$L$8)+(H11*$L$10)</f>
        <v>0</v>
      </c>
      <c r="K11" s="312"/>
      <c r="L11" s="117"/>
      <c r="M11" s="231"/>
      <c r="O11" s="156">
        <f t="shared" si="0"/>
        <v>0</v>
      </c>
    </row>
    <row r="12" spans="1:15" ht="15.5" x14ac:dyDescent="0.35">
      <c r="A12" s="114" t="s">
        <v>336</v>
      </c>
      <c r="B12" s="313">
        <v>0</v>
      </c>
      <c r="C12" s="313">
        <v>0</v>
      </c>
      <c r="D12" s="74">
        <f>B12*C12</f>
        <v>0</v>
      </c>
      <c r="E12" s="159">
        <v>0</v>
      </c>
      <c r="F12" s="163">
        <f t="shared" si="1"/>
        <v>0</v>
      </c>
      <c r="G12" s="163">
        <f t="shared" si="2"/>
        <v>0</v>
      </c>
      <c r="H12" s="163">
        <f t="shared" si="3"/>
        <v>0</v>
      </c>
      <c r="I12" s="164">
        <f t="shared" si="4"/>
        <v>0</v>
      </c>
      <c r="K12" s="312"/>
      <c r="L12" s="117"/>
      <c r="M12" s="231"/>
      <c r="O12" s="156">
        <f t="shared" si="0"/>
        <v>0</v>
      </c>
    </row>
    <row r="13" spans="1:15" x14ac:dyDescent="0.35">
      <c r="A13" s="325" t="s">
        <v>243</v>
      </c>
      <c r="B13" s="159"/>
      <c r="C13" s="159"/>
      <c r="D13" s="159"/>
      <c r="E13" s="159"/>
      <c r="F13" s="160"/>
      <c r="G13" s="160"/>
      <c r="H13" s="160"/>
      <c r="I13" s="165"/>
      <c r="O13" s="156">
        <f t="shared" si="0"/>
        <v>0</v>
      </c>
    </row>
    <row r="14" spans="1:15" ht="15.5" x14ac:dyDescent="0.35">
      <c r="A14" s="253" t="s">
        <v>337</v>
      </c>
      <c r="B14" s="313">
        <v>0</v>
      </c>
      <c r="C14" s="313">
        <v>0</v>
      </c>
      <c r="D14" s="159">
        <f t="shared" ref="D14:D17" si="5">B14*C14</f>
        <v>0</v>
      </c>
      <c r="E14" s="318">
        <v>0</v>
      </c>
      <c r="F14" s="160">
        <f t="shared" ref="F14:F17" si="6">D14*E14</f>
        <v>0</v>
      </c>
      <c r="G14" s="160">
        <f t="shared" ref="G14:G17" si="7">F14*0.05</f>
        <v>0</v>
      </c>
      <c r="H14" s="160">
        <f t="shared" ref="H14:H17" si="8">F14*0.1</f>
        <v>0</v>
      </c>
      <c r="I14" s="161">
        <f t="shared" ref="I14:I17" si="9">(F14*$L$9)+(G14*$L$8)+(H14*$L$10)</f>
        <v>0</v>
      </c>
      <c r="O14" s="156">
        <f t="shared" si="0"/>
        <v>0</v>
      </c>
    </row>
    <row r="15" spans="1:15" ht="20.25" customHeight="1" x14ac:dyDescent="0.35">
      <c r="A15" s="253"/>
      <c r="B15" s="159"/>
      <c r="C15" s="159"/>
      <c r="D15" s="159"/>
      <c r="E15" s="318"/>
      <c r="F15" s="160"/>
      <c r="G15" s="167"/>
      <c r="H15" s="167"/>
      <c r="I15" s="161"/>
      <c r="O15" s="156">
        <f t="shared" si="0"/>
        <v>0</v>
      </c>
    </row>
    <row r="16" spans="1:15" ht="31.5" customHeight="1" x14ac:dyDescent="0.35">
      <c r="A16" s="114" t="s">
        <v>418</v>
      </c>
      <c r="B16" s="313">
        <v>0</v>
      </c>
      <c r="C16" s="313">
        <v>0</v>
      </c>
      <c r="D16" s="74">
        <f t="shared" si="5"/>
        <v>0</v>
      </c>
      <c r="E16" s="159">
        <v>0</v>
      </c>
      <c r="F16" s="163">
        <f t="shared" si="6"/>
        <v>0</v>
      </c>
      <c r="G16" s="163">
        <f t="shared" si="7"/>
        <v>0</v>
      </c>
      <c r="H16" s="163">
        <f t="shared" si="8"/>
        <v>0</v>
      </c>
      <c r="I16" s="164">
        <f t="shared" si="9"/>
        <v>0</v>
      </c>
      <c r="O16" s="156">
        <f t="shared" si="0"/>
        <v>0</v>
      </c>
    </row>
    <row r="17" spans="1:16" ht="40.5" customHeight="1" x14ac:dyDescent="0.35">
      <c r="A17" s="114" t="s">
        <v>419</v>
      </c>
      <c r="B17" s="313">
        <v>0</v>
      </c>
      <c r="C17" s="313">
        <v>0</v>
      </c>
      <c r="D17" s="74">
        <f t="shared" si="5"/>
        <v>0</v>
      </c>
      <c r="E17" s="159">
        <v>0</v>
      </c>
      <c r="F17" s="163">
        <f t="shared" si="6"/>
        <v>0</v>
      </c>
      <c r="G17" s="163">
        <f t="shared" si="7"/>
        <v>0</v>
      </c>
      <c r="H17" s="163">
        <f t="shared" si="8"/>
        <v>0</v>
      </c>
      <c r="I17" s="164">
        <f t="shared" si="9"/>
        <v>0</v>
      </c>
      <c r="O17" s="156">
        <f t="shared" si="0"/>
        <v>0</v>
      </c>
    </row>
    <row r="18" spans="1:16" ht="28.5" customHeight="1" x14ac:dyDescent="0.35">
      <c r="A18" s="116"/>
      <c r="B18" s="74"/>
      <c r="C18" s="74"/>
      <c r="D18" s="74"/>
      <c r="E18" s="159"/>
      <c r="F18" s="163"/>
      <c r="G18" s="163"/>
      <c r="H18" s="163"/>
      <c r="I18" s="164"/>
      <c r="O18" s="156">
        <f t="shared" si="0"/>
        <v>0</v>
      </c>
    </row>
    <row r="19" spans="1:16" ht="15" x14ac:dyDescent="0.35">
      <c r="A19" s="168" t="s">
        <v>247</v>
      </c>
      <c r="B19" s="168"/>
      <c r="C19" s="168"/>
      <c r="D19" s="168"/>
      <c r="E19" s="168"/>
      <c r="F19" s="169">
        <f>ROUND(SUM(F8:H18), -1)</f>
        <v>0</v>
      </c>
      <c r="G19" s="170"/>
      <c r="H19" s="170"/>
      <c r="I19" s="171">
        <f>ROUND(SUM(I8:I18), -2)</f>
        <v>0</v>
      </c>
      <c r="O19" s="156">
        <f>SUM(O8:O18)</f>
        <v>0</v>
      </c>
      <c r="P19" s="156" t="s">
        <v>248</v>
      </c>
    </row>
    <row r="20" spans="1:16" x14ac:dyDescent="0.35">
      <c r="A20" s="254"/>
      <c r="G20" s="172"/>
    </row>
    <row r="21" spans="1:16" ht="24.75" customHeight="1" x14ac:dyDescent="0.35">
      <c r="A21" s="254" t="s">
        <v>249</v>
      </c>
    </row>
    <row r="22" spans="1:16" ht="27.65" customHeight="1" x14ac:dyDescent="0.35">
      <c r="A22" s="475" t="s">
        <v>420</v>
      </c>
      <c r="B22" s="475"/>
      <c r="C22" s="475"/>
      <c r="D22" s="475"/>
      <c r="E22" s="475"/>
      <c r="F22" s="475"/>
      <c r="G22" s="475"/>
      <c r="H22" s="475"/>
      <c r="I22" s="475"/>
    </row>
    <row r="23" spans="1:16" ht="45" customHeight="1" x14ac:dyDescent="0.35">
      <c r="A23" s="475" t="s">
        <v>251</v>
      </c>
      <c r="B23" s="475"/>
      <c r="C23" s="475"/>
      <c r="D23" s="475"/>
      <c r="E23" s="475"/>
      <c r="F23" s="475"/>
      <c r="G23" s="475"/>
      <c r="H23" s="475"/>
      <c r="I23" s="475"/>
    </row>
    <row r="24" spans="1:16" ht="28.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96" t="s">
        <v>422</v>
      </c>
      <c r="B27" s="496"/>
      <c r="C27" s="496"/>
      <c r="D27" s="496"/>
      <c r="E27" s="496"/>
      <c r="F27" s="496"/>
      <c r="G27" s="496"/>
      <c r="H27" s="496"/>
      <c r="I27" s="496"/>
    </row>
    <row r="28" spans="1:16" ht="15.5" x14ac:dyDescent="0.35">
      <c r="A28" s="471" t="s">
        <v>423</v>
      </c>
      <c r="B28" s="471"/>
      <c r="C28" s="471"/>
      <c r="D28" s="471"/>
      <c r="E28" s="471"/>
      <c r="F28" s="471"/>
      <c r="G28" s="471"/>
      <c r="H28" s="471"/>
      <c r="I28" s="471"/>
    </row>
    <row r="30" spans="1:16" ht="30" customHeight="1" x14ac:dyDescent="0.35">
      <c r="A30" s="494"/>
      <c r="B30" s="494"/>
      <c r="C30" s="494"/>
      <c r="D30" s="494"/>
      <c r="E30" s="494"/>
      <c r="F30" s="494"/>
      <c r="G30" s="494"/>
      <c r="H30" s="494"/>
      <c r="I30" s="494"/>
    </row>
    <row r="31" spans="1:16" ht="15.5" x14ac:dyDescent="0.35">
      <c r="A31" s="495"/>
      <c r="B31" s="495"/>
      <c r="C31" s="495"/>
      <c r="D31" s="495"/>
      <c r="E31" s="495"/>
      <c r="F31" s="495"/>
      <c r="G31" s="495"/>
      <c r="H31" s="495"/>
      <c r="I31" s="495"/>
    </row>
    <row r="32" spans="1:16" x14ac:dyDescent="0.35">
      <c r="A32" s="496"/>
      <c r="B32" s="496"/>
      <c r="C32" s="496"/>
      <c r="D32" s="496"/>
      <c r="E32" s="496"/>
      <c r="F32" s="496"/>
      <c r="G32" s="496"/>
      <c r="H32" s="496"/>
      <c r="I32" s="496"/>
    </row>
    <row r="33" spans="1:1" x14ac:dyDescent="0.35">
      <c r="A33" s="255"/>
    </row>
  </sheetData>
  <mergeCells count="15">
    <mergeCell ref="A1:I1"/>
    <mergeCell ref="A3:I3"/>
    <mergeCell ref="A4:I4"/>
    <mergeCell ref="A5:A7"/>
    <mergeCell ref="K7:L7"/>
    <mergeCell ref="A22:I22"/>
    <mergeCell ref="A30:I30"/>
    <mergeCell ref="A31:I31"/>
    <mergeCell ref="A32:I32"/>
    <mergeCell ref="A23:I23"/>
    <mergeCell ref="A24:I24"/>
    <mergeCell ref="A25:I25"/>
    <mergeCell ref="A26:I26"/>
    <mergeCell ref="A27:I27"/>
    <mergeCell ref="A28:I28"/>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D18C5-7D46-4CCB-93AB-8EC6367BDBEA}">
  <dimension ref="A1:P34"/>
  <sheetViews>
    <sheetView zoomScale="80" zoomScaleNormal="80" workbookViewId="0">
      <selection activeCell="D18" sqref="D18"/>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413</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3">
        <v>0</v>
      </c>
      <c r="C8" s="313">
        <v>0</v>
      </c>
      <c r="D8" s="314">
        <f>B8*C8</f>
        <v>0</v>
      </c>
      <c r="E8" s="318">
        <v>0</v>
      </c>
      <c r="F8" s="314">
        <f>D8*E8</f>
        <v>0</v>
      </c>
      <c r="G8" s="314">
        <f>F8*0.05</f>
        <v>0</v>
      </c>
      <c r="H8" s="314">
        <f>F8*0.1</f>
        <v>0</v>
      </c>
      <c r="I8" s="315">
        <f>(F8*$L$9)+(G8*$L$8)+(H8*$L$10)</f>
        <v>0</v>
      </c>
      <c r="K8" s="157" t="s">
        <v>125</v>
      </c>
      <c r="L8" s="158">
        <v>69.040000000000006</v>
      </c>
      <c r="M8" s="196" t="s">
        <v>240</v>
      </c>
      <c r="O8" s="156">
        <f t="shared" ref="O8:O19" si="0">C8*E8</f>
        <v>0</v>
      </c>
    </row>
    <row r="9" spans="1:15" ht="15.5" x14ac:dyDescent="0.35">
      <c r="A9" s="252" t="s">
        <v>333</v>
      </c>
      <c r="B9" s="313">
        <v>0</v>
      </c>
      <c r="C9" s="313">
        <v>0</v>
      </c>
      <c r="D9" s="159">
        <f>B9*C9</f>
        <v>0</v>
      </c>
      <c r="E9" s="318">
        <v>0</v>
      </c>
      <c r="F9" s="160">
        <f>D9*E9</f>
        <v>0</v>
      </c>
      <c r="G9" s="160">
        <f>F9*0.05</f>
        <v>0</v>
      </c>
      <c r="H9" s="160">
        <f>F9*0.1</f>
        <v>0</v>
      </c>
      <c r="I9" s="161">
        <f>(F9*$L$9)+(G9*$L$8)+(H9*$L$10)</f>
        <v>0</v>
      </c>
      <c r="K9" s="157" t="s">
        <v>128</v>
      </c>
      <c r="L9" s="162">
        <v>51.23</v>
      </c>
      <c r="M9" s="231"/>
      <c r="O9" s="156">
        <f t="shared" si="0"/>
        <v>0</v>
      </c>
    </row>
    <row r="10" spans="1:15" ht="15.5" x14ac:dyDescent="0.35">
      <c r="A10" s="252" t="s">
        <v>334</v>
      </c>
      <c r="B10" s="313">
        <v>0</v>
      </c>
      <c r="C10" s="313">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313">
        <v>0</v>
      </c>
      <c r="C11" s="313">
        <v>0</v>
      </c>
      <c r="D11" s="74">
        <f>B11*C11</f>
        <v>0</v>
      </c>
      <c r="E11" s="318">
        <v>0</v>
      </c>
      <c r="F11" s="163">
        <f t="shared" ref="F11:F12" si="1">D11*E11</f>
        <v>0</v>
      </c>
      <c r="G11" s="163">
        <f t="shared" ref="G11:G12" si="2">F11*0.05</f>
        <v>0</v>
      </c>
      <c r="H11" s="163">
        <f t="shared" ref="H11:H12" si="3">F11*0.1</f>
        <v>0</v>
      </c>
      <c r="I11" s="164">
        <f t="shared" ref="I11:I12" si="4">(F11*$L$9)+(G11*$L$8)+(H11*$L$10)</f>
        <v>0</v>
      </c>
      <c r="K11" s="312"/>
      <c r="L11" s="117"/>
      <c r="M11" s="231"/>
      <c r="O11" s="156">
        <f t="shared" si="0"/>
        <v>0</v>
      </c>
    </row>
    <row r="12" spans="1:15" ht="28.5" x14ac:dyDescent="0.35">
      <c r="A12" s="114" t="s">
        <v>424</v>
      </c>
      <c r="B12" s="313">
        <v>0</v>
      </c>
      <c r="C12" s="313">
        <v>0</v>
      </c>
      <c r="D12" s="74">
        <f>B12*C12</f>
        <v>0</v>
      </c>
      <c r="E12" s="159">
        <v>0</v>
      </c>
      <c r="F12" s="163">
        <f t="shared" si="1"/>
        <v>0</v>
      </c>
      <c r="G12" s="163">
        <f t="shared" si="2"/>
        <v>0</v>
      </c>
      <c r="H12" s="163">
        <f t="shared" si="3"/>
        <v>0</v>
      </c>
      <c r="I12" s="164">
        <f t="shared" si="4"/>
        <v>0</v>
      </c>
      <c r="K12" s="312"/>
      <c r="L12" s="117"/>
      <c r="M12" s="231"/>
      <c r="O12" s="156">
        <f t="shared" si="0"/>
        <v>0</v>
      </c>
    </row>
    <row r="13" spans="1:15" x14ac:dyDescent="0.35">
      <c r="A13" s="325" t="s">
        <v>243</v>
      </c>
      <c r="B13" s="159"/>
      <c r="C13" s="159"/>
      <c r="D13" s="159"/>
      <c r="E13" s="159"/>
      <c r="F13" s="160"/>
      <c r="G13" s="160"/>
      <c r="H13" s="160"/>
      <c r="I13" s="165"/>
      <c r="O13" s="156">
        <f t="shared" si="0"/>
        <v>0</v>
      </c>
    </row>
    <row r="14" spans="1:15" ht="39" x14ac:dyDescent="0.35">
      <c r="A14" s="182" t="s">
        <v>261</v>
      </c>
      <c r="B14" s="58">
        <v>8</v>
      </c>
      <c r="C14" s="58">
        <v>1</v>
      </c>
      <c r="D14" s="159">
        <f>B14*C14</f>
        <v>8</v>
      </c>
      <c r="E14" s="347">
        <f>'SI-Y1'!$L$18*0.01</f>
        <v>0.85</v>
      </c>
      <c r="F14" s="160">
        <f t="shared" ref="F14" si="5">D14*E14</f>
        <v>6.8</v>
      </c>
      <c r="G14" s="160">
        <f t="shared" ref="G14" si="6">F14*0.05</f>
        <v>0.34</v>
      </c>
      <c r="H14" s="160">
        <f t="shared" ref="H14" si="7">F14*0.1</f>
        <v>0.68</v>
      </c>
      <c r="I14" s="161">
        <f t="shared" ref="I14" si="8">(F14*$L$9)+(G14*$L$8)+(H14*$L$10)</f>
        <v>390.69399999999996</v>
      </c>
    </row>
    <row r="15" spans="1:15" ht="15.5" x14ac:dyDescent="0.35">
      <c r="A15" s="253" t="s">
        <v>337</v>
      </c>
      <c r="B15" s="159">
        <v>0</v>
      </c>
      <c r="C15" s="159">
        <v>0</v>
      </c>
      <c r="D15" s="159">
        <f t="shared" ref="D15:D18" si="9">B15*C15</f>
        <v>0</v>
      </c>
      <c r="E15" s="318">
        <v>0</v>
      </c>
      <c r="F15" s="160">
        <f t="shared" ref="F15:F18" si="10">D15*E15</f>
        <v>0</v>
      </c>
      <c r="G15" s="160">
        <f t="shared" ref="G15:G18" si="11">F15*0.05</f>
        <v>0</v>
      </c>
      <c r="H15" s="160">
        <f t="shared" ref="H15:H18" si="12">F15*0.1</f>
        <v>0</v>
      </c>
      <c r="I15" s="161">
        <f t="shared" ref="I15:I18" si="13">(F15*$L$9)+(G15*$L$8)+(H15*$L$10)</f>
        <v>0</v>
      </c>
      <c r="O15" s="156">
        <f t="shared" si="0"/>
        <v>0</v>
      </c>
    </row>
    <row r="16" spans="1:15" ht="20.25" customHeight="1" x14ac:dyDescent="0.35">
      <c r="A16" s="253"/>
      <c r="B16" s="159"/>
      <c r="C16" s="159"/>
      <c r="D16" s="159"/>
      <c r="E16" s="318"/>
      <c r="F16" s="160"/>
      <c r="G16" s="167"/>
      <c r="H16" s="167"/>
      <c r="I16" s="161"/>
      <c r="O16" s="156">
        <f t="shared" si="0"/>
        <v>0</v>
      </c>
    </row>
    <row r="17" spans="1:16" ht="31.5" customHeight="1" x14ac:dyDescent="0.35">
      <c r="A17" s="114" t="s">
        <v>418</v>
      </c>
      <c r="B17" s="74">
        <v>0</v>
      </c>
      <c r="C17" s="74">
        <v>0</v>
      </c>
      <c r="D17" s="74">
        <f t="shared" si="9"/>
        <v>0</v>
      </c>
      <c r="E17" s="318">
        <v>0</v>
      </c>
      <c r="F17" s="163">
        <f t="shared" si="10"/>
        <v>0</v>
      </c>
      <c r="G17" s="163">
        <f t="shared" si="11"/>
        <v>0</v>
      </c>
      <c r="H17" s="163">
        <f t="shared" si="12"/>
        <v>0</v>
      </c>
      <c r="I17" s="164">
        <f t="shared" si="13"/>
        <v>0</v>
      </c>
      <c r="O17" s="156">
        <f t="shared" si="0"/>
        <v>0</v>
      </c>
    </row>
    <row r="18" spans="1:16" ht="40.5" customHeight="1" x14ac:dyDescent="0.35">
      <c r="A18" s="114" t="s">
        <v>419</v>
      </c>
      <c r="B18" s="74">
        <v>0</v>
      </c>
      <c r="C18" s="74">
        <v>0</v>
      </c>
      <c r="D18" s="74">
        <f t="shared" si="9"/>
        <v>0</v>
      </c>
      <c r="E18" s="318">
        <v>0</v>
      </c>
      <c r="F18" s="163">
        <f t="shared" si="10"/>
        <v>0</v>
      </c>
      <c r="G18" s="163">
        <f t="shared" si="11"/>
        <v>0</v>
      </c>
      <c r="H18" s="163">
        <f t="shared" si="12"/>
        <v>0</v>
      </c>
      <c r="I18" s="164">
        <f t="shared" si="13"/>
        <v>0</v>
      </c>
      <c r="O18" s="156">
        <f t="shared" si="0"/>
        <v>0</v>
      </c>
    </row>
    <row r="19" spans="1:16" ht="28.5" customHeight="1" x14ac:dyDescent="0.35">
      <c r="A19" s="116"/>
      <c r="B19" s="74"/>
      <c r="C19" s="74"/>
      <c r="D19" s="74"/>
      <c r="E19" s="159"/>
      <c r="F19" s="163"/>
      <c r="G19" s="163"/>
      <c r="H19" s="163"/>
      <c r="I19" s="164"/>
      <c r="O19" s="156">
        <f t="shared" si="0"/>
        <v>0</v>
      </c>
    </row>
    <row r="20" spans="1:16" ht="15" x14ac:dyDescent="0.35">
      <c r="A20" s="168" t="s">
        <v>247</v>
      </c>
      <c r="B20" s="168"/>
      <c r="C20" s="168"/>
      <c r="D20" s="168"/>
      <c r="E20" s="168"/>
      <c r="F20" s="169">
        <f>ROUND(SUM(F8:H19), -1)</f>
        <v>10</v>
      </c>
      <c r="G20" s="170"/>
      <c r="H20" s="170"/>
      <c r="I20" s="171">
        <f>ROUND(SUM(I8:I19), -2)</f>
        <v>400</v>
      </c>
      <c r="O20" s="156">
        <f>SUM(O8:O19)</f>
        <v>0</v>
      </c>
      <c r="P20" s="156" t="s">
        <v>248</v>
      </c>
    </row>
    <row r="21" spans="1:16" x14ac:dyDescent="0.35">
      <c r="A21" s="254"/>
      <c r="G21" s="172"/>
    </row>
    <row r="22" spans="1:16" ht="24.75" customHeight="1" x14ac:dyDescent="0.35">
      <c r="A22" s="254" t="s">
        <v>249</v>
      </c>
    </row>
    <row r="23" spans="1:16" ht="27.65" customHeight="1" x14ac:dyDescent="0.35">
      <c r="A23" s="475" t="s">
        <v>420</v>
      </c>
      <c r="B23" s="475"/>
      <c r="C23" s="475"/>
      <c r="D23" s="475"/>
      <c r="E23" s="475"/>
      <c r="F23" s="475"/>
      <c r="G23" s="475"/>
      <c r="H23" s="475"/>
      <c r="I23" s="475"/>
    </row>
    <row r="24" spans="1:16" ht="45" customHeight="1" x14ac:dyDescent="0.35">
      <c r="A24" s="475" t="s">
        <v>251</v>
      </c>
      <c r="B24" s="475"/>
      <c r="C24" s="475"/>
      <c r="D24" s="475"/>
      <c r="E24" s="475"/>
      <c r="F24" s="475"/>
      <c r="G24" s="475"/>
      <c r="H24" s="475"/>
      <c r="I24" s="475"/>
    </row>
    <row r="25" spans="1:16" ht="28.5" customHeight="1" x14ac:dyDescent="0.35">
      <c r="A25" s="476" t="s">
        <v>383</v>
      </c>
      <c r="B25" s="476"/>
      <c r="C25" s="476"/>
      <c r="D25" s="476"/>
      <c r="E25" s="476"/>
      <c r="F25" s="476"/>
      <c r="G25" s="476"/>
      <c r="H25" s="476"/>
      <c r="I25" s="476"/>
    </row>
    <row r="26" spans="1:16" ht="15.5" x14ac:dyDescent="0.35">
      <c r="A26" s="477" t="s">
        <v>253</v>
      </c>
      <c r="B26" s="477"/>
      <c r="C26" s="477"/>
      <c r="D26" s="477"/>
      <c r="E26" s="477"/>
      <c r="F26" s="477"/>
      <c r="G26" s="477"/>
      <c r="H26" s="477"/>
      <c r="I26" s="477"/>
    </row>
    <row r="27" spans="1:16" ht="15.5" x14ac:dyDescent="0.35">
      <c r="A27" s="471" t="s">
        <v>421</v>
      </c>
      <c r="B27" s="471"/>
      <c r="C27" s="471"/>
      <c r="D27" s="471"/>
      <c r="E27" s="471"/>
      <c r="F27" s="471"/>
      <c r="G27" s="471"/>
      <c r="H27" s="471"/>
      <c r="I27" s="471"/>
    </row>
    <row r="28" spans="1:16" ht="15.5" x14ac:dyDescent="0.35">
      <c r="A28" s="496" t="s">
        <v>422</v>
      </c>
      <c r="B28" s="496"/>
      <c r="C28" s="496"/>
      <c r="D28" s="496"/>
      <c r="E28" s="496"/>
      <c r="F28" s="496"/>
      <c r="G28" s="496"/>
      <c r="H28" s="496"/>
      <c r="I28" s="496"/>
    </row>
    <row r="29" spans="1:16" ht="15.5" x14ac:dyDescent="0.35">
      <c r="A29" s="471" t="s">
        <v>423</v>
      </c>
      <c r="B29" s="471"/>
      <c r="C29" s="471"/>
      <c r="D29" s="471"/>
      <c r="E29" s="471"/>
      <c r="F29" s="471"/>
      <c r="G29" s="471"/>
      <c r="H29" s="471"/>
      <c r="I29" s="471"/>
    </row>
    <row r="31" spans="1:16" ht="30" customHeight="1" x14ac:dyDescent="0.35">
      <c r="A31" s="494"/>
      <c r="B31" s="494"/>
      <c r="C31" s="494"/>
      <c r="D31" s="494"/>
      <c r="E31" s="494"/>
      <c r="F31" s="494"/>
      <c r="G31" s="494"/>
      <c r="H31" s="494"/>
      <c r="I31" s="494"/>
    </row>
    <row r="32" spans="1:16" ht="15.5" x14ac:dyDescent="0.35">
      <c r="A32" s="495"/>
      <c r="B32" s="495"/>
      <c r="C32" s="495"/>
      <c r="D32" s="495"/>
      <c r="E32" s="495"/>
      <c r="F32" s="495"/>
      <c r="G32" s="495"/>
      <c r="H32" s="495"/>
      <c r="I32" s="495"/>
    </row>
    <row r="33" spans="1:9" x14ac:dyDescent="0.35">
      <c r="A33" s="496"/>
      <c r="B33" s="496"/>
      <c r="C33" s="496"/>
      <c r="D33" s="496"/>
      <c r="E33" s="496"/>
      <c r="F33" s="496"/>
      <c r="G33" s="496"/>
      <c r="H33" s="496"/>
      <c r="I33" s="496"/>
    </row>
    <row r="34" spans="1:9" x14ac:dyDescent="0.35">
      <c r="A34" s="255"/>
    </row>
  </sheetData>
  <mergeCells count="15">
    <mergeCell ref="A1:I1"/>
    <mergeCell ref="A3:I3"/>
    <mergeCell ref="A4:I4"/>
    <mergeCell ref="A5:A7"/>
    <mergeCell ref="K7:L7"/>
    <mergeCell ref="A23:I23"/>
    <mergeCell ref="A31:I31"/>
    <mergeCell ref="A32:I32"/>
    <mergeCell ref="A33:I33"/>
    <mergeCell ref="A24:I24"/>
    <mergeCell ref="A25:I25"/>
    <mergeCell ref="A26:I26"/>
    <mergeCell ref="A27:I27"/>
    <mergeCell ref="A28:I28"/>
    <mergeCell ref="A29:I29"/>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D5EA5-B3DC-4AA1-A1BD-8206002D5C37}">
  <dimension ref="A1:P33"/>
  <sheetViews>
    <sheetView zoomScale="80" zoomScaleNormal="80" workbookViewId="0">
      <selection activeCell="D12" sqref="D12"/>
    </sheetView>
  </sheetViews>
  <sheetFormatPr defaultColWidth="9.1796875" defaultRowHeight="14.5" x14ac:dyDescent="0.35"/>
  <cols>
    <col min="1" max="1" width="39.1796875" style="156" customWidth="1"/>
    <col min="2" max="2" width="9.81640625" style="156" customWidth="1"/>
    <col min="3" max="8" width="9.1796875" style="156"/>
    <col min="9" max="9" width="15.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414</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4">
        <v>0</v>
      </c>
      <c r="C8" s="314">
        <v>0</v>
      </c>
      <c r="D8" s="314">
        <f>B8*C8</f>
        <v>0</v>
      </c>
      <c r="E8" s="318">
        <v>0</v>
      </c>
      <c r="F8" s="314">
        <f>D8*E8</f>
        <v>0</v>
      </c>
      <c r="G8" s="314">
        <f>F8*0.05</f>
        <v>0</v>
      </c>
      <c r="H8" s="314">
        <f>F8*0.1</f>
        <v>0</v>
      </c>
      <c r="I8" s="315">
        <f>(F8*$L$9)+(G8*$L$8)+(H8*$L$10)</f>
        <v>0</v>
      </c>
      <c r="K8" s="157" t="s">
        <v>125</v>
      </c>
      <c r="L8" s="158">
        <v>69.040000000000006</v>
      </c>
      <c r="M8" s="196" t="s">
        <v>240</v>
      </c>
      <c r="O8" s="156">
        <f t="shared" ref="O8:O18" si="0">C8*E8</f>
        <v>0</v>
      </c>
    </row>
    <row r="9" spans="1:15" ht="20.149999999999999" customHeight="1" x14ac:dyDescent="0.35">
      <c r="A9" s="252" t="s">
        <v>333</v>
      </c>
      <c r="B9" s="159">
        <v>24</v>
      </c>
      <c r="C9" s="159">
        <v>1</v>
      </c>
      <c r="D9" s="159">
        <f>B9*C9</f>
        <v>24</v>
      </c>
      <c r="E9" s="318">
        <f>'SI-Y1'!$L$18</f>
        <v>85</v>
      </c>
      <c r="F9" s="160">
        <f>D9*E9</f>
        <v>2040</v>
      </c>
      <c r="G9" s="160">
        <f>F9*0.05</f>
        <v>102</v>
      </c>
      <c r="H9" s="160">
        <f>F9*0.1</f>
        <v>204</v>
      </c>
      <c r="I9" s="161">
        <f>(F9*$L$9)+(G9*$L$8)+(H9*$L$10)</f>
        <v>117208.2</v>
      </c>
      <c r="K9" s="157" t="s">
        <v>128</v>
      </c>
      <c r="L9" s="162">
        <v>51.23</v>
      </c>
      <c r="M9" s="231"/>
      <c r="O9" s="156">
        <f t="shared" si="0"/>
        <v>85</v>
      </c>
    </row>
    <row r="10" spans="1:15" ht="15.5" x14ac:dyDescent="0.35">
      <c r="A10" s="252" t="s">
        <v>334</v>
      </c>
      <c r="B10" s="159">
        <v>0</v>
      </c>
      <c r="C10" s="159">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74">
        <v>4</v>
      </c>
      <c r="C11" s="74">
        <v>1</v>
      </c>
      <c r="D11" s="74">
        <f>B11*C11</f>
        <v>4</v>
      </c>
      <c r="E11" s="318">
        <f>'SI-Y1'!$L$18</f>
        <v>85</v>
      </c>
      <c r="F11" s="163">
        <f t="shared" ref="F11:F12" si="1">D11*E11</f>
        <v>340</v>
      </c>
      <c r="G11" s="163">
        <f t="shared" ref="G11:G12" si="2">F11*0.05</f>
        <v>17</v>
      </c>
      <c r="H11" s="163">
        <f t="shared" ref="H11:H12" si="3">F11*0.1</f>
        <v>34</v>
      </c>
      <c r="I11" s="164">
        <f t="shared" ref="I11:I12" si="4">(F11*$L$9)+(G11*$L$8)+(H11*$L$10)</f>
        <v>19534.7</v>
      </c>
      <c r="K11" s="312"/>
      <c r="L11" s="117"/>
      <c r="M11" s="231"/>
      <c r="O11" s="156">
        <f t="shared" si="0"/>
        <v>85</v>
      </c>
    </row>
    <row r="12" spans="1:15" ht="24" customHeight="1" x14ac:dyDescent="0.35">
      <c r="A12" s="114" t="s">
        <v>336</v>
      </c>
      <c r="B12" s="74">
        <v>0</v>
      </c>
      <c r="C12" s="74">
        <v>0</v>
      </c>
      <c r="D12" s="74">
        <f>B12*C12</f>
        <v>0</v>
      </c>
      <c r="E12" s="159">
        <v>0</v>
      </c>
      <c r="F12" s="163">
        <f t="shared" si="1"/>
        <v>0</v>
      </c>
      <c r="G12" s="163">
        <f t="shared" si="2"/>
        <v>0</v>
      </c>
      <c r="H12" s="163">
        <f t="shared" si="3"/>
        <v>0</v>
      </c>
      <c r="I12" s="164">
        <f t="shared" si="4"/>
        <v>0</v>
      </c>
      <c r="K12" s="312"/>
      <c r="L12" s="117"/>
      <c r="M12" s="231"/>
      <c r="O12" s="156">
        <f t="shared" si="0"/>
        <v>0</v>
      </c>
    </row>
    <row r="13" spans="1:15" x14ac:dyDescent="0.35">
      <c r="A13" s="325" t="s">
        <v>243</v>
      </c>
      <c r="B13" s="159"/>
      <c r="C13" s="159"/>
      <c r="D13" s="159"/>
      <c r="E13" s="159"/>
      <c r="F13" s="160"/>
      <c r="G13" s="160"/>
      <c r="H13" s="160"/>
      <c r="I13" s="165"/>
      <c r="O13" s="156">
        <f t="shared" si="0"/>
        <v>0</v>
      </c>
    </row>
    <row r="14" spans="1:15" ht="15.5" x14ac:dyDescent="0.35">
      <c r="A14" s="253" t="s">
        <v>337</v>
      </c>
      <c r="B14" s="159">
        <v>0.5</v>
      </c>
      <c r="C14" s="159">
        <v>1.1000000000000001</v>
      </c>
      <c r="D14" s="159">
        <f t="shared" ref="D14:D17" si="5">B14*C14</f>
        <v>0.55000000000000004</v>
      </c>
      <c r="E14" s="318">
        <f>'SI-Y1'!$L$18</f>
        <v>85</v>
      </c>
      <c r="F14" s="160">
        <f t="shared" ref="F14:F17" si="6">D14*E14</f>
        <v>46.750000000000007</v>
      </c>
      <c r="G14" s="160">
        <f t="shared" ref="G14:G17" si="7">F14*0.05</f>
        <v>2.3375000000000004</v>
      </c>
      <c r="H14" s="160">
        <f t="shared" ref="H14:H17" si="8">F14*0.1</f>
        <v>4.6750000000000007</v>
      </c>
      <c r="I14" s="161">
        <f t="shared" ref="I14:I17" si="9">(F14*$L$9)+(G14*$L$8)+(H14*$L$10)</f>
        <v>2686.0212499999998</v>
      </c>
      <c r="O14" s="156">
        <f t="shared" si="0"/>
        <v>93.500000000000014</v>
      </c>
    </row>
    <row r="15" spans="1:15" ht="20.25" customHeight="1" x14ac:dyDescent="0.35">
      <c r="A15" s="253"/>
      <c r="B15" s="159"/>
      <c r="C15" s="159"/>
      <c r="D15" s="159"/>
      <c r="E15" s="318"/>
      <c r="F15" s="160"/>
      <c r="G15" s="167"/>
      <c r="H15" s="167"/>
      <c r="I15" s="161"/>
      <c r="O15" s="156">
        <f t="shared" si="0"/>
        <v>0</v>
      </c>
    </row>
    <row r="16" spans="1:15" ht="31.5" customHeight="1" x14ac:dyDescent="0.35">
      <c r="A16" s="114" t="s">
        <v>418</v>
      </c>
      <c r="B16" s="74">
        <v>0.5</v>
      </c>
      <c r="C16" s="74">
        <v>1.1000000000000001</v>
      </c>
      <c r="D16" s="74">
        <f t="shared" si="5"/>
        <v>0.55000000000000004</v>
      </c>
      <c r="E16" s="318">
        <f>'SI-Y1'!$L$18</f>
        <v>85</v>
      </c>
      <c r="F16" s="163">
        <f t="shared" si="6"/>
        <v>46.750000000000007</v>
      </c>
      <c r="G16" s="163">
        <f t="shared" si="7"/>
        <v>2.3375000000000004</v>
      </c>
      <c r="H16" s="163">
        <f t="shared" si="8"/>
        <v>4.6750000000000007</v>
      </c>
      <c r="I16" s="164">
        <f t="shared" si="9"/>
        <v>2686.0212499999998</v>
      </c>
      <c r="O16" s="156">
        <f t="shared" si="0"/>
        <v>93.500000000000014</v>
      </c>
    </row>
    <row r="17" spans="1:16" ht="40.5" customHeight="1" x14ac:dyDescent="0.35">
      <c r="A17" s="114" t="s">
        <v>419</v>
      </c>
      <c r="B17" s="74">
        <v>8</v>
      </c>
      <c r="C17" s="74">
        <v>1</v>
      </c>
      <c r="D17" s="74">
        <f t="shared" si="5"/>
        <v>8</v>
      </c>
      <c r="E17" s="347">
        <f>'SI-Y1'!$L$18</f>
        <v>85</v>
      </c>
      <c r="F17" s="163">
        <f t="shared" si="6"/>
        <v>680</v>
      </c>
      <c r="G17" s="163">
        <f t="shared" si="7"/>
        <v>34</v>
      </c>
      <c r="H17" s="163">
        <f t="shared" si="8"/>
        <v>68</v>
      </c>
      <c r="I17" s="164">
        <f t="shared" si="9"/>
        <v>39069.4</v>
      </c>
      <c r="O17" s="156">
        <f t="shared" si="0"/>
        <v>85</v>
      </c>
    </row>
    <row r="18" spans="1:16" ht="28.5" customHeight="1" x14ac:dyDescent="0.35">
      <c r="A18" s="116"/>
      <c r="B18" s="74"/>
      <c r="C18" s="74"/>
      <c r="D18" s="74"/>
      <c r="E18" s="159"/>
      <c r="F18" s="163"/>
      <c r="G18" s="163"/>
      <c r="H18" s="163"/>
      <c r="I18" s="164"/>
      <c r="O18" s="156">
        <f t="shared" si="0"/>
        <v>0</v>
      </c>
    </row>
    <row r="19" spans="1:16" ht="15" x14ac:dyDescent="0.35">
      <c r="A19" s="168" t="s">
        <v>247</v>
      </c>
      <c r="B19" s="168"/>
      <c r="C19" s="168"/>
      <c r="D19" s="168"/>
      <c r="E19" s="168"/>
      <c r="F19" s="169">
        <f>ROUND(SUM(F8:H18), -1)</f>
        <v>3630</v>
      </c>
      <c r="G19" s="170"/>
      <c r="H19" s="170"/>
      <c r="I19" s="171">
        <f>ROUND(SUM(I8:I18), -2)</f>
        <v>181200</v>
      </c>
      <c r="O19" s="156">
        <f>SUM(O8:O18)</f>
        <v>442</v>
      </c>
      <c r="P19" s="156" t="s">
        <v>248</v>
      </c>
    </row>
    <row r="20" spans="1:16" x14ac:dyDescent="0.35">
      <c r="A20" s="254"/>
      <c r="G20" s="172"/>
    </row>
    <row r="21" spans="1:16" ht="24.75" customHeight="1" x14ac:dyDescent="0.35">
      <c r="A21" s="254" t="s">
        <v>249</v>
      </c>
    </row>
    <row r="22" spans="1:16" ht="27.65" customHeight="1" x14ac:dyDescent="0.35">
      <c r="A22" s="475" t="s">
        <v>420</v>
      </c>
      <c r="B22" s="475"/>
      <c r="C22" s="475"/>
      <c r="D22" s="475"/>
      <c r="E22" s="475"/>
      <c r="F22" s="475"/>
      <c r="G22" s="475"/>
      <c r="H22" s="475"/>
      <c r="I22" s="475"/>
    </row>
    <row r="23" spans="1:16" ht="45" customHeight="1" x14ac:dyDescent="0.35">
      <c r="A23" s="475" t="s">
        <v>251</v>
      </c>
      <c r="B23" s="475"/>
      <c r="C23" s="475"/>
      <c r="D23" s="475"/>
      <c r="E23" s="475"/>
      <c r="F23" s="475"/>
      <c r="G23" s="475"/>
      <c r="H23" s="475"/>
      <c r="I23" s="475"/>
    </row>
    <row r="24" spans="1:16" ht="28.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96" t="s">
        <v>422</v>
      </c>
      <c r="B27" s="496"/>
      <c r="C27" s="496"/>
      <c r="D27" s="496"/>
      <c r="E27" s="496"/>
      <c r="F27" s="496"/>
      <c r="G27" s="496"/>
      <c r="H27" s="496"/>
      <c r="I27" s="496"/>
    </row>
    <row r="28" spans="1:16" ht="15.5" x14ac:dyDescent="0.35">
      <c r="A28" s="471" t="s">
        <v>423</v>
      </c>
      <c r="B28" s="471"/>
      <c r="C28" s="471"/>
      <c r="D28" s="471"/>
      <c r="E28" s="471"/>
      <c r="F28" s="471"/>
      <c r="G28" s="471"/>
      <c r="H28" s="471"/>
      <c r="I28" s="471"/>
    </row>
    <row r="30" spans="1:16" ht="30" customHeight="1" x14ac:dyDescent="0.35">
      <c r="A30" s="494"/>
      <c r="B30" s="494"/>
      <c r="C30" s="494"/>
      <c r="D30" s="494"/>
      <c r="E30" s="494"/>
      <c r="F30" s="494"/>
      <c r="G30" s="494"/>
      <c r="H30" s="494"/>
      <c r="I30" s="494"/>
    </row>
    <row r="31" spans="1:16" ht="15.5" x14ac:dyDescent="0.35">
      <c r="A31" s="495"/>
      <c r="B31" s="495"/>
      <c r="C31" s="495"/>
      <c r="D31" s="495"/>
      <c r="E31" s="495"/>
      <c r="F31" s="495"/>
      <c r="G31" s="495"/>
      <c r="H31" s="495"/>
      <c r="I31" s="495"/>
    </row>
    <row r="32" spans="1:16" x14ac:dyDescent="0.35">
      <c r="A32" s="496"/>
      <c r="B32" s="496"/>
      <c r="C32" s="496"/>
      <c r="D32" s="496"/>
      <c r="E32" s="496"/>
      <c r="F32" s="496"/>
      <c r="G32" s="496"/>
      <c r="H32" s="496"/>
      <c r="I32" s="496"/>
    </row>
    <row r="33" spans="1:1" x14ac:dyDescent="0.35">
      <c r="A33" s="255"/>
    </row>
  </sheetData>
  <mergeCells count="15">
    <mergeCell ref="A1:I1"/>
    <mergeCell ref="A3:I3"/>
    <mergeCell ref="A4:I4"/>
    <mergeCell ref="A5:A7"/>
    <mergeCell ref="K7:L7"/>
    <mergeCell ref="A22:I22"/>
    <mergeCell ref="A30:I30"/>
    <mergeCell ref="A31:I31"/>
    <mergeCell ref="A32:I32"/>
    <mergeCell ref="A23:I23"/>
    <mergeCell ref="A24:I24"/>
    <mergeCell ref="A25:I25"/>
    <mergeCell ref="A26:I26"/>
    <mergeCell ref="A27:I27"/>
    <mergeCell ref="A28:I28"/>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7961-2B04-416E-9E3A-69082D1CF2AE}">
  <dimension ref="A1:P33"/>
  <sheetViews>
    <sheetView zoomScale="80" zoomScaleNormal="80" workbookViewId="0">
      <selection activeCell="D12" sqref="D12"/>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415</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4">
        <v>0</v>
      </c>
      <c r="C8" s="314">
        <v>0</v>
      </c>
      <c r="D8" s="314">
        <f>B8*C8</f>
        <v>0</v>
      </c>
      <c r="E8" s="318">
        <v>0</v>
      </c>
      <c r="F8" s="314">
        <f>D8*E8</f>
        <v>0</v>
      </c>
      <c r="G8" s="314">
        <f>F8*0.05</f>
        <v>0</v>
      </c>
      <c r="H8" s="314">
        <f>F8*0.1</f>
        <v>0</v>
      </c>
      <c r="I8" s="315">
        <f>(F8*$L$9)+(G8*$L$8)+(H8*$L$10)</f>
        <v>0</v>
      </c>
      <c r="K8" s="157" t="s">
        <v>125</v>
      </c>
      <c r="L8" s="158">
        <v>69.040000000000006</v>
      </c>
      <c r="M8" s="196" t="s">
        <v>240</v>
      </c>
      <c r="O8" s="156">
        <f t="shared" ref="O8:O18" si="0">C8*E8</f>
        <v>0</v>
      </c>
    </row>
    <row r="9" spans="1:15" ht="15.5" x14ac:dyDescent="0.35">
      <c r="A9" s="252" t="s">
        <v>333</v>
      </c>
      <c r="B9" s="159">
        <v>24</v>
      </c>
      <c r="C9" s="159">
        <v>1</v>
      </c>
      <c r="D9" s="159">
        <f>B9*C9</f>
        <v>24</v>
      </c>
      <c r="E9" s="318">
        <f>'SI-Y1'!$L$17</f>
        <v>5.95</v>
      </c>
      <c r="F9" s="160">
        <f>D9*E9</f>
        <v>142.80000000000001</v>
      </c>
      <c r="G9" s="160">
        <f>F9*0.05</f>
        <v>7.1400000000000006</v>
      </c>
      <c r="H9" s="160">
        <f>F9*0.1</f>
        <v>14.280000000000001</v>
      </c>
      <c r="I9" s="161">
        <f>(F9*$L$9)+(G9*$L$8)+(H9*$L$10)</f>
        <v>8204.5740000000005</v>
      </c>
      <c r="K9" s="157" t="s">
        <v>128</v>
      </c>
      <c r="L9" s="162">
        <v>51.23</v>
      </c>
      <c r="M9" s="231"/>
      <c r="O9" s="156">
        <f t="shared" si="0"/>
        <v>5.95</v>
      </c>
    </row>
    <row r="10" spans="1:15" ht="15.5" x14ac:dyDescent="0.35">
      <c r="A10" s="252" t="s">
        <v>334</v>
      </c>
      <c r="B10" s="159">
        <v>0</v>
      </c>
      <c r="C10" s="159">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74">
        <v>4</v>
      </c>
      <c r="C11" s="74">
        <v>1</v>
      </c>
      <c r="D11" s="74">
        <f>B11*C11</f>
        <v>4</v>
      </c>
      <c r="E11" s="318">
        <f>'SI-Y1'!$L$17</f>
        <v>5.95</v>
      </c>
      <c r="F11" s="163">
        <f t="shared" ref="F11:F12" si="1">D11*E11</f>
        <v>23.8</v>
      </c>
      <c r="G11" s="163">
        <f t="shared" ref="G11:G12" si="2">F11*0.05</f>
        <v>1.1900000000000002</v>
      </c>
      <c r="H11" s="163">
        <f t="shared" ref="H11:H12" si="3">F11*0.1</f>
        <v>2.3800000000000003</v>
      </c>
      <c r="I11" s="164">
        <f t="shared" ref="I11:I12" si="4">(F11*$L$9)+(G11*$L$8)+(H11*$L$10)</f>
        <v>1367.4289999999999</v>
      </c>
      <c r="K11" s="312"/>
      <c r="L11" s="117"/>
      <c r="M11" s="231"/>
      <c r="O11" s="156">
        <f t="shared" si="0"/>
        <v>5.95</v>
      </c>
    </row>
    <row r="12" spans="1:15" ht="15.5" x14ac:dyDescent="0.35">
      <c r="A12" s="114" t="s">
        <v>336</v>
      </c>
      <c r="B12" s="74">
        <v>0</v>
      </c>
      <c r="C12" s="74">
        <v>0</v>
      </c>
      <c r="D12" s="74">
        <f>B12*C12</f>
        <v>0</v>
      </c>
      <c r="E12" s="159">
        <v>0</v>
      </c>
      <c r="F12" s="163">
        <f t="shared" si="1"/>
        <v>0</v>
      </c>
      <c r="G12" s="163">
        <f t="shared" si="2"/>
        <v>0</v>
      </c>
      <c r="H12" s="163">
        <f t="shared" si="3"/>
        <v>0</v>
      </c>
      <c r="I12" s="164">
        <f t="shared" si="4"/>
        <v>0</v>
      </c>
      <c r="K12" s="312"/>
      <c r="L12" s="117"/>
      <c r="M12" s="231"/>
      <c r="O12" s="156">
        <f t="shared" si="0"/>
        <v>0</v>
      </c>
    </row>
    <row r="13" spans="1:15" x14ac:dyDescent="0.35">
      <c r="A13" s="325" t="s">
        <v>243</v>
      </c>
      <c r="B13" s="159"/>
      <c r="C13" s="159"/>
      <c r="D13" s="159"/>
      <c r="E13" s="159"/>
      <c r="F13" s="160"/>
      <c r="G13" s="160"/>
      <c r="H13" s="160"/>
      <c r="I13" s="165"/>
      <c r="O13" s="156">
        <f t="shared" si="0"/>
        <v>0</v>
      </c>
    </row>
    <row r="14" spans="1:15" ht="15.5" x14ac:dyDescent="0.35">
      <c r="A14" s="253" t="s">
        <v>337</v>
      </c>
      <c r="B14" s="159">
        <v>0.5</v>
      </c>
      <c r="C14" s="159">
        <v>1.1000000000000001</v>
      </c>
      <c r="D14" s="159">
        <f t="shared" ref="D14:D17" si="5">B14*C14</f>
        <v>0.55000000000000004</v>
      </c>
      <c r="E14" s="318">
        <f>'SI-Y1'!$L$18</f>
        <v>85</v>
      </c>
      <c r="F14" s="160">
        <f t="shared" ref="F14:F17" si="6">D14*E14</f>
        <v>46.750000000000007</v>
      </c>
      <c r="G14" s="160">
        <f t="shared" ref="G14:G17" si="7">F14*0.05</f>
        <v>2.3375000000000004</v>
      </c>
      <c r="H14" s="160">
        <f t="shared" ref="H14:H17" si="8">F14*0.1</f>
        <v>4.6750000000000007</v>
      </c>
      <c r="I14" s="161">
        <f t="shared" ref="I14:I17" si="9">(F14*$L$9)+(G14*$L$8)+(H14*$L$10)</f>
        <v>2686.0212499999998</v>
      </c>
      <c r="O14" s="156">
        <f t="shared" si="0"/>
        <v>93.500000000000014</v>
      </c>
    </row>
    <row r="15" spans="1:15" ht="20.25" customHeight="1" x14ac:dyDescent="0.35">
      <c r="A15" s="253"/>
      <c r="B15" s="159"/>
      <c r="C15" s="159"/>
      <c r="D15" s="159"/>
      <c r="E15" s="318"/>
      <c r="F15" s="160"/>
      <c r="G15" s="167"/>
      <c r="H15" s="167"/>
      <c r="I15" s="161"/>
      <c r="O15" s="156">
        <f t="shared" si="0"/>
        <v>0</v>
      </c>
    </row>
    <row r="16" spans="1:15" ht="31.5" customHeight="1" x14ac:dyDescent="0.35">
      <c r="A16" s="114" t="s">
        <v>418</v>
      </c>
      <c r="B16" s="74">
        <v>0.5</v>
      </c>
      <c r="C16" s="74">
        <v>1.1000000000000001</v>
      </c>
      <c r="D16" s="74">
        <f t="shared" si="5"/>
        <v>0.55000000000000004</v>
      </c>
      <c r="E16" s="318">
        <f>'SI-Y1'!$L$18</f>
        <v>85</v>
      </c>
      <c r="F16" s="163">
        <f t="shared" si="6"/>
        <v>46.750000000000007</v>
      </c>
      <c r="G16" s="163">
        <f t="shared" si="7"/>
        <v>2.3375000000000004</v>
      </c>
      <c r="H16" s="163">
        <f t="shared" si="8"/>
        <v>4.6750000000000007</v>
      </c>
      <c r="I16" s="164">
        <f t="shared" si="9"/>
        <v>2686.0212499999998</v>
      </c>
      <c r="O16" s="156">
        <f t="shared" si="0"/>
        <v>93.500000000000014</v>
      </c>
    </row>
    <row r="17" spans="1:16" ht="40.5" customHeight="1" x14ac:dyDescent="0.35">
      <c r="A17" s="114" t="s">
        <v>419</v>
      </c>
      <c r="B17" s="74">
        <v>8</v>
      </c>
      <c r="C17" s="74">
        <v>1</v>
      </c>
      <c r="D17" s="74">
        <f t="shared" si="5"/>
        <v>8</v>
      </c>
      <c r="E17" s="347">
        <f>'SI-Y1'!$L$18</f>
        <v>85</v>
      </c>
      <c r="F17" s="163">
        <f t="shared" si="6"/>
        <v>680</v>
      </c>
      <c r="G17" s="163">
        <f t="shared" si="7"/>
        <v>34</v>
      </c>
      <c r="H17" s="163">
        <f t="shared" si="8"/>
        <v>68</v>
      </c>
      <c r="I17" s="164">
        <f t="shared" si="9"/>
        <v>39069.4</v>
      </c>
      <c r="O17" s="156">
        <f t="shared" si="0"/>
        <v>85</v>
      </c>
    </row>
    <row r="18" spans="1:16" ht="28.5" customHeight="1" x14ac:dyDescent="0.35">
      <c r="A18" s="116"/>
      <c r="B18" s="74"/>
      <c r="C18" s="74"/>
      <c r="D18" s="74"/>
      <c r="E18" s="159"/>
      <c r="F18" s="163"/>
      <c r="G18" s="163"/>
      <c r="H18" s="163"/>
      <c r="I18" s="164"/>
      <c r="O18" s="156">
        <f t="shared" si="0"/>
        <v>0</v>
      </c>
    </row>
    <row r="19" spans="1:16" ht="15" x14ac:dyDescent="0.35">
      <c r="A19" s="168" t="s">
        <v>247</v>
      </c>
      <c r="B19" s="168"/>
      <c r="C19" s="168"/>
      <c r="D19" s="168"/>
      <c r="E19" s="168"/>
      <c r="F19" s="169">
        <f>ROUND(SUM(F8:H18), -1)</f>
        <v>1080</v>
      </c>
      <c r="G19" s="170"/>
      <c r="H19" s="170"/>
      <c r="I19" s="171">
        <f>ROUND(SUM(I8:I18), -2)</f>
        <v>54000</v>
      </c>
      <c r="O19" s="156">
        <f>SUM(O8:O18)</f>
        <v>283.90000000000003</v>
      </c>
      <c r="P19" s="156" t="s">
        <v>248</v>
      </c>
    </row>
    <row r="20" spans="1:16" x14ac:dyDescent="0.35">
      <c r="A20" s="254"/>
      <c r="G20" s="172"/>
    </row>
    <row r="21" spans="1:16" ht="24.75" customHeight="1" x14ac:dyDescent="0.35">
      <c r="A21" s="254" t="s">
        <v>249</v>
      </c>
    </row>
    <row r="22" spans="1:16" ht="27.65" customHeight="1" x14ac:dyDescent="0.35">
      <c r="A22" s="475" t="s">
        <v>420</v>
      </c>
      <c r="B22" s="475"/>
      <c r="C22" s="475"/>
      <c r="D22" s="475"/>
      <c r="E22" s="475"/>
      <c r="F22" s="475"/>
      <c r="G22" s="475"/>
      <c r="H22" s="475"/>
      <c r="I22" s="475"/>
    </row>
    <row r="23" spans="1:16" ht="45" customHeight="1" x14ac:dyDescent="0.35">
      <c r="A23" s="475" t="s">
        <v>251</v>
      </c>
      <c r="B23" s="475"/>
      <c r="C23" s="475"/>
      <c r="D23" s="475"/>
      <c r="E23" s="475"/>
      <c r="F23" s="475"/>
      <c r="G23" s="475"/>
      <c r="H23" s="475"/>
      <c r="I23" s="475"/>
    </row>
    <row r="24" spans="1:16" ht="28.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96" t="s">
        <v>422</v>
      </c>
      <c r="B27" s="496"/>
      <c r="C27" s="496"/>
      <c r="D27" s="496"/>
      <c r="E27" s="496"/>
      <c r="F27" s="496"/>
      <c r="G27" s="496"/>
      <c r="H27" s="496"/>
      <c r="I27" s="496"/>
    </row>
    <row r="28" spans="1:16" ht="15.5" x14ac:dyDescent="0.35">
      <c r="A28" s="471" t="s">
        <v>423</v>
      </c>
      <c r="B28" s="471"/>
      <c r="C28" s="471"/>
      <c r="D28" s="471"/>
      <c r="E28" s="471"/>
      <c r="F28" s="471"/>
      <c r="G28" s="471"/>
      <c r="H28" s="471"/>
      <c r="I28" s="471"/>
    </row>
    <row r="30" spans="1:16" ht="30" customHeight="1" x14ac:dyDescent="0.35">
      <c r="A30" s="494"/>
      <c r="B30" s="494"/>
      <c r="C30" s="494"/>
      <c r="D30" s="494"/>
      <c r="E30" s="494"/>
      <c r="F30" s="494"/>
      <c r="G30" s="494"/>
      <c r="H30" s="494"/>
      <c r="I30" s="494"/>
    </row>
    <row r="31" spans="1:16" ht="15.5" x14ac:dyDescent="0.35">
      <c r="A31" s="495"/>
      <c r="B31" s="495"/>
      <c r="C31" s="495"/>
      <c r="D31" s="495"/>
      <c r="E31" s="495"/>
      <c r="F31" s="495"/>
      <c r="G31" s="495"/>
      <c r="H31" s="495"/>
      <c r="I31" s="495"/>
    </row>
    <row r="32" spans="1:16" x14ac:dyDescent="0.35">
      <c r="A32" s="496"/>
      <c r="B32" s="496"/>
      <c r="C32" s="496"/>
      <c r="D32" s="496"/>
      <c r="E32" s="496"/>
      <c r="F32" s="496"/>
      <c r="G32" s="496"/>
      <c r="H32" s="496"/>
      <c r="I32" s="496"/>
    </row>
    <row r="33" spans="1:1" x14ac:dyDescent="0.35">
      <c r="A33" s="255"/>
    </row>
  </sheetData>
  <mergeCells count="15">
    <mergeCell ref="A1:I1"/>
    <mergeCell ref="A3:I3"/>
    <mergeCell ref="A4:I4"/>
    <mergeCell ref="A5:A7"/>
    <mergeCell ref="K7:L7"/>
    <mergeCell ref="A22:I22"/>
    <mergeCell ref="A30:I30"/>
    <mergeCell ref="A31:I31"/>
    <mergeCell ref="A32:I32"/>
    <mergeCell ref="A23:I23"/>
    <mergeCell ref="A24:I24"/>
    <mergeCell ref="A25:I25"/>
    <mergeCell ref="A26:I26"/>
    <mergeCell ref="A27:I27"/>
    <mergeCell ref="A28:I28"/>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958F-E081-4DFF-8648-44CDF3B6F2D3}">
  <dimension ref="A1:P33"/>
  <sheetViews>
    <sheetView zoomScale="80" zoomScaleNormal="80" workbookViewId="0">
      <selection activeCell="D12" sqref="D12"/>
    </sheetView>
  </sheetViews>
  <sheetFormatPr defaultColWidth="9.1796875" defaultRowHeight="14.5" x14ac:dyDescent="0.35"/>
  <cols>
    <col min="1" max="1" width="39.1796875" style="156" customWidth="1"/>
    <col min="2" max="2" width="9.81640625" style="156" customWidth="1"/>
    <col min="3" max="8" width="9.1796875" style="156"/>
    <col min="9" max="9" width="13.81640625" style="156" customWidth="1"/>
    <col min="10" max="10" width="9.1796875" style="156"/>
    <col min="11" max="11" width="13.1796875" style="166" customWidth="1"/>
    <col min="12" max="12" width="9.1796875" style="156"/>
    <col min="13" max="13" width="18.453125" style="156" customWidth="1"/>
    <col min="14" max="16384" width="9.1796875" style="156"/>
  </cols>
  <sheetData>
    <row r="1" spans="1:15" ht="15" x14ac:dyDescent="0.35">
      <c r="A1" s="462" t="s">
        <v>416</v>
      </c>
      <c r="B1" s="462"/>
      <c r="C1" s="462"/>
      <c r="D1" s="462"/>
      <c r="E1" s="462"/>
      <c r="F1" s="462"/>
      <c r="G1" s="462"/>
      <c r="H1" s="462"/>
      <c r="I1" s="462"/>
    </row>
    <row r="2" spans="1:15" ht="15" x14ac:dyDescent="0.35">
      <c r="A2" s="423" t="s">
        <v>396</v>
      </c>
      <c r="B2" s="423"/>
      <c r="C2" s="423"/>
      <c r="D2" s="423"/>
      <c r="E2" s="423"/>
      <c r="F2" s="423"/>
      <c r="G2" s="423"/>
      <c r="H2" s="423"/>
      <c r="I2" s="423"/>
    </row>
    <row r="3" spans="1:15" ht="36.75" customHeight="1" x14ac:dyDescent="0.35">
      <c r="A3" s="472" t="s">
        <v>417</v>
      </c>
      <c r="B3" s="472"/>
      <c r="C3" s="472"/>
      <c r="D3" s="472"/>
      <c r="E3" s="472"/>
      <c r="F3" s="472"/>
      <c r="G3" s="472"/>
      <c r="H3" s="472"/>
      <c r="I3" s="472"/>
    </row>
    <row r="4" spans="1:15" ht="15" x14ac:dyDescent="0.35">
      <c r="A4" s="473"/>
      <c r="B4" s="473"/>
      <c r="C4" s="473"/>
      <c r="D4" s="473"/>
      <c r="E4" s="473"/>
      <c r="F4" s="473"/>
      <c r="G4" s="473"/>
      <c r="H4" s="473"/>
      <c r="I4" s="473"/>
    </row>
    <row r="5" spans="1:15" x14ac:dyDescent="0.35">
      <c r="A5" s="474" t="s">
        <v>219</v>
      </c>
      <c r="B5" s="424" t="s">
        <v>220</v>
      </c>
      <c r="C5" s="424" t="s">
        <v>221</v>
      </c>
      <c r="D5" s="424" t="s">
        <v>222</v>
      </c>
      <c r="E5" s="424" t="s">
        <v>223</v>
      </c>
      <c r="F5" s="424" t="s">
        <v>224</v>
      </c>
      <c r="G5" s="424" t="s">
        <v>225</v>
      </c>
      <c r="H5" s="424" t="s">
        <v>226</v>
      </c>
      <c r="I5" s="424" t="s">
        <v>227</v>
      </c>
    </row>
    <row r="6" spans="1:15" ht="65" x14ac:dyDescent="0.35">
      <c r="A6" s="474"/>
      <c r="B6" s="424" t="s">
        <v>228</v>
      </c>
      <c r="C6" s="424" t="s">
        <v>229</v>
      </c>
      <c r="D6" s="424" t="s">
        <v>230</v>
      </c>
      <c r="E6" s="424" t="s">
        <v>231</v>
      </c>
      <c r="F6" s="424" t="s">
        <v>232</v>
      </c>
      <c r="G6" s="424" t="s">
        <v>233</v>
      </c>
      <c r="H6" s="424" t="s">
        <v>234</v>
      </c>
      <c r="I6" s="424" t="s">
        <v>235</v>
      </c>
    </row>
    <row r="7" spans="1:15" x14ac:dyDescent="0.35">
      <c r="A7" s="474"/>
      <c r="B7" s="155"/>
      <c r="C7" s="155"/>
      <c r="D7" s="424" t="s">
        <v>236</v>
      </c>
      <c r="E7" s="155"/>
      <c r="F7" s="424" t="s">
        <v>237</v>
      </c>
      <c r="G7" s="424" t="s">
        <v>238</v>
      </c>
      <c r="H7" s="424" t="s">
        <v>239</v>
      </c>
      <c r="I7" s="155"/>
      <c r="K7" s="468" t="s">
        <v>123</v>
      </c>
      <c r="L7" s="468"/>
      <c r="M7" s="251"/>
      <c r="O7" s="156" t="s">
        <v>120</v>
      </c>
    </row>
    <row r="8" spans="1:15" ht="78.5" x14ac:dyDescent="0.35">
      <c r="A8" s="313" t="s">
        <v>289</v>
      </c>
      <c r="B8" s="314">
        <v>0</v>
      </c>
      <c r="C8" s="314">
        <v>0</v>
      </c>
      <c r="D8" s="314">
        <f>B8*C8</f>
        <v>0</v>
      </c>
      <c r="E8" s="318">
        <v>0</v>
      </c>
      <c r="F8" s="314">
        <f>D8*E8</f>
        <v>0</v>
      </c>
      <c r="G8" s="314">
        <f>F8*0.05</f>
        <v>0</v>
      </c>
      <c r="H8" s="314">
        <f>F8*0.1</f>
        <v>0</v>
      </c>
      <c r="I8" s="315">
        <f>(F8*$L$9)+(G8*$L$8)+(H8*$L$10)</f>
        <v>0</v>
      </c>
      <c r="K8" s="157" t="s">
        <v>125</v>
      </c>
      <c r="L8" s="158">
        <v>69.040000000000006</v>
      </c>
      <c r="M8" s="196" t="s">
        <v>240</v>
      </c>
      <c r="O8" s="156">
        <f t="shared" ref="O8:O18" si="0">C8*E8</f>
        <v>0</v>
      </c>
    </row>
    <row r="9" spans="1:15" ht="15.5" x14ac:dyDescent="0.35">
      <c r="A9" s="252" t="s">
        <v>333</v>
      </c>
      <c r="B9" s="159">
        <v>24</v>
      </c>
      <c r="C9" s="159">
        <v>1</v>
      </c>
      <c r="D9" s="159">
        <f>B9*C9</f>
        <v>24</v>
      </c>
      <c r="E9" s="318">
        <f>'SI-Y1'!$L$17</f>
        <v>5.95</v>
      </c>
      <c r="F9" s="160">
        <f>D9*E9</f>
        <v>142.80000000000001</v>
      </c>
      <c r="G9" s="160">
        <f>F9*0.05</f>
        <v>7.1400000000000006</v>
      </c>
      <c r="H9" s="160">
        <f>F9*0.1</f>
        <v>14.280000000000001</v>
      </c>
      <c r="I9" s="161">
        <f>(F9*$L$9)+(G9*$L$8)+(H9*$L$10)</f>
        <v>8204.5740000000005</v>
      </c>
      <c r="K9" s="157" t="s">
        <v>128</v>
      </c>
      <c r="L9" s="162">
        <v>51.23</v>
      </c>
      <c r="M9" s="231"/>
      <c r="O9" s="156">
        <f t="shared" si="0"/>
        <v>5.95</v>
      </c>
    </row>
    <row r="10" spans="1:15" ht="15.5" x14ac:dyDescent="0.35">
      <c r="A10" s="252" t="s">
        <v>334</v>
      </c>
      <c r="B10" s="159">
        <v>0</v>
      </c>
      <c r="C10" s="159">
        <v>0</v>
      </c>
      <c r="D10" s="159">
        <f>B10*C10</f>
        <v>0</v>
      </c>
      <c r="E10" s="159">
        <v>0</v>
      </c>
      <c r="F10" s="163">
        <f>D10*E10</f>
        <v>0</v>
      </c>
      <c r="G10" s="163">
        <f>F10*0.05</f>
        <v>0</v>
      </c>
      <c r="H10" s="163">
        <f>F10*0.1</f>
        <v>0</v>
      </c>
      <c r="I10" s="164">
        <f>(F10*$L$9)+(G10*$L$8)+(H10*$L$10)</f>
        <v>0</v>
      </c>
      <c r="K10" s="157" t="s">
        <v>130</v>
      </c>
      <c r="L10" s="162">
        <v>27.73</v>
      </c>
      <c r="M10" s="231"/>
      <c r="O10" s="156">
        <f t="shared" si="0"/>
        <v>0</v>
      </c>
    </row>
    <row r="11" spans="1:15" ht="15.5" x14ac:dyDescent="0.35">
      <c r="A11" s="228" t="s">
        <v>335</v>
      </c>
      <c r="B11" s="74">
        <v>4</v>
      </c>
      <c r="C11" s="74">
        <v>1</v>
      </c>
      <c r="D11" s="74">
        <f>B11*C11</f>
        <v>4</v>
      </c>
      <c r="E11" s="318">
        <f>'SI-Y1'!$L$17</f>
        <v>5.95</v>
      </c>
      <c r="F11" s="163">
        <f t="shared" ref="F11:F12" si="1">D11*E11</f>
        <v>23.8</v>
      </c>
      <c r="G11" s="163">
        <f t="shared" ref="G11:G12" si="2">F11*0.05</f>
        <v>1.1900000000000002</v>
      </c>
      <c r="H11" s="163">
        <f t="shared" ref="H11:H12" si="3">F11*0.1</f>
        <v>2.3800000000000003</v>
      </c>
      <c r="I11" s="164">
        <f t="shared" ref="I11:I12" si="4">(F11*$L$9)+(G11*$L$8)+(H11*$L$10)</f>
        <v>1367.4289999999999</v>
      </c>
      <c r="K11" s="312"/>
      <c r="L11" s="117"/>
      <c r="M11" s="231"/>
      <c r="O11" s="156">
        <f t="shared" si="0"/>
        <v>5.95</v>
      </c>
    </row>
    <row r="12" spans="1:15" ht="27" customHeight="1" x14ac:dyDescent="0.35">
      <c r="A12" s="114" t="s">
        <v>336</v>
      </c>
      <c r="B12" s="74">
        <v>0</v>
      </c>
      <c r="C12" s="74">
        <v>0</v>
      </c>
      <c r="D12" s="74">
        <f>B12*C12</f>
        <v>0</v>
      </c>
      <c r="E12" s="159">
        <v>0</v>
      </c>
      <c r="F12" s="163">
        <f t="shared" si="1"/>
        <v>0</v>
      </c>
      <c r="G12" s="163">
        <f t="shared" si="2"/>
        <v>0</v>
      </c>
      <c r="H12" s="163">
        <f t="shared" si="3"/>
        <v>0</v>
      </c>
      <c r="I12" s="164">
        <f t="shared" si="4"/>
        <v>0</v>
      </c>
      <c r="K12" s="312"/>
      <c r="L12" s="117"/>
      <c r="M12" s="231"/>
      <c r="O12" s="156">
        <f t="shared" si="0"/>
        <v>0</v>
      </c>
    </row>
    <row r="13" spans="1:15" x14ac:dyDescent="0.35">
      <c r="A13" s="325" t="s">
        <v>243</v>
      </c>
      <c r="B13" s="159"/>
      <c r="C13" s="159"/>
      <c r="D13" s="159"/>
      <c r="E13" s="159"/>
      <c r="F13" s="160"/>
      <c r="G13" s="160"/>
      <c r="H13" s="160"/>
      <c r="I13" s="165"/>
      <c r="O13" s="156">
        <f t="shared" si="0"/>
        <v>0</v>
      </c>
    </row>
    <row r="14" spans="1:15" ht="15.5" x14ac:dyDescent="0.35">
      <c r="A14" s="253" t="s">
        <v>337</v>
      </c>
      <c r="B14" s="159">
        <v>0.5</v>
      </c>
      <c r="C14" s="159">
        <v>1.1000000000000001</v>
      </c>
      <c r="D14" s="159">
        <f t="shared" ref="D14:D17" si="5">B14*C14</f>
        <v>0.55000000000000004</v>
      </c>
      <c r="E14" s="318">
        <f>'SI-Y1'!$L$18</f>
        <v>85</v>
      </c>
      <c r="F14" s="160">
        <f t="shared" ref="F14:F17" si="6">D14*E14</f>
        <v>46.750000000000007</v>
      </c>
      <c r="G14" s="160">
        <f t="shared" ref="G14:G17" si="7">F14*0.05</f>
        <v>2.3375000000000004</v>
      </c>
      <c r="H14" s="160">
        <f t="shared" ref="H14:H17" si="8">F14*0.1</f>
        <v>4.6750000000000007</v>
      </c>
      <c r="I14" s="161">
        <f t="shared" ref="I14:I17" si="9">(F14*$L$9)+(G14*$L$8)+(H14*$L$10)</f>
        <v>2686.0212499999998</v>
      </c>
      <c r="O14" s="156">
        <f t="shared" si="0"/>
        <v>93.500000000000014</v>
      </c>
    </row>
    <row r="15" spans="1:15" ht="20.25" customHeight="1" x14ac:dyDescent="0.35">
      <c r="A15" s="266"/>
      <c r="B15" s="266"/>
      <c r="C15" s="266"/>
      <c r="D15" s="266"/>
      <c r="E15" s="347"/>
      <c r="F15" s="416"/>
      <c r="G15" s="417"/>
      <c r="H15" s="417"/>
      <c r="I15" s="418"/>
      <c r="O15" s="156">
        <f t="shared" si="0"/>
        <v>0</v>
      </c>
    </row>
    <row r="16" spans="1:15" ht="31.5" customHeight="1" x14ac:dyDescent="0.35">
      <c r="A16" s="114" t="s">
        <v>418</v>
      </c>
      <c r="B16" s="74">
        <v>0.5</v>
      </c>
      <c r="C16" s="74">
        <v>1.1000000000000001</v>
      </c>
      <c r="D16" s="74">
        <f t="shared" si="5"/>
        <v>0.55000000000000004</v>
      </c>
      <c r="E16" s="347">
        <f>'SI-Y1'!$L$18</f>
        <v>85</v>
      </c>
      <c r="F16" s="163">
        <f t="shared" si="6"/>
        <v>46.750000000000007</v>
      </c>
      <c r="G16" s="163">
        <f t="shared" si="7"/>
        <v>2.3375000000000004</v>
      </c>
      <c r="H16" s="163">
        <f t="shared" si="8"/>
        <v>4.6750000000000007</v>
      </c>
      <c r="I16" s="164">
        <f t="shared" si="9"/>
        <v>2686.0212499999998</v>
      </c>
      <c r="O16" s="156">
        <f t="shared" si="0"/>
        <v>93.500000000000014</v>
      </c>
    </row>
    <row r="17" spans="1:16" ht="40.5" customHeight="1" x14ac:dyDescent="0.35">
      <c r="A17" s="114" t="s">
        <v>419</v>
      </c>
      <c r="B17" s="74">
        <v>8</v>
      </c>
      <c r="C17" s="74">
        <v>1</v>
      </c>
      <c r="D17" s="74">
        <f t="shared" si="5"/>
        <v>8</v>
      </c>
      <c r="E17" s="347">
        <f>'SI-Y1'!$L$18</f>
        <v>85</v>
      </c>
      <c r="F17" s="163">
        <f t="shared" si="6"/>
        <v>680</v>
      </c>
      <c r="G17" s="163">
        <f t="shared" si="7"/>
        <v>34</v>
      </c>
      <c r="H17" s="163">
        <f t="shared" si="8"/>
        <v>68</v>
      </c>
      <c r="I17" s="164">
        <f t="shared" si="9"/>
        <v>39069.4</v>
      </c>
      <c r="O17" s="156">
        <f t="shared" si="0"/>
        <v>85</v>
      </c>
    </row>
    <row r="18" spans="1:16" ht="28.5" customHeight="1" x14ac:dyDescent="0.35">
      <c r="A18" s="116"/>
      <c r="B18" s="74"/>
      <c r="C18" s="74"/>
      <c r="D18" s="74"/>
      <c r="E18" s="159"/>
      <c r="F18" s="163"/>
      <c r="G18" s="163"/>
      <c r="H18" s="163"/>
      <c r="I18" s="164"/>
      <c r="O18" s="156">
        <f t="shared" si="0"/>
        <v>0</v>
      </c>
    </row>
    <row r="19" spans="1:16" ht="15" x14ac:dyDescent="0.35">
      <c r="A19" s="168" t="s">
        <v>247</v>
      </c>
      <c r="B19" s="168"/>
      <c r="C19" s="168"/>
      <c r="D19" s="168"/>
      <c r="E19" s="168"/>
      <c r="F19" s="169">
        <f>ROUND(SUM(F8:H18), -1)</f>
        <v>1080</v>
      </c>
      <c r="G19" s="170"/>
      <c r="H19" s="170"/>
      <c r="I19" s="171">
        <f>ROUND(SUM(I8:I18), -2)</f>
        <v>54000</v>
      </c>
      <c r="O19" s="156">
        <f>SUM(O8:O18)</f>
        <v>283.90000000000003</v>
      </c>
      <c r="P19" s="156" t="s">
        <v>248</v>
      </c>
    </row>
    <row r="20" spans="1:16" x14ac:dyDescent="0.35">
      <c r="A20" s="254"/>
      <c r="G20" s="172"/>
    </row>
    <row r="21" spans="1:16" ht="24.75" customHeight="1" x14ac:dyDescent="0.35">
      <c r="A21" s="254" t="s">
        <v>249</v>
      </c>
    </row>
    <row r="22" spans="1:16" ht="27.65" customHeight="1" x14ac:dyDescent="0.35">
      <c r="A22" s="475" t="s">
        <v>420</v>
      </c>
      <c r="B22" s="475"/>
      <c r="C22" s="475"/>
      <c r="D22" s="475"/>
      <c r="E22" s="475"/>
      <c r="F22" s="475"/>
      <c r="G22" s="475"/>
      <c r="H22" s="475"/>
      <c r="I22" s="475"/>
    </row>
    <row r="23" spans="1:16" ht="45" customHeight="1" x14ac:dyDescent="0.35">
      <c r="A23" s="475" t="s">
        <v>251</v>
      </c>
      <c r="B23" s="475"/>
      <c r="C23" s="475"/>
      <c r="D23" s="475"/>
      <c r="E23" s="475"/>
      <c r="F23" s="475"/>
      <c r="G23" s="475"/>
      <c r="H23" s="475"/>
      <c r="I23" s="475"/>
    </row>
    <row r="24" spans="1:16" ht="28.5" customHeight="1" x14ac:dyDescent="0.35">
      <c r="A24" s="476" t="s">
        <v>383</v>
      </c>
      <c r="B24" s="476"/>
      <c r="C24" s="476"/>
      <c r="D24" s="476"/>
      <c r="E24" s="476"/>
      <c r="F24" s="476"/>
      <c r="G24" s="476"/>
      <c r="H24" s="476"/>
      <c r="I24" s="476"/>
    </row>
    <row r="25" spans="1:16" ht="15.5" x14ac:dyDescent="0.35">
      <c r="A25" s="477" t="s">
        <v>253</v>
      </c>
      <c r="B25" s="477"/>
      <c r="C25" s="477"/>
      <c r="D25" s="477"/>
      <c r="E25" s="477"/>
      <c r="F25" s="477"/>
      <c r="G25" s="477"/>
      <c r="H25" s="477"/>
      <c r="I25" s="477"/>
    </row>
    <row r="26" spans="1:16" ht="15.5" x14ac:dyDescent="0.35">
      <c r="A26" s="471" t="s">
        <v>421</v>
      </c>
      <c r="B26" s="471"/>
      <c r="C26" s="471"/>
      <c r="D26" s="471"/>
      <c r="E26" s="471"/>
      <c r="F26" s="471"/>
      <c r="G26" s="471"/>
      <c r="H26" s="471"/>
      <c r="I26" s="471"/>
    </row>
    <row r="27" spans="1:16" ht="15.5" x14ac:dyDescent="0.35">
      <c r="A27" s="496" t="s">
        <v>422</v>
      </c>
      <c r="B27" s="496"/>
      <c r="C27" s="496"/>
      <c r="D27" s="496"/>
      <c r="E27" s="496"/>
      <c r="F27" s="496"/>
      <c r="G27" s="496"/>
      <c r="H27" s="496"/>
      <c r="I27" s="496"/>
    </row>
    <row r="28" spans="1:16" ht="15.5" x14ac:dyDescent="0.35">
      <c r="A28" s="471" t="s">
        <v>423</v>
      </c>
      <c r="B28" s="471"/>
      <c r="C28" s="471"/>
      <c r="D28" s="471"/>
      <c r="E28" s="471"/>
      <c r="F28" s="471"/>
      <c r="G28" s="471"/>
      <c r="H28" s="471"/>
      <c r="I28" s="471"/>
    </row>
    <row r="30" spans="1:16" ht="30" customHeight="1" x14ac:dyDescent="0.35">
      <c r="A30" s="494"/>
      <c r="B30" s="494"/>
      <c r="C30" s="494"/>
      <c r="D30" s="494"/>
      <c r="E30" s="494"/>
      <c r="F30" s="494"/>
      <c r="G30" s="494"/>
      <c r="H30" s="494"/>
      <c r="I30" s="494"/>
    </row>
    <row r="31" spans="1:16" ht="15.5" x14ac:dyDescent="0.35">
      <c r="A31" s="495"/>
      <c r="B31" s="495"/>
      <c r="C31" s="495"/>
      <c r="D31" s="495"/>
      <c r="E31" s="495"/>
      <c r="F31" s="495"/>
      <c r="G31" s="495"/>
      <c r="H31" s="495"/>
      <c r="I31" s="495"/>
    </row>
    <row r="32" spans="1:16" x14ac:dyDescent="0.35">
      <c r="A32" s="496"/>
      <c r="B32" s="496"/>
      <c r="C32" s="496"/>
      <c r="D32" s="496"/>
      <c r="E32" s="496"/>
      <c r="F32" s="496"/>
      <c r="G32" s="496"/>
      <c r="H32" s="496"/>
      <c r="I32" s="496"/>
    </row>
    <row r="33" spans="1:1" x14ac:dyDescent="0.35">
      <c r="A33" s="255"/>
    </row>
  </sheetData>
  <mergeCells count="15">
    <mergeCell ref="A1:I1"/>
    <mergeCell ref="A3:I3"/>
    <mergeCell ref="A4:I4"/>
    <mergeCell ref="A5:A7"/>
    <mergeCell ref="K7:L7"/>
    <mergeCell ref="A22:I22"/>
    <mergeCell ref="A30:I30"/>
    <mergeCell ref="A31:I31"/>
    <mergeCell ref="A32:I32"/>
    <mergeCell ref="A23:I23"/>
    <mergeCell ref="A24:I24"/>
    <mergeCell ref="A25:I25"/>
    <mergeCell ref="A26:I26"/>
    <mergeCell ref="A27:I27"/>
    <mergeCell ref="A28:I28"/>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B83-BD15-44C9-8636-DF91C3CE3CBE}">
  <sheetPr codeName="Sheet24"/>
  <dimension ref="A1:K24"/>
  <sheetViews>
    <sheetView zoomScale="80" zoomScaleNormal="80" workbookViewId="0">
      <selection activeCell="F33" sqref="F33"/>
    </sheetView>
  </sheetViews>
  <sheetFormatPr defaultColWidth="9.1796875" defaultRowHeight="13" x14ac:dyDescent="0.3"/>
  <cols>
    <col min="1" max="1" width="22.453125" style="241" customWidth="1"/>
    <col min="2" max="2" width="24.81640625" style="241" customWidth="1"/>
    <col min="3" max="6" width="12.1796875" style="241" customWidth="1"/>
    <col min="7" max="7" width="12.1796875" style="351" customWidth="1"/>
    <col min="8" max="8" width="15.1796875" style="333" customWidth="1"/>
    <col min="9" max="16384" width="9.1796875" style="241"/>
  </cols>
  <sheetData>
    <row r="1" spans="1:11" ht="15" x14ac:dyDescent="0.3">
      <c r="A1" s="462" t="s">
        <v>425</v>
      </c>
      <c r="B1" s="462"/>
      <c r="C1" s="462"/>
      <c r="D1" s="462"/>
      <c r="E1" s="462"/>
      <c r="F1" s="462"/>
      <c r="G1" s="462"/>
      <c r="H1" s="462"/>
      <c r="I1" s="462"/>
    </row>
    <row r="2" spans="1:11" ht="15" x14ac:dyDescent="0.3">
      <c r="A2" s="423" t="s">
        <v>396</v>
      </c>
      <c r="B2" s="423"/>
      <c r="C2" s="423"/>
      <c r="D2" s="423"/>
      <c r="E2" s="423"/>
      <c r="F2" s="423"/>
      <c r="G2" s="350"/>
      <c r="H2" s="332"/>
      <c r="I2" s="423"/>
    </row>
    <row r="3" spans="1:11" ht="15" x14ac:dyDescent="0.3">
      <c r="A3" s="497" t="s">
        <v>426</v>
      </c>
      <c r="B3" s="497"/>
      <c r="C3" s="497"/>
      <c r="D3" s="497"/>
      <c r="E3" s="497"/>
      <c r="F3" s="497"/>
      <c r="G3" s="497"/>
    </row>
    <row r="4" spans="1:11" x14ac:dyDescent="0.3">
      <c r="A4" s="242"/>
      <c r="B4" s="243"/>
      <c r="C4" s="243"/>
      <c r="D4" s="243"/>
      <c r="E4" s="243"/>
      <c r="F4" s="243"/>
      <c r="G4" s="243"/>
    </row>
    <row r="5" spans="1:11" x14ac:dyDescent="0.3">
      <c r="B5" s="243" t="s">
        <v>220</v>
      </c>
      <c r="C5" s="243" t="s">
        <v>221</v>
      </c>
      <c r="D5" s="243" t="s">
        <v>222</v>
      </c>
      <c r="E5" s="243" t="s">
        <v>223</v>
      </c>
      <c r="F5" s="243" t="s">
        <v>224</v>
      </c>
      <c r="G5" s="243" t="s">
        <v>225</v>
      </c>
      <c r="H5" s="243" t="s">
        <v>226</v>
      </c>
    </row>
    <row r="6" spans="1:11" ht="54.5" x14ac:dyDescent="0.3">
      <c r="A6" s="329" t="s">
        <v>264</v>
      </c>
      <c r="B6" s="243" t="s">
        <v>265</v>
      </c>
      <c r="C6" s="243" t="s">
        <v>427</v>
      </c>
      <c r="D6" s="243" t="s">
        <v>428</v>
      </c>
      <c r="E6" s="243" t="s">
        <v>429</v>
      </c>
      <c r="F6" s="243" t="s">
        <v>269</v>
      </c>
      <c r="G6" s="243" t="s">
        <v>430</v>
      </c>
      <c r="H6" s="243" t="s">
        <v>431</v>
      </c>
    </row>
    <row r="7" spans="1:11" ht="31" customHeight="1" x14ac:dyDescent="0.3">
      <c r="A7" s="329" t="s">
        <v>86</v>
      </c>
      <c r="B7" s="76" t="s">
        <v>272</v>
      </c>
      <c r="C7" s="330">
        <v>0</v>
      </c>
      <c r="D7" s="329">
        <v>0</v>
      </c>
      <c r="E7" s="330">
        <f>C7*D7</f>
        <v>0</v>
      </c>
      <c r="F7" s="330">
        <v>0</v>
      </c>
      <c r="G7" s="348"/>
      <c r="H7" s="331">
        <f t="shared" ref="H7:H11" si="0">F7*G7</f>
        <v>0</v>
      </c>
    </row>
    <row r="8" spans="1:11" ht="16.5" customHeight="1" x14ac:dyDescent="0.3">
      <c r="A8" s="329" t="s">
        <v>86</v>
      </c>
      <c r="B8" s="329"/>
      <c r="C8" s="330">
        <v>0</v>
      </c>
      <c r="D8" s="329">
        <v>0</v>
      </c>
      <c r="E8" s="330">
        <f>C8*D8</f>
        <v>0</v>
      </c>
      <c r="F8" s="330"/>
      <c r="G8" s="348"/>
      <c r="H8" s="331">
        <f t="shared" si="0"/>
        <v>0</v>
      </c>
    </row>
    <row r="9" spans="1:11" ht="31" customHeight="1" x14ac:dyDescent="0.3">
      <c r="A9" s="329" t="s">
        <v>87</v>
      </c>
      <c r="B9" s="76" t="s">
        <v>272</v>
      </c>
      <c r="C9" s="330">
        <v>0</v>
      </c>
      <c r="D9" s="329">
        <v>0</v>
      </c>
      <c r="E9" s="330">
        <f>C9*D9</f>
        <v>0</v>
      </c>
      <c r="F9" s="330">
        <v>0</v>
      </c>
      <c r="G9" s="348"/>
      <c r="H9" s="331">
        <f t="shared" si="0"/>
        <v>0</v>
      </c>
    </row>
    <row r="10" spans="1:11" ht="17.5" customHeight="1" x14ac:dyDescent="0.3">
      <c r="A10" s="329" t="s">
        <v>87</v>
      </c>
      <c r="B10" s="329"/>
      <c r="C10" s="330">
        <v>0</v>
      </c>
      <c r="D10" s="329">
        <v>0</v>
      </c>
      <c r="E10" s="330">
        <f>C10*D10</f>
        <v>0</v>
      </c>
      <c r="F10" s="330"/>
      <c r="G10" s="348"/>
      <c r="H10" s="331">
        <f t="shared" si="0"/>
        <v>0</v>
      </c>
    </row>
    <row r="11" spans="1:11" ht="31" customHeight="1" x14ac:dyDescent="0.3">
      <c r="A11" s="329" t="s">
        <v>88</v>
      </c>
      <c r="B11" s="76" t="s">
        <v>272</v>
      </c>
      <c r="C11" s="330"/>
      <c r="D11" s="329">
        <v>0</v>
      </c>
      <c r="E11" s="330">
        <f>C11*D11</f>
        <v>0</v>
      </c>
      <c r="F11" s="330"/>
      <c r="G11" s="348"/>
      <c r="H11" s="331">
        <f t="shared" si="0"/>
        <v>0</v>
      </c>
    </row>
    <row r="12" spans="1:11" ht="16" x14ac:dyDescent="0.3">
      <c r="A12" s="329" t="s">
        <v>88</v>
      </c>
      <c r="B12" s="76" t="s">
        <v>432</v>
      </c>
      <c r="C12" s="330"/>
      <c r="D12" s="329"/>
      <c r="E12" s="330"/>
      <c r="F12" s="330">
        <v>781</v>
      </c>
      <c r="G12" s="318">
        <f>'SI-Y1'!$L$18</f>
        <v>85</v>
      </c>
      <c r="H12" s="331">
        <f>F12*G12</f>
        <v>66385</v>
      </c>
    </row>
    <row r="13" spans="1:11" ht="15.5" x14ac:dyDescent="0.3">
      <c r="A13" s="329" t="s">
        <v>88</v>
      </c>
      <c r="B13" s="76" t="s">
        <v>433</v>
      </c>
      <c r="C13" s="330"/>
      <c r="D13" s="329"/>
      <c r="E13" s="330"/>
      <c r="F13" s="330">
        <v>697</v>
      </c>
      <c r="G13" s="318">
        <v>85</v>
      </c>
      <c r="H13" s="331">
        <f>F13*G13</f>
        <v>59245</v>
      </c>
    </row>
    <row r="14" spans="1:11" x14ac:dyDescent="0.3">
      <c r="A14" s="329" t="s">
        <v>88</v>
      </c>
      <c r="B14" s="244"/>
      <c r="C14" s="244"/>
      <c r="D14" s="244"/>
      <c r="E14" s="243"/>
      <c r="F14" s="244"/>
      <c r="G14" s="348"/>
      <c r="H14" s="243"/>
    </row>
    <row r="15" spans="1:11" x14ac:dyDescent="0.3">
      <c r="A15" s="329" t="s">
        <v>88</v>
      </c>
      <c r="B15" s="245" t="s">
        <v>434</v>
      </c>
      <c r="C15" s="246"/>
      <c r="D15" s="243">
        <v>0</v>
      </c>
      <c r="E15" s="246">
        <f>C15*D15</f>
        <v>0</v>
      </c>
      <c r="F15" s="246">
        <v>0</v>
      </c>
      <c r="G15" s="243">
        <v>0</v>
      </c>
      <c r="H15" s="246">
        <f>F15*G15</f>
        <v>0</v>
      </c>
      <c r="K15" s="247"/>
    </row>
    <row r="16" spans="1:11" x14ac:dyDescent="0.3">
      <c r="A16" s="329" t="s">
        <v>88</v>
      </c>
      <c r="B16" s="245" t="s">
        <v>435</v>
      </c>
      <c r="C16" s="246"/>
      <c r="D16" s="243">
        <v>0</v>
      </c>
      <c r="E16" s="246">
        <f>C16*D16</f>
        <v>0</v>
      </c>
      <c r="F16" s="246">
        <v>0</v>
      </c>
      <c r="G16" s="243">
        <v>0</v>
      </c>
      <c r="H16" s="246">
        <f>F16*G16</f>
        <v>0</v>
      </c>
    </row>
    <row r="17" spans="1:10" x14ac:dyDescent="0.3">
      <c r="A17" s="329" t="s">
        <v>88</v>
      </c>
      <c r="B17" s="245" t="s">
        <v>436</v>
      </c>
      <c r="C17" s="246"/>
      <c r="D17" s="243">
        <v>0</v>
      </c>
      <c r="E17" s="246">
        <f>C17*D17</f>
        <v>0</v>
      </c>
      <c r="F17" s="246">
        <v>0</v>
      </c>
      <c r="G17" s="243">
        <v>0</v>
      </c>
      <c r="H17" s="246">
        <f>F17*G17</f>
        <v>0</v>
      </c>
    </row>
    <row r="18" spans="1:10" ht="28.5" x14ac:dyDescent="0.3">
      <c r="A18" s="353" t="s">
        <v>88</v>
      </c>
      <c r="B18" s="245" t="s">
        <v>437</v>
      </c>
      <c r="C18" s="246">
        <v>0</v>
      </c>
      <c r="D18" s="243">
        <v>0</v>
      </c>
      <c r="E18" s="246">
        <f>C18*D18</f>
        <v>0</v>
      </c>
      <c r="F18" s="246">
        <f>ROUND(8*('SI-Y1'!L8),0)</f>
        <v>1021</v>
      </c>
      <c r="G18" s="318">
        <f>'SI-Y1'!$L$18</f>
        <v>85</v>
      </c>
      <c r="H18" s="246">
        <f>F18*G18</f>
        <v>86785</v>
      </c>
      <c r="J18" s="248"/>
    </row>
    <row r="19" spans="1:10" ht="15.5" x14ac:dyDescent="0.3">
      <c r="A19" s="353"/>
      <c r="B19" s="245" t="s">
        <v>438</v>
      </c>
      <c r="C19" s="245"/>
      <c r="D19" s="245"/>
      <c r="E19" s="246">
        <f>SUM(E15:E18)</f>
        <v>0</v>
      </c>
      <c r="F19" s="245"/>
      <c r="G19" s="243"/>
      <c r="H19" s="246">
        <f>ROUND(SUM(H7:H18),-2)</f>
        <v>212400</v>
      </c>
    </row>
    <row r="20" spans="1:10" ht="15.5" x14ac:dyDescent="0.3">
      <c r="A20" s="249" t="s">
        <v>439</v>
      </c>
    </row>
    <row r="21" spans="1:10" s="334" customFormat="1" ht="14.5" x14ac:dyDescent="0.35">
      <c r="A21" s="187" t="s">
        <v>278</v>
      </c>
      <c r="G21" s="352"/>
    </row>
    <row r="22" spans="1:10" s="334" customFormat="1" ht="14.5" x14ac:dyDescent="0.35">
      <c r="A22" s="187" t="s">
        <v>279</v>
      </c>
      <c r="G22" s="352"/>
    </row>
    <row r="23" spans="1:10" ht="53.5" customHeight="1" x14ac:dyDescent="0.3">
      <c r="A23" s="498" t="s">
        <v>440</v>
      </c>
      <c r="B23" s="499"/>
      <c r="C23" s="499"/>
      <c r="D23" s="499"/>
      <c r="E23" s="499"/>
      <c r="F23" s="499"/>
      <c r="G23" s="499"/>
    </row>
    <row r="24" spans="1:10" ht="15.5" x14ac:dyDescent="0.3">
      <c r="A24" s="250" t="s">
        <v>441</v>
      </c>
    </row>
  </sheetData>
  <mergeCells count="3">
    <mergeCell ref="A3:G3"/>
    <mergeCell ref="A23:G23"/>
    <mergeCell ref="A1:I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8C2B9-3053-4336-AD6E-D0376AE8E3A7}">
  <sheetPr codeName="Sheet7">
    <pageSetUpPr fitToPage="1"/>
  </sheetPr>
  <dimension ref="A1:P71"/>
  <sheetViews>
    <sheetView zoomScale="60" zoomScaleNormal="60" workbookViewId="0">
      <pane xSplit="13" ySplit="5" topLeftCell="N26" activePane="bottomRight" state="frozen"/>
      <selection activeCell="A25" sqref="A25:I25"/>
      <selection pane="topRight" activeCell="A25" sqref="A25:I25"/>
      <selection pane="bottomLeft" activeCell="A25" sqref="A25:I25"/>
      <selection pane="bottomRight" activeCell="I15" sqref="I15"/>
    </sheetView>
  </sheetViews>
  <sheetFormatPr defaultColWidth="9.1796875" defaultRowHeight="13" x14ac:dyDescent="0.3"/>
  <cols>
    <col min="1" max="1" width="30.1796875" style="71" customWidth="1"/>
    <col min="2" max="2" width="10.1796875" style="71" customWidth="1"/>
    <col min="3" max="3" width="12" style="80" customWidth="1"/>
    <col min="4" max="4" width="11.1796875" style="71" customWidth="1"/>
    <col min="5" max="5" width="12.1796875" style="80" customWidth="1"/>
    <col min="6" max="6" width="10.453125" style="71" customWidth="1"/>
    <col min="7" max="7" width="11.54296875" style="71" customWidth="1"/>
    <col min="8" max="8" width="11.453125" style="71" customWidth="1"/>
    <col min="9" max="9" width="14.453125" style="71" customWidth="1"/>
    <col min="10" max="10" width="7.1796875" style="71" customWidth="1"/>
    <col min="11" max="11" width="37.81640625" style="71" customWidth="1"/>
    <col min="12" max="12" width="14.453125" style="71" customWidth="1"/>
    <col min="13" max="13" width="57.54296875" style="85" customWidth="1"/>
    <col min="14" max="14" width="7.453125" style="71" customWidth="1"/>
    <col min="15" max="15" width="14.1796875" style="71" customWidth="1"/>
    <col min="16" max="16384" width="9.1796875" style="71"/>
  </cols>
  <sheetData>
    <row r="1" spans="1:15" s="54" customFormat="1" ht="15" x14ac:dyDescent="0.3">
      <c r="A1" s="57" t="s">
        <v>201</v>
      </c>
      <c r="J1" s="56"/>
      <c r="M1" s="146"/>
    </row>
    <row r="2" spans="1:15" s="54" customFormat="1" ht="15" x14ac:dyDescent="0.3">
      <c r="A2" s="55" t="s">
        <v>202</v>
      </c>
      <c r="J2" s="56"/>
      <c r="M2" s="146"/>
    </row>
    <row r="3" spans="1:15" s="54" customFormat="1" ht="33.65" customHeight="1" x14ac:dyDescent="0.3">
      <c r="A3" s="441" t="s">
        <v>203</v>
      </c>
      <c r="B3" s="442"/>
      <c r="C3" s="442"/>
      <c r="D3" s="442"/>
      <c r="E3" s="442"/>
      <c r="F3" s="442"/>
      <c r="G3" s="442"/>
      <c r="H3" s="442"/>
      <c r="I3" s="153"/>
      <c r="J3" s="56"/>
      <c r="M3" s="146"/>
    </row>
    <row r="5" spans="1:15" ht="65" x14ac:dyDescent="0.3">
      <c r="A5" s="72" t="s">
        <v>111</v>
      </c>
      <c r="B5" s="73" t="s">
        <v>112</v>
      </c>
      <c r="C5" s="74" t="s">
        <v>113</v>
      </c>
      <c r="D5" s="73" t="s">
        <v>114</v>
      </c>
      <c r="E5" s="74" t="s">
        <v>115</v>
      </c>
      <c r="F5" s="73" t="s">
        <v>116</v>
      </c>
      <c r="G5" s="73" t="s">
        <v>117</v>
      </c>
      <c r="H5" s="73" t="s">
        <v>118</v>
      </c>
      <c r="I5" s="73" t="s">
        <v>119</v>
      </c>
      <c r="J5" s="75"/>
      <c r="O5" s="71" t="s">
        <v>204</v>
      </c>
    </row>
    <row r="6" spans="1:15" x14ac:dyDescent="0.3">
      <c r="A6" s="76" t="s">
        <v>121</v>
      </c>
      <c r="B6" s="73" t="s">
        <v>122</v>
      </c>
      <c r="C6" s="77"/>
      <c r="D6" s="78"/>
      <c r="E6" s="77"/>
      <c r="F6" s="78"/>
      <c r="G6" s="78"/>
      <c r="H6" s="78"/>
      <c r="I6" s="78"/>
      <c r="K6" s="443" t="s">
        <v>123</v>
      </c>
      <c r="L6" s="443"/>
      <c r="O6" s="71">
        <f>C6*E6</f>
        <v>0</v>
      </c>
    </row>
    <row r="7" spans="1:15" ht="26.5" customHeight="1" x14ac:dyDescent="0.3">
      <c r="A7" s="76" t="s">
        <v>124</v>
      </c>
      <c r="B7" s="73" t="s">
        <v>122</v>
      </c>
      <c r="C7" s="77"/>
      <c r="D7" s="78"/>
      <c r="E7" s="77"/>
      <c r="F7" s="78"/>
      <c r="G7" s="78"/>
      <c r="H7" s="78"/>
      <c r="I7" s="78"/>
      <c r="K7" s="79" t="s">
        <v>125</v>
      </c>
      <c r="L7" s="195">
        <f>76.96*2.1</f>
        <v>161.61599999999999</v>
      </c>
      <c r="M7" s="144" t="s">
        <v>126</v>
      </c>
      <c r="O7" s="71">
        <f t="shared" ref="O7:O57" si="0">C7*E7</f>
        <v>0</v>
      </c>
    </row>
    <row r="8" spans="1:15" ht="58" customHeight="1" x14ac:dyDescent="0.3">
      <c r="A8" s="76" t="s">
        <v>127</v>
      </c>
      <c r="B8" s="73">
        <v>0</v>
      </c>
      <c r="C8" s="74">
        <v>0</v>
      </c>
      <c r="D8" s="73">
        <f>B8*C8</f>
        <v>0</v>
      </c>
      <c r="E8" s="296">
        <v>0</v>
      </c>
      <c r="F8" s="295">
        <f>D8*E8</f>
        <v>0</v>
      </c>
      <c r="G8" s="295">
        <f>F8*0.05</f>
        <v>0</v>
      </c>
      <c r="H8" s="295">
        <f>F8*0.1</f>
        <v>0</v>
      </c>
      <c r="I8" s="81">
        <f>F8*$L$8+G8*$L$7+H8*$L$9</f>
        <v>0</v>
      </c>
      <c r="K8" s="79" t="s">
        <v>128</v>
      </c>
      <c r="L8" s="195">
        <f>60.8*2.1</f>
        <v>127.67999999999999</v>
      </c>
      <c r="M8" s="145"/>
      <c r="O8" s="71">
        <f t="shared" si="0"/>
        <v>0</v>
      </c>
    </row>
    <row r="9" spans="1:15" x14ac:dyDescent="0.3">
      <c r="A9" s="76" t="s">
        <v>129</v>
      </c>
      <c r="B9" s="73"/>
      <c r="C9" s="74"/>
      <c r="D9" s="73"/>
      <c r="E9" s="74"/>
      <c r="F9" s="73"/>
      <c r="G9" s="73"/>
      <c r="H9" s="73"/>
      <c r="I9" s="78"/>
      <c r="K9" s="79" t="s">
        <v>130</v>
      </c>
      <c r="L9" s="195">
        <f>30.58*2.1</f>
        <v>64.218000000000004</v>
      </c>
      <c r="M9" s="145"/>
      <c r="O9" s="71">
        <f t="shared" si="0"/>
        <v>0</v>
      </c>
    </row>
    <row r="10" spans="1:15" ht="29.5" customHeight="1" x14ac:dyDescent="0.3">
      <c r="A10" s="297" t="s">
        <v>132</v>
      </c>
      <c r="B10" s="73">
        <v>0</v>
      </c>
      <c r="C10" s="74">
        <v>0</v>
      </c>
      <c r="D10" s="73">
        <f>B10*C10</f>
        <v>0</v>
      </c>
      <c r="E10" s="74">
        <v>0</v>
      </c>
      <c r="F10" s="73">
        <f>D10*E10</f>
        <v>0</v>
      </c>
      <c r="G10" s="73">
        <f>F10*0.05</f>
        <v>0</v>
      </c>
      <c r="H10" s="73">
        <f>F10*0.1</f>
        <v>0</v>
      </c>
      <c r="I10" s="84">
        <f>F10*$L$8+G10*$L$7+H10*$L$9</f>
        <v>0</v>
      </c>
      <c r="K10" s="85"/>
      <c r="O10" s="71">
        <f t="shared" si="0"/>
        <v>0</v>
      </c>
    </row>
    <row r="11" spans="1:15" ht="15.75" customHeight="1" x14ac:dyDescent="0.3">
      <c r="A11" s="297" t="s">
        <v>133</v>
      </c>
      <c r="B11" s="73"/>
      <c r="C11" s="74"/>
      <c r="D11" s="73"/>
      <c r="E11" s="74"/>
      <c r="F11" s="73"/>
      <c r="G11" s="73"/>
      <c r="H11" s="73"/>
      <c r="I11" s="84"/>
      <c r="K11" s="86"/>
      <c r="L11" s="86" t="s">
        <v>134</v>
      </c>
      <c r="O11" s="71">
        <f t="shared" si="0"/>
        <v>0</v>
      </c>
    </row>
    <row r="12" spans="1:15" ht="28.5" x14ac:dyDescent="0.3">
      <c r="A12" s="298" t="s">
        <v>135</v>
      </c>
      <c r="B12" s="73"/>
      <c r="C12" s="74"/>
      <c r="D12" s="73"/>
      <c r="E12" s="88"/>
      <c r="F12" s="89"/>
      <c r="G12" s="73"/>
      <c r="H12" s="73"/>
      <c r="I12" s="84"/>
      <c r="K12" s="86" t="s">
        <v>136</v>
      </c>
      <c r="L12" s="86">
        <f>L14*0.0084</f>
        <v>23.9148</v>
      </c>
      <c r="M12" s="85" t="s">
        <v>137</v>
      </c>
      <c r="O12" s="71">
        <f t="shared" si="0"/>
        <v>0</v>
      </c>
    </row>
    <row r="13" spans="1:15" ht="29.5" customHeight="1" x14ac:dyDescent="0.3">
      <c r="A13" s="299" t="s">
        <v>138</v>
      </c>
      <c r="B13" s="74">
        <v>0</v>
      </c>
      <c r="C13" s="74">
        <v>0</v>
      </c>
      <c r="D13" s="73">
        <f>B13*C13</f>
        <v>0</v>
      </c>
      <c r="E13" s="294">
        <v>0</v>
      </c>
      <c r="F13" s="89">
        <f>D13*E13</f>
        <v>0</v>
      </c>
      <c r="G13" s="295">
        <f>F13*0.05</f>
        <v>0</v>
      </c>
      <c r="H13" s="295">
        <f>F13*0.1</f>
        <v>0</v>
      </c>
      <c r="I13" s="84">
        <f>F13*$L$8+G13*$L$7+H13*$L$9</f>
        <v>0</v>
      </c>
      <c r="K13" s="86" t="s">
        <v>139</v>
      </c>
      <c r="L13" s="86">
        <v>0</v>
      </c>
      <c r="O13" s="71">
        <f t="shared" si="0"/>
        <v>0</v>
      </c>
    </row>
    <row r="14" spans="1:15" ht="26" x14ac:dyDescent="0.3">
      <c r="A14" s="299" t="s">
        <v>140</v>
      </c>
      <c r="B14" s="74">
        <v>0</v>
      </c>
      <c r="C14" s="74">
        <v>0</v>
      </c>
      <c r="D14" s="73">
        <f t="shared" ref="D14" si="1">B14*C14</f>
        <v>0</v>
      </c>
      <c r="E14" s="294">
        <f>E13*0.05</f>
        <v>0</v>
      </c>
      <c r="F14" s="89">
        <f t="shared" ref="F14:F21" si="2">D14*E14</f>
        <v>0</v>
      </c>
      <c r="G14" s="295">
        <f t="shared" ref="G14:G21" si="3">F14*0.05</f>
        <v>0</v>
      </c>
      <c r="H14" s="295">
        <f t="shared" ref="H14:H21" si="4">F14*0.1</f>
        <v>0</v>
      </c>
      <c r="I14" s="84">
        <f t="shared" ref="I14:I21" si="5">F14*$L$8+G14*$L$7+H14*$L$9</f>
        <v>0</v>
      </c>
      <c r="J14" s="85"/>
      <c r="K14" s="86" t="s">
        <v>141</v>
      </c>
      <c r="L14" s="86">
        <v>2847</v>
      </c>
      <c r="O14" s="71">
        <f t="shared" si="0"/>
        <v>0</v>
      </c>
    </row>
    <row r="15" spans="1:15" ht="28.5" x14ac:dyDescent="0.3">
      <c r="A15" s="298" t="s">
        <v>205</v>
      </c>
      <c r="B15" s="73"/>
      <c r="C15" s="74"/>
      <c r="D15" s="73"/>
      <c r="E15" s="74"/>
      <c r="F15" s="89"/>
      <c r="G15" s="73"/>
      <c r="H15" s="73"/>
      <c r="I15" s="84"/>
      <c r="K15" s="86" t="s">
        <v>143</v>
      </c>
      <c r="L15" s="86">
        <f>L17*0.0084</f>
        <v>12.316121999999998</v>
      </c>
      <c r="M15" s="85" t="s">
        <v>137</v>
      </c>
      <c r="O15" s="71">
        <f t="shared" si="0"/>
        <v>0</v>
      </c>
    </row>
    <row r="16" spans="1:15" x14ac:dyDescent="0.3">
      <c r="A16" s="299" t="s">
        <v>138</v>
      </c>
      <c r="B16" s="73">
        <v>0</v>
      </c>
      <c r="C16" s="74">
        <v>0</v>
      </c>
      <c r="D16" s="73">
        <f>B16*C16</f>
        <v>0</v>
      </c>
      <c r="E16" s="88">
        <v>0</v>
      </c>
      <c r="F16" s="89">
        <f t="shared" si="2"/>
        <v>0</v>
      </c>
      <c r="G16" s="73">
        <f t="shared" si="3"/>
        <v>0</v>
      </c>
      <c r="H16" s="73">
        <f t="shared" si="4"/>
        <v>0</v>
      </c>
      <c r="I16" s="84">
        <f t="shared" si="5"/>
        <v>0</v>
      </c>
      <c r="J16" s="82"/>
      <c r="K16" s="86" t="s">
        <v>144</v>
      </c>
      <c r="L16" s="86">
        <f>L18*0.0084</f>
        <v>7.6019999999999994</v>
      </c>
      <c r="M16" s="85" t="s">
        <v>137</v>
      </c>
      <c r="N16" s="85"/>
      <c r="O16" s="71">
        <f t="shared" si="0"/>
        <v>0</v>
      </c>
    </row>
    <row r="17" spans="1:15" ht="26" x14ac:dyDescent="0.3">
      <c r="A17" s="299" t="s">
        <v>140</v>
      </c>
      <c r="B17" s="74">
        <v>0</v>
      </c>
      <c r="C17" s="74">
        <v>0</v>
      </c>
      <c r="D17" s="73">
        <f t="shared" ref="D17:D19" si="6">B17*C17</f>
        <v>0</v>
      </c>
      <c r="E17" s="88">
        <f>E16*0.05</f>
        <v>0</v>
      </c>
      <c r="F17" s="89">
        <f t="shared" si="2"/>
        <v>0</v>
      </c>
      <c r="G17" s="73">
        <f t="shared" si="3"/>
        <v>0</v>
      </c>
      <c r="H17" s="73">
        <f t="shared" si="4"/>
        <v>0</v>
      </c>
      <c r="I17" s="84">
        <f t="shared" si="5"/>
        <v>0</v>
      </c>
      <c r="J17" s="82"/>
      <c r="K17" s="86" t="s">
        <v>145</v>
      </c>
      <c r="L17" s="320">
        <f>0.515*L14</f>
        <v>1466.2049999999999</v>
      </c>
      <c r="O17" s="71">
        <f t="shared" si="0"/>
        <v>0</v>
      </c>
    </row>
    <row r="18" spans="1:15" ht="29" x14ac:dyDescent="0.3">
      <c r="A18" s="97" t="s">
        <v>146</v>
      </c>
      <c r="B18" s="93">
        <v>0</v>
      </c>
      <c r="C18" s="93">
        <v>0</v>
      </c>
      <c r="D18" s="92">
        <f t="shared" si="6"/>
        <v>0</v>
      </c>
      <c r="E18" s="94">
        <v>0</v>
      </c>
      <c r="F18" s="89">
        <f t="shared" si="2"/>
        <v>0</v>
      </c>
      <c r="G18" s="73">
        <f t="shared" si="3"/>
        <v>0</v>
      </c>
      <c r="H18" s="73">
        <f t="shared" si="4"/>
        <v>0</v>
      </c>
      <c r="I18" s="84">
        <f t="shared" si="5"/>
        <v>0</v>
      </c>
      <c r="K18" s="414" t="s">
        <v>147</v>
      </c>
      <c r="L18" s="321">
        <v>905</v>
      </c>
      <c r="O18" s="71">
        <f t="shared" si="0"/>
        <v>0</v>
      </c>
    </row>
    <row r="19" spans="1:15" ht="62.5" customHeight="1" x14ac:dyDescent="0.3">
      <c r="A19" s="97" t="s">
        <v>148</v>
      </c>
      <c r="B19" s="93">
        <v>0</v>
      </c>
      <c r="C19" s="93">
        <v>0</v>
      </c>
      <c r="D19" s="92">
        <f t="shared" si="6"/>
        <v>0</v>
      </c>
      <c r="E19" s="302">
        <f>E18*0.05</f>
        <v>0</v>
      </c>
      <c r="F19" s="89">
        <f t="shared" si="2"/>
        <v>0</v>
      </c>
      <c r="G19" s="73">
        <f t="shared" si="3"/>
        <v>0</v>
      </c>
      <c r="H19" s="73">
        <f t="shared" si="4"/>
        <v>0</v>
      </c>
      <c r="I19" s="84">
        <f t="shared" si="5"/>
        <v>0</v>
      </c>
      <c r="K19" s="71" t="s">
        <v>149</v>
      </c>
      <c r="L19" s="111">
        <f>L14*0.56</f>
        <v>1594.3200000000002</v>
      </c>
      <c r="M19" s="85" t="s">
        <v>150</v>
      </c>
      <c r="N19" s="82"/>
      <c r="O19" s="71">
        <f t="shared" si="0"/>
        <v>0</v>
      </c>
    </row>
    <row r="20" spans="1:15" ht="62.5" customHeight="1" x14ac:dyDescent="0.3">
      <c r="A20" s="298" t="s">
        <v>151</v>
      </c>
      <c r="B20" s="92"/>
      <c r="C20" s="93"/>
      <c r="D20" s="92"/>
      <c r="E20" s="94"/>
      <c r="F20" s="89"/>
      <c r="G20" s="73"/>
      <c r="H20" s="73"/>
      <c r="I20" s="84"/>
      <c r="K20" s="71" t="s">
        <v>152</v>
      </c>
      <c r="L20" s="111">
        <f>L14*0.44</f>
        <v>1252.68</v>
      </c>
      <c r="M20" s="85" t="s">
        <v>153</v>
      </c>
      <c r="N20" s="82"/>
      <c r="O20" s="71">
        <f t="shared" si="0"/>
        <v>0</v>
      </c>
    </row>
    <row r="21" spans="1:15" ht="26" x14ac:dyDescent="0.3">
      <c r="A21" s="297" t="s">
        <v>154</v>
      </c>
      <c r="B21" s="73">
        <v>0</v>
      </c>
      <c r="C21" s="74">
        <v>0</v>
      </c>
      <c r="D21" s="73">
        <f>B21*C21</f>
        <v>0</v>
      </c>
      <c r="E21" s="88">
        <v>0</v>
      </c>
      <c r="F21" s="89">
        <f t="shared" si="2"/>
        <v>0</v>
      </c>
      <c r="G21" s="73">
        <f t="shared" si="3"/>
        <v>0</v>
      </c>
      <c r="H21" s="73">
        <f t="shared" si="4"/>
        <v>0</v>
      </c>
      <c r="I21" s="84">
        <f t="shared" si="5"/>
        <v>0</v>
      </c>
      <c r="N21" s="82"/>
      <c r="O21" s="71">
        <f t="shared" si="0"/>
        <v>0</v>
      </c>
    </row>
    <row r="22" spans="1:15" x14ac:dyDescent="0.3">
      <c r="A22" s="297" t="s">
        <v>155</v>
      </c>
      <c r="B22" s="73"/>
      <c r="C22" s="77"/>
      <c r="D22" s="78"/>
      <c r="E22" s="95"/>
      <c r="F22" s="78"/>
      <c r="G22" s="78"/>
      <c r="H22" s="78"/>
      <c r="I22" s="78"/>
      <c r="O22" s="71">
        <f t="shared" si="0"/>
        <v>0</v>
      </c>
    </row>
    <row r="23" spans="1:15" ht="26" x14ac:dyDescent="0.3">
      <c r="A23" s="297" t="s">
        <v>156</v>
      </c>
      <c r="B23" s="73"/>
      <c r="C23" s="77"/>
      <c r="D23" s="78"/>
      <c r="E23" s="95"/>
      <c r="F23" s="78"/>
      <c r="G23" s="78"/>
      <c r="H23" s="78"/>
      <c r="I23" s="78"/>
      <c r="O23" s="71">
        <f t="shared" si="0"/>
        <v>0</v>
      </c>
    </row>
    <row r="24" spans="1:15" x14ac:dyDescent="0.3">
      <c r="A24" s="297" t="s">
        <v>157</v>
      </c>
      <c r="B24" s="78"/>
      <c r="C24" s="77"/>
      <c r="D24" s="78"/>
      <c r="E24" s="95"/>
      <c r="F24" s="78"/>
      <c r="G24" s="78"/>
      <c r="H24" s="78"/>
      <c r="I24" s="78"/>
      <c r="O24" s="71">
        <f t="shared" si="0"/>
        <v>0</v>
      </c>
    </row>
    <row r="25" spans="1:15" ht="27.65" customHeight="1" x14ac:dyDescent="0.3">
      <c r="A25" s="300" t="s">
        <v>158</v>
      </c>
      <c r="B25" s="73"/>
      <c r="C25" s="74"/>
      <c r="D25" s="73"/>
      <c r="E25" s="88"/>
      <c r="F25" s="73"/>
      <c r="G25" s="73"/>
      <c r="H25" s="73"/>
      <c r="I25" s="84"/>
      <c r="O25" s="71">
        <f t="shared" si="0"/>
        <v>0</v>
      </c>
    </row>
    <row r="26" spans="1:15" ht="26" x14ac:dyDescent="0.3">
      <c r="A26" s="297" t="s">
        <v>159</v>
      </c>
      <c r="B26" s="73">
        <v>0</v>
      </c>
      <c r="C26" s="74">
        <v>0</v>
      </c>
      <c r="D26" s="73">
        <v>2</v>
      </c>
      <c r="E26" s="88">
        <v>0</v>
      </c>
      <c r="F26" s="73">
        <f t="shared" ref="F26:F29" si="7">D26*E26</f>
        <v>0</v>
      </c>
      <c r="G26" s="73">
        <f t="shared" ref="G26:G29" si="8">F26*0.05</f>
        <v>0</v>
      </c>
      <c r="H26" s="73">
        <f t="shared" ref="H26:H29" si="9">F26*0.1</f>
        <v>0</v>
      </c>
      <c r="I26" s="84">
        <f>F26*$L$8+G26*$L$7+H26*$L$9</f>
        <v>0</v>
      </c>
      <c r="O26" s="71">
        <f t="shared" si="0"/>
        <v>0</v>
      </c>
    </row>
    <row r="27" spans="1:15" x14ac:dyDescent="0.3">
      <c r="A27" s="297" t="s">
        <v>160</v>
      </c>
      <c r="B27" s="73">
        <v>0</v>
      </c>
      <c r="C27" s="74">
        <v>0</v>
      </c>
      <c r="D27" s="73">
        <v>2</v>
      </c>
      <c r="E27" s="88">
        <v>0</v>
      </c>
      <c r="F27" s="73">
        <f t="shared" si="7"/>
        <v>0</v>
      </c>
      <c r="G27" s="73">
        <f t="shared" si="8"/>
        <v>0</v>
      </c>
      <c r="H27" s="73">
        <f t="shared" si="9"/>
        <v>0</v>
      </c>
      <c r="I27" s="84">
        <f>F27*$L$8+G27*$L$7+H27*$L$9</f>
        <v>0</v>
      </c>
      <c r="O27" s="71">
        <f t="shared" si="0"/>
        <v>0</v>
      </c>
    </row>
    <row r="28" spans="1:15" x14ac:dyDescent="0.3">
      <c r="A28" s="297" t="s">
        <v>161</v>
      </c>
      <c r="B28" s="73">
        <v>0</v>
      </c>
      <c r="C28" s="74">
        <v>0</v>
      </c>
      <c r="D28" s="73">
        <v>2</v>
      </c>
      <c r="E28" s="88">
        <v>0</v>
      </c>
      <c r="F28" s="73">
        <f t="shared" si="7"/>
        <v>0</v>
      </c>
      <c r="G28" s="73">
        <f t="shared" si="8"/>
        <v>0</v>
      </c>
      <c r="H28" s="73">
        <f t="shared" si="9"/>
        <v>0</v>
      </c>
      <c r="I28" s="84">
        <f>F28*$L$8+G28*$L$7+H28*$L$9</f>
        <v>0</v>
      </c>
      <c r="O28" s="71">
        <f t="shared" si="0"/>
        <v>0</v>
      </c>
    </row>
    <row r="29" spans="1:15" ht="52" x14ac:dyDescent="0.3">
      <c r="A29" s="301" t="s">
        <v>162</v>
      </c>
      <c r="B29" s="73">
        <v>0</v>
      </c>
      <c r="C29" s="115">
        <v>0</v>
      </c>
      <c r="D29" s="73">
        <f>B29*C29</f>
        <v>0</v>
      </c>
      <c r="E29" s="294">
        <v>0</v>
      </c>
      <c r="F29" s="295">
        <f t="shared" si="7"/>
        <v>0</v>
      </c>
      <c r="G29" s="295">
        <f t="shared" si="8"/>
        <v>0</v>
      </c>
      <c r="H29" s="295">
        <f t="shared" si="9"/>
        <v>0</v>
      </c>
      <c r="I29" s="81">
        <f>F29*$L$8+G29*$L$7+H29*$L$9</f>
        <v>0</v>
      </c>
      <c r="O29" s="71">
        <f t="shared" si="0"/>
        <v>0</v>
      </c>
    </row>
    <row r="30" spans="1:15" x14ac:dyDescent="0.3">
      <c r="A30" s="300" t="s">
        <v>163</v>
      </c>
      <c r="B30" s="78"/>
      <c r="C30" s="77"/>
      <c r="D30" s="78"/>
      <c r="E30" s="95"/>
      <c r="F30" s="78"/>
      <c r="G30" s="78"/>
      <c r="H30" s="78"/>
      <c r="I30" s="78"/>
      <c r="O30" s="71">
        <f t="shared" si="0"/>
        <v>0</v>
      </c>
    </row>
    <row r="31" spans="1:15" ht="26" x14ac:dyDescent="0.3">
      <c r="A31" s="297" t="s">
        <v>159</v>
      </c>
      <c r="B31" s="73">
        <v>0</v>
      </c>
      <c r="C31" s="74">
        <v>0</v>
      </c>
      <c r="D31" s="73">
        <v>2</v>
      </c>
      <c r="E31" s="88">
        <v>0</v>
      </c>
      <c r="F31" s="73">
        <f>D31*E31</f>
        <v>0</v>
      </c>
      <c r="G31" s="73">
        <f>F31*0.05</f>
        <v>0</v>
      </c>
      <c r="H31" s="73">
        <f>F31*0.1</f>
        <v>0</v>
      </c>
      <c r="I31" s="84">
        <f>F31*$L$8+G31*$L$7+H31*$L$9</f>
        <v>0</v>
      </c>
      <c r="O31" s="71">
        <f t="shared" si="0"/>
        <v>0</v>
      </c>
    </row>
    <row r="32" spans="1:15" ht="26" x14ac:dyDescent="0.3">
      <c r="A32" s="297" t="s">
        <v>164</v>
      </c>
      <c r="B32" s="73">
        <v>0</v>
      </c>
      <c r="C32" s="74">
        <v>0</v>
      </c>
      <c r="D32" s="73">
        <v>2</v>
      </c>
      <c r="E32" s="302">
        <f>SUM(E18:E19)</f>
        <v>0</v>
      </c>
      <c r="F32" s="295">
        <f>D32*E32</f>
        <v>0</v>
      </c>
      <c r="G32" s="295">
        <f>F32*0.05</f>
        <v>0</v>
      </c>
      <c r="H32" s="295">
        <f>F32*0.1</f>
        <v>0</v>
      </c>
      <c r="I32" s="84">
        <f>F32*$L$8+G32*$L$7+H32*$L$9</f>
        <v>0</v>
      </c>
      <c r="O32" s="71">
        <f t="shared" si="0"/>
        <v>0</v>
      </c>
    </row>
    <row r="33" spans="1:15" ht="46.5" customHeight="1" x14ac:dyDescent="0.3">
      <c r="A33" s="297" t="s">
        <v>165</v>
      </c>
      <c r="B33" s="73">
        <v>0</v>
      </c>
      <c r="C33" s="74">
        <v>0</v>
      </c>
      <c r="D33" s="73">
        <v>2</v>
      </c>
      <c r="E33" s="294">
        <f>SUM(E18:E19)</f>
        <v>0</v>
      </c>
      <c r="F33" s="295">
        <f>D33*E33</f>
        <v>0</v>
      </c>
      <c r="G33" s="295">
        <f>F33*0.05</f>
        <v>0</v>
      </c>
      <c r="H33" s="295">
        <f>F33*0.1</f>
        <v>0</v>
      </c>
      <c r="I33" s="84">
        <f>F33*$L$8+G33*$L$7+H33*$L$9</f>
        <v>0</v>
      </c>
      <c r="O33" s="71">
        <f t="shared" si="0"/>
        <v>0</v>
      </c>
    </row>
    <row r="34" spans="1:15" ht="33" customHeight="1" x14ac:dyDescent="0.3">
      <c r="A34" s="301" t="s">
        <v>166</v>
      </c>
      <c r="B34" s="73">
        <v>0</v>
      </c>
      <c r="C34" s="115">
        <v>0</v>
      </c>
      <c r="D34" s="73">
        <f>B34*C34</f>
        <v>0</v>
      </c>
      <c r="E34" s="88">
        <v>0</v>
      </c>
      <c r="F34" s="73">
        <f t="shared" ref="F34" si="10">D34*E34</f>
        <v>0</v>
      </c>
      <c r="G34" s="73">
        <f t="shared" ref="G34" si="11">F34*0.05</f>
        <v>0</v>
      </c>
      <c r="H34" s="73">
        <f t="shared" ref="H34" si="12">F34*0.1</f>
        <v>0</v>
      </c>
      <c r="I34" s="81">
        <f>F34*$L$8+G34*$L$7+H34*$L$9</f>
        <v>0</v>
      </c>
      <c r="O34" s="71">
        <f t="shared" si="0"/>
        <v>0</v>
      </c>
    </row>
    <row r="35" spans="1:15" ht="13.5" x14ac:dyDescent="0.3">
      <c r="A35" s="98" t="s">
        <v>167</v>
      </c>
      <c r="B35" s="99"/>
      <c r="C35" s="100"/>
      <c r="D35" s="99"/>
      <c r="E35" s="101"/>
      <c r="F35" s="142">
        <f>SUM(F8:H34)</f>
        <v>0</v>
      </c>
      <c r="G35" s="142"/>
      <c r="H35" s="142"/>
      <c r="I35" s="102">
        <f>SUM(I8:I34)</f>
        <v>0</v>
      </c>
      <c r="O35" s="71">
        <f t="shared" si="0"/>
        <v>0</v>
      </c>
    </row>
    <row r="36" spans="1:15" ht="26" x14ac:dyDescent="0.3">
      <c r="A36" s="76" t="s">
        <v>168</v>
      </c>
      <c r="B36" s="78"/>
      <c r="C36" s="77"/>
      <c r="D36" s="78"/>
      <c r="E36" s="95"/>
      <c r="F36" s="78"/>
      <c r="G36" s="78"/>
      <c r="H36" s="78"/>
      <c r="I36" s="78"/>
      <c r="O36" s="71">
        <f t="shared" si="0"/>
        <v>0</v>
      </c>
    </row>
    <row r="37" spans="1:15" ht="26" x14ac:dyDescent="0.3">
      <c r="A37" s="297" t="s">
        <v>132</v>
      </c>
      <c r="B37" s="73"/>
      <c r="C37" s="77"/>
      <c r="D37" s="78"/>
      <c r="E37" s="77"/>
      <c r="F37" s="78"/>
      <c r="G37" s="78"/>
      <c r="H37" s="78"/>
      <c r="I37" s="78"/>
      <c r="O37" s="71">
        <f t="shared" si="0"/>
        <v>0</v>
      </c>
    </row>
    <row r="38" spans="1:15" x14ac:dyDescent="0.3">
      <c r="A38" s="297" t="s">
        <v>169</v>
      </c>
      <c r="B38" s="73"/>
      <c r="C38" s="77"/>
      <c r="D38" s="78"/>
      <c r="E38" s="77"/>
      <c r="F38" s="78"/>
      <c r="G38" s="78"/>
      <c r="H38" s="78"/>
      <c r="I38" s="78"/>
      <c r="O38" s="71">
        <f t="shared" si="0"/>
        <v>0</v>
      </c>
    </row>
    <row r="39" spans="1:15" x14ac:dyDescent="0.3">
      <c r="A39" s="297" t="s">
        <v>170</v>
      </c>
      <c r="B39" s="73"/>
      <c r="C39" s="77"/>
      <c r="D39" s="78"/>
      <c r="E39" s="77"/>
      <c r="F39" s="78"/>
      <c r="G39" s="78"/>
      <c r="H39" s="78"/>
      <c r="I39" s="78"/>
      <c r="O39" s="71">
        <f t="shared" si="0"/>
        <v>0</v>
      </c>
    </row>
    <row r="40" spans="1:15" x14ac:dyDescent="0.3">
      <c r="A40" s="297" t="s">
        <v>171</v>
      </c>
      <c r="B40" s="73" t="s">
        <v>122</v>
      </c>
      <c r="C40" s="77"/>
      <c r="D40" s="78"/>
      <c r="E40" s="77"/>
      <c r="F40" s="78"/>
      <c r="G40" s="78"/>
      <c r="H40" s="78"/>
      <c r="I40" s="78"/>
      <c r="K40" s="150"/>
      <c r="L40" s="150"/>
      <c r="M40" s="420"/>
      <c r="O40" s="71">
        <f t="shared" si="0"/>
        <v>0</v>
      </c>
    </row>
    <row r="41" spans="1:15" ht="26" x14ac:dyDescent="0.3">
      <c r="A41" s="297" t="s">
        <v>172</v>
      </c>
      <c r="B41" s="78"/>
      <c r="C41" s="77"/>
      <c r="D41" s="78"/>
      <c r="E41" s="77"/>
      <c r="F41" s="78"/>
      <c r="G41" s="78"/>
      <c r="H41" s="78"/>
      <c r="I41" s="78"/>
      <c r="K41" s="150"/>
      <c r="L41" s="150"/>
      <c r="M41" s="420"/>
      <c r="O41" s="71">
        <f t="shared" si="0"/>
        <v>0</v>
      </c>
    </row>
    <row r="42" spans="1:15" x14ac:dyDescent="0.3">
      <c r="A42" s="300" t="s">
        <v>163</v>
      </c>
      <c r="B42" s="78"/>
      <c r="C42" s="77"/>
      <c r="D42" s="78"/>
      <c r="E42" s="77"/>
      <c r="F42" s="78"/>
      <c r="G42" s="78"/>
      <c r="H42" s="78"/>
      <c r="I42" s="78"/>
      <c r="K42" s="150"/>
      <c r="L42" s="150"/>
      <c r="M42" s="420"/>
      <c r="O42" s="71">
        <f t="shared" si="0"/>
        <v>0</v>
      </c>
    </row>
    <row r="43" spans="1:15" x14ac:dyDescent="0.3">
      <c r="A43" s="297" t="s">
        <v>173</v>
      </c>
      <c r="B43" s="73">
        <v>0</v>
      </c>
      <c r="C43" s="74">
        <v>0</v>
      </c>
      <c r="D43" s="73">
        <f t="shared" ref="D43:D57" si="13">B43*C43</f>
        <v>0</v>
      </c>
      <c r="E43" s="88">
        <v>0</v>
      </c>
      <c r="F43" s="89">
        <f t="shared" ref="F43:F57" si="14">D43*E43</f>
        <v>0</v>
      </c>
      <c r="G43" s="73">
        <f t="shared" ref="G43:G57" si="15">F43*0.05</f>
        <v>0</v>
      </c>
      <c r="H43" s="73">
        <f t="shared" ref="H43:H57" si="16">F43*0.1</f>
        <v>0</v>
      </c>
      <c r="I43" s="84">
        <f>F43*$L$8+G43*$L$7+H43*$L$9</f>
        <v>0</v>
      </c>
      <c r="K43" s="150"/>
      <c r="L43" s="150"/>
      <c r="M43" s="420"/>
      <c r="O43" s="71">
        <f t="shared" si="0"/>
        <v>0</v>
      </c>
    </row>
    <row r="44" spans="1:15" ht="29.5" customHeight="1" x14ac:dyDescent="0.3">
      <c r="A44" s="297" t="s">
        <v>174</v>
      </c>
      <c r="B44" s="73">
        <v>0</v>
      </c>
      <c r="C44" s="74">
        <v>0</v>
      </c>
      <c r="D44" s="73">
        <f t="shared" si="13"/>
        <v>0</v>
      </c>
      <c r="E44" s="88">
        <v>0</v>
      </c>
      <c r="F44" s="89">
        <f t="shared" si="14"/>
        <v>0</v>
      </c>
      <c r="G44" s="73">
        <f t="shared" si="15"/>
        <v>0</v>
      </c>
      <c r="H44" s="73">
        <f t="shared" si="16"/>
        <v>0</v>
      </c>
      <c r="I44" s="84">
        <f>F44*$L$8+G44*$L$7+H44*$L$9</f>
        <v>0</v>
      </c>
      <c r="K44" s="150"/>
      <c r="L44" s="150"/>
      <c r="M44" s="420"/>
      <c r="O44" s="71">
        <f t="shared" si="0"/>
        <v>0</v>
      </c>
    </row>
    <row r="45" spans="1:15" ht="17.5" customHeight="1" x14ac:dyDescent="0.3">
      <c r="A45" s="297" t="s">
        <v>175</v>
      </c>
      <c r="B45" s="73">
        <v>0</v>
      </c>
      <c r="C45" s="115">
        <v>0</v>
      </c>
      <c r="D45" s="73">
        <f t="shared" ref="D45" si="17">B45*C45</f>
        <v>0</v>
      </c>
      <c r="E45" s="88">
        <v>0</v>
      </c>
      <c r="F45" s="89">
        <f t="shared" ref="F45" si="18">D45*E45</f>
        <v>0</v>
      </c>
      <c r="G45" s="73">
        <f t="shared" ref="G45" si="19">F45*0.05</f>
        <v>0</v>
      </c>
      <c r="H45" s="73">
        <f t="shared" ref="H45" si="20">F45*0.1</f>
        <v>0</v>
      </c>
      <c r="I45" s="84">
        <f>F45*$L$8+G45*$L$7+H45*$L$9</f>
        <v>0</v>
      </c>
      <c r="K45" s="150"/>
      <c r="L45" s="150"/>
      <c r="M45" s="420"/>
      <c r="O45" s="71">
        <f t="shared" si="0"/>
        <v>0</v>
      </c>
    </row>
    <row r="46" spans="1:15" ht="26.5" customHeight="1" x14ac:dyDescent="0.3">
      <c r="A46" s="301" t="s">
        <v>176</v>
      </c>
      <c r="B46" s="73">
        <v>0</v>
      </c>
      <c r="C46" s="74">
        <v>0</v>
      </c>
      <c r="D46" s="73">
        <f t="shared" si="13"/>
        <v>0</v>
      </c>
      <c r="E46" s="88">
        <f>E43</f>
        <v>0</v>
      </c>
      <c r="F46" s="89">
        <f t="shared" si="14"/>
        <v>0</v>
      </c>
      <c r="G46" s="73">
        <f t="shared" si="15"/>
        <v>0</v>
      </c>
      <c r="H46" s="73">
        <f t="shared" si="16"/>
        <v>0</v>
      </c>
      <c r="I46" s="84">
        <f>F46*$L$8+G46*$L$7+H46*$L$9</f>
        <v>0</v>
      </c>
      <c r="K46" s="150"/>
      <c r="L46" s="150"/>
      <c r="M46" s="420"/>
      <c r="O46" s="71">
        <f t="shared" si="0"/>
        <v>0</v>
      </c>
    </row>
    <row r="47" spans="1:15" ht="26.5" customHeight="1" x14ac:dyDescent="0.3">
      <c r="A47" s="298" t="s">
        <v>177</v>
      </c>
      <c r="B47" s="73"/>
      <c r="C47" s="74"/>
      <c r="D47" s="73"/>
      <c r="E47" s="88"/>
      <c r="F47" s="89"/>
      <c r="G47" s="73"/>
      <c r="H47" s="73"/>
      <c r="I47" s="84"/>
      <c r="O47" s="71">
        <f t="shared" si="0"/>
        <v>0</v>
      </c>
    </row>
    <row r="48" spans="1:15" ht="26.5" customHeight="1" x14ac:dyDescent="0.3">
      <c r="A48" s="301" t="s">
        <v>178</v>
      </c>
      <c r="B48" s="73">
        <v>0</v>
      </c>
      <c r="C48" s="74">
        <v>0</v>
      </c>
      <c r="D48" s="73">
        <f t="shared" ref="D48:D49" si="21">B48*C48</f>
        <v>0</v>
      </c>
      <c r="E48" s="88">
        <v>0</v>
      </c>
      <c r="F48" s="89">
        <f t="shared" ref="F48:F49" si="22">D48*E48</f>
        <v>0</v>
      </c>
      <c r="G48" s="73">
        <f t="shared" ref="G48:G49" si="23">F48*0.05</f>
        <v>0</v>
      </c>
      <c r="H48" s="73">
        <f t="shared" ref="H48:H49" si="24">F48*0.1</f>
        <v>0</v>
      </c>
      <c r="I48" s="84">
        <f>F48*$L$8+G48*$L$7+H48*$L$9</f>
        <v>0</v>
      </c>
      <c r="O48" s="71">
        <f t="shared" si="0"/>
        <v>0</v>
      </c>
    </row>
    <row r="49" spans="1:16" ht="26.5" customHeight="1" x14ac:dyDescent="0.3">
      <c r="A49" s="301" t="s">
        <v>179</v>
      </c>
      <c r="B49" s="73">
        <v>0</v>
      </c>
      <c r="C49" s="74">
        <v>0</v>
      </c>
      <c r="D49" s="73">
        <f t="shared" si="21"/>
        <v>0</v>
      </c>
      <c r="E49" s="88">
        <v>0</v>
      </c>
      <c r="F49" s="89">
        <f t="shared" si="22"/>
        <v>0</v>
      </c>
      <c r="G49" s="73">
        <f t="shared" si="23"/>
        <v>0</v>
      </c>
      <c r="H49" s="73">
        <f t="shared" si="24"/>
        <v>0</v>
      </c>
      <c r="I49" s="84">
        <f>F49*$L$8+G49*$L$7+H49*$L$9</f>
        <v>0</v>
      </c>
      <c r="O49" s="71">
        <f t="shared" si="0"/>
        <v>0</v>
      </c>
    </row>
    <row r="50" spans="1:16" ht="26.5" customHeight="1" x14ac:dyDescent="0.3">
      <c r="A50" s="298" t="s">
        <v>180</v>
      </c>
      <c r="B50" s="73"/>
      <c r="C50" s="74"/>
      <c r="D50" s="73"/>
      <c r="E50" s="88"/>
      <c r="F50" s="89"/>
      <c r="G50" s="73"/>
      <c r="H50" s="73"/>
      <c r="I50" s="84"/>
      <c r="O50" s="71">
        <f t="shared" si="0"/>
        <v>0</v>
      </c>
    </row>
    <row r="51" spans="1:16" ht="26.5" customHeight="1" x14ac:dyDescent="0.3">
      <c r="A51" s="301" t="s">
        <v>181</v>
      </c>
      <c r="B51" s="73">
        <v>0</v>
      </c>
      <c r="C51" s="74">
        <v>0</v>
      </c>
      <c r="D51" s="73">
        <f t="shared" ref="D51:D53" si="25">B51*C51</f>
        <v>0</v>
      </c>
      <c r="E51" s="322">
        <v>0</v>
      </c>
      <c r="F51" s="89">
        <f t="shared" ref="F51:F53" si="26">D51*E51</f>
        <v>0</v>
      </c>
      <c r="G51" s="73">
        <f t="shared" ref="G51:G53" si="27">F51*0.05</f>
        <v>0</v>
      </c>
      <c r="H51" s="73">
        <f t="shared" ref="H51:H53" si="28">F51*0.1</f>
        <v>0</v>
      </c>
      <c r="I51" s="84">
        <f>F51*$L$8+G51*$L$7+H51*$L$9</f>
        <v>0</v>
      </c>
      <c r="O51" s="71">
        <f t="shared" si="0"/>
        <v>0</v>
      </c>
    </row>
    <row r="52" spans="1:16" ht="26" x14ac:dyDescent="0.3">
      <c r="A52" s="301" t="s">
        <v>182</v>
      </c>
      <c r="B52" s="73">
        <v>0</v>
      </c>
      <c r="C52" s="74">
        <v>0</v>
      </c>
      <c r="D52" s="73">
        <f t="shared" ref="D52" si="29">B52*C52</f>
        <v>0</v>
      </c>
      <c r="E52" s="322">
        <v>0</v>
      </c>
      <c r="F52" s="89">
        <f t="shared" ref="F52" si="30">D52*E52</f>
        <v>0</v>
      </c>
      <c r="G52" s="73">
        <f t="shared" ref="G52" si="31">F52*0.05</f>
        <v>0</v>
      </c>
      <c r="H52" s="73">
        <f t="shared" ref="H52" si="32">F52*0.1</f>
        <v>0</v>
      </c>
      <c r="I52" s="84">
        <f>F52*$L$8+G52*$L$7+H52*$L$9</f>
        <v>0</v>
      </c>
      <c r="O52" s="71">
        <f t="shared" si="0"/>
        <v>0</v>
      </c>
    </row>
    <row r="53" spans="1:16" ht="26" x14ac:dyDescent="0.3">
      <c r="A53" s="301" t="s">
        <v>206</v>
      </c>
      <c r="B53" s="73">
        <v>0</v>
      </c>
      <c r="C53" s="74">
        <v>0</v>
      </c>
      <c r="D53" s="73">
        <f t="shared" si="25"/>
        <v>0</v>
      </c>
      <c r="E53" s="322">
        <v>0</v>
      </c>
      <c r="F53" s="89">
        <f t="shared" si="26"/>
        <v>0</v>
      </c>
      <c r="G53" s="73">
        <f t="shared" si="27"/>
        <v>0</v>
      </c>
      <c r="H53" s="73">
        <f t="shared" si="28"/>
        <v>0</v>
      </c>
      <c r="I53" s="84">
        <f>F53*$L$8+G53*$L$7+H53*$L$9</f>
        <v>0</v>
      </c>
      <c r="O53" s="71">
        <f t="shared" si="0"/>
        <v>0</v>
      </c>
    </row>
    <row r="54" spans="1:16" x14ac:dyDescent="0.3">
      <c r="A54" s="300" t="s">
        <v>158</v>
      </c>
      <c r="B54" s="73"/>
      <c r="C54" s="74"/>
      <c r="D54" s="73"/>
      <c r="E54" s="88"/>
      <c r="F54" s="89"/>
      <c r="G54" s="73"/>
      <c r="H54" s="73"/>
      <c r="I54" s="84"/>
      <c r="O54" s="71">
        <f t="shared" si="0"/>
        <v>0</v>
      </c>
    </row>
    <row r="55" spans="1:16" x14ac:dyDescent="0.3">
      <c r="A55" s="297" t="s">
        <v>173</v>
      </c>
      <c r="B55" s="73">
        <v>0</v>
      </c>
      <c r="C55" s="74">
        <v>0</v>
      </c>
      <c r="D55" s="73">
        <f>B55*C55</f>
        <v>0</v>
      </c>
      <c r="E55" s="294">
        <v>0</v>
      </c>
      <c r="F55" s="89">
        <f t="shared" ref="F55:F56" si="33">D55*E55</f>
        <v>0</v>
      </c>
      <c r="G55" s="73">
        <f t="shared" ref="G55:G56" si="34">F55*0.05</f>
        <v>0</v>
      </c>
      <c r="H55" s="73">
        <f t="shared" ref="H55:H56" si="35">F55*0.1</f>
        <v>0</v>
      </c>
      <c r="I55" s="81">
        <f>F55*$L$8+G55*$L$7+H55*$L$9</f>
        <v>0</v>
      </c>
      <c r="O55" s="71">
        <f t="shared" si="0"/>
        <v>0</v>
      </c>
    </row>
    <row r="56" spans="1:16" ht="17.149999999999999" customHeight="1" x14ac:dyDescent="0.3">
      <c r="A56" s="297" t="s">
        <v>184</v>
      </c>
      <c r="B56" s="73">
        <v>0</v>
      </c>
      <c r="C56" s="74">
        <v>0</v>
      </c>
      <c r="D56" s="73">
        <f t="shared" ref="D56" si="36">B56*C56</f>
        <v>0</v>
      </c>
      <c r="E56" s="294">
        <v>0</v>
      </c>
      <c r="F56" s="89">
        <f t="shared" si="33"/>
        <v>0</v>
      </c>
      <c r="G56" s="73">
        <f t="shared" si="34"/>
        <v>0</v>
      </c>
      <c r="H56" s="73">
        <f t="shared" si="35"/>
        <v>0</v>
      </c>
      <c r="I56" s="81">
        <f>F56*$L$8+G56*$L$7+H56*$L$9</f>
        <v>0</v>
      </c>
      <c r="O56" s="71">
        <f t="shared" si="0"/>
        <v>0</v>
      </c>
    </row>
    <row r="57" spans="1:16" ht="24" customHeight="1" x14ac:dyDescent="0.3">
      <c r="A57" s="297" t="s">
        <v>207</v>
      </c>
      <c r="B57" s="73">
        <v>0</v>
      </c>
      <c r="C57" s="74">
        <v>0</v>
      </c>
      <c r="D57" s="73">
        <f t="shared" si="13"/>
        <v>0</v>
      </c>
      <c r="E57" s="294">
        <v>0</v>
      </c>
      <c r="F57" s="89">
        <f t="shared" si="14"/>
        <v>0</v>
      </c>
      <c r="G57" s="293">
        <f t="shared" si="15"/>
        <v>0</v>
      </c>
      <c r="H57" s="293">
        <f t="shared" si="16"/>
        <v>0</v>
      </c>
      <c r="I57" s="81">
        <f>F57*$L$8+G57*$L$7+H57*$L$9</f>
        <v>0</v>
      </c>
      <c r="O57" s="71">
        <f t="shared" si="0"/>
        <v>0</v>
      </c>
    </row>
    <row r="58" spans="1:16" ht="20.5" customHeight="1" x14ac:dyDescent="0.3">
      <c r="A58" s="297" t="s">
        <v>186</v>
      </c>
      <c r="B58" s="73" t="s">
        <v>122</v>
      </c>
      <c r="C58" s="77"/>
      <c r="D58" s="78"/>
      <c r="E58" s="77"/>
      <c r="F58" s="78"/>
      <c r="G58" s="78"/>
      <c r="H58" s="78"/>
      <c r="I58" s="78"/>
      <c r="O58" s="71">
        <f>SUM(O6:O57)</f>
        <v>0</v>
      </c>
      <c r="P58" s="71" t="s">
        <v>187</v>
      </c>
    </row>
    <row r="59" spans="1:16" ht="27" x14ac:dyDescent="0.3">
      <c r="A59" s="98" t="s">
        <v>188</v>
      </c>
      <c r="B59" s="103"/>
      <c r="C59" s="104"/>
      <c r="D59" s="103"/>
      <c r="E59" s="105"/>
      <c r="F59" s="142">
        <f>SUM(F43:H57)</f>
        <v>0</v>
      </c>
      <c r="G59" s="142"/>
      <c r="H59" s="142"/>
      <c r="I59" s="102">
        <f>SUM(I43:I58)</f>
        <v>0</v>
      </c>
    </row>
    <row r="60" spans="1:16" ht="28" x14ac:dyDescent="0.3">
      <c r="A60" s="106" t="s">
        <v>189</v>
      </c>
      <c r="B60" s="107"/>
      <c r="C60" s="108"/>
      <c r="D60" s="107"/>
      <c r="E60" s="109"/>
      <c r="F60" s="444">
        <f>ROUND(F59+F35, -2)</f>
        <v>0</v>
      </c>
      <c r="G60" s="444"/>
      <c r="H60" s="444"/>
      <c r="I60" s="110">
        <f>ROUND(I59+I35, -4)</f>
        <v>0</v>
      </c>
      <c r="K60" s="111">
        <f>F60/212</f>
        <v>0</v>
      </c>
      <c r="L60" s="71" t="s">
        <v>190</v>
      </c>
    </row>
    <row r="61" spans="1:16" ht="28" x14ac:dyDescent="0.3">
      <c r="A61" s="112" t="s">
        <v>191</v>
      </c>
      <c r="B61" s="78"/>
      <c r="C61" s="77"/>
      <c r="D61" s="78"/>
      <c r="E61" s="77"/>
      <c r="F61" s="78"/>
      <c r="G61" s="78"/>
      <c r="H61" s="78"/>
      <c r="I61" s="110">
        <v>0</v>
      </c>
    </row>
    <row r="62" spans="1:16" ht="15" x14ac:dyDescent="0.3">
      <c r="A62" s="112" t="s">
        <v>192</v>
      </c>
      <c r="B62" s="78"/>
      <c r="C62" s="77"/>
      <c r="D62" s="78"/>
      <c r="E62" s="77"/>
      <c r="F62" s="78"/>
      <c r="G62" s="78"/>
      <c r="H62" s="78"/>
      <c r="I62" s="110">
        <f>ROUND(I60+I61, -5)</f>
        <v>0</v>
      </c>
    </row>
    <row r="63" spans="1:16" ht="9" customHeight="1" x14ac:dyDescent="0.3"/>
    <row r="64" spans="1:16" ht="19" customHeight="1" x14ac:dyDescent="0.3">
      <c r="A64" s="445" t="s">
        <v>193</v>
      </c>
      <c r="B64" s="445"/>
      <c r="C64" s="445"/>
      <c r="D64" s="445"/>
      <c r="E64" s="445"/>
      <c r="F64" s="445"/>
      <c r="G64" s="445"/>
      <c r="H64" s="445"/>
      <c r="I64" s="445"/>
    </row>
    <row r="65" spans="1:9" ht="72" customHeight="1" x14ac:dyDescent="0.3">
      <c r="A65" s="446" t="s">
        <v>194</v>
      </c>
      <c r="B65" s="446"/>
      <c r="C65" s="446"/>
      <c r="D65" s="446"/>
      <c r="E65" s="446"/>
      <c r="F65" s="446"/>
      <c r="G65" s="446"/>
      <c r="H65" s="446"/>
      <c r="I65" s="446"/>
    </row>
    <row r="66" spans="1:9" ht="15.5" x14ac:dyDescent="0.3">
      <c r="A66" s="445" t="s">
        <v>195</v>
      </c>
      <c r="B66" s="445"/>
      <c r="C66" s="445"/>
      <c r="D66" s="445"/>
      <c r="E66" s="445"/>
      <c r="F66" s="445"/>
      <c r="G66" s="445"/>
      <c r="H66" s="445"/>
      <c r="I66" s="445"/>
    </row>
    <row r="67" spans="1:9" ht="18.75" customHeight="1" x14ac:dyDescent="0.3">
      <c r="A67" s="447" t="s">
        <v>196</v>
      </c>
      <c r="B67" s="447"/>
      <c r="C67" s="447"/>
      <c r="D67" s="447"/>
      <c r="E67" s="447"/>
      <c r="F67" s="447"/>
      <c r="G67" s="447"/>
      <c r="H67" s="447"/>
      <c r="I67" s="447"/>
    </row>
    <row r="68" spans="1:9" ht="15.5" x14ac:dyDescent="0.3">
      <c r="A68" s="448" t="s">
        <v>197</v>
      </c>
      <c r="B68" s="448"/>
      <c r="C68" s="448"/>
      <c r="D68" s="448"/>
      <c r="E68" s="448"/>
      <c r="F68" s="448"/>
      <c r="G68" s="448"/>
      <c r="H68" s="448"/>
      <c r="I68" s="448"/>
    </row>
    <row r="69" spans="1:9" ht="17.149999999999999" customHeight="1" x14ac:dyDescent="0.3">
      <c r="A69" s="440" t="s">
        <v>198</v>
      </c>
      <c r="B69" s="440"/>
      <c r="C69" s="440"/>
      <c r="D69" s="440"/>
      <c r="E69" s="440"/>
      <c r="F69" s="440"/>
      <c r="G69" s="440"/>
      <c r="H69" s="440"/>
      <c r="I69" s="440"/>
    </row>
    <row r="70" spans="1:9" ht="17.5" customHeight="1" x14ac:dyDescent="0.3">
      <c r="A70" s="440" t="s">
        <v>199</v>
      </c>
      <c r="B70" s="440"/>
      <c r="C70" s="440"/>
      <c r="D70" s="440"/>
      <c r="E70" s="440"/>
      <c r="F70" s="440"/>
      <c r="G70" s="440"/>
      <c r="H70" s="440"/>
      <c r="I70" s="440"/>
    </row>
    <row r="71" spans="1:9" ht="100.5" customHeight="1" x14ac:dyDescent="0.3">
      <c r="A71" s="440" t="s">
        <v>200</v>
      </c>
      <c r="B71" s="440"/>
      <c r="C71" s="440"/>
      <c r="D71" s="440"/>
      <c r="E71" s="440"/>
      <c r="F71" s="440"/>
      <c r="G71" s="440"/>
      <c r="H71" s="440"/>
      <c r="I71" s="440"/>
    </row>
  </sheetData>
  <mergeCells count="11">
    <mergeCell ref="A71:I71"/>
    <mergeCell ref="A3:H3"/>
    <mergeCell ref="A66:I66"/>
    <mergeCell ref="A67:I67"/>
    <mergeCell ref="A68:I68"/>
    <mergeCell ref="A69:I69"/>
    <mergeCell ref="K6:L6"/>
    <mergeCell ref="F60:H60"/>
    <mergeCell ref="A64:I64"/>
    <mergeCell ref="A65:I65"/>
    <mergeCell ref="A70:I70"/>
  </mergeCells>
  <pageMargins left="0.7" right="0.7" top="0.75" bottom="0.75" header="0.3" footer="0.3"/>
  <pageSetup scale="3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1AD72-549E-4829-9438-9F7B9BD8C150}">
  <dimension ref="A1:K23"/>
  <sheetViews>
    <sheetView zoomScale="80" zoomScaleNormal="80" workbookViewId="0">
      <selection activeCell="C31" sqref="C31"/>
    </sheetView>
  </sheetViews>
  <sheetFormatPr defaultColWidth="9.1796875" defaultRowHeight="13" x14ac:dyDescent="0.3"/>
  <cols>
    <col min="1" max="1" width="22.453125" style="241" customWidth="1"/>
    <col min="2" max="2" width="24.81640625" style="241" customWidth="1"/>
    <col min="3" max="5" width="12.1796875" style="241" customWidth="1"/>
    <col min="6" max="6" width="12.1796875" style="351" customWidth="1"/>
    <col min="7" max="7" width="12.1796875" style="333" customWidth="1"/>
    <col min="8" max="8" width="15.1796875" style="333" customWidth="1"/>
    <col min="9" max="16384" width="9.1796875" style="241"/>
  </cols>
  <sheetData>
    <row r="1" spans="1:11" ht="15" x14ac:dyDescent="0.3">
      <c r="A1" s="462" t="s">
        <v>94</v>
      </c>
      <c r="B1" s="462"/>
      <c r="C1" s="462"/>
      <c r="D1" s="462"/>
      <c r="E1" s="462"/>
      <c r="F1" s="462"/>
      <c r="G1" s="462"/>
      <c r="H1" s="462"/>
      <c r="I1" s="462"/>
    </row>
    <row r="2" spans="1:11" ht="15" x14ac:dyDescent="0.3">
      <c r="A2" s="423" t="s">
        <v>396</v>
      </c>
      <c r="B2" s="423"/>
      <c r="C2" s="423"/>
      <c r="D2" s="423"/>
      <c r="E2" s="423"/>
      <c r="F2" s="350"/>
      <c r="G2" s="332"/>
      <c r="H2" s="332"/>
      <c r="I2" s="423"/>
    </row>
    <row r="3" spans="1:11" ht="15" x14ac:dyDescent="0.3">
      <c r="A3" s="497" t="s">
        <v>426</v>
      </c>
      <c r="B3" s="497"/>
      <c r="C3" s="497"/>
      <c r="D3" s="497"/>
      <c r="E3" s="497"/>
      <c r="F3" s="497"/>
      <c r="G3" s="497"/>
    </row>
    <row r="4" spans="1:11" x14ac:dyDescent="0.3">
      <c r="A4" s="242"/>
      <c r="B4" s="243"/>
      <c r="C4" s="243"/>
      <c r="D4" s="243"/>
      <c r="E4" s="243"/>
      <c r="F4" s="243"/>
      <c r="G4" s="243"/>
    </row>
    <row r="5" spans="1:11" x14ac:dyDescent="0.3">
      <c r="B5" s="243" t="s">
        <v>220</v>
      </c>
      <c r="C5" s="243" t="s">
        <v>221</v>
      </c>
      <c r="D5" s="243" t="s">
        <v>222</v>
      </c>
      <c r="E5" s="243" t="s">
        <v>223</v>
      </c>
      <c r="F5" s="243" t="s">
        <v>224</v>
      </c>
      <c r="G5" s="243" t="s">
        <v>225</v>
      </c>
      <c r="H5" s="243" t="s">
        <v>226</v>
      </c>
    </row>
    <row r="6" spans="1:11" ht="54.5" x14ac:dyDescent="0.3">
      <c r="A6" s="329" t="s">
        <v>264</v>
      </c>
      <c r="B6" s="243" t="s">
        <v>265</v>
      </c>
      <c r="C6" s="243" t="s">
        <v>427</v>
      </c>
      <c r="D6" s="243" t="s">
        <v>428</v>
      </c>
      <c r="E6" s="243" t="s">
        <v>429</v>
      </c>
      <c r="F6" s="243" t="s">
        <v>269</v>
      </c>
      <c r="G6" s="243" t="s">
        <v>430</v>
      </c>
      <c r="H6" s="243" t="s">
        <v>431</v>
      </c>
    </row>
    <row r="7" spans="1:11" ht="38.5" customHeight="1" x14ac:dyDescent="0.3">
      <c r="A7" s="329" t="s">
        <v>89</v>
      </c>
      <c r="B7" s="76" t="s">
        <v>272</v>
      </c>
      <c r="C7" s="330">
        <v>0</v>
      </c>
      <c r="D7" s="329">
        <v>0</v>
      </c>
      <c r="E7" s="330">
        <f>C7*D7</f>
        <v>0</v>
      </c>
      <c r="F7" s="331">
        <v>697</v>
      </c>
      <c r="G7" s="347">
        <f>'SI-Y4'!$L$17</f>
        <v>85</v>
      </c>
      <c r="H7" s="331">
        <f t="shared" ref="H7:H13" si="0">F7*G7</f>
        <v>59245</v>
      </c>
    </row>
    <row r="8" spans="1:11" ht="16.5" customHeight="1" x14ac:dyDescent="0.3">
      <c r="A8" s="329" t="s">
        <v>89</v>
      </c>
      <c r="B8" s="329"/>
      <c r="C8" s="330">
        <v>0</v>
      </c>
      <c r="D8" s="329">
        <v>0</v>
      </c>
      <c r="E8" s="330">
        <f>C8*D8</f>
        <v>0</v>
      </c>
      <c r="F8" s="331"/>
      <c r="G8" s="348"/>
      <c r="H8" s="331">
        <f t="shared" si="0"/>
        <v>0</v>
      </c>
    </row>
    <row r="9" spans="1:11" ht="34.5" customHeight="1" x14ac:dyDescent="0.3">
      <c r="A9" s="329" t="s">
        <v>89</v>
      </c>
      <c r="B9" s="245" t="s">
        <v>437</v>
      </c>
      <c r="C9" s="330"/>
      <c r="D9" s="329"/>
      <c r="E9" s="330"/>
      <c r="F9" s="246">
        <f>ROUND(8*('SI-Y4'!$L$8),0)</f>
        <v>1021</v>
      </c>
      <c r="G9" s="347">
        <f>'SI-Y4'!$L$17</f>
        <v>85</v>
      </c>
      <c r="H9" s="331">
        <f t="shared" si="0"/>
        <v>86785</v>
      </c>
    </row>
    <row r="10" spans="1:11" ht="49" customHeight="1" x14ac:dyDescent="0.3">
      <c r="A10" s="329" t="s">
        <v>90</v>
      </c>
      <c r="B10" s="76" t="s">
        <v>272</v>
      </c>
      <c r="C10" s="330">
        <v>0</v>
      </c>
      <c r="D10" s="329">
        <v>0</v>
      </c>
      <c r="E10" s="330">
        <f>C10*D10</f>
        <v>0</v>
      </c>
      <c r="F10" s="331">
        <v>697</v>
      </c>
      <c r="G10" s="347">
        <f>'SI-Y4'!$L$17</f>
        <v>85</v>
      </c>
      <c r="H10" s="331">
        <f t="shared" si="0"/>
        <v>59245</v>
      </c>
    </row>
    <row r="11" spans="1:11" ht="17.5" customHeight="1" x14ac:dyDescent="0.3">
      <c r="A11" s="329" t="s">
        <v>90</v>
      </c>
      <c r="B11" s="329"/>
      <c r="C11" s="330">
        <v>0</v>
      </c>
      <c r="D11" s="329">
        <v>0</v>
      </c>
      <c r="E11" s="330">
        <f>C11*D11</f>
        <v>0</v>
      </c>
      <c r="F11" s="331"/>
      <c r="G11" s="348"/>
      <c r="H11" s="331">
        <f t="shared" si="0"/>
        <v>0</v>
      </c>
    </row>
    <row r="12" spans="1:11" ht="35.5" customHeight="1" x14ac:dyDescent="0.3">
      <c r="A12" s="329" t="s">
        <v>90</v>
      </c>
      <c r="B12" s="245" t="s">
        <v>437</v>
      </c>
      <c r="C12" s="330"/>
      <c r="D12" s="329"/>
      <c r="E12" s="330"/>
      <c r="F12" s="246">
        <f>ROUND(8*('SI-Y4'!$L$8),0)</f>
        <v>1021</v>
      </c>
      <c r="G12" s="347">
        <f>'SI-Y4'!$L$17</f>
        <v>85</v>
      </c>
      <c r="H12" s="331">
        <f t="shared" si="0"/>
        <v>86785</v>
      </c>
    </row>
    <row r="13" spans="1:11" ht="42.65" customHeight="1" x14ac:dyDescent="0.3">
      <c r="A13" s="329" t="s">
        <v>91</v>
      </c>
      <c r="B13" s="76" t="s">
        <v>272</v>
      </c>
      <c r="C13" s="330">
        <v>153700</v>
      </c>
      <c r="D13" s="329">
        <v>0</v>
      </c>
      <c r="E13" s="330">
        <f>C13*D13</f>
        <v>0</v>
      </c>
      <c r="F13" s="331">
        <v>697</v>
      </c>
      <c r="G13" s="347">
        <f>'SI-Y4'!$L$17</f>
        <v>85</v>
      </c>
      <c r="H13" s="331">
        <f t="shared" si="0"/>
        <v>59245</v>
      </c>
    </row>
    <row r="14" spans="1:11" ht="28.5" x14ac:dyDescent="0.3">
      <c r="A14" s="353" t="s">
        <v>91</v>
      </c>
      <c r="B14" s="245" t="s">
        <v>437</v>
      </c>
      <c r="C14" s="246">
        <v>0</v>
      </c>
      <c r="D14" s="243">
        <v>0</v>
      </c>
      <c r="E14" s="246">
        <f>C14*D14</f>
        <v>0</v>
      </c>
      <c r="F14" s="246">
        <f>ROUND(8*('SI-Y6'!$L$8),0)</f>
        <v>1021</v>
      </c>
      <c r="G14" s="347">
        <f>'SI-Y4'!$L$17</f>
        <v>85</v>
      </c>
      <c r="H14" s="246">
        <f>F14*G14</f>
        <v>86785</v>
      </c>
    </row>
    <row r="15" spans="1:11" x14ac:dyDescent="0.3">
      <c r="A15" s="353" t="s">
        <v>91</v>
      </c>
      <c r="B15" s="245" t="s">
        <v>434</v>
      </c>
      <c r="C15" s="246"/>
      <c r="D15" s="243">
        <v>0</v>
      </c>
      <c r="E15" s="246">
        <f>C15*D15</f>
        <v>0</v>
      </c>
      <c r="F15" s="246">
        <v>0</v>
      </c>
      <c r="G15" s="243">
        <v>0</v>
      </c>
      <c r="H15" s="246">
        <f>F15*G15</f>
        <v>0</v>
      </c>
      <c r="K15" s="247"/>
    </row>
    <row r="16" spans="1:11" x14ac:dyDescent="0.3">
      <c r="A16" s="353" t="s">
        <v>91</v>
      </c>
      <c r="B16" s="245" t="s">
        <v>435</v>
      </c>
      <c r="C16" s="246"/>
      <c r="D16" s="243">
        <v>0</v>
      </c>
      <c r="E16" s="246">
        <f>C16*D16</f>
        <v>0</v>
      </c>
      <c r="F16" s="246">
        <v>0</v>
      </c>
      <c r="G16" s="243">
        <v>0</v>
      </c>
      <c r="H16" s="246">
        <f>F16*G16</f>
        <v>0</v>
      </c>
    </row>
    <row r="17" spans="1:8" x14ac:dyDescent="0.3">
      <c r="A17" s="353" t="s">
        <v>91</v>
      </c>
      <c r="B17" s="245"/>
      <c r="C17" s="246"/>
      <c r="D17" s="243"/>
      <c r="E17" s="246"/>
      <c r="F17" s="246"/>
      <c r="G17" s="243"/>
      <c r="H17" s="246"/>
    </row>
    <row r="18" spans="1:8" ht="15.5" x14ac:dyDescent="0.3">
      <c r="A18" s="353"/>
      <c r="B18" s="245" t="s">
        <v>438</v>
      </c>
      <c r="C18" s="245"/>
      <c r="D18" s="245"/>
      <c r="E18" s="246">
        <f>SUM(E15:E17)</f>
        <v>0</v>
      </c>
      <c r="F18" s="243"/>
      <c r="G18" s="243"/>
      <c r="H18" s="246">
        <f>ROUND(SUM(H7:H17),-2)</f>
        <v>438100</v>
      </c>
    </row>
    <row r="19" spans="1:8" ht="15.5" x14ac:dyDescent="0.3">
      <c r="A19" s="249" t="s">
        <v>439</v>
      </c>
    </row>
    <row r="20" spans="1:8" s="334" customFormat="1" ht="14.5" x14ac:dyDescent="0.35">
      <c r="A20" s="187" t="s">
        <v>278</v>
      </c>
      <c r="F20" s="352"/>
      <c r="G20" s="349"/>
    </row>
    <row r="21" spans="1:8" s="334" customFormat="1" ht="14.5" x14ac:dyDescent="0.35">
      <c r="A21" s="187" t="s">
        <v>279</v>
      </c>
      <c r="F21" s="352"/>
      <c r="G21" s="349"/>
    </row>
    <row r="22" spans="1:8" ht="53.5" customHeight="1" x14ac:dyDescent="0.3">
      <c r="A22" s="498" t="s">
        <v>440</v>
      </c>
      <c r="B22" s="499"/>
      <c r="C22" s="499"/>
      <c r="D22" s="499"/>
      <c r="E22" s="499"/>
      <c r="F22" s="499"/>
      <c r="G22" s="499"/>
    </row>
    <row r="23" spans="1:8" ht="15.5" x14ac:dyDescent="0.3">
      <c r="A23" s="250" t="s">
        <v>441</v>
      </c>
    </row>
  </sheetData>
  <mergeCells count="3">
    <mergeCell ref="A1:I1"/>
    <mergeCell ref="A3:G3"/>
    <mergeCell ref="A22:G22"/>
  </mergeCells>
  <phoneticPr fontId="50" type="noConversion"/>
  <pageMargins left="0.7" right="0.7" top="0.75" bottom="0.75" header="0.3" footer="0.3"/>
  <pageSetup orientation="portrait" horizontalDpi="0"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CBC3-6EAB-4E1C-BA6B-94765F30136C}">
  <sheetPr codeName="Sheet25">
    <pageSetUpPr fitToPage="1"/>
  </sheetPr>
  <dimension ref="A1:P59"/>
  <sheetViews>
    <sheetView zoomScale="80" zoomScaleNormal="80" workbookViewId="0">
      <pane xSplit="13" ySplit="5" topLeftCell="N6" activePane="bottomRight" state="frozen"/>
      <selection pane="topRight" activeCell="A73" sqref="A73"/>
      <selection pane="bottomLeft" activeCell="A73" sqref="A73"/>
      <selection pane="bottomRight" activeCell="I52" sqref="I52"/>
    </sheetView>
  </sheetViews>
  <sheetFormatPr defaultColWidth="9.1796875" defaultRowHeight="13" x14ac:dyDescent="0.3"/>
  <cols>
    <col min="1" max="1" width="23.7265625" style="150" customWidth="1"/>
    <col min="2" max="2" width="10.1796875" style="150" customWidth="1"/>
    <col min="3" max="3" width="12" style="223" customWidth="1"/>
    <col min="4" max="4" width="11.1796875" style="150" customWidth="1"/>
    <col min="5" max="5" width="11.7265625" style="223" customWidth="1"/>
    <col min="6" max="6" width="10.453125" style="150" customWidth="1"/>
    <col min="7" max="7" width="11.54296875" style="150" customWidth="1"/>
    <col min="8" max="8" width="11.453125" style="150" customWidth="1"/>
    <col min="9" max="9" width="12.1796875" style="150" customWidth="1"/>
    <col min="10" max="10" width="7.1796875" style="150" customWidth="1"/>
    <col min="11" max="11" width="28.453125" style="150" customWidth="1"/>
    <col min="12" max="12" width="14.453125" style="150" customWidth="1"/>
    <col min="13" max="13" width="27.54296875" style="150" customWidth="1"/>
    <col min="14" max="14" width="6.81640625" style="150" customWidth="1"/>
    <col min="15" max="15" width="14.1796875" style="150" customWidth="1"/>
    <col min="16" max="16384" width="9.1796875" style="150"/>
  </cols>
  <sheetData>
    <row r="1" spans="1:15" s="188" customFormat="1" ht="30.65" customHeight="1" x14ac:dyDescent="0.3">
      <c r="A1" s="462" t="s">
        <v>481</v>
      </c>
      <c r="B1" s="462"/>
      <c r="C1" s="462"/>
      <c r="D1" s="462"/>
      <c r="E1" s="462"/>
      <c r="F1" s="462"/>
      <c r="G1" s="462"/>
      <c r="H1" s="462"/>
      <c r="I1" s="462"/>
    </row>
    <row r="2" spans="1:15" s="188" customFormat="1" ht="15" x14ac:dyDescent="0.3">
      <c r="A2" s="423" t="s">
        <v>482</v>
      </c>
      <c r="B2" s="423"/>
      <c r="C2" s="423"/>
      <c r="D2" s="423"/>
      <c r="E2" s="423"/>
      <c r="F2" s="423"/>
      <c r="G2" s="423"/>
      <c r="H2" s="423"/>
      <c r="I2" s="423"/>
    </row>
    <row r="3" spans="1:15" s="188" customFormat="1" ht="33" customHeight="1" x14ac:dyDescent="0.3">
      <c r="A3" s="462" t="s">
        <v>443</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9" customHeight="1" x14ac:dyDescent="0.3">
      <c r="A7" s="182" t="s">
        <v>124</v>
      </c>
      <c r="B7" s="190" t="s">
        <v>122</v>
      </c>
      <c r="C7" s="192"/>
      <c r="D7" s="193"/>
      <c r="E7" s="192"/>
      <c r="F7" s="193"/>
      <c r="G7" s="193"/>
      <c r="H7" s="193"/>
      <c r="I7" s="193"/>
      <c r="K7" s="194" t="s">
        <v>125</v>
      </c>
      <c r="L7" s="195">
        <f>76.96*2.1</f>
        <v>161.61599999999999</v>
      </c>
      <c r="M7" s="196" t="s">
        <v>126</v>
      </c>
      <c r="O7" s="150">
        <f t="shared" ref="O7:O48" si="0">C7*E7</f>
        <v>0</v>
      </c>
    </row>
    <row r="8" spans="1:15" ht="52" customHeight="1" x14ac:dyDescent="0.3">
      <c r="A8" s="182" t="s">
        <v>127</v>
      </c>
      <c r="B8" s="190">
        <v>0</v>
      </c>
      <c r="C8" s="115">
        <v>0</v>
      </c>
      <c r="D8" s="190">
        <f>B8*C8</f>
        <v>0</v>
      </c>
      <c r="E8" s="115">
        <f>L13</f>
        <v>0</v>
      </c>
      <c r="F8" s="190">
        <f>D8*E8</f>
        <v>0</v>
      </c>
      <c r="G8" s="190">
        <f>F8*0.05</f>
        <v>0</v>
      </c>
      <c r="H8" s="190">
        <f>F8*0.1</f>
        <v>0</v>
      </c>
      <c r="I8" s="197">
        <f>F8*$L$8+G8*$L$7+H8*$L$9</f>
        <v>0</v>
      </c>
      <c r="K8" s="194" t="s">
        <v>128</v>
      </c>
      <c r="L8" s="195">
        <f>60.8*2.1</f>
        <v>127.67999999999999</v>
      </c>
      <c r="M8" s="198"/>
      <c r="O8" s="150">
        <f t="shared" si="0"/>
        <v>0</v>
      </c>
    </row>
    <row r="9" spans="1:15" ht="25" customHeight="1" x14ac:dyDescent="0.3">
      <c r="A9" s="182" t="s">
        <v>129</v>
      </c>
      <c r="B9" s="190"/>
      <c r="C9" s="115"/>
      <c r="D9" s="190"/>
      <c r="E9" s="115"/>
      <c r="F9" s="190"/>
      <c r="G9" s="190"/>
      <c r="H9" s="190"/>
      <c r="I9" s="193"/>
      <c r="K9" s="194" t="s">
        <v>130</v>
      </c>
      <c r="L9" s="195">
        <f>30.58*2.1</f>
        <v>64.218000000000004</v>
      </c>
      <c r="M9" s="198"/>
      <c r="O9" s="150">
        <f t="shared" si="0"/>
        <v>0</v>
      </c>
    </row>
    <row r="10" spans="1:15" ht="58" customHeight="1" x14ac:dyDescent="0.3">
      <c r="A10" s="76" t="s">
        <v>131</v>
      </c>
      <c r="B10" s="73">
        <v>156</v>
      </c>
      <c r="C10" s="74">
        <v>1</v>
      </c>
      <c r="D10" s="73">
        <f>B10*C10</f>
        <v>156</v>
      </c>
      <c r="E10" s="115">
        <f>L15*0.01</f>
        <v>2.08</v>
      </c>
      <c r="F10" s="190">
        <f>D10*E10</f>
        <v>324.48</v>
      </c>
      <c r="G10" s="190">
        <f>F10*0.05</f>
        <v>16.224</v>
      </c>
      <c r="H10" s="190">
        <f>F10*0.1</f>
        <v>32.448</v>
      </c>
      <c r="I10" s="262">
        <f>F10*$L$8+G10*$L$7+H10*$L$9</f>
        <v>46135.410047999998</v>
      </c>
      <c r="K10" s="285"/>
      <c r="L10" s="311"/>
      <c r="M10" s="198"/>
    </row>
    <row r="11" spans="1:15" ht="26" x14ac:dyDescent="0.3">
      <c r="A11" s="301" t="s">
        <v>132</v>
      </c>
      <c r="B11" s="190">
        <v>10</v>
      </c>
      <c r="C11" s="115">
        <v>1</v>
      </c>
      <c r="D11" s="190">
        <f>B11*C11</f>
        <v>10</v>
      </c>
      <c r="E11" s="115">
        <f>L15</f>
        <v>208</v>
      </c>
      <c r="F11" s="190">
        <f>D11*E11</f>
        <v>2080</v>
      </c>
      <c r="G11" s="190">
        <f>F11*0.05</f>
        <v>104</v>
      </c>
      <c r="H11" s="190">
        <f>F11*0.1</f>
        <v>208</v>
      </c>
      <c r="I11" s="262">
        <f>F11*$L$8+G11*$L$7+H11*$L$9</f>
        <v>295739.80799999996</v>
      </c>
      <c r="K11" s="420"/>
      <c r="O11" s="150">
        <f t="shared" si="0"/>
        <v>208</v>
      </c>
    </row>
    <row r="12" spans="1:15" ht="15.75" customHeight="1" x14ac:dyDescent="0.3">
      <c r="A12" s="301" t="s">
        <v>133</v>
      </c>
      <c r="B12" s="190"/>
      <c r="C12" s="115"/>
      <c r="D12" s="190"/>
      <c r="E12" s="115"/>
      <c r="F12" s="190"/>
      <c r="G12" s="190"/>
      <c r="H12" s="190"/>
      <c r="I12" s="199"/>
      <c r="K12" s="200"/>
      <c r="L12" s="200" t="s">
        <v>355</v>
      </c>
      <c r="O12" s="150">
        <f t="shared" si="0"/>
        <v>0</v>
      </c>
    </row>
    <row r="13" spans="1:15" ht="15.5" x14ac:dyDescent="0.3">
      <c r="A13" s="306" t="s">
        <v>290</v>
      </c>
      <c r="B13" s="190"/>
      <c r="C13" s="115"/>
      <c r="D13" s="190"/>
      <c r="E13" s="201"/>
      <c r="F13" s="202"/>
      <c r="G13" s="190"/>
      <c r="H13" s="190"/>
      <c r="I13" s="199"/>
      <c r="K13" s="200"/>
      <c r="L13" s="200">
        <v>0</v>
      </c>
      <c r="O13" s="150">
        <f t="shared" si="0"/>
        <v>0</v>
      </c>
    </row>
    <row r="14" spans="1:15" ht="24" customHeight="1" x14ac:dyDescent="0.3">
      <c r="A14" s="116" t="s">
        <v>483</v>
      </c>
      <c r="B14" s="190">
        <v>0</v>
      </c>
      <c r="C14" s="115">
        <v>0</v>
      </c>
      <c r="D14" s="190">
        <f>B14*C14</f>
        <v>0</v>
      </c>
      <c r="E14" s="201">
        <v>0</v>
      </c>
      <c r="F14" s="202">
        <f>D14*E14</f>
        <v>0</v>
      </c>
      <c r="G14" s="190">
        <f>F14*0.05</f>
        <v>0</v>
      </c>
      <c r="H14" s="190">
        <f>F14*0.1</f>
        <v>0</v>
      </c>
      <c r="I14" s="199">
        <f>F14*$L$8+G14*$L$7+H14*$L$9</f>
        <v>0</v>
      </c>
      <c r="K14" s="200" t="s">
        <v>136</v>
      </c>
      <c r="L14" s="200">
        <f>L13+L15*0.07</f>
        <v>14.560000000000002</v>
      </c>
      <c r="M14" s="264" t="s">
        <v>294</v>
      </c>
      <c r="O14" s="150">
        <f t="shared" si="0"/>
        <v>0</v>
      </c>
    </row>
    <row r="15" spans="1:15" ht="18" customHeight="1" x14ac:dyDescent="0.3">
      <c r="A15" s="116" t="s">
        <v>293</v>
      </c>
      <c r="B15" s="190">
        <v>0</v>
      </c>
      <c r="C15" s="115">
        <v>0</v>
      </c>
      <c r="D15" s="190">
        <f t="shared" ref="D15" si="1">B15*C15</f>
        <v>0</v>
      </c>
      <c r="E15" s="201">
        <f>E14*0.05</f>
        <v>0</v>
      </c>
      <c r="F15" s="202">
        <f t="shared" ref="F15:F20" si="2">D15*E15</f>
        <v>0</v>
      </c>
      <c r="G15" s="190">
        <f t="shared" ref="G15:G20" si="3">F15*0.05</f>
        <v>0</v>
      </c>
      <c r="H15" s="190">
        <f t="shared" ref="H15:H20" si="4">F15*0.1</f>
        <v>0</v>
      </c>
      <c r="I15" s="199">
        <f t="shared" ref="I15:I20" si="5">F15*$L$8+G15*$L$7+H15*$L$9</f>
        <v>0</v>
      </c>
      <c r="J15" s="420"/>
      <c r="K15" s="200" t="s">
        <v>141</v>
      </c>
      <c r="L15" s="200">
        <v>208</v>
      </c>
      <c r="O15" s="150">
        <f t="shared" si="0"/>
        <v>0</v>
      </c>
    </row>
    <row r="16" spans="1:15" ht="28.5" x14ac:dyDescent="0.3">
      <c r="A16" s="306" t="s">
        <v>297</v>
      </c>
      <c r="B16" s="190"/>
      <c r="C16" s="115"/>
      <c r="D16" s="190"/>
      <c r="E16" s="115"/>
      <c r="F16" s="202"/>
      <c r="G16" s="190"/>
      <c r="H16" s="190"/>
      <c r="I16" s="199"/>
      <c r="K16" s="420" t="s">
        <v>448</v>
      </c>
      <c r="L16" s="420">
        <f>104-26</f>
        <v>78</v>
      </c>
      <c r="M16" s="420"/>
      <c r="O16" s="150">
        <f t="shared" si="0"/>
        <v>0</v>
      </c>
    </row>
    <row r="17" spans="1:15" ht="26" x14ac:dyDescent="0.3">
      <c r="A17" s="301" t="s">
        <v>483</v>
      </c>
      <c r="B17" s="190">
        <v>0</v>
      </c>
      <c r="C17" s="115">
        <v>0</v>
      </c>
      <c r="D17" s="190">
        <f>B17*C17</f>
        <v>0</v>
      </c>
      <c r="E17" s="201">
        <v>0</v>
      </c>
      <c r="F17" s="202">
        <f t="shared" si="2"/>
        <v>0</v>
      </c>
      <c r="G17" s="190">
        <f t="shared" si="3"/>
        <v>0</v>
      </c>
      <c r="H17" s="190">
        <f t="shared" si="4"/>
        <v>0</v>
      </c>
      <c r="I17" s="199">
        <f t="shared" si="5"/>
        <v>0</v>
      </c>
      <c r="J17" s="203"/>
      <c r="K17" s="420" t="s">
        <v>450</v>
      </c>
      <c r="L17" s="150">
        <v>26</v>
      </c>
      <c r="N17" s="420"/>
      <c r="O17" s="150">
        <f t="shared" si="0"/>
        <v>0</v>
      </c>
    </row>
    <row r="18" spans="1:15" ht="43" customHeight="1" x14ac:dyDescent="0.3">
      <c r="A18" s="301" t="s">
        <v>300</v>
      </c>
      <c r="B18" s="190">
        <v>0</v>
      </c>
      <c r="C18" s="115">
        <v>0</v>
      </c>
      <c r="D18" s="190">
        <f t="shared" ref="D18" si="6">B18*C18</f>
        <v>0</v>
      </c>
      <c r="E18" s="201">
        <f>E17*0.05</f>
        <v>0</v>
      </c>
      <c r="F18" s="202">
        <f t="shared" si="2"/>
        <v>0</v>
      </c>
      <c r="G18" s="190">
        <f t="shared" si="3"/>
        <v>0</v>
      </c>
      <c r="H18" s="190">
        <f t="shared" si="4"/>
        <v>0</v>
      </c>
      <c r="I18" s="199">
        <f t="shared" si="5"/>
        <v>0</v>
      </c>
      <c r="J18" s="203"/>
      <c r="K18" s="420" t="s">
        <v>484</v>
      </c>
      <c r="L18" s="150">
        <f>0.5*L15</f>
        <v>104</v>
      </c>
      <c r="O18" s="150">
        <f t="shared" si="0"/>
        <v>0</v>
      </c>
    </row>
    <row r="19" spans="1:15" ht="28.5" x14ac:dyDescent="0.3">
      <c r="A19" s="306" t="s">
        <v>151</v>
      </c>
      <c r="B19" s="204"/>
      <c r="C19" s="205"/>
      <c r="D19" s="204"/>
      <c r="E19" s="206"/>
      <c r="F19" s="202"/>
      <c r="G19" s="190"/>
      <c r="H19" s="190"/>
      <c r="I19" s="199"/>
      <c r="O19" s="150">
        <f t="shared" si="0"/>
        <v>0</v>
      </c>
    </row>
    <row r="20" spans="1:15" ht="26" x14ac:dyDescent="0.3">
      <c r="A20" s="301" t="s">
        <v>485</v>
      </c>
      <c r="B20" s="190">
        <v>0</v>
      </c>
      <c r="C20" s="115">
        <v>0</v>
      </c>
      <c r="D20" s="190">
        <f>B20*C20</f>
        <v>0</v>
      </c>
      <c r="E20" s="201">
        <v>0</v>
      </c>
      <c r="F20" s="202">
        <f t="shared" si="2"/>
        <v>0</v>
      </c>
      <c r="G20" s="190">
        <f t="shared" si="3"/>
        <v>0</v>
      </c>
      <c r="H20" s="190">
        <f t="shared" si="4"/>
        <v>0</v>
      </c>
      <c r="I20" s="199">
        <f t="shared" si="5"/>
        <v>0</v>
      </c>
      <c r="N20" s="203"/>
      <c r="O20" s="150">
        <f t="shared" si="0"/>
        <v>0</v>
      </c>
    </row>
    <row r="21" spans="1:15" ht="26" x14ac:dyDescent="0.3">
      <c r="A21" s="301" t="s">
        <v>155</v>
      </c>
      <c r="B21" s="190"/>
      <c r="C21" s="192"/>
      <c r="D21" s="193"/>
      <c r="E21" s="207"/>
      <c r="F21" s="193"/>
      <c r="G21" s="193"/>
      <c r="H21" s="193"/>
      <c r="I21" s="193"/>
      <c r="N21" s="203"/>
      <c r="O21" s="150">
        <f t="shared" si="0"/>
        <v>0</v>
      </c>
    </row>
    <row r="22" spans="1:15" ht="26" x14ac:dyDescent="0.3">
      <c r="A22" s="301" t="s">
        <v>156</v>
      </c>
      <c r="B22" s="190"/>
      <c r="C22" s="192"/>
      <c r="D22" s="193"/>
      <c r="E22" s="207"/>
      <c r="F22" s="193"/>
      <c r="G22" s="193"/>
      <c r="H22" s="193"/>
      <c r="I22" s="193"/>
      <c r="N22" s="203"/>
      <c r="O22" s="150">
        <f t="shared" si="0"/>
        <v>0</v>
      </c>
    </row>
    <row r="23" spans="1:15" x14ac:dyDescent="0.3">
      <c r="A23" s="301" t="s">
        <v>157</v>
      </c>
      <c r="B23" s="193"/>
      <c r="C23" s="192"/>
      <c r="D23" s="193"/>
      <c r="E23" s="207"/>
      <c r="F23" s="193"/>
      <c r="G23" s="193"/>
      <c r="H23" s="193"/>
      <c r="I23" s="193"/>
      <c r="O23" s="150">
        <f t="shared" si="0"/>
        <v>0</v>
      </c>
    </row>
    <row r="24" spans="1:15" x14ac:dyDescent="0.3">
      <c r="A24" s="307" t="s">
        <v>158</v>
      </c>
      <c r="B24" s="190"/>
      <c r="C24" s="115"/>
      <c r="D24" s="190"/>
      <c r="E24" s="201"/>
      <c r="F24" s="190"/>
      <c r="G24" s="190"/>
      <c r="H24" s="190"/>
      <c r="I24" s="199"/>
      <c r="O24" s="150">
        <f t="shared" si="0"/>
        <v>0</v>
      </c>
    </row>
    <row r="25" spans="1:15" ht="26" x14ac:dyDescent="0.3">
      <c r="A25" s="301" t="s">
        <v>409</v>
      </c>
      <c r="B25" s="190">
        <v>0</v>
      </c>
      <c r="C25" s="115">
        <v>0</v>
      </c>
      <c r="D25" s="190">
        <v>2</v>
      </c>
      <c r="E25" s="201">
        <v>0</v>
      </c>
      <c r="F25" s="190">
        <f t="shared" ref="F25:F28" si="7">D25*E25</f>
        <v>0</v>
      </c>
      <c r="G25" s="190">
        <f t="shared" ref="G25:G28" si="8">F25*0.05</f>
        <v>0</v>
      </c>
      <c r="H25" s="190">
        <f t="shared" ref="H25:H28" si="9">F25*0.1</f>
        <v>0</v>
      </c>
      <c r="I25" s="199">
        <f>F25*$L$8+G25*$L$7+H25*$L$9</f>
        <v>0</v>
      </c>
      <c r="O25" s="150">
        <f t="shared" si="0"/>
        <v>0</v>
      </c>
    </row>
    <row r="26" spans="1:15" ht="28.5" customHeight="1" x14ac:dyDescent="0.3">
      <c r="A26" s="301" t="s">
        <v>160</v>
      </c>
      <c r="B26" s="190">
        <v>0</v>
      </c>
      <c r="C26" s="115">
        <v>0</v>
      </c>
      <c r="D26" s="190">
        <v>2</v>
      </c>
      <c r="E26" s="201">
        <v>0</v>
      </c>
      <c r="F26" s="190">
        <f t="shared" si="7"/>
        <v>0</v>
      </c>
      <c r="G26" s="190">
        <f t="shared" si="8"/>
        <v>0</v>
      </c>
      <c r="H26" s="190">
        <f t="shared" si="9"/>
        <v>0</v>
      </c>
      <c r="I26" s="199">
        <f>F26*$L$8+G26*$L$7+H26*$L$9</f>
        <v>0</v>
      </c>
      <c r="O26" s="150">
        <f t="shared" si="0"/>
        <v>0</v>
      </c>
    </row>
    <row r="27" spans="1:15" x14ac:dyDescent="0.3">
      <c r="A27" s="301" t="s">
        <v>453</v>
      </c>
      <c r="B27" s="190">
        <v>0</v>
      </c>
      <c r="C27" s="115">
        <v>0</v>
      </c>
      <c r="D27" s="190">
        <v>2</v>
      </c>
      <c r="E27" s="201">
        <v>0</v>
      </c>
      <c r="F27" s="190">
        <f t="shared" si="7"/>
        <v>0</v>
      </c>
      <c r="G27" s="190">
        <f t="shared" si="8"/>
        <v>0</v>
      </c>
      <c r="H27" s="190">
        <f t="shared" si="9"/>
        <v>0</v>
      </c>
      <c r="I27" s="199">
        <f>F27*$L$8+G27*$L$7+H27*$L$9</f>
        <v>0</v>
      </c>
      <c r="O27" s="150">
        <f t="shared" si="0"/>
        <v>0</v>
      </c>
    </row>
    <row r="28" spans="1:15" ht="91" x14ac:dyDescent="0.3">
      <c r="A28" s="301" t="s">
        <v>486</v>
      </c>
      <c r="B28" s="190">
        <v>0</v>
      </c>
      <c r="C28" s="115">
        <v>0</v>
      </c>
      <c r="D28" s="190">
        <v>48</v>
      </c>
      <c r="E28" s="201">
        <v>0</v>
      </c>
      <c r="F28" s="190">
        <f t="shared" si="7"/>
        <v>0</v>
      </c>
      <c r="G28" s="190">
        <f t="shared" si="8"/>
        <v>0</v>
      </c>
      <c r="H28" s="190">
        <f t="shared" si="9"/>
        <v>0</v>
      </c>
      <c r="I28" s="197">
        <f>F28*$L$8+G28*$L$7+H28*$L$9</f>
        <v>0</v>
      </c>
      <c r="O28" s="150">
        <f t="shared" si="0"/>
        <v>0</v>
      </c>
    </row>
    <row r="29" spans="1:15" x14ac:dyDescent="0.3">
      <c r="A29" s="307" t="s">
        <v>163</v>
      </c>
      <c r="B29" s="193"/>
      <c r="C29" s="192"/>
      <c r="D29" s="193"/>
      <c r="E29" s="207"/>
      <c r="F29" s="193"/>
      <c r="G29" s="193"/>
      <c r="H29" s="193"/>
      <c r="I29" s="193"/>
      <c r="O29" s="150">
        <f t="shared" si="0"/>
        <v>0</v>
      </c>
    </row>
    <row r="30" spans="1:15" ht="26" x14ac:dyDescent="0.3">
      <c r="A30" s="301" t="s">
        <v>409</v>
      </c>
      <c r="B30" s="190">
        <v>0</v>
      </c>
      <c r="C30" s="115">
        <v>0</v>
      </c>
      <c r="D30" s="190">
        <v>2</v>
      </c>
      <c r="E30" s="201">
        <v>0</v>
      </c>
      <c r="F30" s="190">
        <f>D30*E30</f>
        <v>0</v>
      </c>
      <c r="G30" s="190">
        <f>F30*0.05</f>
        <v>0</v>
      </c>
      <c r="H30" s="190">
        <f>F30*0.1</f>
        <v>0</v>
      </c>
      <c r="I30" s="199">
        <f>F30*$L$8+G30*$L$7+H30*$L$9</f>
        <v>0</v>
      </c>
      <c r="O30" s="150">
        <f t="shared" si="0"/>
        <v>0</v>
      </c>
    </row>
    <row r="31" spans="1:15" ht="26" x14ac:dyDescent="0.3">
      <c r="A31" s="301" t="s">
        <v>160</v>
      </c>
      <c r="B31" s="190">
        <v>0</v>
      </c>
      <c r="C31" s="115">
        <v>0</v>
      </c>
      <c r="D31" s="190">
        <v>2</v>
      </c>
      <c r="E31" s="201">
        <v>0</v>
      </c>
      <c r="F31" s="190">
        <f>D31*E31</f>
        <v>0</v>
      </c>
      <c r="G31" s="190">
        <f>F31*0.05</f>
        <v>0</v>
      </c>
      <c r="H31" s="190">
        <f>F31*0.1</f>
        <v>0</v>
      </c>
      <c r="I31" s="199">
        <f>F31*$L$8+G31*$L$7+H31*$L$9</f>
        <v>0</v>
      </c>
      <c r="O31" s="150">
        <f t="shared" si="0"/>
        <v>0</v>
      </c>
    </row>
    <row r="32" spans="1:15" ht="26" x14ac:dyDescent="0.3">
      <c r="A32" s="301" t="s">
        <v>455</v>
      </c>
      <c r="B32" s="190">
        <v>0</v>
      </c>
      <c r="C32" s="115">
        <v>0</v>
      </c>
      <c r="D32" s="190">
        <v>2</v>
      </c>
      <c r="E32" s="201">
        <v>0</v>
      </c>
      <c r="F32" s="190">
        <f>D32*E32</f>
        <v>0</v>
      </c>
      <c r="G32" s="190">
        <f>F32*0.05</f>
        <v>0</v>
      </c>
      <c r="H32" s="190">
        <f>F32*0.1</f>
        <v>0</v>
      </c>
      <c r="I32" s="199">
        <f>F32*$L$8+G32*$L$7+H32*$L$9</f>
        <v>0</v>
      </c>
      <c r="O32" s="150">
        <f t="shared" si="0"/>
        <v>0</v>
      </c>
    </row>
    <row r="33" spans="1:15" ht="91" x14ac:dyDescent="0.3">
      <c r="A33" s="301" t="s">
        <v>487</v>
      </c>
      <c r="B33" s="190">
        <v>0</v>
      </c>
      <c r="C33" s="115">
        <v>0</v>
      </c>
      <c r="D33" s="190">
        <f t="shared" ref="D33" si="10">B33*C33</f>
        <v>0</v>
      </c>
      <c r="E33" s="201">
        <v>0</v>
      </c>
      <c r="F33" s="190">
        <f t="shared" ref="F33" si="11">D33*E33</f>
        <v>0</v>
      </c>
      <c r="G33" s="190">
        <f t="shared" ref="G33" si="12">F33*0.05</f>
        <v>0</v>
      </c>
      <c r="H33" s="190">
        <f t="shared" ref="H33" si="13">F33*0.1</f>
        <v>0</v>
      </c>
      <c r="I33" s="199">
        <f>F33*$L$8+G33*$L$7+H33*$L$9</f>
        <v>0</v>
      </c>
      <c r="O33" s="150">
        <f t="shared" si="0"/>
        <v>0</v>
      </c>
    </row>
    <row r="34" spans="1:15" ht="28" customHeight="1" x14ac:dyDescent="0.3">
      <c r="A34" s="208" t="s">
        <v>167</v>
      </c>
      <c r="B34" s="209"/>
      <c r="C34" s="210"/>
      <c r="D34" s="209"/>
      <c r="E34" s="211"/>
      <c r="F34" s="212">
        <f>SUM(F8:H33)</f>
        <v>2765.152</v>
      </c>
      <c r="G34" s="212"/>
      <c r="H34" s="212"/>
      <c r="I34" s="213">
        <f>SUM(I8:I33)</f>
        <v>341875.21804799995</v>
      </c>
      <c r="O34" s="150">
        <f t="shared" si="0"/>
        <v>0</v>
      </c>
    </row>
    <row r="35" spans="1:15" ht="26" x14ac:dyDescent="0.3">
      <c r="A35" s="182" t="s">
        <v>168</v>
      </c>
      <c r="B35" s="193"/>
      <c r="C35" s="192"/>
      <c r="D35" s="193"/>
      <c r="E35" s="207"/>
      <c r="F35" s="193"/>
      <c r="G35" s="193"/>
      <c r="H35" s="193"/>
      <c r="I35" s="193"/>
      <c r="O35" s="150">
        <f t="shared" si="0"/>
        <v>0</v>
      </c>
    </row>
    <row r="36" spans="1:15" ht="26" x14ac:dyDescent="0.3">
      <c r="A36" s="301" t="s">
        <v>132</v>
      </c>
      <c r="B36" s="190"/>
      <c r="C36" s="192"/>
      <c r="D36" s="193"/>
      <c r="E36" s="192"/>
      <c r="F36" s="193"/>
      <c r="G36" s="193"/>
      <c r="H36" s="193"/>
      <c r="I36" s="193"/>
      <c r="O36" s="150">
        <f t="shared" si="0"/>
        <v>0</v>
      </c>
    </row>
    <row r="37" spans="1:15" x14ac:dyDescent="0.3">
      <c r="A37" s="301" t="s">
        <v>169</v>
      </c>
      <c r="B37" s="190"/>
      <c r="C37" s="192"/>
      <c r="D37" s="193"/>
      <c r="E37" s="192"/>
      <c r="F37" s="193"/>
      <c r="G37" s="193"/>
      <c r="H37" s="193"/>
      <c r="I37" s="193"/>
      <c r="O37" s="150">
        <f t="shared" si="0"/>
        <v>0</v>
      </c>
    </row>
    <row r="38" spans="1:15" x14ac:dyDescent="0.3">
      <c r="A38" s="301" t="s">
        <v>170</v>
      </c>
      <c r="B38" s="190"/>
      <c r="C38" s="192"/>
      <c r="D38" s="193"/>
      <c r="E38" s="192"/>
      <c r="F38" s="193"/>
      <c r="G38" s="193"/>
      <c r="H38" s="193"/>
      <c r="I38" s="193"/>
      <c r="O38" s="150">
        <f t="shared" si="0"/>
        <v>0</v>
      </c>
    </row>
    <row r="39" spans="1:15" x14ac:dyDescent="0.3">
      <c r="A39" s="301" t="s">
        <v>171</v>
      </c>
      <c r="B39" s="190" t="s">
        <v>122</v>
      </c>
      <c r="C39" s="192"/>
      <c r="D39" s="193"/>
      <c r="E39" s="192"/>
      <c r="F39" s="193"/>
      <c r="G39" s="193"/>
      <c r="H39" s="193"/>
      <c r="I39" s="193"/>
      <c r="O39" s="150">
        <f t="shared" si="0"/>
        <v>0</v>
      </c>
    </row>
    <row r="40" spans="1:15" ht="26" x14ac:dyDescent="0.3">
      <c r="A40" s="301" t="s">
        <v>172</v>
      </c>
      <c r="B40" s="193"/>
      <c r="C40" s="192"/>
      <c r="D40" s="193"/>
      <c r="E40" s="192"/>
      <c r="F40" s="193"/>
      <c r="G40" s="193"/>
      <c r="H40" s="193"/>
      <c r="I40" s="193"/>
      <c r="O40" s="150">
        <f t="shared" si="0"/>
        <v>0</v>
      </c>
    </row>
    <row r="41" spans="1:15" x14ac:dyDescent="0.3">
      <c r="A41" s="307" t="s">
        <v>163</v>
      </c>
      <c r="B41" s="193"/>
      <c r="C41" s="192"/>
      <c r="D41" s="193"/>
      <c r="E41" s="192"/>
      <c r="F41" s="193"/>
      <c r="G41" s="193"/>
      <c r="H41" s="193"/>
      <c r="I41" s="193"/>
      <c r="O41" s="150">
        <f t="shared" si="0"/>
        <v>0</v>
      </c>
    </row>
    <row r="42" spans="1:15" x14ac:dyDescent="0.3">
      <c r="A42" s="301" t="s">
        <v>173</v>
      </c>
      <c r="B42" s="190">
        <v>0.4</v>
      </c>
      <c r="C42" s="115">
        <v>1</v>
      </c>
      <c r="D42" s="190">
        <f t="shared" ref="D42:D47" si="14">B42*C42</f>
        <v>0.4</v>
      </c>
      <c r="E42" s="201">
        <f>$L$15</f>
        <v>208</v>
      </c>
      <c r="F42" s="202">
        <f t="shared" ref="F42:F47" si="15">D42*E42</f>
        <v>83.2</v>
      </c>
      <c r="G42" s="190">
        <f t="shared" ref="G42:G47" si="16">F42*0.05</f>
        <v>4.16</v>
      </c>
      <c r="H42" s="190">
        <f t="shared" ref="H42:H47" si="17">F42*0.1</f>
        <v>8.32</v>
      </c>
      <c r="I42" s="262">
        <f>F42*$L$8+G42*$L$7+H42*$L$9</f>
        <v>11829.592320000002</v>
      </c>
      <c r="O42" s="150">
        <f t="shared" si="0"/>
        <v>208</v>
      </c>
    </row>
    <row r="43" spans="1:15" ht="26.5" customHeight="1" x14ac:dyDescent="0.3">
      <c r="A43" s="301" t="s">
        <v>488</v>
      </c>
      <c r="B43" s="190">
        <v>0</v>
      </c>
      <c r="C43" s="115">
        <v>0</v>
      </c>
      <c r="D43" s="190">
        <f t="shared" si="14"/>
        <v>0</v>
      </c>
      <c r="E43" s="201">
        <v>0</v>
      </c>
      <c r="F43" s="202">
        <f t="shared" si="15"/>
        <v>0</v>
      </c>
      <c r="G43" s="190">
        <f t="shared" si="16"/>
        <v>0</v>
      </c>
      <c r="H43" s="190">
        <f t="shared" si="17"/>
        <v>0</v>
      </c>
      <c r="I43" s="199">
        <f>F43*$L$8+G43*$L$7+H43*$L$9</f>
        <v>0</v>
      </c>
      <c r="O43" s="150">
        <f t="shared" si="0"/>
        <v>0</v>
      </c>
    </row>
    <row r="44" spans="1:15" x14ac:dyDescent="0.3">
      <c r="A44" s="307" t="s">
        <v>158</v>
      </c>
      <c r="B44" s="190"/>
      <c r="C44" s="115"/>
      <c r="D44" s="190"/>
      <c r="E44" s="201"/>
      <c r="F44" s="202"/>
      <c r="G44" s="190"/>
      <c r="H44" s="190"/>
      <c r="I44" s="199"/>
      <c r="O44" s="150">
        <f t="shared" si="0"/>
        <v>0</v>
      </c>
    </row>
    <row r="45" spans="1:15" x14ac:dyDescent="0.3">
      <c r="A45" s="301" t="s">
        <v>173</v>
      </c>
      <c r="B45" s="190">
        <v>0</v>
      </c>
      <c r="C45" s="115">
        <v>0</v>
      </c>
      <c r="D45" s="190">
        <f>B45*C45</f>
        <v>0</v>
      </c>
      <c r="E45" s="201">
        <f>$L$13</f>
        <v>0</v>
      </c>
      <c r="F45" s="202">
        <f t="shared" ref="F45:F46" si="18">D45*E45</f>
        <v>0</v>
      </c>
      <c r="G45" s="190">
        <f t="shared" ref="G45:G46" si="19">F45*0.05</f>
        <v>0</v>
      </c>
      <c r="H45" s="190">
        <f t="shared" ref="H45:H46" si="20">F45*0.1</f>
        <v>0</v>
      </c>
      <c r="I45" s="197">
        <f>F45*$L$8+G45*$L$7+H45*$L$9</f>
        <v>0</v>
      </c>
      <c r="O45" s="150">
        <f t="shared" si="0"/>
        <v>0</v>
      </c>
    </row>
    <row r="46" spans="1:15" x14ac:dyDescent="0.3">
      <c r="A46" s="301" t="s">
        <v>489</v>
      </c>
      <c r="B46" s="190">
        <v>0</v>
      </c>
      <c r="C46" s="115">
        <v>0</v>
      </c>
      <c r="D46" s="190">
        <f t="shared" ref="D46" si="21">B46*C46</f>
        <v>0</v>
      </c>
      <c r="E46" s="201">
        <f>$L$13</f>
        <v>0</v>
      </c>
      <c r="F46" s="202">
        <f t="shared" si="18"/>
        <v>0</v>
      </c>
      <c r="G46" s="190">
        <f t="shared" si="19"/>
        <v>0</v>
      </c>
      <c r="H46" s="190">
        <f t="shared" si="20"/>
        <v>0</v>
      </c>
      <c r="I46" s="197">
        <f>F46*$L$8+G46*$L$7+H46*$L$9</f>
        <v>0</v>
      </c>
      <c r="O46" s="150">
        <f t="shared" si="0"/>
        <v>0</v>
      </c>
    </row>
    <row r="47" spans="1:15" x14ac:dyDescent="0.3">
      <c r="A47" s="301" t="s">
        <v>313</v>
      </c>
      <c r="B47" s="190">
        <v>0</v>
      </c>
      <c r="C47" s="115">
        <v>0</v>
      </c>
      <c r="D47" s="190">
        <f t="shared" si="14"/>
        <v>0</v>
      </c>
      <c r="E47" s="201">
        <f>$L$13</f>
        <v>0</v>
      </c>
      <c r="F47" s="202">
        <f t="shared" si="15"/>
        <v>0</v>
      </c>
      <c r="G47" s="190">
        <f t="shared" si="16"/>
        <v>0</v>
      </c>
      <c r="H47" s="190">
        <f t="shared" si="17"/>
        <v>0</v>
      </c>
      <c r="I47" s="197">
        <f>F47*$L$8+G47*$L$7+H47*$L$9</f>
        <v>0</v>
      </c>
      <c r="O47" s="150">
        <f t="shared" si="0"/>
        <v>0</v>
      </c>
    </row>
    <row r="48" spans="1:15" x14ac:dyDescent="0.3">
      <c r="A48" s="301" t="s">
        <v>186</v>
      </c>
      <c r="B48" s="190" t="s">
        <v>122</v>
      </c>
      <c r="C48" s="192"/>
      <c r="D48" s="193"/>
      <c r="E48" s="192"/>
      <c r="F48" s="193"/>
      <c r="G48" s="193"/>
      <c r="H48" s="193"/>
      <c r="I48" s="193"/>
      <c r="O48" s="150">
        <f t="shared" si="0"/>
        <v>0</v>
      </c>
    </row>
    <row r="49" spans="1:16" ht="33" customHeight="1" x14ac:dyDescent="0.3">
      <c r="A49" s="208" t="s">
        <v>188</v>
      </c>
      <c r="B49" s="214"/>
      <c r="C49" s="215"/>
      <c r="D49" s="214"/>
      <c r="E49" s="216"/>
      <c r="F49" s="212">
        <f>SUM(F42:H47)</f>
        <v>95.68</v>
      </c>
      <c r="G49" s="212"/>
      <c r="H49" s="212"/>
      <c r="I49" s="213">
        <f>SUM(I42:I48)</f>
        <v>11829.592320000002</v>
      </c>
      <c r="O49" s="150">
        <f>SUM(O6:O48)</f>
        <v>416</v>
      </c>
      <c r="P49" s="150" t="s">
        <v>248</v>
      </c>
    </row>
    <row r="50" spans="1:16" ht="28" x14ac:dyDescent="0.3">
      <c r="A50" s="184" t="s">
        <v>189</v>
      </c>
      <c r="B50" s="217"/>
      <c r="C50" s="218"/>
      <c r="D50" s="217"/>
      <c r="E50" s="219"/>
      <c r="F50" s="481">
        <f>ROUND(F49+F34, -2)</f>
        <v>2900</v>
      </c>
      <c r="G50" s="481"/>
      <c r="H50" s="481"/>
      <c r="I50" s="220">
        <f>ROUND(I49+I34, -4)</f>
        <v>350000</v>
      </c>
      <c r="K50" s="221">
        <f>F50/212</f>
        <v>13.679245283018869</v>
      </c>
      <c r="L50" s="150" t="s">
        <v>190</v>
      </c>
    </row>
    <row r="51" spans="1:16" ht="28" x14ac:dyDescent="0.3">
      <c r="A51" s="222" t="s">
        <v>191</v>
      </c>
      <c r="B51" s="193"/>
      <c r="C51" s="192"/>
      <c r="D51" s="193"/>
      <c r="E51" s="192"/>
      <c r="F51" s="193"/>
      <c r="G51" s="193"/>
      <c r="H51" s="193"/>
      <c r="I51" s="220">
        <v>0</v>
      </c>
    </row>
    <row r="52" spans="1:16" ht="15" x14ac:dyDescent="0.3">
      <c r="A52" s="222" t="s">
        <v>192</v>
      </c>
      <c r="B52" s="193"/>
      <c r="C52" s="192"/>
      <c r="D52" s="193"/>
      <c r="E52" s="192"/>
      <c r="F52" s="193"/>
      <c r="G52" s="193"/>
      <c r="H52" s="193"/>
      <c r="I52" s="220">
        <f>ROUND(I50+I51, -5)</f>
        <v>400000</v>
      </c>
    </row>
    <row r="53" spans="1:16" ht="7.5" customHeight="1" x14ac:dyDescent="0.3"/>
    <row r="54" spans="1:16" ht="24.65" customHeight="1" x14ac:dyDescent="0.3">
      <c r="A54" s="482" t="s">
        <v>490</v>
      </c>
      <c r="B54" s="482"/>
      <c r="C54" s="482"/>
      <c r="D54" s="482"/>
      <c r="E54" s="482"/>
      <c r="F54" s="482"/>
      <c r="G54" s="482"/>
      <c r="H54" s="482"/>
      <c r="I54" s="482"/>
    </row>
    <row r="55" spans="1:16" ht="80.5" customHeight="1" x14ac:dyDescent="0.3">
      <c r="A55" s="446" t="s">
        <v>194</v>
      </c>
      <c r="B55" s="446"/>
      <c r="C55" s="446"/>
      <c r="D55" s="446"/>
      <c r="E55" s="446"/>
      <c r="F55" s="446"/>
      <c r="G55" s="446"/>
      <c r="H55" s="446"/>
      <c r="I55" s="446"/>
    </row>
    <row r="56" spans="1:16" ht="17.149999999999999" customHeight="1" x14ac:dyDescent="0.3">
      <c r="A56" s="482" t="s">
        <v>359</v>
      </c>
      <c r="B56" s="482"/>
      <c r="C56" s="482"/>
      <c r="D56" s="482"/>
      <c r="E56" s="482"/>
      <c r="F56" s="482"/>
      <c r="G56" s="482"/>
      <c r="H56" s="482"/>
      <c r="I56" s="482"/>
    </row>
    <row r="57" spans="1:16" ht="29.15" customHeight="1" x14ac:dyDescent="0.3">
      <c r="A57" s="483" t="s">
        <v>360</v>
      </c>
      <c r="B57" s="483"/>
      <c r="C57" s="483"/>
      <c r="D57" s="483"/>
      <c r="E57" s="483"/>
      <c r="F57" s="483"/>
      <c r="G57" s="483"/>
      <c r="H57" s="483"/>
      <c r="I57" s="483"/>
    </row>
    <row r="58" spans="1:16" ht="15.5" x14ac:dyDescent="0.3">
      <c r="A58" s="500" t="s">
        <v>462</v>
      </c>
      <c r="B58" s="500"/>
      <c r="C58" s="500"/>
      <c r="D58" s="500"/>
      <c r="E58" s="500"/>
      <c r="F58" s="500"/>
      <c r="G58" s="500"/>
      <c r="H58" s="500"/>
      <c r="I58" s="500"/>
    </row>
    <row r="59" spans="1:16" ht="18.75" customHeight="1" x14ac:dyDescent="0.3">
      <c r="A59" s="479" t="s">
        <v>198</v>
      </c>
      <c r="B59" s="479"/>
      <c r="C59" s="479"/>
      <c r="D59" s="479"/>
      <c r="E59" s="479"/>
      <c r="F59" s="479"/>
      <c r="G59" s="479"/>
      <c r="H59" s="479"/>
      <c r="I59" s="479"/>
    </row>
  </sheetData>
  <mergeCells count="10">
    <mergeCell ref="F50:H50"/>
    <mergeCell ref="A54:I54"/>
    <mergeCell ref="A1:I1"/>
    <mergeCell ref="A3:I3"/>
    <mergeCell ref="K6:L6"/>
    <mergeCell ref="A55:I55"/>
    <mergeCell ref="A56:I56"/>
    <mergeCell ref="A57:I57"/>
    <mergeCell ref="A58:I58"/>
    <mergeCell ref="A59:I59"/>
  </mergeCells>
  <pageMargins left="0.7" right="0.7" top="0.75" bottom="0.75" header="0.3" footer="0.3"/>
  <pageSetup scale="4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2B3B-93F5-4057-AD07-6C1B9928DC2A}">
  <sheetPr codeName="Sheet26">
    <pageSetUpPr fitToPage="1"/>
  </sheetPr>
  <dimension ref="A1:P58"/>
  <sheetViews>
    <sheetView zoomScale="80" zoomScaleNormal="80" workbookViewId="0">
      <pane xSplit="13" ySplit="5" topLeftCell="N6" activePane="bottomRight" state="frozen"/>
      <selection pane="topRight" activeCell="A73" sqref="A73"/>
      <selection pane="bottomLeft" activeCell="A73" sqref="A73"/>
      <selection pane="bottomRight" activeCell="H8" sqref="H8"/>
    </sheetView>
  </sheetViews>
  <sheetFormatPr defaultColWidth="9.1796875" defaultRowHeight="13" x14ac:dyDescent="0.3"/>
  <cols>
    <col min="1" max="1" width="21.542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0.26953125" style="150" customWidth="1"/>
    <col min="10" max="10" width="7.1796875" style="150" customWidth="1"/>
    <col min="11" max="11" width="19.453125" style="150" customWidth="1"/>
    <col min="12" max="12" width="14.453125" style="150" customWidth="1"/>
    <col min="13" max="13" width="26.453125" style="150" customWidth="1"/>
    <col min="14" max="14" width="6.453125" style="150" customWidth="1"/>
    <col min="15" max="15" width="14.1796875" style="150" customWidth="1"/>
    <col min="16" max="16384" width="9.1796875" style="150"/>
  </cols>
  <sheetData>
    <row r="1" spans="1:15" s="188" customFormat="1" ht="31.5" customHeight="1" x14ac:dyDescent="0.3">
      <c r="A1" s="462" t="s">
        <v>481</v>
      </c>
      <c r="B1" s="462"/>
      <c r="C1" s="462"/>
      <c r="D1" s="462"/>
      <c r="E1" s="462"/>
      <c r="F1" s="462"/>
      <c r="G1" s="462"/>
      <c r="H1" s="462"/>
      <c r="I1" s="462"/>
    </row>
    <row r="2" spans="1:15" s="188" customFormat="1" ht="15" x14ac:dyDescent="0.3">
      <c r="A2" s="423" t="s">
        <v>491</v>
      </c>
      <c r="B2" s="423"/>
      <c r="C2" s="423"/>
      <c r="D2" s="423"/>
      <c r="E2" s="423"/>
      <c r="F2" s="423"/>
      <c r="G2" s="423"/>
      <c r="H2" s="423"/>
      <c r="I2" s="423"/>
    </row>
    <row r="3" spans="1:15" s="188" customFormat="1" ht="33" customHeight="1" x14ac:dyDescent="0.3">
      <c r="A3" s="462" t="s">
        <v>461</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2.15" customHeight="1" x14ac:dyDescent="0.3">
      <c r="A7" s="182" t="s">
        <v>124</v>
      </c>
      <c r="B7" s="190" t="s">
        <v>122</v>
      </c>
      <c r="C7" s="192"/>
      <c r="D7" s="193"/>
      <c r="E7" s="192"/>
      <c r="F7" s="193"/>
      <c r="G7" s="193"/>
      <c r="H7" s="193"/>
      <c r="I7" s="193"/>
      <c r="K7" s="194" t="s">
        <v>125</v>
      </c>
      <c r="L7" s="195">
        <f>76.96*2.1</f>
        <v>161.61599999999999</v>
      </c>
      <c r="M7" s="196" t="s">
        <v>126</v>
      </c>
      <c r="O7" s="150">
        <f t="shared" ref="O7:O47" si="0">C7*E7</f>
        <v>0</v>
      </c>
    </row>
    <row r="8" spans="1:15" ht="55" customHeight="1" x14ac:dyDescent="0.3">
      <c r="A8" s="182" t="s">
        <v>127</v>
      </c>
      <c r="B8" s="190">
        <v>0</v>
      </c>
      <c r="C8" s="115">
        <v>0</v>
      </c>
      <c r="D8" s="190">
        <f>B8*C8</f>
        <v>0</v>
      </c>
      <c r="E8" s="115">
        <f>L12</f>
        <v>0</v>
      </c>
      <c r="F8" s="190">
        <f>D8*E8</f>
        <v>0</v>
      </c>
      <c r="G8" s="190">
        <f>F8*0.05</f>
        <v>0</v>
      </c>
      <c r="H8" s="262">
        <f>F8*0.1</f>
        <v>0</v>
      </c>
      <c r="I8" s="197">
        <f>F8*$L$8+G8*$L$7+H8*$L$9</f>
        <v>0</v>
      </c>
      <c r="K8" s="194" t="s">
        <v>128</v>
      </c>
      <c r="L8" s="195">
        <f>60.8*2.1</f>
        <v>127.67999999999999</v>
      </c>
      <c r="M8" s="198"/>
      <c r="O8" s="150">
        <f t="shared" si="0"/>
        <v>0</v>
      </c>
    </row>
    <row r="9" spans="1:15" ht="26" x14ac:dyDescent="0.3">
      <c r="A9" s="182" t="s">
        <v>129</v>
      </c>
      <c r="B9" s="190"/>
      <c r="C9" s="115"/>
      <c r="D9" s="190"/>
      <c r="E9" s="115"/>
      <c r="F9" s="190"/>
      <c r="G9" s="190"/>
      <c r="H9" s="190"/>
      <c r="I9" s="193"/>
      <c r="K9" s="194" t="s">
        <v>130</v>
      </c>
      <c r="L9" s="195">
        <f>30.58*2.1</f>
        <v>64.218000000000004</v>
      </c>
      <c r="M9" s="198"/>
      <c r="O9" s="150">
        <f t="shared" si="0"/>
        <v>0</v>
      </c>
    </row>
    <row r="10" spans="1:15" ht="26" x14ac:dyDescent="0.3">
      <c r="A10" s="301" t="s">
        <v>132</v>
      </c>
      <c r="B10" s="190">
        <v>0</v>
      </c>
      <c r="C10" s="115">
        <v>0</v>
      </c>
      <c r="D10" s="190">
        <f>B10*C10</f>
        <v>0</v>
      </c>
      <c r="E10" s="115">
        <v>0</v>
      </c>
      <c r="F10" s="190">
        <f>D10*E10</f>
        <v>0</v>
      </c>
      <c r="G10" s="190">
        <f>F10*0.05</f>
        <v>0</v>
      </c>
      <c r="H10" s="190">
        <f>F10*0.1</f>
        <v>0</v>
      </c>
      <c r="I10" s="199">
        <f>F10*$L$8+G10*$L$7+H10*$L$9</f>
        <v>0</v>
      </c>
      <c r="K10" s="420"/>
      <c r="O10" s="150">
        <f t="shared" si="0"/>
        <v>0</v>
      </c>
    </row>
    <row r="11" spans="1:15" ht="15.75" customHeight="1" x14ac:dyDescent="0.3">
      <c r="A11" s="301" t="s">
        <v>133</v>
      </c>
      <c r="B11" s="190"/>
      <c r="C11" s="115"/>
      <c r="D11" s="190"/>
      <c r="E11" s="115"/>
      <c r="F11" s="190"/>
      <c r="G11" s="190"/>
      <c r="H11" s="190"/>
      <c r="I11" s="199"/>
      <c r="K11" s="200"/>
      <c r="L11" s="200" t="s">
        <v>355</v>
      </c>
      <c r="O11" s="150">
        <f t="shared" si="0"/>
        <v>0</v>
      </c>
    </row>
    <row r="12" spans="1:15" ht="15.5" x14ac:dyDescent="0.3">
      <c r="A12" s="306" t="s">
        <v>290</v>
      </c>
      <c r="B12" s="190"/>
      <c r="C12" s="115"/>
      <c r="D12" s="190"/>
      <c r="E12" s="201"/>
      <c r="F12" s="202"/>
      <c r="G12" s="190"/>
      <c r="H12" s="190"/>
      <c r="I12" s="199"/>
      <c r="K12" s="200"/>
      <c r="L12" s="200">
        <v>0</v>
      </c>
      <c r="O12" s="150">
        <f t="shared" si="0"/>
        <v>0</v>
      </c>
    </row>
    <row r="13" spans="1:15" ht="26.5" customHeight="1" x14ac:dyDescent="0.3">
      <c r="A13" s="116" t="s">
        <v>483</v>
      </c>
      <c r="B13" s="190">
        <v>0</v>
      </c>
      <c r="C13" s="115">
        <v>0</v>
      </c>
      <c r="D13" s="190">
        <f>B13*C13</f>
        <v>0</v>
      </c>
      <c r="E13" s="201">
        <v>0</v>
      </c>
      <c r="F13" s="202">
        <f>D13*E13</f>
        <v>0</v>
      </c>
      <c r="G13" s="190">
        <f>F13*0.05</f>
        <v>0</v>
      </c>
      <c r="H13" s="190">
        <f>F13*0.1</f>
        <v>0</v>
      </c>
      <c r="I13" s="199">
        <f>F13*$L$8+G13*$L$7+H13*$L$9</f>
        <v>0</v>
      </c>
      <c r="K13" s="200" t="s">
        <v>136</v>
      </c>
      <c r="L13" s="200">
        <f>L12+L14*0.07</f>
        <v>14.560000000000002</v>
      </c>
      <c r="M13" s="264" t="s">
        <v>294</v>
      </c>
      <c r="O13" s="150">
        <f t="shared" si="0"/>
        <v>0</v>
      </c>
    </row>
    <row r="14" spans="1:15" ht="26" x14ac:dyDescent="0.3">
      <c r="A14" s="116" t="s">
        <v>293</v>
      </c>
      <c r="B14" s="190">
        <v>0</v>
      </c>
      <c r="C14" s="115">
        <v>0</v>
      </c>
      <c r="D14" s="190">
        <f t="shared" ref="D14" si="1">B14*C14</f>
        <v>0</v>
      </c>
      <c r="E14" s="201">
        <f>E13*0.05</f>
        <v>0</v>
      </c>
      <c r="F14" s="202">
        <f t="shared" ref="F14:F19" si="2">D14*E14</f>
        <v>0</v>
      </c>
      <c r="G14" s="190">
        <f t="shared" ref="G14:G19" si="3">F14*0.05</f>
        <v>0</v>
      </c>
      <c r="H14" s="190">
        <f t="shared" ref="H14:H19" si="4">F14*0.1</f>
        <v>0</v>
      </c>
      <c r="I14" s="199">
        <f t="shared" ref="I14:I19" si="5">F14*$L$8+G14*$L$7+H14*$L$9</f>
        <v>0</v>
      </c>
      <c r="J14" s="420"/>
      <c r="K14" s="200" t="s">
        <v>141</v>
      </c>
      <c r="L14" s="200">
        <f>'BPPI-Y1'!$L$15</f>
        <v>208</v>
      </c>
      <c r="O14" s="150">
        <f t="shared" si="0"/>
        <v>0</v>
      </c>
    </row>
    <row r="15" spans="1:15" ht="28.5" x14ac:dyDescent="0.3">
      <c r="A15" s="306" t="s">
        <v>297</v>
      </c>
      <c r="B15" s="190"/>
      <c r="C15" s="115"/>
      <c r="D15" s="190"/>
      <c r="E15" s="115"/>
      <c r="F15" s="202"/>
      <c r="G15" s="190"/>
      <c r="H15" s="190"/>
      <c r="I15" s="199"/>
      <c r="K15" s="420" t="s">
        <v>448</v>
      </c>
      <c r="L15" s="420">
        <f>104-26</f>
        <v>78</v>
      </c>
      <c r="M15" s="420"/>
      <c r="O15" s="150">
        <f t="shared" si="0"/>
        <v>0</v>
      </c>
    </row>
    <row r="16" spans="1:15" ht="26" x14ac:dyDescent="0.3">
      <c r="A16" s="301" t="s">
        <v>483</v>
      </c>
      <c r="B16" s="190">
        <v>0</v>
      </c>
      <c r="C16" s="115">
        <v>0</v>
      </c>
      <c r="D16" s="190">
        <f>B16*C16</f>
        <v>0</v>
      </c>
      <c r="E16" s="201">
        <v>0</v>
      </c>
      <c r="F16" s="202">
        <f t="shared" si="2"/>
        <v>0</v>
      </c>
      <c r="G16" s="190">
        <f t="shared" si="3"/>
        <v>0</v>
      </c>
      <c r="H16" s="190">
        <f t="shared" si="4"/>
        <v>0</v>
      </c>
      <c r="I16" s="199">
        <f t="shared" si="5"/>
        <v>0</v>
      </c>
      <c r="J16" s="203"/>
      <c r="K16" s="420" t="s">
        <v>450</v>
      </c>
      <c r="L16" s="150">
        <v>26</v>
      </c>
      <c r="N16" s="420"/>
      <c r="O16" s="150">
        <f t="shared" si="0"/>
        <v>0</v>
      </c>
    </row>
    <row r="17" spans="1:15" ht="26" x14ac:dyDescent="0.3">
      <c r="A17" s="301" t="s">
        <v>300</v>
      </c>
      <c r="B17" s="190">
        <v>0</v>
      </c>
      <c r="C17" s="115">
        <v>0</v>
      </c>
      <c r="D17" s="190">
        <f t="shared" ref="D17" si="6">B17*C17</f>
        <v>0</v>
      </c>
      <c r="E17" s="201">
        <f>E16*0.05</f>
        <v>0</v>
      </c>
      <c r="F17" s="202">
        <f t="shared" si="2"/>
        <v>0</v>
      </c>
      <c r="G17" s="190">
        <f t="shared" si="3"/>
        <v>0</v>
      </c>
      <c r="H17" s="190">
        <f t="shared" si="4"/>
        <v>0</v>
      </c>
      <c r="I17" s="199">
        <f t="shared" si="5"/>
        <v>0</v>
      </c>
      <c r="J17" s="203"/>
      <c r="O17" s="150">
        <f t="shared" si="0"/>
        <v>0</v>
      </c>
    </row>
    <row r="18" spans="1:15" ht="28.5" x14ac:dyDescent="0.3">
      <c r="A18" s="306" t="s">
        <v>151</v>
      </c>
      <c r="B18" s="204"/>
      <c r="C18" s="205"/>
      <c r="D18" s="204"/>
      <c r="E18" s="206"/>
      <c r="F18" s="202"/>
      <c r="G18" s="190"/>
      <c r="H18" s="190"/>
      <c r="I18" s="199"/>
      <c r="O18" s="150">
        <f t="shared" si="0"/>
        <v>0</v>
      </c>
    </row>
    <row r="19" spans="1:15" ht="39" x14ac:dyDescent="0.3">
      <c r="A19" s="301" t="s">
        <v>485</v>
      </c>
      <c r="B19" s="190">
        <v>0</v>
      </c>
      <c r="C19" s="115">
        <v>0</v>
      </c>
      <c r="D19" s="190">
        <f>B19*C19</f>
        <v>0</v>
      </c>
      <c r="E19" s="201">
        <v>0</v>
      </c>
      <c r="F19" s="202">
        <f t="shared" si="2"/>
        <v>0</v>
      </c>
      <c r="G19" s="190">
        <f t="shared" si="3"/>
        <v>0</v>
      </c>
      <c r="H19" s="190">
        <f t="shared" si="4"/>
        <v>0</v>
      </c>
      <c r="I19" s="199">
        <f t="shared" si="5"/>
        <v>0</v>
      </c>
      <c r="N19" s="203"/>
      <c r="O19" s="150">
        <f t="shared" si="0"/>
        <v>0</v>
      </c>
    </row>
    <row r="20" spans="1:15" ht="26" x14ac:dyDescent="0.3">
      <c r="A20" s="301" t="s">
        <v>155</v>
      </c>
      <c r="B20" s="190"/>
      <c r="C20" s="192"/>
      <c r="D20" s="193"/>
      <c r="E20" s="207"/>
      <c r="F20" s="193"/>
      <c r="G20" s="193"/>
      <c r="H20" s="193"/>
      <c r="I20" s="193"/>
      <c r="N20" s="203"/>
      <c r="O20" s="150">
        <f t="shared" si="0"/>
        <v>0</v>
      </c>
    </row>
    <row r="21" spans="1:15" ht="39" x14ac:dyDescent="0.3">
      <c r="A21" s="301" t="s">
        <v>156</v>
      </c>
      <c r="B21" s="190"/>
      <c r="C21" s="192"/>
      <c r="D21" s="193"/>
      <c r="E21" s="207"/>
      <c r="F21" s="193"/>
      <c r="G21" s="193"/>
      <c r="H21" s="193"/>
      <c r="I21" s="193"/>
      <c r="N21" s="203"/>
      <c r="O21" s="150">
        <f t="shared" si="0"/>
        <v>0</v>
      </c>
    </row>
    <row r="22" spans="1:15" x14ac:dyDescent="0.3">
      <c r="A22" s="301" t="s">
        <v>157</v>
      </c>
      <c r="B22" s="193"/>
      <c r="C22" s="192"/>
      <c r="D22" s="193"/>
      <c r="E22" s="207"/>
      <c r="F22" s="193"/>
      <c r="G22" s="193"/>
      <c r="H22" s="193"/>
      <c r="I22" s="193"/>
      <c r="O22" s="150">
        <f t="shared" si="0"/>
        <v>0</v>
      </c>
    </row>
    <row r="23" spans="1:15" x14ac:dyDescent="0.3">
      <c r="A23" s="307" t="s">
        <v>158</v>
      </c>
      <c r="B23" s="190"/>
      <c r="C23" s="115"/>
      <c r="D23" s="190"/>
      <c r="E23" s="201"/>
      <c r="F23" s="190"/>
      <c r="G23" s="190"/>
      <c r="H23" s="190"/>
      <c r="I23" s="199"/>
      <c r="O23" s="150">
        <f t="shared" si="0"/>
        <v>0</v>
      </c>
    </row>
    <row r="24" spans="1:15" ht="26" x14ac:dyDescent="0.3">
      <c r="A24" s="301" t="s">
        <v>159</v>
      </c>
      <c r="B24" s="190">
        <v>0</v>
      </c>
      <c r="C24" s="115">
        <v>0</v>
      </c>
      <c r="D24" s="190">
        <f t="shared" ref="D24:D27" si="7">B24*C24</f>
        <v>0</v>
      </c>
      <c r="E24" s="201">
        <v>0</v>
      </c>
      <c r="F24" s="190">
        <f t="shared" ref="F24:F27" si="8">D24*E24</f>
        <v>0</v>
      </c>
      <c r="G24" s="190">
        <f t="shared" ref="G24:G27" si="9">F24*0.05</f>
        <v>0</v>
      </c>
      <c r="H24" s="190">
        <f t="shared" ref="H24:H27" si="10">F24*0.1</f>
        <v>0</v>
      </c>
      <c r="I24" s="199">
        <f>F24*$L$8+G24*$L$7+H24*$L$9</f>
        <v>0</v>
      </c>
      <c r="O24" s="150">
        <f t="shared" si="0"/>
        <v>0</v>
      </c>
    </row>
    <row r="25" spans="1:15" ht="27.65" customHeight="1" x14ac:dyDescent="0.3">
      <c r="A25" s="301" t="s">
        <v>160</v>
      </c>
      <c r="B25" s="190">
        <v>0</v>
      </c>
      <c r="C25" s="115">
        <v>0</v>
      </c>
      <c r="D25" s="190">
        <f t="shared" si="7"/>
        <v>0</v>
      </c>
      <c r="E25" s="201">
        <v>0</v>
      </c>
      <c r="F25" s="190">
        <f t="shared" si="8"/>
        <v>0</v>
      </c>
      <c r="G25" s="190">
        <f t="shared" si="9"/>
        <v>0</v>
      </c>
      <c r="H25" s="190">
        <f t="shared" si="10"/>
        <v>0</v>
      </c>
      <c r="I25" s="199">
        <f>F25*$L$8+G25*$L$7+H25*$L$9</f>
        <v>0</v>
      </c>
      <c r="O25" s="150">
        <f t="shared" si="0"/>
        <v>0</v>
      </c>
    </row>
    <row r="26" spans="1:15" ht="26" x14ac:dyDescent="0.3">
      <c r="A26" s="301" t="s">
        <v>453</v>
      </c>
      <c r="B26" s="190">
        <v>0</v>
      </c>
      <c r="C26" s="115">
        <v>0</v>
      </c>
      <c r="D26" s="190">
        <f t="shared" si="7"/>
        <v>0</v>
      </c>
      <c r="E26" s="201">
        <v>0</v>
      </c>
      <c r="F26" s="190">
        <f t="shared" si="8"/>
        <v>0</v>
      </c>
      <c r="G26" s="190">
        <f t="shared" si="9"/>
        <v>0</v>
      </c>
      <c r="H26" s="190">
        <f t="shared" si="10"/>
        <v>0</v>
      </c>
      <c r="I26" s="199">
        <f>F26*$L$8+G26*$L$7+H26*$L$9</f>
        <v>0</v>
      </c>
      <c r="O26" s="150">
        <f t="shared" si="0"/>
        <v>0</v>
      </c>
    </row>
    <row r="27" spans="1:15" ht="91" x14ac:dyDescent="0.3">
      <c r="A27" s="301" t="s">
        <v>492</v>
      </c>
      <c r="B27" s="190">
        <v>0</v>
      </c>
      <c r="C27" s="115">
        <v>0</v>
      </c>
      <c r="D27" s="190">
        <f t="shared" si="7"/>
        <v>0</v>
      </c>
      <c r="E27" s="201">
        <v>0</v>
      </c>
      <c r="F27" s="190">
        <f t="shared" si="8"/>
        <v>0</v>
      </c>
      <c r="G27" s="190">
        <f t="shared" si="9"/>
        <v>0</v>
      </c>
      <c r="H27" s="190">
        <f t="shared" si="10"/>
        <v>0</v>
      </c>
      <c r="I27" s="197">
        <f>F27*$L$8+G27*$L$7+H27*$L$9</f>
        <v>0</v>
      </c>
      <c r="O27" s="150">
        <f t="shared" si="0"/>
        <v>0</v>
      </c>
    </row>
    <row r="28" spans="1:15" x14ac:dyDescent="0.3">
      <c r="A28" s="307" t="s">
        <v>163</v>
      </c>
      <c r="B28" s="193"/>
      <c r="C28" s="192"/>
      <c r="D28" s="193"/>
      <c r="E28" s="207"/>
      <c r="F28" s="193"/>
      <c r="G28" s="193"/>
      <c r="H28" s="193"/>
      <c r="I28" s="193"/>
      <c r="O28" s="150">
        <f t="shared" si="0"/>
        <v>0</v>
      </c>
    </row>
    <row r="29" spans="1:15" ht="39" x14ac:dyDescent="0.3">
      <c r="A29" s="301" t="s">
        <v>409</v>
      </c>
      <c r="B29" s="190">
        <v>0</v>
      </c>
      <c r="C29" s="115">
        <v>0</v>
      </c>
      <c r="D29" s="190">
        <f t="shared" ref="D29:D31" si="11">B29*C29</f>
        <v>0</v>
      </c>
      <c r="E29" s="201">
        <v>0</v>
      </c>
      <c r="F29" s="190">
        <f>D29*E29</f>
        <v>0</v>
      </c>
      <c r="G29" s="190">
        <f>F29*0.05</f>
        <v>0</v>
      </c>
      <c r="H29" s="190">
        <f>F29*0.1</f>
        <v>0</v>
      </c>
      <c r="I29" s="199">
        <f>F29*$L$8+G29*$L$7+H29*$L$9</f>
        <v>0</v>
      </c>
      <c r="O29" s="150">
        <f t="shared" si="0"/>
        <v>0</v>
      </c>
    </row>
    <row r="30" spans="1:15" ht="26" x14ac:dyDescent="0.3">
      <c r="A30" s="301" t="s">
        <v>160</v>
      </c>
      <c r="B30" s="190">
        <v>0</v>
      </c>
      <c r="C30" s="115">
        <v>0</v>
      </c>
      <c r="D30" s="190">
        <f t="shared" si="11"/>
        <v>0</v>
      </c>
      <c r="E30" s="201">
        <v>0</v>
      </c>
      <c r="F30" s="190">
        <f>D30*E30</f>
        <v>0</v>
      </c>
      <c r="G30" s="190">
        <f>F30*0.05</f>
        <v>0</v>
      </c>
      <c r="H30" s="190">
        <f>F30*0.1</f>
        <v>0</v>
      </c>
      <c r="I30" s="199">
        <f>F30*$L$8+G30*$L$7+H30*$L$9</f>
        <v>0</v>
      </c>
      <c r="O30" s="150">
        <f t="shared" si="0"/>
        <v>0</v>
      </c>
    </row>
    <row r="31" spans="1:15" ht="26" x14ac:dyDescent="0.3">
      <c r="A31" s="301" t="s">
        <v>455</v>
      </c>
      <c r="B31" s="190">
        <v>0</v>
      </c>
      <c r="C31" s="115">
        <v>0</v>
      </c>
      <c r="D31" s="190">
        <f t="shared" si="11"/>
        <v>0</v>
      </c>
      <c r="E31" s="201">
        <v>0</v>
      </c>
      <c r="F31" s="190">
        <f>D31*E31</f>
        <v>0</v>
      </c>
      <c r="G31" s="190">
        <f>F31*0.05</f>
        <v>0</v>
      </c>
      <c r="H31" s="190">
        <f>F31*0.1</f>
        <v>0</v>
      </c>
      <c r="I31" s="199">
        <f>F31*$L$8+G31*$L$7+H31*$L$9</f>
        <v>0</v>
      </c>
      <c r="O31" s="150">
        <f t="shared" si="0"/>
        <v>0</v>
      </c>
    </row>
    <row r="32" spans="1:15" ht="91" x14ac:dyDescent="0.3">
      <c r="A32" s="301" t="s">
        <v>487</v>
      </c>
      <c r="B32" s="190">
        <v>0</v>
      </c>
      <c r="C32" s="115">
        <v>0</v>
      </c>
      <c r="D32" s="190">
        <f t="shared" ref="D32" si="12">B32*C32</f>
        <v>0</v>
      </c>
      <c r="E32" s="201">
        <v>0</v>
      </c>
      <c r="F32" s="190">
        <f t="shared" ref="F32" si="13">D32*E32</f>
        <v>0</v>
      </c>
      <c r="G32" s="190">
        <f t="shared" ref="G32" si="14">F32*0.05</f>
        <v>0</v>
      </c>
      <c r="H32" s="190">
        <f t="shared" ref="H32" si="15">F32*0.1</f>
        <v>0</v>
      </c>
      <c r="I32" s="199">
        <f>F32*$L$8+G32*$L$7+H32*$L$9</f>
        <v>0</v>
      </c>
      <c r="O32" s="150">
        <f t="shared" si="0"/>
        <v>0</v>
      </c>
    </row>
    <row r="33" spans="1:16" ht="30" customHeight="1" x14ac:dyDescent="0.3">
      <c r="A33" s="208" t="s">
        <v>167</v>
      </c>
      <c r="B33" s="209"/>
      <c r="C33" s="210"/>
      <c r="D33" s="209"/>
      <c r="E33" s="211"/>
      <c r="F33" s="212">
        <f>SUM(F8:H32)</f>
        <v>0</v>
      </c>
      <c r="G33" s="212"/>
      <c r="H33" s="212"/>
      <c r="I33" s="213">
        <f>SUM(I8:I32)</f>
        <v>0</v>
      </c>
      <c r="O33" s="150">
        <f t="shared" si="0"/>
        <v>0</v>
      </c>
    </row>
    <row r="34" spans="1:16" ht="26" x14ac:dyDescent="0.3">
      <c r="A34" s="182" t="s">
        <v>168</v>
      </c>
      <c r="B34" s="193"/>
      <c r="C34" s="192"/>
      <c r="D34" s="193"/>
      <c r="E34" s="207"/>
      <c r="F34" s="193"/>
      <c r="G34" s="193"/>
      <c r="H34" s="193"/>
      <c r="I34" s="193"/>
      <c r="O34" s="150">
        <f t="shared" si="0"/>
        <v>0</v>
      </c>
    </row>
    <row r="35" spans="1:16" ht="26" x14ac:dyDescent="0.3">
      <c r="A35" s="301" t="s">
        <v>132</v>
      </c>
      <c r="B35" s="190"/>
      <c r="C35" s="192"/>
      <c r="D35" s="193"/>
      <c r="E35" s="192"/>
      <c r="F35" s="193"/>
      <c r="G35" s="193"/>
      <c r="H35" s="193"/>
      <c r="I35" s="193"/>
      <c r="O35" s="150">
        <f t="shared" si="0"/>
        <v>0</v>
      </c>
    </row>
    <row r="36" spans="1:16" x14ac:dyDescent="0.3">
      <c r="A36" s="301" t="s">
        <v>169</v>
      </c>
      <c r="B36" s="190"/>
      <c r="C36" s="192"/>
      <c r="D36" s="193"/>
      <c r="E36" s="192"/>
      <c r="F36" s="193"/>
      <c r="G36" s="193"/>
      <c r="H36" s="193"/>
      <c r="I36" s="193"/>
      <c r="O36" s="150">
        <f t="shared" si="0"/>
        <v>0</v>
      </c>
    </row>
    <row r="37" spans="1:16" x14ac:dyDescent="0.3">
      <c r="A37" s="301" t="s">
        <v>170</v>
      </c>
      <c r="B37" s="190"/>
      <c r="C37" s="192"/>
      <c r="D37" s="193"/>
      <c r="E37" s="192"/>
      <c r="F37" s="193"/>
      <c r="G37" s="193"/>
      <c r="H37" s="193"/>
      <c r="I37" s="193"/>
      <c r="O37" s="150">
        <f t="shared" si="0"/>
        <v>0</v>
      </c>
    </row>
    <row r="38" spans="1:16" x14ac:dyDescent="0.3">
      <c r="A38" s="301" t="s">
        <v>171</v>
      </c>
      <c r="B38" s="190" t="s">
        <v>122</v>
      </c>
      <c r="C38" s="192"/>
      <c r="D38" s="193"/>
      <c r="E38" s="192"/>
      <c r="F38" s="193"/>
      <c r="G38" s="193"/>
      <c r="H38" s="193"/>
      <c r="I38" s="193"/>
      <c r="O38" s="150">
        <f t="shared" si="0"/>
        <v>0</v>
      </c>
    </row>
    <row r="39" spans="1:16" ht="26" x14ac:dyDescent="0.3">
      <c r="A39" s="301" t="s">
        <v>172</v>
      </c>
      <c r="B39" s="193"/>
      <c r="C39" s="192"/>
      <c r="D39" s="193"/>
      <c r="E39" s="192"/>
      <c r="F39" s="193"/>
      <c r="G39" s="193"/>
      <c r="H39" s="193"/>
      <c r="I39" s="193"/>
      <c r="O39" s="150">
        <f t="shared" si="0"/>
        <v>0</v>
      </c>
    </row>
    <row r="40" spans="1:16" x14ac:dyDescent="0.3">
      <c r="A40" s="307" t="s">
        <v>163</v>
      </c>
      <c r="B40" s="193"/>
      <c r="C40" s="192"/>
      <c r="D40" s="193"/>
      <c r="E40" s="192"/>
      <c r="F40" s="193"/>
      <c r="G40" s="193"/>
      <c r="H40" s="193"/>
      <c r="I40" s="193"/>
      <c r="O40" s="150">
        <f t="shared" si="0"/>
        <v>0</v>
      </c>
    </row>
    <row r="41" spans="1:16" x14ac:dyDescent="0.3">
      <c r="A41" s="301" t="s">
        <v>173</v>
      </c>
      <c r="B41" s="190">
        <v>0</v>
      </c>
      <c r="C41" s="115">
        <v>0</v>
      </c>
      <c r="D41" s="190">
        <f t="shared" ref="D41:D46" si="16">B41*C41</f>
        <v>0</v>
      </c>
      <c r="E41" s="201">
        <v>0</v>
      </c>
      <c r="F41" s="202">
        <f t="shared" ref="F41:F46" si="17">D41*E41</f>
        <v>0</v>
      </c>
      <c r="G41" s="190">
        <f t="shared" ref="G41:G46" si="18">F41*0.05</f>
        <v>0</v>
      </c>
      <c r="H41" s="190">
        <f t="shared" ref="H41:H46" si="19">F41*0.1</f>
        <v>0</v>
      </c>
      <c r="I41" s="199">
        <f>F41*$L$8+G41*$L$7+H41*$L$9</f>
        <v>0</v>
      </c>
      <c r="O41" s="150">
        <f t="shared" si="0"/>
        <v>0</v>
      </c>
    </row>
    <row r="42" spans="1:16" ht="19.5" customHeight="1" x14ac:dyDescent="0.3">
      <c r="A42" s="301" t="s">
        <v>488</v>
      </c>
      <c r="B42" s="190">
        <v>0</v>
      </c>
      <c r="C42" s="115">
        <v>0</v>
      </c>
      <c r="D42" s="190">
        <f t="shared" si="16"/>
        <v>0</v>
      </c>
      <c r="E42" s="201">
        <f>E41</f>
        <v>0</v>
      </c>
      <c r="F42" s="202">
        <f t="shared" si="17"/>
        <v>0</v>
      </c>
      <c r="G42" s="190">
        <f t="shared" si="18"/>
        <v>0</v>
      </c>
      <c r="H42" s="190">
        <f t="shared" si="19"/>
        <v>0</v>
      </c>
      <c r="I42" s="199">
        <f>F42*$L$8+G42*$L$7+H42*$L$9</f>
        <v>0</v>
      </c>
      <c r="O42" s="150">
        <f t="shared" si="0"/>
        <v>0</v>
      </c>
    </row>
    <row r="43" spans="1:16" x14ac:dyDescent="0.3">
      <c r="A43" s="307" t="s">
        <v>158</v>
      </c>
      <c r="B43" s="190"/>
      <c r="C43" s="115"/>
      <c r="D43" s="190"/>
      <c r="E43" s="201"/>
      <c r="F43" s="202"/>
      <c r="G43" s="190"/>
      <c r="H43" s="190"/>
      <c r="I43" s="199"/>
      <c r="O43" s="150">
        <f t="shared" si="0"/>
        <v>0</v>
      </c>
    </row>
    <row r="44" spans="1:16" x14ac:dyDescent="0.3">
      <c r="A44" s="301" t="s">
        <v>173</v>
      </c>
      <c r="B44" s="190">
        <v>0</v>
      </c>
      <c r="C44" s="115">
        <v>0</v>
      </c>
      <c r="D44" s="190">
        <f>B44*C44</f>
        <v>0</v>
      </c>
      <c r="E44" s="201">
        <f>$L$12</f>
        <v>0</v>
      </c>
      <c r="F44" s="202">
        <f t="shared" ref="F44:F45" si="20">D44*E44</f>
        <v>0</v>
      </c>
      <c r="G44" s="190">
        <f t="shared" ref="G44:G45" si="21">F44*0.05</f>
        <v>0</v>
      </c>
      <c r="H44" s="190">
        <f t="shared" ref="H44:H45" si="22">F44*0.1</f>
        <v>0</v>
      </c>
      <c r="I44" s="197">
        <f>F44*$L$8+G44*$L$7+H44*$L$9</f>
        <v>0</v>
      </c>
      <c r="O44" s="150">
        <f t="shared" si="0"/>
        <v>0</v>
      </c>
    </row>
    <row r="45" spans="1:16" ht="26" x14ac:dyDescent="0.3">
      <c r="A45" s="301" t="s">
        <v>489</v>
      </c>
      <c r="B45" s="190">
        <v>0</v>
      </c>
      <c r="C45" s="115">
        <v>0</v>
      </c>
      <c r="D45" s="190">
        <f t="shared" ref="D45" si="23">B45*C45</f>
        <v>0</v>
      </c>
      <c r="E45" s="201">
        <f>$L$12</f>
        <v>0</v>
      </c>
      <c r="F45" s="202">
        <f t="shared" si="20"/>
        <v>0</v>
      </c>
      <c r="G45" s="190">
        <f t="shared" si="21"/>
        <v>0</v>
      </c>
      <c r="H45" s="190">
        <f t="shared" si="22"/>
        <v>0</v>
      </c>
      <c r="I45" s="197">
        <f>F45*$L$8+G45*$L$7+H45*$L$9</f>
        <v>0</v>
      </c>
      <c r="O45" s="150">
        <f t="shared" si="0"/>
        <v>0</v>
      </c>
    </row>
    <row r="46" spans="1:16" x14ac:dyDescent="0.3">
      <c r="A46" s="301" t="s">
        <v>313</v>
      </c>
      <c r="B46" s="190">
        <v>0</v>
      </c>
      <c r="C46" s="115">
        <v>0</v>
      </c>
      <c r="D46" s="190">
        <f t="shared" si="16"/>
        <v>0</v>
      </c>
      <c r="E46" s="201">
        <f>$L$12</f>
        <v>0</v>
      </c>
      <c r="F46" s="202">
        <f t="shared" si="17"/>
        <v>0</v>
      </c>
      <c r="G46" s="190">
        <f t="shared" si="18"/>
        <v>0</v>
      </c>
      <c r="H46" s="190">
        <f t="shared" si="19"/>
        <v>0</v>
      </c>
      <c r="I46" s="197">
        <f>F46*$L$8+G46*$L$7+H46*$L$9</f>
        <v>0</v>
      </c>
      <c r="O46" s="150">
        <f t="shared" si="0"/>
        <v>0</v>
      </c>
    </row>
    <row r="47" spans="1:16" x14ac:dyDescent="0.3">
      <c r="A47" s="301" t="s">
        <v>186</v>
      </c>
      <c r="B47" s="190" t="s">
        <v>122</v>
      </c>
      <c r="C47" s="192"/>
      <c r="D47" s="193"/>
      <c r="E47" s="192"/>
      <c r="F47" s="193"/>
      <c r="G47" s="193"/>
      <c r="H47" s="193"/>
      <c r="I47" s="193"/>
      <c r="O47" s="150">
        <f t="shared" si="0"/>
        <v>0</v>
      </c>
    </row>
    <row r="48" spans="1:16" ht="27" customHeight="1" x14ac:dyDescent="0.3">
      <c r="A48" s="208" t="s">
        <v>188</v>
      </c>
      <c r="B48" s="214"/>
      <c r="C48" s="215"/>
      <c r="D48" s="214"/>
      <c r="E48" s="216"/>
      <c r="F48" s="212">
        <f>SUM(F41:H46)</f>
        <v>0</v>
      </c>
      <c r="G48" s="212"/>
      <c r="H48" s="212"/>
      <c r="I48" s="213">
        <f>SUM(I41:I47)</f>
        <v>0</v>
      </c>
      <c r="O48" s="150">
        <f>SUM(O6:O47)</f>
        <v>0</v>
      </c>
      <c r="P48" s="150" t="s">
        <v>248</v>
      </c>
    </row>
    <row r="49" spans="1:12" ht="28" x14ac:dyDescent="0.3">
      <c r="A49" s="184" t="s">
        <v>189</v>
      </c>
      <c r="B49" s="217"/>
      <c r="C49" s="218"/>
      <c r="D49" s="217"/>
      <c r="E49" s="219"/>
      <c r="F49" s="481">
        <f>ROUND(F48+F33, -2)</f>
        <v>0</v>
      </c>
      <c r="G49" s="481"/>
      <c r="H49" s="481"/>
      <c r="I49" s="220">
        <f>ROUND(I48+I33, -4)</f>
        <v>0</v>
      </c>
      <c r="K49" s="221">
        <f>F49/212</f>
        <v>0</v>
      </c>
      <c r="L49" s="150" t="s">
        <v>190</v>
      </c>
    </row>
    <row r="50" spans="1:12" ht="28" x14ac:dyDescent="0.3">
      <c r="A50" s="222" t="s">
        <v>191</v>
      </c>
      <c r="B50" s="193"/>
      <c r="C50" s="192"/>
      <c r="D50" s="193"/>
      <c r="E50" s="192"/>
      <c r="F50" s="193"/>
      <c r="G50" s="193"/>
      <c r="H50" s="193"/>
      <c r="I50" s="220">
        <v>0</v>
      </c>
    </row>
    <row r="51" spans="1:12" ht="15" x14ac:dyDescent="0.3">
      <c r="A51" s="222" t="s">
        <v>192</v>
      </c>
      <c r="B51" s="193"/>
      <c r="C51" s="192"/>
      <c r="D51" s="193"/>
      <c r="E51" s="192"/>
      <c r="F51" s="193"/>
      <c r="G51" s="193"/>
      <c r="H51" s="193"/>
      <c r="I51" s="220">
        <f>ROUND(I49+I50, -5)</f>
        <v>0</v>
      </c>
    </row>
    <row r="52" spans="1:12" ht="7.5" customHeight="1" x14ac:dyDescent="0.3"/>
    <row r="53" spans="1:12" ht="30.65" customHeight="1" x14ac:dyDescent="0.3">
      <c r="A53" s="482" t="s">
        <v>490</v>
      </c>
      <c r="B53" s="482"/>
      <c r="C53" s="482"/>
      <c r="D53" s="482"/>
      <c r="E53" s="482"/>
      <c r="F53" s="482"/>
      <c r="G53" s="482"/>
      <c r="H53" s="482"/>
      <c r="I53" s="482"/>
    </row>
    <row r="54" spans="1:12" ht="70.5" customHeight="1" x14ac:dyDescent="0.3">
      <c r="A54" s="446" t="s">
        <v>194</v>
      </c>
      <c r="B54" s="446"/>
      <c r="C54" s="446"/>
      <c r="D54" s="446"/>
      <c r="E54" s="446"/>
      <c r="F54" s="446"/>
      <c r="G54" s="446"/>
      <c r="H54" s="446"/>
      <c r="I54" s="446"/>
    </row>
    <row r="55" spans="1:12" ht="23.15" customHeight="1" x14ac:dyDescent="0.3">
      <c r="A55" s="482" t="s">
        <v>359</v>
      </c>
      <c r="B55" s="482"/>
      <c r="C55" s="482"/>
      <c r="D55" s="482"/>
      <c r="E55" s="482"/>
      <c r="F55" s="482"/>
      <c r="G55" s="482"/>
      <c r="H55" s="482"/>
      <c r="I55" s="482"/>
    </row>
    <row r="56" spans="1:12" ht="24.65" customHeight="1" x14ac:dyDescent="0.3">
      <c r="A56" s="483" t="s">
        <v>360</v>
      </c>
      <c r="B56" s="483"/>
      <c r="C56" s="483"/>
      <c r="D56" s="483"/>
      <c r="E56" s="483"/>
      <c r="F56" s="483"/>
      <c r="G56" s="483"/>
      <c r="H56" s="483"/>
      <c r="I56" s="483"/>
    </row>
    <row r="57" spans="1:12" ht="15.5" x14ac:dyDescent="0.3">
      <c r="A57" s="500" t="s">
        <v>460</v>
      </c>
      <c r="B57" s="500"/>
      <c r="C57" s="500"/>
      <c r="D57" s="500"/>
      <c r="E57" s="500"/>
      <c r="F57" s="500"/>
      <c r="G57" s="500"/>
      <c r="H57" s="500"/>
      <c r="I57" s="500"/>
    </row>
    <row r="58" spans="1:12" ht="18.75" customHeight="1" x14ac:dyDescent="0.3">
      <c r="A58" s="479" t="s">
        <v>198</v>
      </c>
      <c r="B58" s="479"/>
      <c r="C58" s="479"/>
      <c r="D58" s="479"/>
      <c r="E58" s="479"/>
      <c r="F58" s="479"/>
      <c r="G58" s="479"/>
      <c r="H58" s="479"/>
      <c r="I58" s="479"/>
    </row>
  </sheetData>
  <mergeCells count="10">
    <mergeCell ref="A58:I58"/>
    <mergeCell ref="A1:I1"/>
    <mergeCell ref="A3:I3"/>
    <mergeCell ref="K6:L6"/>
    <mergeCell ref="F49:H49"/>
    <mergeCell ref="A53:I53"/>
    <mergeCell ref="A54:I54"/>
    <mergeCell ref="A55:I55"/>
    <mergeCell ref="A56:I56"/>
    <mergeCell ref="A57:I57"/>
  </mergeCells>
  <pageMargins left="0.7" right="0.7" top="0.75" bottom="0.75" header="0.3" footer="0.3"/>
  <pageSetup scale="4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46B4-C3EC-475F-9A33-494F8C841B9D}">
  <sheetPr codeName="Sheet27">
    <pageSetUpPr fitToPage="1"/>
  </sheetPr>
  <dimension ref="A1:O63"/>
  <sheetViews>
    <sheetView zoomScale="80" zoomScaleNormal="80" workbookViewId="0">
      <pane xSplit="13" ySplit="5" topLeftCell="N6" activePane="bottomRight" state="frozen"/>
      <selection pane="topRight" activeCell="D5" sqref="D5"/>
      <selection pane="bottomLeft" activeCell="D5" sqref="D5"/>
      <selection pane="bottomRight" activeCell="I44" sqref="I44"/>
    </sheetView>
  </sheetViews>
  <sheetFormatPr defaultColWidth="9.1796875" defaultRowHeight="13" x14ac:dyDescent="0.3"/>
  <cols>
    <col min="1" max="1" width="25.453125" style="150" customWidth="1"/>
    <col min="2" max="2" width="10.1796875" style="150" customWidth="1"/>
    <col min="3" max="3" width="12" style="223" customWidth="1"/>
    <col min="4" max="4" width="11.1796875" style="150" customWidth="1"/>
    <col min="5" max="5" width="11.54296875" style="223" customWidth="1"/>
    <col min="6" max="6" width="10.453125" style="150" customWidth="1"/>
    <col min="7" max="7" width="11.54296875" style="150" customWidth="1"/>
    <col min="8" max="8" width="11.453125" style="150" customWidth="1"/>
    <col min="9" max="9" width="12.453125" style="150" customWidth="1"/>
    <col min="10" max="10" width="7.1796875" style="150" customWidth="1"/>
    <col min="11" max="11" width="19.453125" style="150" customWidth="1"/>
    <col min="12" max="12" width="14.453125" style="150" customWidth="1"/>
    <col min="13" max="13" width="25.453125" style="150" customWidth="1"/>
    <col min="14" max="14" width="20.453125" style="150" customWidth="1"/>
    <col min="15" max="15" width="14.1796875" style="150" customWidth="1"/>
    <col min="16" max="16384" width="9.1796875" style="150"/>
  </cols>
  <sheetData>
    <row r="1" spans="1:14" s="188" customFormat="1" ht="29.5" customHeight="1" x14ac:dyDescent="0.3">
      <c r="A1" s="462" t="s">
        <v>481</v>
      </c>
      <c r="B1" s="462"/>
      <c r="C1" s="462"/>
      <c r="D1" s="462"/>
      <c r="E1" s="462"/>
      <c r="F1" s="462"/>
      <c r="G1" s="462"/>
      <c r="H1" s="462"/>
      <c r="I1" s="462"/>
    </row>
    <row r="2" spans="1:14" s="188" customFormat="1" ht="15" x14ac:dyDescent="0.3">
      <c r="A2" s="423" t="s">
        <v>493</v>
      </c>
      <c r="B2" s="423"/>
      <c r="C2" s="423"/>
      <c r="D2" s="423"/>
      <c r="E2" s="423"/>
      <c r="F2" s="423"/>
      <c r="G2" s="423"/>
      <c r="H2" s="423"/>
      <c r="I2" s="423"/>
    </row>
    <row r="3" spans="1:14" s="188" customFormat="1" ht="33" customHeight="1" x14ac:dyDescent="0.3">
      <c r="A3" s="462" t="s">
        <v>463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59.15" customHeight="1" x14ac:dyDescent="0.3">
      <c r="A7" s="182" t="s">
        <v>124</v>
      </c>
      <c r="B7" s="190" t="s">
        <v>122</v>
      </c>
      <c r="C7" s="192"/>
      <c r="D7" s="193"/>
      <c r="E7" s="192"/>
      <c r="F7" s="193"/>
      <c r="G7" s="193"/>
      <c r="H7" s="193"/>
      <c r="I7" s="193"/>
      <c r="K7" s="194" t="s">
        <v>125</v>
      </c>
      <c r="L7" s="195">
        <f>76.96*2.1</f>
        <v>161.61599999999999</v>
      </c>
      <c r="M7" s="196" t="s">
        <v>126</v>
      </c>
      <c r="N7" s="150">
        <f t="shared" ref="N7:N50" si="0">C7*E7</f>
        <v>0</v>
      </c>
    </row>
    <row r="8" spans="1:14" ht="68.5" customHeight="1" x14ac:dyDescent="0.3">
      <c r="A8" s="182" t="s">
        <v>127</v>
      </c>
      <c r="B8" s="190">
        <v>0</v>
      </c>
      <c r="C8" s="115">
        <v>0</v>
      </c>
      <c r="D8" s="190">
        <f>B8*C8</f>
        <v>0</v>
      </c>
      <c r="E8" s="115">
        <f>L13</f>
        <v>0</v>
      </c>
      <c r="F8" s="190">
        <f>D8*E8</f>
        <v>0</v>
      </c>
      <c r="G8" s="190">
        <f>F8*0.05</f>
        <v>0</v>
      </c>
      <c r="H8" s="190">
        <f>F8*0.1</f>
        <v>0</v>
      </c>
      <c r="I8" s="197">
        <f>F8*$L$8+G8*$L$7+H8*$L$9</f>
        <v>0</v>
      </c>
      <c r="K8" s="194" t="s">
        <v>128</v>
      </c>
      <c r="L8" s="195">
        <f>60.8*2.1</f>
        <v>127.67999999999999</v>
      </c>
      <c r="M8" s="198"/>
      <c r="N8" s="150">
        <f t="shared" si="0"/>
        <v>0</v>
      </c>
    </row>
    <row r="9" spans="1:14" ht="28" customHeight="1" x14ac:dyDescent="0.3">
      <c r="A9" s="182" t="s">
        <v>129</v>
      </c>
      <c r="B9" s="190"/>
      <c r="C9" s="115"/>
      <c r="D9" s="190"/>
      <c r="E9" s="115"/>
      <c r="F9" s="190"/>
      <c r="G9" s="190"/>
      <c r="H9" s="190"/>
      <c r="I9" s="193"/>
      <c r="K9" s="194" t="s">
        <v>130</v>
      </c>
      <c r="L9" s="195">
        <f>30.58*2.1</f>
        <v>64.218000000000004</v>
      </c>
      <c r="M9" s="198"/>
      <c r="N9" s="150">
        <f t="shared" si="0"/>
        <v>0</v>
      </c>
    </row>
    <row r="10" spans="1:14" ht="57.65" customHeight="1" x14ac:dyDescent="0.3">
      <c r="A10" s="76" t="s">
        <v>211</v>
      </c>
      <c r="B10" s="73">
        <v>156</v>
      </c>
      <c r="C10" s="74">
        <v>1</v>
      </c>
      <c r="D10" s="73">
        <f>B10*C10</f>
        <v>156</v>
      </c>
      <c r="E10" s="115">
        <f>L15*0.01</f>
        <v>2.08</v>
      </c>
      <c r="F10" s="190">
        <f>D10*E10</f>
        <v>324.48</v>
      </c>
      <c r="G10" s="190">
        <f>F10*0.05</f>
        <v>16.224</v>
      </c>
      <c r="H10" s="190">
        <f>F10*0.1</f>
        <v>32.448</v>
      </c>
      <c r="I10" s="262">
        <f>F10*$L$8+G10*$L$7+H10*$L$9</f>
        <v>46135.410047999998</v>
      </c>
      <c r="K10" s="285"/>
      <c r="L10" s="311"/>
      <c r="M10" s="198"/>
    </row>
    <row r="11" spans="1:14" ht="26" x14ac:dyDescent="0.3">
      <c r="A11" s="301" t="s">
        <v>132</v>
      </c>
      <c r="B11" s="190">
        <v>10</v>
      </c>
      <c r="C11" s="115">
        <v>1</v>
      </c>
      <c r="D11" s="190">
        <f>B11*C11</f>
        <v>10</v>
      </c>
      <c r="E11" s="115">
        <f>'BPPI-Y1'!$L$15</f>
        <v>208</v>
      </c>
      <c r="F11" s="190">
        <f>D11*E11</f>
        <v>2080</v>
      </c>
      <c r="G11" s="190">
        <f>F11*0.05</f>
        <v>104</v>
      </c>
      <c r="H11" s="190">
        <f>F11*0.1</f>
        <v>208</v>
      </c>
      <c r="I11" s="199">
        <f>F11*$L$8+G11*$L$7+H11*$L$9</f>
        <v>295739.80799999996</v>
      </c>
      <c r="K11" s="420"/>
      <c r="N11" s="150">
        <f t="shared" si="0"/>
        <v>208</v>
      </c>
    </row>
    <row r="12" spans="1:14" ht="15.75" customHeight="1" x14ac:dyDescent="0.3">
      <c r="A12" s="301" t="s">
        <v>133</v>
      </c>
      <c r="B12" s="190"/>
      <c r="C12" s="115"/>
      <c r="D12" s="190"/>
      <c r="E12" s="115"/>
      <c r="F12" s="190"/>
      <c r="G12" s="190"/>
      <c r="H12" s="190"/>
      <c r="I12" s="199"/>
      <c r="K12" s="200"/>
      <c r="L12" s="200" t="s">
        <v>355</v>
      </c>
      <c r="N12" s="150">
        <f t="shared" si="0"/>
        <v>0</v>
      </c>
    </row>
    <row r="13" spans="1:14" ht="15.5" x14ac:dyDescent="0.3">
      <c r="A13" s="306" t="s">
        <v>290</v>
      </c>
      <c r="B13" s="190"/>
      <c r="C13" s="115"/>
      <c r="D13" s="190"/>
      <c r="E13" s="201"/>
      <c r="F13" s="202"/>
      <c r="G13" s="190"/>
      <c r="H13" s="190"/>
      <c r="I13" s="199"/>
      <c r="K13" s="200"/>
      <c r="L13" s="200">
        <v>0</v>
      </c>
      <c r="N13" s="150">
        <f t="shared" si="0"/>
        <v>0</v>
      </c>
    </row>
    <row r="14" spans="1:14" ht="24" customHeight="1" x14ac:dyDescent="0.3">
      <c r="A14" s="116" t="s">
        <v>483</v>
      </c>
      <c r="B14" s="190">
        <v>0</v>
      </c>
      <c r="C14" s="115">
        <v>0</v>
      </c>
      <c r="D14" s="190">
        <f>B14*C14</f>
        <v>0</v>
      </c>
      <c r="E14" s="201">
        <v>0</v>
      </c>
      <c r="F14" s="202">
        <f>D14*E14</f>
        <v>0</v>
      </c>
      <c r="G14" s="190">
        <f>F14*0.05</f>
        <v>0</v>
      </c>
      <c r="H14" s="190">
        <f>F14*0.1</f>
        <v>0</v>
      </c>
      <c r="I14" s="199">
        <f>F14*$L$8+G14*$L$7+H14*$L$9</f>
        <v>0</v>
      </c>
      <c r="K14" s="200" t="s">
        <v>136</v>
      </c>
      <c r="L14" s="200">
        <f>L13+L15*0.07</f>
        <v>14.560000000000002</v>
      </c>
      <c r="M14" s="264" t="s">
        <v>294</v>
      </c>
      <c r="N14" s="150">
        <f t="shared" si="0"/>
        <v>0</v>
      </c>
    </row>
    <row r="15" spans="1:14" x14ac:dyDescent="0.3">
      <c r="A15" s="116" t="s">
        <v>293</v>
      </c>
      <c r="B15" s="190">
        <v>0</v>
      </c>
      <c r="C15" s="115">
        <v>0</v>
      </c>
      <c r="D15" s="190">
        <f t="shared" ref="D15" si="1">B15*C15</f>
        <v>0</v>
      </c>
      <c r="E15" s="201">
        <f>E14*0.05</f>
        <v>0</v>
      </c>
      <c r="F15" s="202">
        <f t="shared" ref="F15:F20" si="2">D15*E15</f>
        <v>0</v>
      </c>
      <c r="G15" s="190">
        <f t="shared" ref="G15:G20" si="3">F15*0.05</f>
        <v>0</v>
      </c>
      <c r="H15" s="190">
        <f t="shared" ref="H15:H20" si="4">F15*0.1</f>
        <v>0</v>
      </c>
      <c r="I15" s="199">
        <f t="shared" ref="I15:I20" si="5">F15*$L$8+G15*$L$7+H15*$L$9</f>
        <v>0</v>
      </c>
      <c r="J15" s="420"/>
      <c r="K15" s="200" t="s">
        <v>141</v>
      </c>
      <c r="L15" s="200">
        <f>'BPPI-Y1'!$L$15</f>
        <v>208</v>
      </c>
      <c r="N15" s="150">
        <f t="shared" si="0"/>
        <v>0</v>
      </c>
    </row>
    <row r="16" spans="1:14" ht="34.5" customHeight="1" x14ac:dyDescent="0.3">
      <c r="A16" s="306" t="s">
        <v>297</v>
      </c>
      <c r="B16" s="190"/>
      <c r="C16" s="115"/>
      <c r="D16" s="190"/>
      <c r="E16" s="115"/>
      <c r="F16" s="202"/>
      <c r="G16" s="190"/>
      <c r="H16" s="190"/>
      <c r="I16" s="199"/>
      <c r="K16" s="420" t="s">
        <v>448</v>
      </c>
      <c r="L16" s="420">
        <f>104-26</f>
        <v>78</v>
      </c>
      <c r="M16" s="420"/>
      <c r="N16" s="150">
        <f t="shared" si="0"/>
        <v>0</v>
      </c>
    </row>
    <row r="17" spans="1:14" ht="40.5" customHeight="1" x14ac:dyDescent="0.3">
      <c r="A17" s="301" t="s">
        <v>483</v>
      </c>
      <c r="B17" s="190">
        <v>0</v>
      </c>
      <c r="C17" s="115">
        <v>0</v>
      </c>
      <c r="D17" s="190">
        <f>B17*C17</f>
        <v>0</v>
      </c>
      <c r="E17" s="201">
        <v>0</v>
      </c>
      <c r="F17" s="202">
        <f t="shared" si="2"/>
        <v>0</v>
      </c>
      <c r="G17" s="190">
        <f t="shared" si="3"/>
        <v>0</v>
      </c>
      <c r="H17" s="190">
        <f t="shared" si="4"/>
        <v>0</v>
      </c>
      <c r="I17" s="199">
        <f t="shared" si="5"/>
        <v>0</v>
      </c>
      <c r="J17" s="203"/>
      <c r="K17" s="420" t="s">
        <v>450</v>
      </c>
      <c r="L17" s="150">
        <v>26</v>
      </c>
      <c r="N17" s="150">
        <f t="shared" si="0"/>
        <v>0</v>
      </c>
    </row>
    <row r="18" spans="1:14" x14ac:dyDescent="0.3">
      <c r="A18" s="301" t="s">
        <v>300</v>
      </c>
      <c r="B18" s="190">
        <v>0</v>
      </c>
      <c r="C18" s="115">
        <v>0</v>
      </c>
      <c r="D18" s="190">
        <f t="shared" ref="D18" si="6">B18*C18</f>
        <v>0</v>
      </c>
      <c r="E18" s="201">
        <f>E17*0.05</f>
        <v>0</v>
      </c>
      <c r="F18" s="202">
        <f t="shared" si="2"/>
        <v>0</v>
      </c>
      <c r="G18" s="190">
        <f t="shared" si="3"/>
        <v>0</v>
      </c>
      <c r="H18" s="190">
        <f t="shared" si="4"/>
        <v>0</v>
      </c>
      <c r="I18" s="199">
        <f t="shared" si="5"/>
        <v>0</v>
      </c>
      <c r="J18" s="203"/>
      <c r="N18" s="150">
        <f t="shared" si="0"/>
        <v>0</v>
      </c>
    </row>
    <row r="19" spans="1:14" ht="25.5" customHeight="1" x14ac:dyDescent="0.3">
      <c r="A19" s="306" t="s">
        <v>151</v>
      </c>
      <c r="B19" s="204"/>
      <c r="C19" s="205"/>
      <c r="D19" s="204"/>
      <c r="E19" s="206"/>
      <c r="F19" s="202"/>
      <c r="G19" s="190"/>
      <c r="H19" s="190"/>
      <c r="I19" s="199"/>
      <c r="N19" s="150">
        <f t="shared" si="0"/>
        <v>0</v>
      </c>
    </row>
    <row r="20" spans="1:14" ht="26" x14ac:dyDescent="0.3">
      <c r="A20" s="301" t="s">
        <v>154</v>
      </c>
      <c r="B20" s="190">
        <v>0</v>
      </c>
      <c r="C20" s="115">
        <v>0</v>
      </c>
      <c r="D20" s="190">
        <f>B20*C20</f>
        <v>0</v>
      </c>
      <c r="E20" s="201">
        <v>0</v>
      </c>
      <c r="F20" s="202">
        <f t="shared" si="2"/>
        <v>0</v>
      </c>
      <c r="G20" s="190">
        <f t="shared" si="3"/>
        <v>0</v>
      </c>
      <c r="H20" s="190">
        <f t="shared" si="4"/>
        <v>0</v>
      </c>
      <c r="I20" s="199">
        <f t="shared" si="5"/>
        <v>0</v>
      </c>
      <c r="N20" s="150">
        <f t="shared" si="0"/>
        <v>0</v>
      </c>
    </row>
    <row r="21" spans="1:14" ht="26" x14ac:dyDescent="0.3">
      <c r="A21" s="301" t="s">
        <v>155</v>
      </c>
      <c r="B21" s="190"/>
      <c r="C21" s="192"/>
      <c r="D21" s="193"/>
      <c r="E21" s="207"/>
      <c r="F21" s="193"/>
      <c r="G21" s="193"/>
      <c r="H21" s="193"/>
      <c r="I21" s="193"/>
      <c r="N21" s="150">
        <f t="shared" si="0"/>
        <v>0</v>
      </c>
    </row>
    <row r="22" spans="1:14" ht="26" x14ac:dyDescent="0.3">
      <c r="A22" s="301" t="s">
        <v>156</v>
      </c>
      <c r="B22" s="190"/>
      <c r="C22" s="192"/>
      <c r="D22" s="193"/>
      <c r="E22" s="207"/>
      <c r="F22" s="193"/>
      <c r="G22" s="193"/>
      <c r="H22" s="193"/>
      <c r="I22" s="193"/>
      <c r="N22" s="150">
        <f t="shared" si="0"/>
        <v>0</v>
      </c>
    </row>
    <row r="23" spans="1:14" x14ac:dyDescent="0.3">
      <c r="A23" s="301" t="s">
        <v>157</v>
      </c>
      <c r="B23" s="193"/>
      <c r="C23" s="192"/>
      <c r="D23" s="193"/>
      <c r="E23" s="207"/>
      <c r="F23" s="193"/>
      <c r="G23" s="193"/>
      <c r="H23" s="193"/>
      <c r="I23" s="193"/>
      <c r="N23" s="150">
        <f t="shared" si="0"/>
        <v>0</v>
      </c>
    </row>
    <row r="24" spans="1:14" x14ac:dyDescent="0.3">
      <c r="A24" s="307" t="s">
        <v>158</v>
      </c>
      <c r="B24" s="190"/>
      <c r="C24" s="115"/>
      <c r="D24" s="190"/>
      <c r="E24" s="201"/>
      <c r="F24" s="190"/>
      <c r="G24" s="190"/>
      <c r="H24" s="190"/>
      <c r="I24" s="199"/>
      <c r="N24" s="150">
        <f t="shared" si="0"/>
        <v>0</v>
      </c>
    </row>
    <row r="25" spans="1:14" ht="26" x14ac:dyDescent="0.3">
      <c r="A25" s="301" t="s">
        <v>159</v>
      </c>
      <c r="B25" s="190">
        <v>0</v>
      </c>
      <c r="C25" s="115">
        <v>0</v>
      </c>
      <c r="D25" s="190">
        <f t="shared" ref="D25:D27" si="7">B25*C25</f>
        <v>0</v>
      </c>
      <c r="E25" s="201">
        <v>0</v>
      </c>
      <c r="F25" s="190">
        <f t="shared" ref="F25:F29" si="8">D25*E25</f>
        <v>0</v>
      </c>
      <c r="G25" s="190">
        <f t="shared" ref="G25:G29" si="9">F25*0.05</f>
        <v>0</v>
      </c>
      <c r="H25" s="190">
        <f t="shared" ref="H25:H29" si="10">F25*0.1</f>
        <v>0</v>
      </c>
      <c r="I25" s="199">
        <f>F25*$L$8+G25*$L$7+H25*$L$9</f>
        <v>0</v>
      </c>
      <c r="N25" s="150">
        <f t="shared" si="0"/>
        <v>0</v>
      </c>
    </row>
    <row r="26" spans="1:14" ht="25.5" customHeight="1" x14ac:dyDescent="0.3">
      <c r="A26" s="301" t="s">
        <v>160</v>
      </c>
      <c r="B26" s="190">
        <v>0</v>
      </c>
      <c r="C26" s="115">
        <v>0</v>
      </c>
      <c r="D26" s="190">
        <f t="shared" si="7"/>
        <v>0</v>
      </c>
      <c r="E26" s="201">
        <v>0</v>
      </c>
      <c r="F26" s="190">
        <f t="shared" si="8"/>
        <v>0</v>
      </c>
      <c r="G26" s="190">
        <f t="shared" si="9"/>
        <v>0</v>
      </c>
      <c r="H26" s="190">
        <f t="shared" si="10"/>
        <v>0</v>
      </c>
      <c r="I26" s="199">
        <f>F26*$L$8+G26*$L$7+H26*$L$9</f>
        <v>0</v>
      </c>
      <c r="N26" s="150">
        <f t="shared" si="0"/>
        <v>0</v>
      </c>
    </row>
    <row r="27" spans="1:14" ht="39" x14ac:dyDescent="0.3">
      <c r="A27" s="301" t="s">
        <v>400</v>
      </c>
      <c r="B27" s="190">
        <v>0</v>
      </c>
      <c r="C27" s="115">
        <v>0</v>
      </c>
      <c r="D27" s="190">
        <f t="shared" si="7"/>
        <v>0</v>
      </c>
      <c r="E27" s="201">
        <v>0</v>
      </c>
      <c r="F27" s="190">
        <f t="shared" si="8"/>
        <v>0</v>
      </c>
      <c r="G27" s="190">
        <f t="shared" si="9"/>
        <v>0</v>
      </c>
      <c r="H27" s="190">
        <f t="shared" si="10"/>
        <v>0</v>
      </c>
      <c r="I27" s="199">
        <f>F27*$L$8+G27*$L$7+H27*$L$9</f>
        <v>0</v>
      </c>
      <c r="N27" s="150">
        <f t="shared" si="0"/>
        <v>0</v>
      </c>
    </row>
    <row r="28" spans="1:14" ht="67.5" x14ac:dyDescent="0.3">
      <c r="A28" s="301" t="s">
        <v>494</v>
      </c>
      <c r="B28" s="190">
        <v>0</v>
      </c>
      <c r="C28" s="115">
        <v>0</v>
      </c>
      <c r="D28" s="190">
        <f>B28*C28</f>
        <v>0</v>
      </c>
      <c r="E28" s="201">
        <f>0.1*E25</f>
        <v>0</v>
      </c>
      <c r="F28" s="190">
        <f t="shared" ref="F28" si="11">D28*E28</f>
        <v>0</v>
      </c>
      <c r="G28" s="190">
        <f t="shared" ref="G28" si="12">F28*0.05</f>
        <v>0</v>
      </c>
      <c r="H28" s="190">
        <f t="shared" ref="H28" si="13">F28*0.1</f>
        <v>0</v>
      </c>
      <c r="I28" s="199">
        <f>F28*$L$8+G28*$L$7+H28*$L$9</f>
        <v>0</v>
      </c>
      <c r="N28" s="150">
        <f t="shared" si="0"/>
        <v>0</v>
      </c>
    </row>
    <row r="29" spans="1:14" ht="74.150000000000006" customHeight="1" x14ac:dyDescent="0.3">
      <c r="A29" s="301" t="s">
        <v>495</v>
      </c>
      <c r="B29" s="190">
        <v>0</v>
      </c>
      <c r="C29" s="115">
        <v>0</v>
      </c>
      <c r="D29" s="190">
        <f>B29*C29</f>
        <v>0</v>
      </c>
      <c r="E29" s="201">
        <v>0</v>
      </c>
      <c r="F29" s="190">
        <f t="shared" si="8"/>
        <v>0</v>
      </c>
      <c r="G29" s="190">
        <f t="shared" si="9"/>
        <v>0</v>
      </c>
      <c r="H29" s="190">
        <f t="shared" si="10"/>
        <v>0</v>
      </c>
      <c r="I29" s="197">
        <f>F29*$L$8+G29*$L$7+H29*$L$9</f>
        <v>0</v>
      </c>
      <c r="N29" s="150">
        <f t="shared" si="0"/>
        <v>0</v>
      </c>
    </row>
    <row r="30" spans="1:14" x14ac:dyDescent="0.3">
      <c r="A30" s="307" t="s">
        <v>163</v>
      </c>
      <c r="B30" s="193"/>
      <c r="C30" s="192"/>
      <c r="D30" s="193"/>
      <c r="E30" s="207"/>
      <c r="F30" s="193"/>
      <c r="G30" s="193"/>
      <c r="H30" s="193"/>
      <c r="I30" s="193"/>
      <c r="N30" s="150">
        <f t="shared" si="0"/>
        <v>0</v>
      </c>
    </row>
    <row r="31" spans="1:14" ht="26" x14ac:dyDescent="0.3">
      <c r="A31" s="301" t="s">
        <v>159</v>
      </c>
      <c r="B31" s="190">
        <v>0</v>
      </c>
      <c r="C31" s="115">
        <v>0</v>
      </c>
      <c r="D31" s="190">
        <f t="shared" ref="D31:D34" si="14">B31*C31</f>
        <v>0</v>
      </c>
      <c r="E31" s="201">
        <v>0</v>
      </c>
      <c r="F31" s="190">
        <f>D31*E31</f>
        <v>0</v>
      </c>
      <c r="G31" s="190">
        <f>F31*0.05</f>
        <v>0</v>
      </c>
      <c r="H31" s="190">
        <f>F31*0.1</f>
        <v>0</v>
      </c>
      <c r="I31" s="199">
        <f>F31*$L$8+G31*$L$7+H31*$L$9</f>
        <v>0</v>
      </c>
      <c r="N31" s="150">
        <f t="shared" si="0"/>
        <v>0</v>
      </c>
    </row>
    <row r="32" spans="1:14" ht="26" x14ac:dyDescent="0.3">
      <c r="A32" s="301" t="s">
        <v>160</v>
      </c>
      <c r="B32" s="190">
        <v>0</v>
      </c>
      <c r="C32" s="115">
        <v>0</v>
      </c>
      <c r="D32" s="190">
        <f t="shared" si="14"/>
        <v>0</v>
      </c>
      <c r="E32" s="201">
        <f>E31</f>
        <v>0</v>
      </c>
      <c r="F32" s="190">
        <f>D32*E32</f>
        <v>0</v>
      </c>
      <c r="G32" s="190">
        <f>F32*0.05</f>
        <v>0</v>
      </c>
      <c r="H32" s="190">
        <f>F32*0.1</f>
        <v>0</v>
      </c>
      <c r="I32" s="199">
        <f>F32*$L$8+G32*$L$7+H32*$L$9</f>
        <v>0</v>
      </c>
      <c r="N32" s="150">
        <f t="shared" si="0"/>
        <v>0</v>
      </c>
    </row>
    <row r="33" spans="1:14" ht="52" x14ac:dyDescent="0.3">
      <c r="A33" s="301" t="s">
        <v>465</v>
      </c>
      <c r="B33" s="190">
        <v>0</v>
      </c>
      <c r="C33" s="115">
        <v>0</v>
      </c>
      <c r="D33" s="190">
        <f t="shared" si="14"/>
        <v>0</v>
      </c>
      <c r="E33" s="201">
        <v>0</v>
      </c>
      <c r="F33" s="190">
        <f>D33*E33</f>
        <v>0</v>
      </c>
      <c r="G33" s="190">
        <f>F33*0.05</f>
        <v>0</v>
      </c>
      <c r="H33" s="190">
        <f>F33*0.1</f>
        <v>0</v>
      </c>
      <c r="I33" s="199">
        <f>F33*$L$8+G33*$L$7+H33*$L$9</f>
        <v>0</v>
      </c>
      <c r="N33" s="150">
        <f t="shared" si="0"/>
        <v>0</v>
      </c>
    </row>
    <row r="34" spans="1:14" ht="67.5" x14ac:dyDescent="0.3">
      <c r="A34" s="301" t="s">
        <v>494</v>
      </c>
      <c r="B34" s="190">
        <v>0</v>
      </c>
      <c r="C34" s="115">
        <v>0</v>
      </c>
      <c r="D34" s="190">
        <f t="shared" si="14"/>
        <v>0</v>
      </c>
      <c r="E34" s="201">
        <v>0</v>
      </c>
      <c r="F34" s="190">
        <f>D34*E34</f>
        <v>0</v>
      </c>
      <c r="G34" s="190">
        <f>F34*0.05</f>
        <v>0</v>
      </c>
      <c r="H34" s="190">
        <f>F34*0.1</f>
        <v>0</v>
      </c>
      <c r="I34" s="199">
        <f>F34*$L$8+G34*$L$7+H34*$L$9</f>
        <v>0</v>
      </c>
      <c r="N34" s="150">
        <f t="shared" si="0"/>
        <v>0</v>
      </c>
    </row>
    <row r="35" spans="1:14" ht="91" x14ac:dyDescent="0.3">
      <c r="A35" s="301" t="s">
        <v>496</v>
      </c>
      <c r="B35" s="190">
        <v>0</v>
      </c>
      <c r="C35" s="115">
        <v>0</v>
      </c>
      <c r="D35" s="190">
        <f t="shared" ref="D35" si="15">B35*C35</f>
        <v>0</v>
      </c>
      <c r="E35" s="319">
        <v>0</v>
      </c>
      <c r="F35" s="190">
        <f t="shared" ref="F35" si="16">D35*E35</f>
        <v>0</v>
      </c>
      <c r="G35" s="190">
        <f t="shared" ref="G35" si="17">F35*0.05</f>
        <v>0</v>
      </c>
      <c r="H35" s="190">
        <f t="shared" ref="H35" si="18">F35*0.1</f>
        <v>0</v>
      </c>
      <c r="I35" s="199">
        <f>F35*$L$8+G35*$L$7+H35*$L$9</f>
        <v>0</v>
      </c>
      <c r="N35" s="150">
        <f t="shared" si="0"/>
        <v>0</v>
      </c>
    </row>
    <row r="36" spans="1:14" ht="23.5" customHeight="1" x14ac:dyDescent="0.3">
      <c r="A36" s="208" t="s">
        <v>167</v>
      </c>
      <c r="B36" s="209"/>
      <c r="C36" s="210"/>
      <c r="D36" s="209"/>
      <c r="E36" s="211"/>
      <c r="F36" s="212">
        <f>SUM(F8:H35)</f>
        <v>2765.152</v>
      </c>
      <c r="G36" s="212"/>
      <c r="H36" s="212"/>
      <c r="I36" s="213">
        <f>SUM(I8:I35)</f>
        <v>341875.21804799995</v>
      </c>
      <c r="N36" s="150">
        <f t="shared" si="0"/>
        <v>0</v>
      </c>
    </row>
    <row r="37" spans="1:14" ht="26" x14ac:dyDescent="0.3">
      <c r="A37" s="182" t="s">
        <v>168</v>
      </c>
      <c r="B37" s="193"/>
      <c r="C37" s="192"/>
      <c r="D37" s="193"/>
      <c r="E37" s="207"/>
      <c r="F37" s="193"/>
      <c r="G37" s="193"/>
      <c r="H37" s="193"/>
      <c r="I37" s="193"/>
      <c r="N37" s="150">
        <f t="shared" si="0"/>
        <v>0</v>
      </c>
    </row>
    <row r="38" spans="1:14" ht="26" x14ac:dyDescent="0.3">
      <c r="A38" s="301" t="s">
        <v>132</v>
      </c>
      <c r="B38" s="190"/>
      <c r="C38" s="192"/>
      <c r="D38" s="193"/>
      <c r="E38" s="192"/>
      <c r="F38" s="193"/>
      <c r="G38" s="193"/>
      <c r="H38" s="193"/>
      <c r="I38" s="193"/>
      <c r="N38" s="150">
        <f t="shared" si="0"/>
        <v>0</v>
      </c>
    </row>
    <row r="39" spans="1:14" x14ac:dyDescent="0.3">
      <c r="A39" s="301" t="s">
        <v>169</v>
      </c>
      <c r="B39" s="190"/>
      <c r="C39" s="192"/>
      <c r="D39" s="193"/>
      <c r="E39" s="192"/>
      <c r="F39" s="193"/>
      <c r="G39" s="193"/>
      <c r="H39" s="193"/>
      <c r="I39" s="193"/>
      <c r="N39" s="150">
        <f t="shared" si="0"/>
        <v>0</v>
      </c>
    </row>
    <row r="40" spans="1:14" x14ac:dyDescent="0.3">
      <c r="A40" s="301" t="s">
        <v>170</v>
      </c>
      <c r="B40" s="190"/>
      <c r="C40" s="192"/>
      <c r="D40" s="193"/>
      <c r="E40" s="192"/>
      <c r="F40" s="193"/>
      <c r="G40" s="193"/>
      <c r="H40" s="193"/>
      <c r="I40" s="193"/>
      <c r="N40" s="150">
        <f t="shared" si="0"/>
        <v>0</v>
      </c>
    </row>
    <row r="41" spans="1:14" x14ac:dyDescent="0.3">
      <c r="A41" s="301" t="s">
        <v>171</v>
      </c>
      <c r="B41" s="190" t="s">
        <v>122</v>
      </c>
      <c r="C41" s="192"/>
      <c r="D41" s="193"/>
      <c r="E41" s="192"/>
      <c r="F41" s="193"/>
      <c r="G41" s="193"/>
      <c r="H41" s="193"/>
      <c r="I41" s="193"/>
      <c r="N41" s="150">
        <f t="shared" si="0"/>
        <v>0</v>
      </c>
    </row>
    <row r="42" spans="1:14" ht="26" x14ac:dyDescent="0.3">
      <c r="A42" s="301" t="s">
        <v>172</v>
      </c>
      <c r="B42" s="193"/>
      <c r="C42" s="192"/>
      <c r="D42" s="193"/>
      <c r="E42" s="192"/>
      <c r="F42" s="193"/>
      <c r="G42" s="193"/>
      <c r="H42" s="193"/>
      <c r="I42" s="193"/>
      <c r="N42" s="150">
        <f t="shared" si="0"/>
        <v>0</v>
      </c>
    </row>
    <row r="43" spans="1:14" x14ac:dyDescent="0.3">
      <c r="A43" s="307" t="s">
        <v>163</v>
      </c>
      <c r="B43" s="193"/>
      <c r="C43" s="192"/>
      <c r="D43" s="193"/>
      <c r="E43" s="192"/>
      <c r="F43" s="193"/>
      <c r="G43" s="193"/>
      <c r="H43" s="193"/>
      <c r="I43" s="193"/>
      <c r="N43" s="150">
        <f t="shared" si="0"/>
        <v>0</v>
      </c>
    </row>
    <row r="44" spans="1:14" ht="15.65" customHeight="1" x14ac:dyDescent="0.3">
      <c r="A44" s="301" t="s">
        <v>173</v>
      </c>
      <c r="B44" s="190">
        <v>0.1</v>
      </c>
      <c r="C44" s="115">
        <v>1</v>
      </c>
      <c r="D44" s="190">
        <f t="shared" ref="D44:D49" si="19">B44*C44</f>
        <v>0.1</v>
      </c>
      <c r="E44" s="201">
        <f>$L$15</f>
        <v>208</v>
      </c>
      <c r="F44" s="202">
        <f t="shared" ref="F44:F49" si="20">D44*E44</f>
        <v>20.8</v>
      </c>
      <c r="G44" s="190">
        <f t="shared" ref="G44:G49" si="21">F44*0.05</f>
        <v>1.04</v>
      </c>
      <c r="H44" s="190">
        <f t="shared" ref="H44:H49" si="22">F44*0.1</f>
        <v>2.08</v>
      </c>
      <c r="I44" s="262">
        <f>F44*$L$8+G44*$L$7+H44*$L$9</f>
        <v>2957.3980800000004</v>
      </c>
      <c r="N44" s="150">
        <f t="shared" si="0"/>
        <v>208</v>
      </c>
    </row>
    <row r="45" spans="1:14" ht="91.5" customHeight="1" x14ac:dyDescent="0.3">
      <c r="A45" s="301" t="s">
        <v>497</v>
      </c>
      <c r="B45" s="190">
        <v>0</v>
      </c>
      <c r="C45" s="115">
        <v>0</v>
      </c>
      <c r="D45" s="190">
        <f t="shared" si="19"/>
        <v>0</v>
      </c>
      <c r="E45" s="201">
        <v>0</v>
      </c>
      <c r="F45" s="202">
        <f t="shared" si="20"/>
        <v>0</v>
      </c>
      <c r="G45" s="190">
        <f t="shared" si="21"/>
        <v>0</v>
      </c>
      <c r="H45" s="190">
        <f t="shared" si="22"/>
        <v>0</v>
      </c>
      <c r="I45" s="199">
        <f>F45*$L$8+G45*$L$7+H45*$L$9</f>
        <v>0</v>
      </c>
      <c r="N45" s="150">
        <f t="shared" si="0"/>
        <v>0</v>
      </c>
    </row>
    <row r="46" spans="1:14" x14ac:dyDescent="0.3">
      <c r="A46" s="307" t="s">
        <v>158</v>
      </c>
      <c r="B46" s="190"/>
      <c r="C46" s="115"/>
      <c r="D46" s="190"/>
      <c r="E46" s="201"/>
      <c r="F46" s="202"/>
      <c r="G46" s="190"/>
      <c r="H46" s="190"/>
      <c r="I46" s="199"/>
      <c r="N46" s="150">
        <f t="shared" si="0"/>
        <v>0</v>
      </c>
    </row>
    <row r="47" spans="1:14" x14ac:dyDescent="0.3">
      <c r="A47" s="301" t="s">
        <v>173</v>
      </c>
      <c r="B47" s="190">
        <v>0</v>
      </c>
      <c r="C47" s="115">
        <v>0</v>
      </c>
      <c r="D47" s="190">
        <f>B47*C47</f>
        <v>0</v>
      </c>
      <c r="E47" s="201">
        <f>$L$13</f>
        <v>0</v>
      </c>
      <c r="F47" s="202">
        <f t="shared" ref="F47:F48" si="23">D47*E47</f>
        <v>0</v>
      </c>
      <c r="G47" s="190">
        <f t="shared" ref="G47:G48" si="24">F47*0.05</f>
        <v>0</v>
      </c>
      <c r="H47" s="190">
        <f t="shared" ref="H47:H48" si="25">F47*0.1</f>
        <v>0</v>
      </c>
      <c r="I47" s="197">
        <f>F47*$L$8+G47*$L$7+H47*$L$9</f>
        <v>0</v>
      </c>
      <c r="N47" s="150">
        <f t="shared" si="0"/>
        <v>0</v>
      </c>
    </row>
    <row r="48" spans="1:14" ht="97" customHeight="1" x14ac:dyDescent="0.3">
      <c r="A48" s="301" t="s">
        <v>497</v>
      </c>
      <c r="B48" s="190">
        <v>0</v>
      </c>
      <c r="C48" s="115">
        <v>0</v>
      </c>
      <c r="D48" s="190">
        <f t="shared" ref="D48" si="26">B48*C48</f>
        <v>0</v>
      </c>
      <c r="E48" s="201">
        <f>$L$13</f>
        <v>0</v>
      </c>
      <c r="F48" s="202">
        <f t="shared" si="23"/>
        <v>0</v>
      </c>
      <c r="G48" s="190">
        <f t="shared" si="24"/>
        <v>0</v>
      </c>
      <c r="H48" s="190">
        <f t="shared" si="25"/>
        <v>0</v>
      </c>
      <c r="I48" s="197">
        <f>F48*$L$8+G48*$L$7+H48*$L$9</f>
        <v>0</v>
      </c>
      <c r="N48" s="150">
        <f t="shared" si="0"/>
        <v>0</v>
      </c>
    </row>
    <row r="49" spans="1:15" ht="20.5" customHeight="1" x14ac:dyDescent="0.3">
      <c r="A49" s="301" t="s">
        <v>313</v>
      </c>
      <c r="B49" s="190">
        <v>0</v>
      </c>
      <c r="C49" s="115">
        <v>0</v>
      </c>
      <c r="D49" s="190">
        <f t="shared" si="19"/>
        <v>0</v>
      </c>
      <c r="E49" s="201">
        <f>$L$13</f>
        <v>0</v>
      </c>
      <c r="F49" s="202">
        <f t="shared" si="20"/>
        <v>0</v>
      </c>
      <c r="G49" s="190">
        <f t="shared" si="21"/>
        <v>0</v>
      </c>
      <c r="H49" s="190">
        <f t="shared" si="22"/>
        <v>0</v>
      </c>
      <c r="I49" s="197">
        <f>F49*$L$8+G49*$L$7+H49*$L$9</f>
        <v>0</v>
      </c>
      <c r="N49" s="150">
        <f t="shared" si="0"/>
        <v>0</v>
      </c>
    </row>
    <row r="50" spans="1:15" x14ac:dyDescent="0.3">
      <c r="A50" s="301" t="s">
        <v>186</v>
      </c>
      <c r="B50" s="190" t="s">
        <v>122</v>
      </c>
      <c r="C50" s="192"/>
      <c r="D50" s="193"/>
      <c r="E50" s="192"/>
      <c r="F50" s="193"/>
      <c r="G50" s="193"/>
      <c r="H50" s="193"/>
      <c r="I50" s="193"/>
      <c r="N50" s="150">
        <f t="shared" si="0"/>
        <v>0</v>
      </c>
    </row>
    <row r="51" spans="1:15" ht="27" x14ac:dyDescent="0.3">
      <c r="A51" s="208" t="s">
        <v>188</v>
      </c>
      <c r="B51" s="214"/>
      <c r="C51" s="215"/>
      <c r="D51" s="214"/>
      <c r="E51" s="216"/>
      <c r="F51" s="212">
        <f>SUM(F44:H49)</f>
        <v>23.92</v>
      </c>
      <c r="G51" s="212"/>
      <c r="H51" s="212"/>
      <c r="I51" s="213">
        <f>SUM(I44:I50)</f>
        <v>2957.3980800000004</v>
      </c>
      <c r="N51" s="150">
        <f>SUM(N6:N50)</f>
        <v>416</v>
      </c>
    </row>
    <row r="52" spans="1:15" ht="28.5" customHeight="1" x14ac:dyDescent="0.3">
      <c r="A52" s="184" t="s">
        <v>189</v>
      </c>
      <c r="B52" s="217"/>
      <c r="C52" s="218"/>
      <c r="D52" s="217"/>
      <c r="E52" s="219"/>
      <c r="F52" s="481">
        <f>ROUND(F51+F36, -2)</f>
        <v>2800</v>
      </c>
      <c r="G52" s="481"/>
      <c r="H52" s="481"/>
      <c r="I52" s="220">
        <f>ROUND(I51+I36, -4)</f>
        <v>340000</v>
      </c>
      <c r="K52" s="221">
        <f>F52/212</f>
        <v>13.20754716981132</v>
      </c>
      <c r="L52" s="150" t="s">
        <v>190</v>
      </c>
      <c r="N52" s="150">
        <f>N51-N20</f>
        <v>416</v>
      </c>
      <c r="O52" s="150" t="s">
        <v>248</v>
      </c>
    </row>
    <row r="53" spans="1:15" ht="28" x14ac:dyDescent="0.3">
      <c r="A53" s="222" t="s">
        <v>191</v>
      </c>
      <c r="B53" s="193"/>
      <c r="C53" s="192"/>
      <c r="D53" s="193"/>
      <c r="E53" s="192"/>
      <c r="F53" s="193"/>
      <c r="G53" s="193"/>
      <c r="H53" s="193"/>
      <c r="I53" s="220"/>
      <c r="O53" s="150" t="s">
        <v>357</v>
      </c>
    </row>
    <row r="54" spans="1:15" ht="42" customHeight="1" x14ac:dyDescent="0.3">
      <c r="A54" s="222" t="s">
        <v>192</v>
      </c>
      <c r="B54" s="193"/>
      <c r="C54" s="192"/>
      <c r="D54" s="193"/>
      <c r="E54" s="192"/>
      <c r="F54" s="193"/>
      <c r="G54" s="193"/>
      <c r="H54" s="193"/>
      <c r="I54" s="220">
        <f>ROUND(I52+I53, -5)</f>
        <v>300000</v>
      </c>
    </row>
    <row r="55" spans="1:15" ht="4.5" customHeight="1" x14ac:dyDescent="0.3"/>
    <row r="56" spans="1:15" ht="26.15" customHeight="1" x14ac:dyDescent="0.3">
      <c r="A56" s="482" t="s">
        <v>490</v>
      </c>
      <c r="B56" s="482"/>
      <c r="C56" s="482"/>
      <c r="D56" s="482"/>
      <c r="E56" s="482"/>
      <c r="F56" s="482"/>
      <c r="G56" s="482"/>
      <c r="H56" s="482"/>
      <c r="I56" s="482"/>
    </row>
    <row r="57" spans="1:15" ht="60.65" customHeight="1" x14ac:dyDescent="0.3">
      <c r="A57" s="446" t="s">
        <v>194</v>
      </c>
      <c r="B57" s="446"/>
      <c r="C57" s="446"/>
      <c r="D57" s="446"/>
      <c r="E57" s="446"/>
      <c r="F57" s="446"/>
      <c r="G57" s="446"/>
      <c r="H57" s="446"/>
      <c r="I57" s="446"/>
    </row>
    <row r="58" spans="1:15" ht="24" customHeight="1" x14ac:dyDescent="0.3">
      <c r="A58" s="482" t="s">
        <v>359</v>
      </c>
      <c r="B58" s="482"/>
      <c r="C58" s="482"/>
      <c r="D58" s="482"/>
      <c r="E58" s="482"/>
      <c r="F58" s="482"/>
      <c r="G58" s="482"/>
      <c r="H58" s="482"/>
      <c r="I58" s="482"/>
    </row>
    <row r="59" spans="1:15" ht="30" customHeight="1" x14ac:dyDescent="0.3">
      <c r="A59" s="483" t="s">
        <v>360</v>
      </c>
      <c r="B59" s="483"/>
      <c r="C59" s="483"/>
      <c r="D59" s="483"/>
      <c r="E59" s="483"/>
      <c r="F59" s="483"/>
      <c r="G59" s="483"/>
      <c r="H59" s="483"/>
      <c r="I59" s="483"/>
    </row>
    <row r="60" spans="1:15" ht="17.149999999999999" customHeight="1" x14ac:dyDescent="0.3">
      <c r="A60" s="500" t="s">
        <v>197</v>
      </c>
      <c r="B60" s="500"/>
      <c r="C60" s="500"/>
      <c r="D60" s="500"/>
      <c r="E60" s="500"/>
      <c r="F60" s="500"/>
      <c r="G60" s="500"/>
      <c r="H60" s="500"/>
      <c r="I60" s="500"/>
    </row>
    <row r="61" spans="1:15" ht="24.65" customHeight="1" x14ac:dyDescent="0.3">
      <c r="A61" s="479" t="s">
        <v>466</v>
      </c>
      <c r="B61" s="479"/>
      <c r="C61" s="479"/>
      <c r="D61" s="479"/>
      <c r="E61" s="479"/>
      <c r="F61" s="479"/>
      <c r="G61" s="479"/>
      <c r="H61" s="479"/>
      <c r="I61" s="479"/>
    </row>
    <row r="62" spans="1:15" ht="14.5" customHeight="1" x14ac:dyDescent="0.3">
      <c r="A62" s="479" t="s">
        <v>361</v>
      </c>
      <c r="B62" s="479"/>
      <c r="C62" s="479"/>
      <c r="D62" s="479"/>
      <c r="E62" s="479"/>
      <c r="F62" s="479"/>
      <c r="G62" s="479"/>
      <c r="H62" s="479"/>
      <c r="I62" s="479"/>
    </row>
    <row r="63" spans="1:15" ht="19.5" customHeight="1" x14ac:dyDescent="0.3"/>
  </sheetData>
  <mergeCells count="11">
    <mergeCell ref="A62:I62"/>
    <mergeCell ref="A61:I61"/>
    <mergeCell ref="A1:I1"/>
    <mergeCell ref="A3:I3"/>
    <mergeCell ref="K6:L6"/>
    <mergeCell ref="F52:H52"/>
    <mergeCell ref="A56:I56"/>
    <mergeCell ref="A57:I57"/>
    <mergeCell ref="A58:I58"/>
    <mergeCell ref="A59:I59"/>
    <mergeCell ref="A60:I60"/>
  </mergeCells>
  <pageMargins left="0.7" right="0.7" top="0.75" bottom="0.75" header="0.3" footer="0.3"/>
  <pageSetup scale="3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37789-DC05-4B15-8D89-9484829CCC18}">
  <sheetPr>
    <pageSetUpPr fitToPage="1"/>
  </sheetPr>
  <dimension ref="A1:O62"/>
  <sheetViews>
    <sheetView zoomScale="80" zoomScaleNormal="80" workbookViewId="0">
      <pane xSplit="13" ySplit="5" topLeftCell="N39" activePane="bottomRight" state="frozen"/>
      <selection pane="topRight" activeCell="D5" sqref="D5"/>
      <selection pane="bottomLeft" activeCell="D5" sqref="D5"/>
      <selection pane="bottomRight" activeCell="I44" sqref="I44"/>
    </sheetView>
  </sheetViews>
  <sheetFormatPr defaultColWidth="9.1796875" defaultRowHeight="13" x14ac:dyDescent="0.3"/>
  <cols>
    <col min="1" max="1" width="24.4531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25.453125" style="150" customWidth="1"/>
    <col min="14" max="14" width="20.453125" style="150" customWidth="1"/>
    <col min="15" max="15" width="14.1796875" style="150" customWidth="1"/>
    <col min="16" max="16384" width="9.1796875" style="150"/>
  </cols>
  <sheetData>
    <row r="1" spans="1:14" s="188" customFormat="1" ht="29.5" customHeight="1" x14ac:dyDescent="0.3">
      <c r="A1" s="462" t="s">
        <v>481</v>
      </c>
      <c r="B1" s="462"/>
      <c r="C1" s="462"/>
      <c r="D1" s="462"/>
      <c r="E1" s="462"/>
      <c r="F1" s="462"/>
      <c r="G1" s="462"/>
      <c r="H1" s="462"/>
      <c r="I1" s="462"/>
    </row>
    <row r="2" spans="1:14" s="188" customFormat="1" ht="15" x14ac:dyDescent="0.3">
      <c r="A2" s="423" t="s">
        <v>498</v>
      </c>
      <c r="B2" s="423"/>
      <c r="C2" s="423"/>
      <c r="D2" s="423"/>
      <c r="E2" s="423"/>
      <c r="F2" s="423"/>
      <c r="G2" s="423"/>
      <c r="H2" s="423"/>
      <c r="I2" s="423"/>
    </row>
    <row r="3" spans="1:14" s="188" customFormat="1" ht="33" customHeight="1" x14ac:dyDescent="0.3">
      <c r="A3" s="462" t="s">
        <v>463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41.5" customHeight="1" x14ac:dyDescent="0.3">
      <c r="A7" s="182" t="s">
        <v>124</v>
      </c>
      <c r="B7" s="190" t="s">
        <v>122</v>
      </c>
      <c r="C7" s="192"/>
      <c r="D7" s="193"/>
      <c r="E7" s="192"/>
      <c r="F7" s="193"/>
      <c r="G7" s="193"/>
      <c r="H7" s="193"/>
      <c r="I7" s="193"/>
      <c r="K7" s="194" t="s">
        <v>125</v>
      </c>
      <c r="L7" s="195">
        <f>76.96*2.1</f>
        <v>161.61599999999999</v>
      </c>
      <c r="M7" s="196" t="s">
        <v>126</v>
      </c>
      <c r="N7" s="150">
        <f t="shared" ref="N7:N49" si="0">C7*E7</f>
        <v>0</v>
      </c>
    </row>
    <row r="8" spans="1:14"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200" t="s">
        <v>355</v>
      </c>
      <c r="N11" s="150">
        <f t="shared" si="0"/>
        <v>0</v>
      </c>
    </row>
    <row r="12" spans="1:14" ht="15.5" x14ac:dyDescent="0.3">
      <c r="A12" s="306" t="s">
        <v>290</v>
      </c>
      <c r="B12" s="190"/>
      <c r="C12" s="115"/>
      <c r="D12" s="190"/>
      <c r="E12" s="201"/>
      <c r="F12" s="202"/>
      <c r="G12" s="190"/>
      <c r="H12" s="190"/>
      <c r="I12" s="199"/>
      <c r="K12" s="200"/>
      <c r="L12" s="200">
        <v>0</v>
      </c>
      <c r="N12" s="150">
        <f t="shared" si="0"/>
        <v>0</v>
      </c>
    </row>
    <row r="13" spans="1:14" ht="24" customHeight="1" x14ac:dyDescent="0.3">
      <c r="A13" s="116" t="s">
        <v>483</v>
      </c>
      <c r="B13" s="115">
        <v>6</v>
      </c>
      <c r="C13" s="115">
        <v>1</v>
      </c>
      <c r="D13" s="190">
        <f>B13*C13</f>
        <v>6</v>
      </c>
      <c r="E13" s="201">
        <f t="shared" ref="E13" si="1">L$13</f>
        <v>7.2800000000000011</v>
      </c>
      <c r="F13" s="202">
        <f>D13*E13</f>
        <v>43.680000000000007</v>
      </c>
      <c r="G13" s="190">
        <f>F13*0.05</f>
        <v>2.1840000000000006</v>
      </c>
      <c r="H13" s="190">
        <f>F13*0.1</f>
        <v>4.3680000000000012</v>
      </c>
      <c r="I13" s="262">
        <f>F13*$L$8+G13*$L$7+H13*$L$9</f>
        <v>6210.535968000001</v>
      </c>
      <c r="K13" s="200" t="s">
        <v>136</v>
      </c>
      <c r="L13" s="200">
        <f>(L15+L16)*0.07</f>
        <v>7.2800000000000011</v>
      </c>
      <c r="M13" s="264" t="s">
        <v>294</v>
      </c>
      <c r="N13" s="150">
        <f t="shared" si="0"/>
        <v>7.2800000000000011</v>
      </c>
    </row>
    <row r="14" spans="1:14" x14ac:dyDescent="0.3">
      <c r="A14" s="116" t="s">
        <v>293</v>
      </c>
      <c r="B14" s="115">
        <v>6</v>
      </c>
      <c r="C14" s="115">
        <v>1</v>
      </c>
      <c r="D14" s="190">
        <f t="shared" ref="D14" si="2">B14*C14</f>
        <v>6</v>
      </c>
      <c r="E14" s="201">
        <f>E13*0.05</f>
        <v>0.3640000000000001</v>
      </c>
      <c r="F14" s="202">
        <f t="shared" ref="F14:F19" si="3">D14*E14</f>
        <v>2.1840000000000006</v>
      </c>
      <c r="G14" s="190">
        <f t="shared" ref="G14:G19" si="4">F14*0.05</f>
        <v>0.10920000000000003</v>
      </c>
      <c r="H14" s="190">
        <f t="shared" ref="H14:H19" si="5">F14*0.1</f>
        <v>0.21840000000000007</v>
      </c>
      <c r="I14" s="262">
        <f t="shared" ref="I14:I19" si="6">F14*$L$8+G14*$L$7+H14*$L$9</f>
        <v>310.52679840000008</v>
      </c>
      <c r="J14" s="420"/>
      <c r="K14" s="200" t="s">
        <v>141</v>
      </c>
      <c r="L14" s="200">
        <f>'BPPI-Y1'!$L$15</f>
        <v>208</v>
      </c>
      <c r="N14" s="150">
        <f t="shared" si="0"/>
        <v>0.3640000000000001</v>
      </c>
    </row>
    <row r="15" spans="1:14" ht="34.5" customHeight="1" x14ac:dyDescent="0.3">
      <c r="A15" s="306" t="s">
        <v>297</v>
      </c>
      <c r="B15" s="190"/>
      <c r="C15" s="115"/>
      <c r="D15" s="190"/>
      <c r="E15" s="115"/>
      <c r="F15" s="202"/>
      <c r="G15" s="190"/>
      <c r="H15" s="190"/>
      <c r="I15" s="199"/>
      <c r="K15" s="420" t="s">
        <v>448</v>
      </c>
      <c r="L15" s="420">
        <f>104-26</f>
        <v>78</v>
      </c>
      <c r="M15" s="420"/>
      <c r="N15" s="150">
        <f t="shared" si="0"/>
        <v>0</v>
      </c>
    </row>
    <row r="16" spans="1:14" ht="40.5" customHeight="1" x14ac:dyDescent="0.3">
      <c r="A16" s="301" t="s">
        <v>483</v>
      </c>
      <c r="B16" s="190">
        <v>6</v>
      </c>
      <c r="C16" s="115">
        <v>1</v>
      </c>
      <c r="D16" s="190">
        <f>B16*C16</f>
        <v>6</v>
      </c>
      <c r="E16" s="201">
        <f t="shared" ref="E16" si="7">L$14</f>
        <v>208</v>
      </c>
      <c r="F16" s="202">
        <f t="shared" si="3"/>
        <v>1248</v>
      </c>
      <c r="G16" s="190">
        <f t="shared" si="4"/>
        <v>62.400000000000006</v>
      </c>
      <c r="H16" s="190">
        <f t="shared" si="5"/>
        <v>124.80000000000001</v>
      </c>
      <c r="I16" s="262">
        <f t="shared" si="6"/>
        <v>177443.8848</v>
      </c>
      <c r="J16" s="203"/>
      <c r="K16" s="420" t="s">
        <v>450</v>
      </c>
      <c r="L16" s="150">
        <v>26</v>
      </c>
      <c r="N16" s="150">
        <f t="shared" si="0"/>
        <v>208</v>
      </c>
    </row>
    <row r="17" spans="1:14" x14ac:dyDescent="0.3">
      <c r="A17" s="301" t="s">
        <v>300</v>
      </c>
      <c r="B17" s="115">
        <v>6</v>
      </c>
      <c r="C17" s="115">
        <v>1</v>
      </c>
      <c r="D17" s="190">
        <f t="shared" ref="D17" si="8">B17*C17</f>
        <v>6</v>
      </c>
      <c r="E17" s="201">
        <f>E16*0.05</f>
        <v>10.4</v>
      </c>
      <c r="F17" s="202">
        <f t="shared" si="3"/>
        <v>62.400000000000006</v>
      </c>
      <c r="G17" s="190">
        <f t="shared" si="4"/>
        <v>3.1200000000000006</v>
      </c>
      <c r="H17" s="190">
        <f t="shared" si="5"/>
        <v>6.2400000000000011</v>
      </c>
      <c r="I17" s="262">
        <f t="shared" si="6"/>
        <v>8872.1942400000007</v>
      </c>
      <c r="J17" s="203"/>
      <c r="N17" s="150">
        <f t="shared" si="0"/>
        <v>10.4</v>
      </c>
    </row>
    <row r="18" spans="1:14" ht="25.5" customHeight="1" x14ac:dyDescent="0.3">
      <c r="A18" s="306" t="s">
        <v>151</v>
      </c>
      <c r="B18" s="204"/>
      <c r="C18" s="205"/>
      <c r="D18" s="204"/>
      <c r="E18" s="206"/>
      <c r="F18" s="202"/>
      <c r="G18" s="190"/>
      <c r="H18" s="190"/>
      <c r="I18" s="199"/>
      <c r="N18" s="150">
        <f t="shared" si="0"/>
        <v>0</v>
      </c>
    </row>
    <row r="19" spans="1:14" ht="26" x14ac:dyDescent="0.3">
      <c r="A19" s="301" t="s">
        <v>154</v>
      </c>
      <c r="B19" s="190">
        <v>0.3</v>
      </c>
      <c r="C19" s="115">
        <v>330</v>
      </c>
      <c r="D19" s="190">
        <f>B19*C19</f>
        <v>99</v>
      </c>
      <c r="E19" s="201">
        <f>L15+L16</f>
        <v>104</v>
      </c>
      <c r="F19" s="202">
        <f t="shared" si="3"/>
        <v>10296</v>
      </c>
      <c r="G19" s="190">
        <f t="shared" si="4"/>
        <v>514.80000000000007</v>
      </c>
      <c r="H19" s="190">
        <f t="shared" si="5"/>
        <v>1029.6000000000001</v>
      </c>
      <c r="I19" s="262">
        <f t="shared" si="6"/>
        <v>1463912.0496</v>
      </c>
      <c r="N19" s="150">
        <f t="shared" si="0"/>
        <v>34320</v>
      </c>
    </row>
    <row r="20" spans="1:14" ht="26" x14ac:dyDescent="0.3">
      <c r="A20" s="301" t="s">
        <v>155</v>
      </c>
      <c r="B20" s="190"/>
      <c r="C20" s="192"/>
      <c r="D20" s="193"/>
      <c r="E20" s="207"/>
      <c r="F20" s="193"/>
      <c r="G20" s="193"/>
      <c r="H20" s="193"/>
      <c r="I20" s="193"/>
      <c r="N20" s="150">
        <f t="shared" si="0"/>
        <v>0</v>
      </c>
    </row>
    <row r="21" spans="1:14" ht="26" x14ac:dyDescent="0.3">
      <c r="A21" s="301" t="s">
        <v>156</v>
      </c>
      <c r="B21" s="190"/>
      <c r="C21" s="192"/>
      <c r="D21" s="193"/>
      <c r="E21" s="207"/>
      <c r="F21" s="193"/>
      <c r="G21" s="193"/>
      <c r="H21" s="193"/>
      <c r="I21" s="193"/>
      <c r="N21" s="150">
        <f t="shared" si="0"/>
        <v>0</v>
      </c>
    </row>
    <row r="22" spans="1:14" x14ac:dyDescent="0.3">
      <c r="A22" s="301" t="s">
        <v>157</v>
      </c>
      <c r="B22" s="193"/>
      <c r="C22" s="192"/>
      <c r="D22" s="193"/>
      <c r="E22" s="207"/>
      <c r="F22" s="193"/>
      <c r="G22" s="193"/>
      <c r="H22" s="193"/>
      <c r="I22" s="193"/>
      <c r="N22" s="150">
        <f t="shared" si="0"/>
        <v>0</v>
      </c>
    </row>
    <row r="23" spans="1:14" x14ac:dyDescent="0.3">
      <c r="A23" s="307" t="s">
        <v>158</v>
      </c>
      <c r="B23" s="190"/>
      <c r="C23" s="115"/>
      <c r="D23" s="190"/>
      <c r="E23" s="201"/>
      <c r="F23" s="190"/>
      <c r="G23" s="190"/>
      <c r="H23" s="190"/>
      <c r="I23" s="199"/>
      <c r="N23" s="150">
        <f t="shared" si="0"/>
        <v>0</v>
      </c>
    </row>
    <row r="24" spans="1:14" ht="26" x14ac:dyDescent="0.3">
      <c r="A24" s="301" t="s">
        <v>159</v>
      </c>
      <c r="B24" s="190">
        <v>2</v>
      </c>
      <c r="C24" s="115">
        <v>1</v>
      </c>
      <c r="D24" s="190">
        <v>2</v>
      </c>
      <c r="E24" s="201">
        <f>L13</f>
        <v>7.2800000000000011</v>
      </c>
      <c r="F24" s="190">
        <f t="shared" ref="F24:F28" si="9">D24*E24</f>
        <v>14.560000000000002</v>
      </c>
      <c r="G24" s="190">
        <f t="shared" ref="G24:G28" si="10">F24*0.05</f>
        <v>0.7280000000000002</v>
      </c>
      <c r="H24" s="190">
        <f t="shared" ref="H24:H28" si="11">F24*0.1</f>
        <v>1.4560000000000004</v>
      </c>
      <c r="I24" s="262">
        <f>F24*$L$8+G24*$L$7+H24*$L$9</f>
        <v>2070.178656</v>
      </c>
      <c r="N24" s="150">
        <f t="shared" si="0"/>
        <v>7.2800000000000011</v>
      </c>
    </row>
    <row r="25" spans="1:14" ht="25.5" customHeight="1" x14ac:dyDescent="0.3">
      <c r="A25" s="301" t="s">
        <v>160</v>
      </c>
      <c r="B25" s="190">
        <v>2</v>
      </c>
      <c r="C25" s="115">
        <v>1</v>
      </c>
      <c r="D25" s="190">
        <v>2</v>
      </c>
      <c r="E25" s="201">
        <f>L13</f>
        <v>7.2800000000000011</v>
      </c>
      <c r="F25" s="190">
        <f t="shared" si="9"/>
        <v>14.560000000000002</v>
      </c>
      <c r="G25" s="190">
        <f t="shared" si="10"/>
        <v>0.7280000000000002</v>
      </c>
      <c r="H25" s="190">
        <f t="shared" si="11"/>
        <v>1.4560000000000004</v>
      </c>
      <c r="I25" s="262">
        <f>F25*$L$8+G25*$L$7+H25*$L$9</f>
        <v>2070.178656</v>
      </c>
      <c r="N25" s="150">
        <f t="shared" si="0"/>
        <v>7.2800000000000011</v>
      </c>
    </row>
    <row r="26" spans="1:14" ht="39" x14ac:dyDescent="0.3">
      <c r="A26" s="301" t="s">
        <v>400</v>
      </c>
      <c r="B26" s="190">
        <v>2</v>
      </c>
      <c r="C26" s="115">
        <v>1</v>
      </c>
      <c r="D26" s="190">
        <v>2</v>
      </c>
      <c r="E26" s="201">
        <f>L13-E27</f>
        <v>6.5520000000000014</v>
      </c>
      <c r="F26" s="190">
        <f t="shared" si="9"/>
        <v>13.104000000000003</v>
      </c>
      <c r="G26" s="190">
        <f t="shared" si="10"/>
        <v>0.65520000000000023</v>
      </c>
      <c r="H26" s="190">
        <f t="shared" si="11"/>
        <v>1.3104000000000005</v>
      </c>
      <c r="I26" s="262">
        <f>F26*$L$8+G26*$L$7+H26*$L$9</f>
        <v>1863.1607904000002</v>
      </c>
      <c r="N26" s="150">
        <f t="shared" si="0"/>
        <v>6.5520000000000014</v>
      </c>
    </row>
    <row r="27" spans="1:14" ht="67.5" x14ac:dyDescent="0.3">
      <c r="A27" s="301" t="s">
        <v>494</v>
      </c>
      <c r="B27" s="190">
        <v>10</v>
      </c>
      <c r="C27" s="115">
        <v>1</v>
      </c>
      <c r="D27" s="190">
        <f>B27*C27</f>
        <v>10</v>
      </c>
      <c r="E27" s="201">
        <f>0.1*E24</f>
        <v>0.7280000000000002</v>
      </c>
      <c r="F27" s="190">
        <f t="shared" si="9"/>
        <v>7.280000000000002</v>
      </c>
      <c r="G27" s="190">
        <f t="shared" si="10"/>
        <v>0.3640000000000001</v>
      </c>
      <c r="H27" s="190">
        <f t="shared" si="11"/>
        <v>0.7280000000000002</v>
      </c>
      <c r="I27" s="262">
        <f>F27*$L$8+G27*$L$7+H27*$L$9</f>
        <v>1035.0893280000003</v>
      </c>
      <c r="N27" s="150">
        <f t="shared" si="0"/>
        <v>0.7280000000000002</v>
      </c>
    </row>
    <row r="28" spans="1:14" ht="74.150000000000006" customHeight="1" x14ac:dyDescent="0.3">
      <c r="A28" s="301" t="s">
        <v>495</v>
      </c>
      <c r="B28" s="190">
        <v>0</v>
      </c>
      <c r="C28" s="115">
        <v>0</v>
      </c>
      <c r="D28" s="190">
        <f>B28*C28</f>
        <v>0</v>
      </c>
      <c r="E28" s="201"/>
      <c r="F28" s="190">
        <f t="shared" si="9"/>
        <v>0</v>
      </c>
      <c r="G28" s="190">
        <f t="shared" si="10"/>
        <v>0</v>
      </c>
      <c r="H28" s="190">
        <f t="shared" si="11"/>
        <v>0</v>
      </c>
      <c r="I28" s="197">
        <f>F28*$L$8+G28*$L$7+H28*$L$9</f>
        <v>0</v>
      </c>
      <c r="N28" s="150">
        <f t="shared" si="0"/>
        <v>0</v>
      </c>
    </row>
    <row r="29" spans="1:14" x14ac:dyDescent="0.3">
      <c r="A29" s="307" t="s">
        <v>163</v>
      </c>
      <c r="B29" s="193"/>
      <c r="C29" s="192"/>
      <c r="D29" s="193"/>
      <c r="E29" s="207"/>
      <c r="F29" s="193"/>
      <c r="G29" s="193"/>
      <c r="H29" s="193"/>
      <c r="I29" s="193"/>
      <c r="N29" s="150">
        <f t="shared" si="0"/>
        <v>0</v>
      </c>
    </row>
    <row r="30" spans="1:14" ht="26" x14ac:dyDescent="0.3">
      <c r="A30" s="301" t="s">
        <v>159</v>
      </c>
      <c r="B30" s="190">
        <v>2</v>
      </c>
      <c r="C30" s="115">
        <v>1</v>
      </c>
      <c r="D30" s="190">
        <v>2</v>
      </c>
      <c r="E30" s="201">
        <f>L16</f>
        <v>26</v>
      </c>
      <c r="F30" s="190">
        <f>D30*E30</f>
        <v>52</v>
      </c>
      <c r="G30" s="190">
        <f>F30*0.05</f>
        <v>2.6</v>
      </c>
      <c r="H30" s="190">
        <f>F30*0.1</f>
        <v>5.2</v>
      </c>
      <c r="I30" s="262">
        <f>F30*$L$8+G30*$L$7+H30*$L$9</f>
        <v>7393.4952000000003</v>
      </c>
      <c r="N30" s="150">
        <f t="shared" si="0"/>
        <v>26</v>
      </c>
    </row>
    <row r="31" spans="1:14" ht="26" x14ac:dyDescent="0.3">
      <c r="A31" s="301" t="s">
        <v>160</v>
      </c>
      <c r="B31" s="190">
        <v>2</v>
      </c>
      <c r="C31" s="115">
        <v>1</v>
      </c>
      <c r="D31" s="190">
        <v>2</v>
      </c>
      <c r="E31" s="201">
        <f>L14</f>
        <v>208</v>
      </c>
      <c r="F31" s="190">
        <f>D31*E31</f>
        <v>416</v>
      </c>
      <c r="G31" s="190">
        <f>F31*0.05</f>
        <v>20.8</v>
      </c>
      <c r="H31" s="190">
        <f>F31*0.1</f>
        <v>41.6</v>
      </c>
      <c r="I31" s="262">
        <f>F31*$L$8+G31*$L$7+H31*$L$9</f>
        <v>59147.961600000002</v>
      </c>
      <c r="N31" s="150">
        <f t="shared" si="0"/>
        <v>208</v>
      </c>
    </row>
    <row r="32" spans="1:14" ht="52" x14ac:dyDescent="0.3">
      <c r="A32" s="301" t="s">
        <v>465</v>
      </c>
      <c r="B32" s="190">
        <v>2</v>
      </c>
      <c r="C32" s="115">
        <v>1</v>
      </c>
      <c r="D32" s="190">
        <v>2</v>
      </c>
      <c r="E32" s="201">
        <f>L14-E33</f>
        <v>207.27199999999999</v>
      </c>
      <c r="F32" s="190">
        <f>D32*E32</f>
        <v>414.54399999999998</v>
      </c>
      <c r="G32" s="190">
        <f>F32*0.05</f>
        <v>20.7272</v>
      </c>
      <c r="H32" s="190">
        <f>F32*0.1</f>
        <v>41.4544</v>
      </c>
      <c r="I32" s="262">
        <f>F32*$L$8+G32*$L$7+H32*$L$9</f>
        <v>58940.943734399996</v>
      </c>
      <c r="N32" s="150">
        <f t="shared" si="0"/>
        <v>207.27199999999999</v>
      </c>
    </row>
    <row r="33" spans="1:14" ht="67.5" x14ac:dyDescent="0.3">
      <c r="A33" s="301" t="s">
        <v>494</v>
      </c>
      <c r="B33" s="190">
        <v>10</v>
      </c>
      <c r="C33" s="115">
        <v>1</v>
      </c>
      <c r="D33" s="190">
        <f>B33*C33</f>
        <v>10</v>
      </c>
      <c r="E33" s="201">
        <f>0.1*L13</f>
        <v>0.7280000000000002</v>
      </c>
      <c r="F33" s="190">
        <f>D33*E33</f>
        <v>7.280000000000002</v>
      </c>
      <c r="G33" s="190">
        <f>F33*0.05</f>
        <v>0.3640000000000001</v>
      </c>
      <c r="H33" s="190">
        <f>F33*0.1</f>
        <v>0.7280000000000002</v>
      </c>
      <c r="I33" s="262">
        <f>F33*$L$8+G33*$L$7+H33*$L$9</f>
        <v>1035.0893280000003</v>
      </c>
      <c r="N33" s="150">
        <f t="shared" si="0"/>
        <v>0.7280000000000002</v>
      </c>
    </row>
    <row r="34" spans="1:14" ht="91" x14ac:dyDescent="0.3">
      <c r="A34" s="301" t="s">
        <v>496</v>
      </c>
      <c r="B34" s="190">
        <v>2</v>
      </c>
      <c r="C34" s="115">
        <v>4</v>
      </c>
      <c r="D34" s="190">
        <f t="shared" ref="D34" si="12">B34*C34</f>
        <v>8</v>
      </c>
      <c r="E34" s="319">
        <f>L15+L16</f>
        <v>104</v>
      </c>
      <c r="F34" s="190">
        <f t="shared" ref="F34" si="13">D34*E34</f>
        <v>832</v>
      </c>
      <c r="G34" s="190">
        <f t="shared" ref="G34" si="14">F34*0.05</f>
        <v>41.6</v>
      </c>
      <c r="H34" s="190">
        <f t="shared" ref="H34" si="15">F34*0.1</f>
        <v>83.2</v>
      </c>
      <c r="I34" s="262">
        <f>F34*$L$8+G34*$L$7+H34*$L$9</f>
        <v>118295.9232</v>
      </c>
      <c r="N34" s="150">
        <f t="shared" si="0"/>
        <v>416</v>
      </c>
    </row>
    <row r="35" spans="1:14" ht="23.5" customHeight="1" x14ac:dyDescent="0.3">
      <c r="A35" s="208" t="s">
        <v>167</v>
      </c>
      <c r="B35" s="209"/>
      <c r="C35" s="210"/>
      <c r="D35" s="209"/>
      <c r="E35" s="211"/>
      <c r="F35" s="212">
        <f>SUM(F8:H34)</f>
        <v>15437.130799999997</v>
      </c>
      <c r="G35" s="212"/>
      <c r="H35" s="212"/>
      <c r="I35" s="213">
        <f>SUM(I8:I34)</f>
        <v>1908601.2118992002</v>
      </c>
      <c r="N35" s="150">
        <f t="shared" si="0"/>
        <v>0</v>
      </c>
    </row>
    <row r="36" spans="1:14" ht="26" x14ac:dyDescent="0.3">
      <c r="A36" s="182" t="s">
        <v>168</v>
      </c>
      <c r="B36" s="193"/>
      <c r="C36" s="192"/>
      <c r="D36" s="193"/>
      <c r="E36" s="207"/>
      <c r="F36" s="193"/>
      <c r="G36" s="193"/>
      <c r="H36" s="193"/>
      <c r="I36" s="193"/>
      <c r="N36" s="150">
        <f t="shared" si="0"/>
        <v>0</v>
      </c>
    </row>
    <row r="37" spans="1:14" ht="26" x14ac:dyDescent="0.3">
      <c r="A37" s="301" t="s">
        <v>132</v>
      </c>
      <c r="B37" s="190"/>
      <c r="C37" s="192"/>
      <c r="D37" s="193"/>
      <c r="E37" s="192"/>
      <c r="F37" s="193"/>
      <c r="G37" s="193"/>
      <c r="H37" s="193"/>
      <c r="I37" s="193"/>
      <c r="N37" s="150">
        <f t="shared" si="0"/>
        <v>0</v>
      </c>
    </row>
    <row r="38" spans="1:14" x14ac:dyDescent="0.3">
      <c r="A38" s="301" t="s">
        <v>169</v>
      </c>
      <c r="B38" s="190"/>
      <c r="C38" s="192"/>
      <c r="D38" s="193"/>
      <c r="E38" s="192"/>
      <c r="F38" s="193"/>
      <c r="G38" s="193"/>
      <c r="H38" s="193"/>
      <c r="I38" s="193"/>
      <c r="N38" s="150">
        <f t="shared" si="0"/>
        <v>0</v>
      </c>
    </row>
    <row r="39" spans="1:14" x14ac:dyDescent="0.3">
      <c r="A39" s="301" t="s">
        <v>170</v>
      </c>
      <c r="B39" s="190"/>
      <c r="C39" s="192"/>
      <c r="D39" s="193"/>
      <c r="E39" s="192"/>
      <c r="F39" s="193"/>
      <c r="G39" s="193"/>
      <c r="H39" s="193"/>
      <c r="I39" s="193"/>
      <c r="N39" s="150">
        <f t="shared" si="0"/>
        <v>0</v>
      </c>
    </row>
    <row r="40" spans="1:14" x14ac:dyDescent="0.3">
      <c r="A40" s="301" t="s">
        <v>171</v>
      </c>
      <c r="B40" s="190" t="s">
        <v>122</v>
      </c>
      <c r="C40" s="192"/>
      <c r="D40" s="193"/>
      <c r="E40" s="192"/>
      <c r="F40" s="193"/>
      <c r="G40" s="193"/>
      <c r="H40" s="193"/>
      <c r="I40" s="193"/>
      <c r="N40" s="150">
        <f t="shared" si="0"/>
        <v>0</v>
      </c>
    </row>
    <row r="41" spans="1:14" ht="26" x14ac:dyDescent="0.3">
      <c r="A41" s="301" t="s">
        <v>172</v>
      </c>
      <c r="B41" s="193"/>
      <c r="C41" s="192"/>
      <c r="D41" s="193"/>
      <c r="E41" s="192"/>
      <c r="F41" s="193"/>
      <c r="G41" s="193"/>
      <c r="H41" s="193"/>
      <c r="I41" s="193"/>
      <c r="N41" s="150">
        <f t="shared" si="0"/>
        <v>0</v>
      </c>
    </row>
    <row r="42" spans="1:14" x14ac:dyDescent="0.3">
      <c r="A42" s="307" t="s">
        <v>163</v>
      </c>
      <c r="B42" s="193"/>
      <c r="C42" s="192"/>
      <c r="D42" s="193"/>
      <c r="E42" s="192"/>
      <c r="F42" s="193"/>
      <c r="G42" s="193"/>
      <c r="H42" s="193"/>
      <c r="I42" s="193"/>
      <c r="N42" s="150">
        <f t="shared" si="0"/>
        <v>0</v>
      </c>
    </row>
    <row r="43" spans="1:14" ht="15.65" customHeight="1" x14ac:dyDescent="0.3">
      <c r="A43" s="301" t="s">
        <v>173</v>
      </c>
      <c r="B43" s="190">
        <v>0.1</v>
      </c>
      <c r="C43" s="115">
        <v>1</v>
      </c>
      <c r="D43" s="190">
        <f t="shared" ref="D43:D48" si="16">B43*C43</f>
        <v>0.1</v>
      </c>
      <c r="E43" s="201">
        <f>$L$14</f>
        <v>208</v>
      </c>
      <c r="F43" s="202">
        <f t="shared" ref="F43:F48" si="17">D43*E43</f>
        <v>20.8</v>
      </c>
      <c r="G43" s="190">
        <f t="shared" ref="G43:G48" si="18">F43*0.05</f>
        <v>1.04</v>
      </c>
      <c r="H43" s="190">
        <f t="shared" ref="H43:H48" si="19">F43*0.1</f>
        <v>2.08</v>
      </c>
      <c r="I43" s="262">
        <f>F43*$L$8+G43*$L$7+H43*$L$9</f>
        <v>2957.3980800000004</v>
      </c>
      <c r="N43" s="150">
        <f t="shared" si="0"/>
        <v>208</v>
      </c>
    </row>
    <row r="44" spans="1:14" ht="91.5" customHeight="1" x14ac:dyDescent="0.3">
      <c r="A44" s="301" t="s">
        <v>497</v>
      </c>
      <c r="B44" s="190">
        <v>0.1</v>
      </c>
      <c r="C44" s="115">
        <v>330</v>
      </c>
      <c r="D44" s="190">
        <f t="shared" si="16"/>
        <v>33</v>
      </c>
      <c r="E44" s="201">
        <f>E43</f>
        <v>208</v>
      </c>
      <c r="F44" s="202">
        <f t="shared" si="17"/>
        <v>6864</v>
      </c>
      <c r="G44" s="190">
        <f t="shared" si="18"/>
        <v>343.20000000000005</v>
      </c>
      <c r="H44" s="190">
        <f t="shared" si="19"/>
        <v>686.40000000000009</v>
      </c>
      <c r="I44" s="262">
        <f>F44*$L$8+G44*$L$7+H44*$L$9</f>
        <v>975941.36639999994</v>
      </c>
      <c r="N44" s="150">
        <f t="shared" si="0"/>
        <v>68640</v>
      </c>
    </row>
    <row r="45" spans="1:14" x14ac:dyDescent="0.3">
      <c r="A45" s="307" t="s">
        <v>158</v>
      </c>
      <c r="B45" s="190"/>
      <c r="C45" s="115"/>
      <c r="D45" s="190"/>
      <c r="E45" s="201"/>
      <c r="F45" s="202"/>
      <c r="G45" s="190"/>
      <c r="H45" s="190"/>
      <c r="I45" s="199"/>
      <c r="N45" s="150">
        <f t="shared" si="0"/>
        <v>0</v>
      </c>
    </row>
    <row r="46" spans="1:14" x14ac:dyDescent="0.3">
      <c r="A46" s="301" t="s">
        <v>173</v>
      </c>
      <c r="B46" s="190">
        <v>1.5</v>
      </c>
      <c r="C46" s="115">
        <v>1</v>
      </c>
      <c r="D46" s="190">
        <f>B46*C46</f>
        <v>1.5</v>
      </c>
      <c r="E46" s="201">
        <f>'BPPI-Y1'!$L$14</f>
        <v>14.560000000000002</v>
      </c>
      <c r="F46" s="202">
        <f t="shared" ref="F46:F47" si="20">D46*E46</f>
        <v>21.840000000000003</v>
      </c>
      <c r="G46" s="190">
        <f t="shared" ref="G46:G47" si="21">F46*0.05</f>
        <v>1.0920000000000003</v>
      </c>
      <c r="H46" s="190">
        <f t="shared" ref="H46:H47" si="22">F46*0.1</f>
        <v>2.1840000000000006</v>
      </c>
      <c r="I46" s="197">
        <f>F46*$L$8+G46*$L$7+H46*$L$9</f>
        <v>3105.2679840000005</v>
      </c>
      <c r="N46" s="150">
        <f t="shared" si="0"/>
        <v>14.560000000000002</v>
      </c>
    </row>
    <row r="47" spans="1:14" ht="109" customHeight="1" x14ac:dyDescent="0.3">
      <c r="A47" s="301" t="s">
        <v>497</v>
      </c>
      <c r="B47" s="190">
        <v>0.1</v>
      </c>
      <c r="C47" s="115">
        <v>330</v>
      </c>
      <c r="D47" s="190">
        <f t="shared" ref="D47" si="23">B47*C47</f>
        <v>33</v>
      </c>
      <c r="E47" s="201">
        <f>'BPPI-Y1'!$L$14</f>
        <v>14.560000000000002</v>
      </c>
      <c r="F47" s="202">
        <f t="shared" si="20"/>
        <v>480.48000000000008</v>
      </c>
      <c r="G47" s="190">
        <f t="shared" si="21"/>
        <v>24.024000000000004</v>
      </c>
      <c r="H47" s="190">
        <f t="shared" si="22"/>
        <v>48.048000000000009</v>
      </c>
      <c r="I47" s="197">
        <f>F47*$L$8+G47*$L$7+H47*$L$9</f>
        <v>68315.895648000005</v>
      </c>
      <c r="N47" s="150">
        <f t="shared" si="0"/>
        <v>4804.8000000000011</v>
      </c>
    </row>
    <row r="48" spans="1:14" ht="20.5" customHeight="1" x14ac:dyDescent="0.3">
      <c r="A48" s="301" t="s">
        <v>313</v>
      </c>
      <c r="B48" s="190">
        <v>0</v>
      </c>
      <c r="C48" s="115">
        <v>0</v>
      </c>
      <c r="D48" s="190">
        <f t="shared" si="16"/>
        <v>0</v>
      </c>
      <c r="E48" s="201">
        <f>$L$12</f>
        <v>0</v>
      </c>
      <c r="F48" s="202">
        <f t="shared" si="17"/>
        <v>0</v>
      </c>
      <c r="G48" s="190">
        <f t="shared" si="18"/>
        <v>0</v>
      </c>
      <c r="H48" s="190">
        <f t="shared" si="19"/>
        <v>0</v>
      </c>
      <c r="I48" s="197">
        <f>F48*$L$8+G48*$L$7+H48*$L$9</f>
        <v>0</v>
      </c>
      <c r="N48" s="150">
        <f t="shared" si="0"/>
        <v>0</v>
      </c>
    </row>
    <row r="49" spans="1:15" x14ac:dyDescent="0.3">
      <c r="A49" s="301" t="s">
        <v>186</v>
      </c>
      <c r="B49" s="190" t="s">
        <v>122</v>
      </c>
      <c r="C49" s="192"/>
      <c r="D49" s="193"/>
      <c r="E49" s="192"/>
      <c r="F49" s="193"/>
      <c r="G49" s="193"/>
      <c r="H49" s="193"/>
      <c r="I49" s="193"/>
      <c r="N49" s="150">
        <f t="shared" si="0"/>
        <v>0</v>
      </c>
    </row>
    <row r="50" spans="1:15" ht="27" x14ac:dyDescent="0.3">
      <c r="A50" s="208" t="s">
        <v>188</v>
      </c>
      <c r="B50" s="214"/>
      <c r="C50" s="215"/>
      <c r="D50" s="214"/>
      <c r="E50" s="216"/>
      <c r="F50" s="212">
        <f>SUM(F43:H48)</f>
        <v>8495.1880000000001</v>
      </c>
      <c r="G50" s="212"/>
      <c r="H50" s="212"/>
      <c r="I50" s="213">
        <f>SUM(I43:I49)</f>
        <v>1050319.928112</v>
      </c>
      <c r="N50" s="150">
        <f>SUM(N6:N49)</f>
        <v>109093.24400000001</v>
      </c>
    </row>
    <row r="51" spans="1:15" ht="28.5" customHeight="1" x14ac:dyDescent="0.3">
      <c r="A51" s="184" t="s">
        <v>189</v>
      </c>
      <c r="B51" s="217"/>
      <c r="C51" s="218"/>
      <c r="D51" s="217"/>
      <c r="E51" s="219"/>
      <c r="F51" s="481">
        <f>ROUND(F50+F35, -2)</f>
        <v>23900</v>
      </c>
      <c r="G51" s="481"/>
      <c r="H51" s="481"/>
      <c r="I51" s="220">
        <f>ROUND(I50+I35, -4)</f>
        <v>2960000</v>
      </c>
      <c r="K51" s="221">
        <f>F51/212</f>
        <v>112.73584905660377</v>
      </c>
      <c r="L51" s="150" t="s">
        <v>190</v>
      </c>
      <c r="N51" s="150">
        <f>N50-N19</f>
        <v>74773.244000000006</v>
      </c>
      <c r="O51" s="150" t="s">
        <v>248</v>
      </c>
    </row>
    <row r="52" spans="1:15" ht="28" x14ac:dyDescent="0.3">
      <c r="A52" s="222" t="s">
        <v>191</v>
      </c>
      <c r="B52" s="193"/>
      <c r="C52" s="192"/>
      <c r="D52" s="193"/>
      <c r="E52" s="192"/>
      <c r="F52" s="193"/>
      <c r="G52" s="193"/>
      <c r="H52" s="193"/>
      <c r="I52" s="220"/>
      <c r="O52" s="150" t="s">
        <v>357</v>
      </c>
    </row>
    <row r="53" spans="1:15" ht="42" customHeight="1" x14ac:dyDescent="0.3">
      <c r="A53" s="222" t="s">
        <v>192</v>
      </c>
      <c r="B53" s="193"/>
      <c r="C53" s="192"/>
      <c r="D53" s="193"/>
      <c r="E53" s="192"/>
      <c r="F53" s="193"/>
      <c r="G53" s="193"/>
      <c r="H53" s="193"/>
      <c r="I53" s="220">
        <f>ROUND(I51+I52, -5)</f>
        <v>3000000</v>
      </c>
    </row>
    <row r="55" spans="1:15" ht="26.15" customHeight="1" x14ac:dyDescent="0.3">
      <c r="A55" s="482" t="s">
        <v>490</v>
      </c>
      <c r="B55" s="482"/>
      <c r="C55" s="482"/>
      <c r="D55" s="482"/>
      <c r="E55" s="482"/>
      <c r="F55" s="482"/>
      <c r="G55" s="482"/>
      <c r="H55" s="482"/>
      <c r="I55" s="482"/>
    </row>
    <row r="56" spans="1:15" ht="68.150000000000006" customHeight="1" x14ac:dyDescent="0.3">
      <c r="A56" s="446" t="s">
        <v>194</v>
      </c>
      <c r="B56" s="446"/>
      <c r="C56" s="446"/>
      <c r="D56" s="446"/>
      <c r="E56" s="446"/>
      <c r="F56" s="446"/>
      <c r="G56" s="446"/>
      <c r="H56" s="446"/>
      <c r="I56" s="446"/>
    </row>
    <row r="57" spans="1:15" ht="24" customHeight="1" x14ac:dyDescent="0.3">
      <c r="A57" s="482" t="s">
        <v>359</v>
      </c>
      <c r="B57" s="482"/>
      <c r="C57" s="482"/>
      <c r="D57" s="482"/>
      <c r="E57" s="482"/>
      <c r="F57" s="482"/>
      <c r="G57" s="482"/>
      <c r="H57" s="482"/>
      <c r="I57" s="482"/>
    </row>
    <row r="58" spans="1:15" ht="30" customHeight="1" x14ac:dyDescent="0.3">
      <c r="A58" s="483" t="s">
        <v>360</v>
      </c>
      <c r="B58" s="483"/>
      <c r="C58" s="483"/>
      <c r="D58" s="483"/>
      <c r="E58" s="483"/>
      <c r="F58" s="483"/>
      <c r="G58" s="483"/>
      <c r="H58" s="483"/>
      <c r="I58" s="483"/>
    </row>
    <row r="59" spans="1:15" ht="17.149999999999999" customHeight="1" x14ac:dyDescent="0.3">
      <c r="A59" s="500" t="s">
        <v>197</v>
      </c>
      <c r="B59" s="500"/>
      <c r="C59" s="500"/>
      <c r="D59" s="500"/>
      <c r="E59" s="500"/>
      <c r="F59" s="500"/>
      <c r="G59" s="500"/>
      <c r="H59" s="500"/>
      <c r="I59" s="500"/>
    </row>
    <row r="60" spans="1:15" ht="35.15" customHeight="1" x14ac:dyDescent="0.3">
      <c r="A60" s="479" t="s">
        <v>466</v>
      </c>
      <c r="B60" s="479"/>
      <c r="C60" s="479"/>
      <c r="D60" s="479"/>
      <c r="E60" s="479"/>
      <c r="F60" s="479"/>
      <c r="G60" s="479"/>
      <c r="H60" s="479"/>
      <c r="I60" s="479"/>
    </row>
    <row r="61" spans="1:15" ht="18.75" customHeight="1" x14ac:dyDescent="0.3">
      <c r="A61" s="479" t="s">
        <v>361</v>
      </c>
      <c r="B61" s="479"/>
      <c r="C61" s="479"/>
      <c r="D61" s="479"/>
      <c r="E61" s="479"/>
      <c r="F61" s="479"/>
      <c r="G61" s="479"/>
      <c r="H61" s="479"/>
      <c r="I61" s="479"/>
    </row>
    <row r="62" spans="1:15" ht="19.5" customHeight="1" x14ac:dyDescent="0.3"/>
  </sheetData>
  <mergeCells count="11">
    <mergeCell ref="A56:I56"/>
    <mergeCell ref="A1:I1"/>
    <mergeCell ref="A3:I3"/>
    <mergeCell ref="K6:L6"/>
    <mergeCell ref="F51:H51"/>
    <mergeCell ref="A55:I55"/>
    <mergeCell ref="A57:I57"/>
    <mergeCell ref="A58:I58"/>
    <mergeCell ref="A59:I59"/>
    <mergeCell ref="A60:I60"/>
    <mergeCell ref="A61:I61"/>
  </mergeCells>
  <pageMargins left="0.7" right="0.7" top="0.75" bottom="0.75" header="0.3" footer="0.3"/>
  <pageSetup scale="3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89E30-1200-4CAE-90BF-139200CFC4A7}">
  <sheetPr>
    <pageSetUpPr fitToPage="1"/>
  </sheetPr>
  <dimension ref="A1:O62"/>
  <sheetViews>
    <sheetView zoomScale="80" zoomScaleNormal="80" workbookViewId="0">
      <pane xSplit="13" ySplit="5" topLeftCell="N39" activePane="bottomRight" state="frozen"/>
      <selection pane="topRight" activeCell="D5" sqref="D5"/>
      <selection pane="bottomLeft" activeCell="D5" sqref="D5"/>
      <selection pane="bottomRight" activeCell="I43" sqref="I43"/>
    </sheetView>
  </sheetViews>
  <sheetFormatPr defaultColWidth="9.1796875" defaultRowHeight="13" x14ac:dyDescent="0.3"/>
  <cols>
    <col min="1" max="1" width="24.4531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25.453125" style="150" customWidth="1"/>
    <col min="14" max="14" width="20.453125" style="150" customWidth="1"/>
    <col min="15" max="15" width="14.1796875" style="150" customWidth="1"/>
    <col min="16" max="16384" width="9.1796875" style="150"/>
  </cols>
  <sheetData>
    <row r="1" spans="1:14" s="188" customFormat="1" ht="29.5" customHeight="1" x14ac:dyDescent="0.3">
      <c r="A1" s="462" t="s">
        <v>481</v>
      </c>
      <c r="B1" s="462"/>
      <c r="C1" s="462"/>
      <c r="D1" s="462"/>
      <c r="E1" s="462"/>
      <c r="F1" s="462"/>
      <c r="G1" s="462"/>
      <c r="H1" s="462"/>
      <c r="I1" s="462"/>
    </row>
    <row r="2" spans="1:14" s="188" customFormat="1" ht="15" x14ac:dyDescent="0.3">
      <c r="A2" s="423" t="s">
        <v>499</v>
      </c>
      <c r="B2" s="423"/>
      <c r="C2" s="423"/>
      <c r="D2" s="423"/>
      <c r="E2" s="423"/>
      <c r="F2" s="423"/>
      <c r="G2" s="423"/>
      <c r="H2" s="423"/>
      <c r="I2" s="423"/>
    </row>
    <row r="3" spans="1:14" s="188" customFormat="1" ht="33" customHeight="1" x14ac:dyDescent="0.3">
      <c r="A3" s="462" t="s">
        <v>463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41.5" customHeight="1" x14ac:dyDescent="0.3">
      <c r="A7" s="182" t="s">
        <v>124</v>
      </c>
      <c r="B7" s="190" t="s">
        <v>122</v>
      </c>
      <c r="C7" s="192"/>
      <c r="D7" s="193"/>
      <c r="E7" s="192"/>
      <c r="F7" s="193"/>
      <c r="G7" s="193"/>
      <c r="H7" s="193"/>
      <c r="I7" s="193"/>
      <c r="K7" s="194" t="s">
        <v>125</v>
      </c>
      <c r="L7" s="195">
        <f>76.96*2.1</f>
        <v>161.61599999999999</v>
      </c>
      <c r="M7" s="196" t="s">
        <v>126</v>
      </c>
      <c r="N7" s="150">
        <f t="shared" ref="N7:N49" si="0">C7*E7</f>
        <v>0</v>
      </c>
    </row>
    <row r="8" spans="1:14"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200" t="s">
        <v>355</v>
      </c>
      <c r="N11" s="150">
        <f t="shared" si="0"/>
        <v>0</v>
      </c>
    </row>
    <row r="12" spans="1:14" ht="15.5" x14ac:dyDescent="0.3">
      <c r="A12" s="306" t="s">
        <v>290</v>
      </c>
      <c r="B12" s="190"/>
      <c r="C12" s="115"/>
      <c r="D12" s="190"/>
      <c r="E12" s="201"/>
      <c r="F12" s="202"/>
      <c r="G12" s="190"/>
      <c r="H12" s="190"/>
      <c r="I12" s="199"/>
      <c r="K12" s="200"/>
      <c r="L12" s="200">
        <v>0</v>
      </c>
      <c r="N12" s="150">
        <f t="shared" si="0"/>
        <v>0</v>
      </c>
    </row>
    <row r="13" spans="1:14" ht="24" customHeight="1" x14ac:dyDescent="0.3">
      <c r="A13" s="116" t="s">
        <v>483</v>
      </c>
      <c r="B13" s="115">
        <v>6</v>
      </c>
      <c r="C13" s="115">
        <v>1</v>
      </c>
      <c r="D13" s="190">
        <f>B13*C13</f>
        <v>6</v>
      </c>
      <c r="E13" s="201">
        <f t="shared" ref="E13" si="1">L$13</f>
        <v>7.2800000000000011</v>
      </c>
      <c r="F13" s="202">
        <f>D13*E13</f>
        <v>43.680000000000007</v>
      </c>
      <c r="G13" s="190">
        <f>F13*0.05</f>
        <v>2.1840000000000006</v>
      </c>
      <c r="H13" s="190">
        <f>F13*0.1</f>
        <v>4.3680000000000012</v>
      </c>
      <c r="I13" s="262">
        <f>F13*$L$8+G13*$L$7+H13*$L$9</f>
        <v>6210.535968000001</v>
      </c>
      <c r="K13" s="200" t="s">
        <v>136</v>
      </c>
      <c r="L13" s="200">
        <f>(L15+L16)*0.07</f>
        <v>7.2800000000000011</v>
      </c>
      <c r="M13" s="264" t="s">
        <v>294</v>
      </c>
      <c r="N13" s="150">
        <f t="shared" si="0"/>
        <v>7.2800000000000011</v>
      </c>
    </row>
    <row r="14" spans="1:14" x14ac:dyDescent="0.3">
      <c r="A14" s="116" t="s">
        <v>293</v>
      </c>
      <c r="B14" s="115">
        <v>6</v>
      </c>
      <c r="C14" s="115">
        <v>1</v>
      </c>
      <c r="D14" s="190">
        <f t="shared" ref="D14" si="2">B14*C14</f>
        <v>6</v>
      </c>
      <c r="E14" s="201">
        <f>E13*0.05</f>
        <v>0.3640000000000001</v>
      </c>
      <c r="F14" s="202">
        <f t="shared" ref="F14:F19" si="3">D14*E14</f>
        <v>2.1840000000000006</v>
      </c>
      <c r="G14" s="190">
        <f t="shared" ref="G14:G19" si="4">F14*0.05</f>
        <v>0.10920000000000003</v>
      </c>
      <c r="H14" s="190">
        <f t="shared" ref="H14:H19" si="5">F14*0.1</f>
        <v>0.21840000000000007</v>
      </c>
      <c r="I14" s="262">
        <f t="shared" ref="I14:I19" si="6">F14*$L$8+G14*$L$7+H14*$L$9</f>
        <v>310.52679840000008</v>
      </c>
      <c r="J14" s="420"/>
      <c r="K14" s="200" t="s">
        <v>141</v>
      </c>
      <c r="L14" s="200">
        <f>'BPPI-Y1'!$L$15</f>
        <v>208</v>
      </c>
      <c r="N14" s="150">
        <f t="shared" si="0"/>
        <v>0.3640000000000001</v>
      </c>
    </row>
    <row r="15" spans="1:14" ht="34.5" customHeight="1" x14ac:dyDescent="0.3">
      <c r="A15" s="306" t="s">
        <v>297</v>
      </c>
      <c r="B15" s="190"/>
      <c r="C15" s="115"/>
      <c r="D15" s="190"/>
      <c r="E15" s="115"/>
      <c r="F15" s="202"/>
      <c r="G15" s="190"/>
      <c r="H15" s="190"/>
      <c r="I15" s="199"/>
      <c r="K15" s="420" t="s">
        <v>448</v>
      </c>
      <c r="L15" s="420">
        <f>104-26</f>
        <v>78</v>
      </c>
      <c r="M15" s="420"/>
      <c r="N15" s="150">
        <f t="shared" si="0"/>
        <v>0</v>
      </c>
    </row>
    <row r="16" spans="1:14" ht="40.5" customHeight="1" x14ac:dyDescent="0.3">
      <c r="A16" s="301" t="s">
        <v>483</v>
      </c>
      <c r="B16" s="190">
        <v>0</v>
      </c>
      <c r="C16" s="115">
        <v>0</v>
      </c>
      <c r="D16" s="190">
        <f>B16*C16</f>
        <v>0</v>
      </c>
      <c r="E16" s="201">
        <v>0</v>
      </c>
      <c r="F16" s="202">
        <f t="shared" si="3"/>
        <v>0</v>
      </c>
      <c r="G16" s="190">
        <f t="shared" si="4"/>
        <v>0</v>
      </c>
      <c r="H16" s="190">
        <f t="shared" si="5"/>
        <v>0</v>
      </c>
      <c r="I16" s="199">
        <f t="shared" si="6"/>
        <v>0</v>
      </c>
      <c r="J16" s="203"/>
      <c r="K16" s="420" t="s">
        <v>450</v>
      </c>
      <c r="L16" s="150">
        <v>26</v>
      </c>
      <c r="N16" s="150">
        <f t="shared" si="0"/>
        <v>0</v>
      </c>
    </row>
    <row r="17" spans="1:14" x14ac:dyDescent="0.3">
      <c r="A17" s="301" t="s">
        <v>300</v>
      </c>
      <c r="B17" s="190">
        <v>0</v>
      </c>
      <c r="C17" s="115">
        <v>0</v>
      </c>
      <c r="D17" s="190">
        <f t="shared" ref="D17" si="7">B17*C17</f>
        <v>0</v>
      </c>
      <c r="E17" s="201">
        <f>E16*0.05</f>
        <v>0</v>
      </c>
      <c r="F17" s="202">
        <f t="shared" si="3"/>
        <v>0</v>
      </c>
      <c r="G17" s="190">
        <f t="shared" si="4"/>
        <v>0</v>
      </c>
      <c r="H17" s="190">
        <f t="shared" si="5"/>
        <v>0</v>
      </c>
      <c r="I17" s="199">
        <f t="shared" si="6"/>
        <v>0</v>
      </c>
      <c r="J17" s="203"/>
      <c r="N17" s="150">
        <f t="shared" si="0"/>
        <v>0</v>
      </c>
    </row>
    <row r="18" spans="1:14" ht="25.5" customHeight="1" x14ac:dyDescent="0.3">
      <c r="A18" s="306" t="s">
        <v>151</v>
      </c>
      <c r="B18" s="204"/>
      <c r="C18" s="205"/>
      <c r="D18" s="204"/>
      <c r="E18" s="206"/>
      <c r="F18" s="202"/>
      <c r="G18" s="190"/>
      <c r="H18" s="190"/>
      <c r="I18" s="199"/>
      <c r="N18" s="150">
        <f t="shared" si="0"/>
        <v>0</v>
      </c>
    </row>
    <row r="19" spans="1:14" ht="26" x14ac:dyDescent="0.3">
      <c r="A19" s="301" t="s">
        <v>154</v>
      </c>
      <c r="B19" s="190">
        <v>0.3</v>
      </c>
      <c r="C19" s="115">
        <v>330</v>
      </c>
      <c r="D19" s="190">
        <f>B19*C19</f>
        <v>99</v>
      </c>
      <c r="E19" s="201">
        <f>L15+L16</f>
        <v>104</v>
      </c>
      <c r="F19" s="202">
        <f t="shared" si="3"/>
        <v>10296</v>
      </c>
      <c r="G19" s="190">
        <f t="shared" si="4"/>
        <v>514.80000000000007</v>
      </c>
      <c r="H19" s="190">
        <f t="shared" si="5"/>
        <v>1029.6000000000001</v>
      </c>
      <c r="I19" s="262">
        <f t="shared" si="6"/>
        <v>1463912.0496</v>
      </c>
      <c r="N19" s="150">
        <f t="shared" si="0"/>
        <v>34320</v>
      </c>
    </row>
    <row r="20" spans="1:14" ht="26" x14ac:dyDescent="0.3">
      <c r="A20" s="301" t="s">
        <v>155</v>
      </c>
      <c r="B20" s="190"/>
      <c r="C20" s="192"/>
      <c r="D20" s="193"/>
      <c r="E20" s="207"/>
      <c r="F20" s="193"/>
      <c r="G20" s="193"/>
      <c r="H20" s="193"/>
      <c r="I20" s="193"/>
      <c r="N20" s="150">
        <f t="shared" si="0"/>
        <v>0</v>
      </c>
    </row>
    <row r="21" spans="1:14" ht="26" x14ac:dyDescent="0.3">
      <c r="A21" s="301" t="s">
        <v>156</v>
      </c>
      <c r="B21" s="190"/>
      <c r="C21" s="192"/>
      <c r="D21" s="193"/>
      <c r="E21" s="207"/>
      <c r="F21" s="193"/>
      <c r="G21" s="193"/>
      <c r="H21" s="193"/>
      <c r="I21" s="193"/>
      <c r="N21" s="150">
        <f t="shared" si="0"/>
        <v>0</v>
      </c>
    </row>
    <row r="22" spans="1:14" x14ac:dyDescent="0.3">
      <c r="A22" s="301" t="s">
        <v>157</v>
      </c>
      <c r="B22" s="193"/>
      <c r="C22" s="192"/>
      <c r="D22" s="193"/>
      <c r="E22" s="207"/>
      <c r="F22" s="193"/>
      <c r="G22" s="193"/>
      <c r="H22" s="193"/>
      <c r="I22" s="193"/>
      <c r="N22" s="150">
        <f t="shared" si="0"/>
        <v>0</v>
      </c>
    </row>
    <row r="23" spans="1:14" x14ac:dyDescent="0.3">
      <c r="A23" s="307" t="s">
        <v>158</v>
      </c>
      <c r="B23" s="190"/>
      <c r="C23" s="115"/>
      <c r="D23" s="190"/>
      <c r="E23" s="201"/>
      <c r="F23" s="190"/>
      <c r="G23" s="190"/>
      <c r="H23" s="190"/>
      <c r="I23" s="199"/>
      <c r="N23" s="150">
        <f t="shared" si="0"/>
        <v>0</v>
      </c>
    </row>
    <row r="24" spans="1:14" ht="26" x14ac:dyDescent="0.3">
      <c r="A24" s="301" t="s">
        <v>159</v>
      </c>
      <c r="B24" s="190">
        <v>2</v>
      </c>
      <c r="C24" s="115">
        <v>1</v>
      </c>
      <c r="D24" s="190">
        <v>2</v>
      </c>
      <c r="E24" s="201">
        <f>L13</f>
        <v>7.2800000000000011</v>
      </c>
      <c r="F24" s="190">
        <f t="shared" ref="F24:F28" si="8">D24*E24</f>
        <v>14.560000000000002</v>
      </c>
      <c r="G24" s="190">
        <f t="shared" ref="G24:G28" si="9">F24*0.05</f>
        <v>0.7280000000000002</v>
      </c>
      <c r="H24" s="190">
        <f t="shared" ref="H24:H28" si="10">F24*0.1</f>
        <v>1.4560000000000004</v>
      </c>
      <c r="I24" s="262">
        <f>F24*$L$8+G24*$L$7+H24*$L$9</f>
        <v>2070.178656</v>
      </c>
      <c r="N24" s="150">
        <f t="shared" si="0"/>
        <v>7.2800000000000011</v>
      </c>
    </row>
    <row r="25" spans="1:14" ht="25.5" customHeight="1" x14ac:dyDescent="0.3">
      <c r="A25" s="301" t="s">
        <v>160</v>
      </c>
      <c r="B25" s="190">
        <v>2</v>
      </c>
      <c r="C25" s="115">
        <v>1</v>
      </c>
      <c r="D25" s="190">
        <v>2</v>
      </c>
      <c r="E25" s="201">
        <f>L13</f>
        <v>7.2800000000000011</v>
      </c>
      <c r="F25" s="190">
        <f t="shared" si="8"/>
        <v>14.560000000000002</v>
      </c>
      <c r="G25" s="190">
        <f t="shared" si="9"/>
        <v>0.7280000000000002</v>
      </c>
      <c r="H25" s="190">
        <f t="shared" si="10"/>
        <v>1.4560000000000004</v>
      </c>
      <c r="I25" s="262">
        <f>F25*$L$8+G25*$L$7+H25*$L$9</f>
        <v>2070.178656</v>
      </c>
      <c r="N25" s="150">
        <f t="shared" si="0"/>
        <v>7.2800000000000011</v>
      </c>
    </row>
    <row r="26" spans="1:14" ht="39" x14ac:dyDescent="0.3">
      <c r="A26" s="301" t="s">
        <v>400</v>
      </c>
      <c r="B26" s="190">
        <v>2</v>
      </c>
      <c r="C26" s="115">
        <v>1</v>
      </c>
      <c r="D26" s="190">
        <v>2</v>
      </c>
      <c r="E26" s="201">
        <f>L13-E27</f>
        <v>6.5520000000000014</v>
      </c>
      <c r="F26" s="190">
        <f t="shared" si="8"/>
        <v>13.104000000000003</v>
      </c>
      <c r="G26" s="190">
        <f t="shared" si="9"/>
        <v>0.65520000000000023</v>
      </c>
      <c r="H26" s="190">
        <f t="shared" si="10"/>
        <v>1.3104000000000005</v>
      </c>
      <c r="I26" s="262">
        <f>F26*$L$8+G26*$L$7+H26*$L$9</f>
        <v>1863.1607904000002</v>
      </c>
      <c r="N26" s="150">
        <f t="shared" si="0"/>
        <v>6.5520000000000014</v>
      </c>
    </row>
    <row r="27" spans="1:14" ht="67.5" x14ac:dyDescent="0.3">
      <c r="A27" s="301" t="s">
        <v>494</v>
      </c>
      <c r="B27" s="190">
        <v>10</v>
      </c>
      <c r="C27" s="115">
        <v>1</v>
      </c>
      <c r="D27" s="190">
        <f>B27*C27</f>
        <v>10</v>
      </c>
      <c r="E27" s="201">
        <f>0.1*E24</f>
        <v>0.7280000000000002</v>
      </c>
      <c r="F27" s="190">
        <f t="shared" si="8"/>
        <v>7.280000000000002</v>
      </c>
      <c r="G27" s="190">
        <f t="shared" si="9"/>
        <v>0.3640000000000001</v>
      </c>
      <c r="H27" s="190">
        <f t="shared" si="10"/>
        <v>0.7280000000000002</v>
      </c>
      <c r="I27" s="262">
        <f>F27*$L$8+G27*$L$7+H27*$L$9</f>
        <v>1035.0893280000003</v>
      </c>
      <c r="N27" s="150">
        <f t="shared" si="0"/>
        <v>0.7280000000000002</v>
      </c>
    </row>
    <row r="28" spans="1:14" ht="74.150000000000006" customHeight="1" x14ac:dyDescent="0.3">
      <c r="A28" s="301" t="s">
        <v>495</v>
      </c>
      <c r="B28" s="190">
        <v>0</v>
      </c>
      <c r="C28" s="115">
        <v>0</v>
      </c>
      <c r="D28" s="190">
        <f>B28*C28</f>
        <v>0</v>
      </c>
      <c r="E28" s="201"/>
      <c r="F28" s="190">
        <f t="shared" si="8"/>
        <v>0</v>
      </c>
      <c r="G28" s="190">
        <f t="shared" si="9"/>
        <v>0</v>
      </c>
      <c r="H28" s="190">
        <f t="shared" si="10"/>
        <v>0</v>
      </c>
      <c r="I28" s="197">
        <f>F28*$L$8+G28*$L$7+H28*$L$9</f>
        <v>0</v>
      </c>
      <c r="N28" s="150">
        <f t="shared" si="0"/>
        <v>0</v>
      </c>
    </row>
    <row r="29" spans="1:14" x14ac:dyDescent="0.3">
      <c r="A29" s="307" t="s">
        <v>163</v>
      </c>
      <c r="B29" s="193"/>
      <c r="C29" s="192"/>
      <c r="D29" s="193"/>
      <c r="E29" s="207"/>
      <c r="F29" s="193"/>
      <c r="G29" s="193"/>
      <c r="H29" s="193"/>
      <c r="I29" s="193"/>
      <c r="N29" s="150">
        <f t="shared" si="0"/>
        <v>0</v>
      </c>
    </row>
    <row r="30" spans="1:14" ht="26" x14ac:dyDescent="0.3">
      <c r="A30" s="301" t="s">
        <v>159</v>
      </c>
      <c r="B30" s="190">
        <v>0</v>
      </c>
      <c r="C30" s="115">
        <v>0</v>
      </c>
      <c r="D30" s="190">
        <f t="shared" ref="D30:D34" si="11">B30*C30</f>
        <v>0</v>
      </c>
      <c r="E30" s="201">
        <v>0</v>
      </c>
      <c r="F30" s="190">
        <f>D30*E30</f>
        <v>0</v>
      </c>
      <c r="G30" s="190">
        <f>F30*0.05</f>
        <v>0</v>
      </c>
      <c r="H30" s="190">
        <f>F30*0.1</f>
        <v>0</v>
      </c>
      <c r="I30" s="199">
        <f>F30*$L$8+G30*$L$7+H30*$L$9</f>
        <v>0</v>
      </c>
      <c r="N30" s="150">
        <f t="shared" si="0"/>
        <v>0</v>
      </c>
    </row>
    <row r="31" spans="1:14" ht="26" x14ac:dyDescent="0.3">
      <c r="A31" s="301" t="s">
        <v>160</v>
      </c>
      <c r="B31" s="190">
        <v>0</v>
      </c>
      <c r="C31" s="115">
        <v>0</v>
      </c>
      <c r="D31" s="190">
        <f t="shared" si="11"/>
        <v>0</v>
      </c>
      <c r="E31" s="201">
        <v>0</v>
      </c>
      <c r="F31" s="190">
        <f>D31*E31</f>
        <v>0</v>
      </c>
      <c r="G31" s="190">
        <f>F31*0.05</f>
        <v>0</v>
      </c>
      <c r="H31" s="190">
        <f>F31*0.1</f>
        <v>0</v>
      </c>
      <c r="I31" s="199">
        <f>F31*$L$8+G31*$L$7+H31*$L$9</f>
        <v>0</v>
      </c>
      <c r="N31" s="150">
        <f t="shared" si="0"/>
        <v>0</v>
      </c>
    </row>
    <row r="32" spans="1:14" ht="52" x14ac:dyDescent="0.3">
      <c r="A32" s="301" t="s">
        <v>465</v>
      </c>
      <c r="B32" s="190">
        <v>0</v>
      </c>
      <c r="C32" s="115">
        <v>0</v>
      </c>
      <c r="D32" s="190">
        <f t="shared" si="11"/>
        <v>0</v>
      </c>
      <c r="E32" s="201">
        <v>0</v>
      </c>
      <c r="F32" s="190">
        <f>D32*E32</f>
        <v>0</v>
      </c>
      <c r="G32" s="190">
        <f>F32*0.05</f>
        <v>0</v>
      </c>
      <c r="H32" s="190">
        <f>F32*0.1</f>
        <v>0</v>
      </c>
      <c r="I32" s="199">
        <f>F32*$L$8+G32*$L$7+H32*$L$9</f>
        <v>0</v>
      </c>
      <c r="N32" s="150">
        <f t="shared" si="0"/>
        <v>0</v>
      </c>
    </row>
    <row r="33" spans="1:14" ht="67.5" x14ac:dyDescent="0.3">
      <c r="A33" s="301" t="s">
        <v>494</v>
      </c>
      <c r="B33" s="190">
        <v>0</v>
      </c>
      <c r="C33" s="115">
        <v>0</v>
      </c>
      <c r="D33" s="190">
        <f t="shared" si="11"/>
        <v>0</v>
      </c>
      <c r="E33" s="201">
        <v>0</v>
      </c>
      <c r="F33" s="190">
        <f>D33*E33</f>
        <v>0</v>
      </c>
      <c r="G33" s="190">
        <f>F33*0.05</f>
        <v>0</v>
      </c>
      <c r="H33" s="190">
        <f>F33*0.1</f>
        <v>0</v>
      </c>
      <c r="I33" s="199">
        <f>F33*$L$8+G33*$L$7+H33*$L$9</f>
        <v>0</v>
      </c>
      <c r="N33" s="150">
        <f t="shared" si="0"/>
        <v>0</v>
      </c>
    </row>
    <row r="34" spans="1:14" ht="91" x14ac:dyDescent="0.3">
      <c r="A34" s="301" t="s">
        <v>496</v>
      </c>
      <c r="B34" s="190">
        <v>0</v>
      </c>
      <c r="C34" s="115">
        <v>0</v>
      </c>
      <c r="D34" s="190">
        <f t="shared" si="11"/>
        <v>0</v>
      </c>
      <c r="E34" s="319"/>
      <c r="F34" s="190">
        <f t="shared" ref="F34" si="12">D34*E34</f>
        <v>0</v>
      </c>
      <c r="G34" s="190">
        <f t="shared" ref="G34" si="13">F34*0.05</f>
        <v>0</v>
      </c>
      <c r="H34" s="190">
        <f t="shared" ref="H34" si="14">F34*0.1</f>
        <v>0</v>
      </c>
      <c r="I34" s="199">
        <f>F34*$L$8+G34*$L$7+H34*$L$9</f>
        <v>0</v>
      </c>
      <c r="N34" s="150">
        <f t="shared" si="0"/>
        <v>0</v>
      </c>
    </row>
    <row r="35" spans="1:14" ht="23.5" customHeight="1" x14ac:dyDescent="0.3">
      <c r="A35" s="208" t="s">
        <v>167</v>
      </c>
      <c r="B35" s="209"/>
      <c r="C35" s="210"/>
      <c r="D35" s="209"/>
      <c r="E35" s="211"/>
      <c r="F35" s="212">
        <f>SUM(F8:H34)</f>
        <v>11950.073199999995</v>
      </c>
      <c r="G35" s="212"/>
      <c r="H35" s="212"/>
      <c r="I35" s="213">
        <f>SUM(I8:I34)</f>
        <v>1477471.7197968001</v>
      </c>
      <c r="N35" s="150">
        <f t="shared" si="0"/>
        <v>0</v>
      </c>
    </row>
    <row r="36" spans="1:14" ht="26" x14ac:dyDescent="0.3">
      <c r="A36" s="182" t="s">
        <v>168</v>
      </c>
      <c r="B36" s="193"/>
      <c r="C36" s="192"/>
      <c r="D36" s="193"/>
      <c r="E36" s="207"/>
      <c r="F36" s="193"/>
      <c r="G36" s="193"/>
      <c r="H36" s="193"/>
      <c r="I36" s="193"/>
      <c r="N36" s="150">
        <f t="shared" si="0"/>
        <v>0</v>
      </c>
    </row>
    <row r="37" spans="1:14" ht="26" x14ac:dyDescent="0.3">
      <c r="A37" s="301" t="s">
        <v>132</v>
      </c>
      <c r="B37" s="190"/>
      <c r="C37" s="192"/>
      <c r="D37" s="193"/>
      <c r="E37" s="192"/>
      <c r="F37" s="193"/>
      <c r="G37" s="193"/>
      <c r="H37" s="193"/>
      <c r="I37" s="193"/>
      <c r="N37" s="150">
        <f t="shared" si="0"/>
        <v>0</v>
      </c>
    </row>
    <row r="38" spans="1:14" x14ac:dyDescent="0.3">
      <c r="A38" s="301" t="s">
        <v>169</v>
      </c>
      <c r="B38" s="190"/>
      <c r="C38" s="192"/>
      <c r="D38" s="193"/>
      <c r="E38" s="192"/>
      <c r="F38" s="193"/>
      <c r="G38" s="193"/>
      <c r="H38" s="193"/>
      <c r="I38" s="193"/>
      <c r="N38" s="150">
        <f t="shared" si="0"/>
        <v>0</v>
      </c>
    </row>
    <row r="39" spans="1:14" x14ac:dyDescent="0.3">
      <c r="A39" s="301" t="s">
        <v>170</v>
      </c>
      <c r="B39" s="190"/>
      <c r="C39" s="192"/>
      <c r="D39" s="193"/>
      <c r="E39" s="192"/>
      <c r="F39" s="193"/>
      <c r="G39" s="193"/>
      <c r="H39" s="193"/>
      <c r="I39" s="193"/>
      <c r="N39" s="150">
        <f t="shared" si="0"/>
        <v>0</v>
      </c>
    </row>
    <row r="40" spans="1:14" x14ac:dyDescent="0.3">
      <c r="A40" s="301" t="s">
        <v>171</v>
      </c>
      <c r="B40" s="190" t="s">
        <v>122</v>
      </c>
      <c r="C40" s="192"/>
      <c r="D40" s="193"/>
      <c r="E40" s="192"/>
      <c r="F40" s="193"/>
      <c r="G40" s="193"/>
      <c r="H40" s="193"/>
      <c r="I40" s="193"/>
      <c r="N40" s="150">
        <f t="shared" si="0"/>
        <v>0</v>
      </c>
    </row>
    <row r="41" spans="1:14" ht="26" x14ac:dyDescent="0.3">
      <c r="A41" s="301" t="s">
        <v>172</v>
      </c>
      <c r="B41" s="193"/>
      <c r="C41" s="192"/>
      <c r="D41" s="193"/>
      <c r="E41" s="192"/>
      <c r="F41" s="193"/>
      <c r="G41" s="193"/>
      <c r="H41" s="193"/>
      <c r="I41" s="193"/>
      <c r="N41" s="150">
        <f t="shared" si="0"/>
        <v>0</v>
      </c>
    </row>
    <row r="42" spans="1:14" x14ac:dyDescent="0.3">
      <c r="A42" s="307" t="s">
        <v>163</v>
      </c>
      <c r="B42" s="193"/>
      <c r="C42" s="192"/>
      <c r="D42" s="193"/>
      <c r="E42" s="192"/>
      <c r="F42" s="193"/>
      <c r="G42" s="193"/>
      <c r="H42" s="193"/>
      <c r="I42" s="193"/>
      <c r="N42" s="150">
        <f t="shared" si="0"/>
        <v>0</v>
      </c>
    </row>
    <row r="43" spans="1:14" ht="15.65" customHeight="1" x14ac:dyDescent="0.3">
      <c r="A43" s="301" t="s">
        <v>173</v>
      </c>
      <c r="B43" s="190">
        <v>0.1</v>
      </c>
      <c r="C43" s="115">
        <v>1</v>
      </c>
      <c r="D43" s="190">
        <f t="shared" ref="D43:D48" si="15">B43*C43</f>
        <v>0.1</v>
      </c>
      <c r="E43" s="201">
        <f>L16</f>
        <v>26</v>
      </c>
      <c r="F43" s="202">
        <f t="shared" ref="F43:F48" si="16">D43*E43</f>
        <v>2.6</v>
      </c>
      <c r="G43" s="190">
        <f t="shared" ref="G43:G48" si="17">F43*0.05</f>
        <v>0.13</v>
      </c>
      <c r="H43" s="190">
        <f t="shared" ref="H43:H48" si="18">F43*0.1</f>
        <v>0.26</v>
      </c>
      <c r="I43" s="262">
        <f>F43*$L$8+G43*$L$7+H43*$L$9</f>
        <v>369.67476000000005</v>
      </c>
      <c r="N43" s="150">
        <f t="shared" si="0"/>
        <v>26</v>
      </c>
    </row>
    <row r="44" spans="1:14" ht="91.5" customHeight="1" x14ac:dyDescent="0.3">
      <c r="A44" s="301" t="s">
        <v>497</v>
      </c>
      <c r="B44" s="190">
        <v>0.1</v>
      </c>
      <c r="C44" s="115">
        <v>330</v>
      </c>
      <c r="D44" s="190">
        <f t="shared" si="15"/>
        <v>33</v>
      </c>
      <c r="E44" s="201">
        <f>L14</f>
        <v>208</v>
      </c>
      <c r="F44" s="202">
        <f t="shared" si="16"/>
        <v>6864</v>
      </c>
      <c r="G44" s="190">
        <f t="shared" si="17"/>
        <v>343.20000000000005</v>
      </c>
      <c r="H44" s="190">
        <f t="shared" si="18"/>
        <v>686.40000000000009</v>
      </c>
      <c r="I44" s="199">
        <f>F44*$L$8+G44*$L$7+H44*$L$9</f>
        <v>975941.36639999994</v>
      </c>
      <c r="N44" s="150">
        <f t="shared" si="0"/>
        <v>68640</v>
      </c>
    </row>
    <row r="45" spans="1:14" x14ac:dyDescent="0.3">
      <c r="A45" s="307" t="s">
        <v>158</v>
      </c>
      <c r="B45" s="190"/>
      <c r="C45" s="115"/>
      <c r="D45" s="190"/>
      <c r="E45" s="201"/>
      <c r="F45" s="202"/>
      <c r="G45" s="190"/>
      <c r="H45" s="190"/>
      <c r="I45" s="199"/>
      <c r="N45" s="150">
        <f t="shared" si="0"/>
        <v>0</v>
      </c>
    </row>
    <row r="46" spans="1:14" x14ac:dyDescent="0.3">
      <c r="A46" s="301" t="s">
        <v>173</v>
      </c>
      <c r="B46" s="190">
        <v>1.5</v>
      </c>
      <c r="C46" s="115">
        <v>1</v>
      </c>
      <c r="D46" s="190">
        <f>B46*C46</f>
        <v>1.5</v>
      </c>
      <c r="E46" s="201">
        <f>L13</f>
        <v>7.2800000000000011</v>
      </c>
      <c r="F46" s="202">
        <f t="shared" ref="F46:F47" si="19">D46*E46</f>
        <v>10.920000000000002</v>
      </c>
      <c r="G46" s="190">
        <f t="shared" ref="G46:G47" si="20">F46*0.05</f>
        <v>0.54600000000000015</v>
      </c>
      <c r="H46" s="190">
        <f t="shared" ref="H46:H47" si="21">F46*0.1</f>
        <v>1.0920000000000003</v>
      </c>
      <c r="I46" s="197">
        <f>F46*$L$8+G46*$L$7+H46*$L$9</f>
        <v>1552.6339920000003</v>
      </c>
      <c r="N46" s="150">
        <f t="shared" si="0"/>
        <v>7.2800000000000011</v>
      </c>
    </row>
    <row r="47" spans="1:14" ht="109" customHeight="1" x14ac:dyDescent="0.3">
      <c r="A47" s="301" t="s">
        <v>497</v>
      </c>
      <c r="B47" s="190">
        <v>0.1</v>
      </c>
      <c r="C47" s="115">
        <v>330</v>
      </c>
      <c r="D47" s="190">
        <f t="shared" ref="D47" si="22">B47*C47</f>
        <v>33</v>
      </c>
      <c r="E47" s="201">
        <f>L13</f>
        <v>7.2800000000000011</v>
      </c>
      <c r="F47" s="202">
        <f t="shared" si="19"/>
        <v>240.24000000000004</v>
      </c>
      <c r="G47" s="190">
        <f t="shared" si="20"/>
        <v>12.012000000000002</v>
      </c>
      <c r="H47" s="190">
        <f t="shared" si="21"/>
        <v>24.024000000000004</v>
      </c>
      <c r="I47" s="197">
        <f>F47*$L$8+G47*$L$7+H47*$L$9</f>
        <v>34157.947824000003</v>
      </c>
      <c r="N47" s="150">
        <f t="shared" si="0"/>
        <v>2402.4000000000005</v>
      </c>
    </row>
    <row r="48" spans="1:14" ht="20.5" customHeight="1" x14ac:dyDescent="0.3">
      <c r="A48" s="301" t="s">
        <v>313</v>
      </c>
      <c r="B48" s="190">
        <v>0</v>
      </c>
      <c r="C48" s="115">
        <v>0</v>
      </c>
      <c r="D48" s="190">
        <f t="shared" si="15"/>
        <v>0</v>
      </c>
      <c r="E48" s="201">
        <f>$L$12</f>
        <v>0</v>
      </c>
      <c r="F48" s="202">
        <f t="shared" si="16"/>
        <v>0</v>
      </c>
      <c r="G48" s="190">
        <f t="shared" si="17"/>
        <v>0</v>
      </c>
      <c r="H48" s="190">
        <f t="shared" si="18"/>
        <v>0</v>
      </c>
      <c r="I48" s="197">
        <f>F48*$L$8+G48*$L$7+H48*$L$9</f>
        <v>0</v>
      </c>
      <c r="N48" s="150">
        <f t="shared" si="0"/>
        <v>0</v>
      </c>
    </row>
    <row r="49" spans="1:15" x14ac:dyDescent="0.3">
      <c r="A49" s="301" t="s">
        <v>186</v>
      </c>
      <c r="B49" s="190" t="s">
        <v>122</v>
      </c>
      <c r="C49" s="192"/>
      <c r="D49" s="193"/>
      <c r="E49" s="192"/>
      <c r="F49" s="193"/>
      <c r="G49" s="193"/>
      <c r="H49" s="193"/>
      <c r="I49" s="193"/>
      <c r="N49" s="150">
        <f t="shared" si="0"/>
        <v>0</v>
      </c>
    </row>
    <row r="50" spans="1:15" ht="27" x14ac:dyDescent="0.3">
      <c r="A50" s="208" t="s">
        <v>188</v>
      </c>
      <c r="B50" s="214"/>
      <c r="C50" s="215"/>
      <c r="D50" s="214"/>
      <c r="E50" s="216"/>
      <c r="F50" s="212">
        <f>SUM(F43:H48)</f>
        <v>8185.424</v>
      </c>
      <c r="G50" s="212"/>
      <c r="H50" s="212"/>
      <c r="I50" s="213">
        <f>SUM(I43:I49)</f>
        <v>1012021.622976</v>
      </c>
      <c r="N50" s="150">
        <f>SUM(N6:N49)</f>
        <v>105425.16399999999</v>
      </c>
    </row>
    <row r="51" spans="1:15" ht="28.5" customHeight="1" x14ac:dyDescent="0.3">
      <c r="A51" s="184" t="s">
        <v>189</v>
      </c>
      <c r="B51" s="217"/>
      <c r="C51" s="218"/>
      <c r="D51" s="217"/>
      <c r="E51" s="219"/>
      <c r="F51" s="481">
        <f>ROUND(F50+F35, -2)</f>
        <v>20100</v>
      </c>
      <c r="G51" s="481"/>
      <c r="H51" s="481"/>
      <c r="I51" s="220">
        <f>ROUND(I50+I35, -4)</f>
        <v>2490000</v>
      </c>
      <c r="K51" s="221">
        <f>F51/212</f>
        <v>94.811320754716988</v>
      </c>
      <c r="L51" s="150" t="s">
        <v>190</v>
      </c>
      <c r="N51" s="150">
        <f>N50-N19</f>
        <v>71105.16399999999</v>
      </c>
      <c r="O51" s="150" t="s">
        <v>248</v>
      </c>
    </row>
    <row r="52" spans="1:15" ht="28" x14ac:dyDescent="0.3">
      <c r="A52" s="222" t="s">
        <v>191</v>
      </c>
      <c r="B52" s="193"/>
      <c r="C52" s="192"/>
      <c r="D52" s="193"/>
      <c r="E52" s="192"/>
      <c r="F52" s="193"/>
      <c r="G52" s="193"/>
      <c r="H52" s="193"/>
      <c r="I52" s="220"/>
      <c r="O52" s="150" t="s">
        <v>357</v>
      </c>
    </row>
    <row r="53" spans="1:15" ht="42" customHeight="1" x14ac:dyDescent="0.3">
      <c r="A53" s="222" t="s">
        <v>192</v>
      </c>
      <c r="B53" s="193"/>
      <c r="C53" s="192"/>
      <c r="D53" s="193"/>
      <c r="E53" s="192"/>
      <c r="F53" s="193"/>
      <c r="G53" s="193"/>
      <c r="H53" s="193"/>
      <c r="I53" s="220">
        <f>ROUND(I51+I52, -5)</f>
        <v>2500000</v>
      </c>
    </row>
    <row r="55" spans="1:15" ht="26.15" customHeight="1" x14ac:dyDescent="0.3">
      <c r="A55" s="482" t="s">
        <v>490</v>
      </c>
      <c r="B55" s="482"/>
      <c r="C55" s="482"/>
      <c r="D55" s="482"/>
      <c r="E55" s="482"/>
      <c r="F55" s="482"/>
      <c r="G55" s="482"/>
      <c r="H55" s="482"/>
      <c r="I55" s="482"/>
    </row>
    <row r="56" spans="1:15" ht="68.150000000000006" customHeight="1" x14ac:dyDescent="0.3">
      <c r="A56" s="446" t="s">
        <v>194</v>
      </c>
      <c r="B56" s="446"/>
      <c r="C56" s="446"/>
      <c r="D56" s="446"/>
      <c r="E56" s="446"/>
      <c r="F56" s="446"/>
      <c r="G56" s="446"/>
      <c r="H56" s="446"/>
      <c r="I56" s="446"/>
    </row>
    <row r="57" spans="1:15" ht="24" customHeight="1" x14ac:dyDescent="0.3">
      <c r="A57" s="482" t="s">
        <v>359</v>
      </c>
      <c r="B57" s="482"/>
      <c r="C57" s="482"/>
      <c r="D57" s="482"/>
      <c r="E57" s="482"/>
      <c r="F57" s="482"/>
      <c r="G57" s="482"/>
      <c r="H57" s="482"/>
      <c r="I57" s="482"/>
    </row>
    <row r="58" spans="1:15" ht="30" customHeight="1" x14ac:dyDescent="0.3">
      <c r="A58" s="483" t="s">
        <v>360</v>
      </c>
      <c r="B58" s="483"/>
      <c r="C58" s="483"/>
      <c r="D58" s="483"/>
      <c r="E58" s="483"/>
      <c r="F58" s="483"/>
      <c r="G58" s="483"/>
      <c r="H58" s="483"/>
      <c r="I58" s="483"/>
    </row>
    <row r="59" spans="1:15" ht="17.149999999999999" customHeight="1" x14ac:dyDescent="0.3">
      <c r="A59" s="500" t="s">
        <v>197</v>
      </c>
      <c r="B59" s="500"/>
      <c r="C59" s="500"/>
      <c r="D59" s="500"/>
      <c r="E59" s="500"/>
      <c r="F59" s="500"/>
      <c r="G59" s="500"/>
      <c r="H59" s="500"/>
      <c r="I59" s="500"/>
    </row>
    <row r="60" spans="1:15" ht="35.15" customHeight="1" x14ac:dyDescent="0.3">
      <c r="A60" s="479" t="s">
        <v>466</v>
      </c>
      <c r="B60" s="479"/>
      <c r="C60" s="479"/>
      <c r="D60" s="479"/>
      <c r="E60" s="479"/>
      <c r="F60" s="479"/>
      <c r="G60" s="479"/>
      <c r="H60" s="479"/>
      <c r="I60" s="479"/>
    </row>
    <row r="61" spans="1:15" ht="18.75" customHeight="1" x14ac:dyDescent="0.3">
      <c r="A61" s="479" t="s">
        <v>361</v>
      </c>
      <c r="B61" s="479"/>
      <c r="C61" s="479"/>
      <c r="D61" s="479"/>
      <c r="E61" s="479"/>
      <c r="F61" s="479"/>
      <c r="G61" s="479"/>
      <c r="H61" s="479"/>
      <c r="I61" s="479"/>
    </row>
    <row r="62" spans="1:15" ht="19.5" customHeight="1" x14ac:dyDescent="0.3"/>
  </sheetData>
  <mergeCells count="11">
    <mergeCell ref="A56:I56"/>
    <mergeCell ref="A1:I1"/>
    <mergeCell ref="A3:I3"/>
    <mergeCell ref="K6:L6"/>
    <mergeCell ref="F51:H51"/>
    <mergeCell ref="A55:I55"/>
    <mergeCell ref="A57:I57"/>
    <mergeCell ref="A58:I58"/>
    <mergeCell ref="A59:I59"/>
    <mergeCell ref="A60:I60"/>
    <mergeCell ref="A61:I61"/>
  </mergeCells>
  <pageMargins left="0.7" right="0.7" top="0.75" bottom="0.75" header="0.3" footer="0.3"/>
  <pageSetup scale="3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F3EF-CA6A-4A3C-96E8-32BAA9DA4B26}">
  <sheetPr>
    <pageSetUpPr fitToPage="1"/>
  </sheetPr>
  <dimension ref="A1:O62"/>
  <sheetViews>
    <sheetView zoomScale="80" zoomScaleNormal="80" workbookViewId="0">
      <pane xSplit="13" ySplit="5" topLeftCell="N51" activePane="bottomRight" state="frozen"/>
      <selection pane="topRight" activeCell="D5" sqref="D5"/>
      <selection pane="bottomLeft" activeCell="D5" sqref="D5"/>
      <selection pane="bottomRight" activeCell="I44" sqref="I44"/>
    </sheetView>
  </sheetViews>
  <sheetFormatPr defaultColWidth="9.1796875" defaultRowHeight="13" x14ac:dyDescent="0.3"/>
  <cols>
    <col min="1" max="1" width="24.45312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25.453125" style="150" customWidth="1"/>
    <col min="14" max="14" width="20.453125" style="150" customWidth="1"/>
    <col min="15" max="15" width="14.1796875" style="150" customWidth="1"/>
    <col min="16" max="16384" width="9.1796875" style="150"/>
  </cols>
  <sheetData>
    <row r="1" spans="1:14" s="188" customFormat="1" ht="29.5" customHeight="1" x14ac:dyDescent="0.3">
      <c r="A1" s="462" t="s">
        <v>481</v>
      </c>
      <c r="B1" s="462"/>
      <c r="C1" s="462"/>
      <c r="D1" s="462"/>
      <c r="E1" s="462"/>
      <c r="F1" s="462"/>
      <c r="G1" s="462"/>
      <c r="H1" s="462"/>
      <c r="I1" s="462"/>
    </row>
    <row r="2" spans="1:14" s="188" customFormat="1" ht="15" x14ac:dyDescent="0.3">
      <c r="A2" s="423" t="s">
        <v>500</v>
      </c>
      <c r="B2" s="423"/>
      <c r="C2" s="423"/>
      <c r="D2" s="423"/>
      <c r="E2" s="423"/>
      <c r="F2" s="423"/>
      <c r="G2" s="423"/>
      <c r="H2" s="423"/>
      <c r="I2" s="423"/>
    </row>
    <row r="3" spans="1:14" s="188" customFormat="1" ht="33" customHeight="1" x14ac:dyDescent="0.3">
      <c r="A3" s="462" t="s">
        <v>463</v>
      </c>
      <c r="B3" s="462"/>
      <c r="C3" s="462"/>
      <c r="D3" s="462"/>
      <c r="E3" s="462"/>
      <c r="F3" s="462"/>
      <c r="G3" s="462"/>
      <c r="H3" s="462"/>
      <c r="I3" s="462"/>
    </row>
    <row r="5" spans="1:14" ht="65" x14ac:dyDescent="0.3">
      <c r="A5" s="189" t="s">
        <v>111</v>
      </c>
      <c r="B5" s="190" t="s">
        <v>112</v>
      </c>
      <c r="C5" s="115" t="s">
        <v>113</v>
      </c>
      <c r="D5" s="190" t="s">
        <v>114</v>
      </c>
      <c r="E5" s="115" t="s">
        <v>115</v>
      </c>
      <c r="F5" s="190" t="s">
        <v>116</v>
      </c>
      <c r="G5" s="190" t="s">
        <v>117</v>
      </c>
      <c r="H5" s="190" t="s">
        <v>118</v>
      </c>
      <c r="I5" s="190" t="s">
        <v>119</v>
      </c>
      <c r="J5" s="191"/>
      <c r="N5" s="150" t="s">
        <v>120</v>
      </c>
    </row>
    <row r="6" spans="1:14" x14ac:dyDescent="0.3">
      <c r="A6" s="182" t="s">
        <v>121</v>
      </c>
      <c r="B6" s="190" t="s">
        <v>122</v>
      </c>
      <c r="C6" s="192"/>
      <c r="D6" s="193"/>
      <c r="E6" s="192"/>
      <c r="F6" s="193"/>
      <c r="G6" s="193"/>
      <c r="H6" s="193"/>
      <c r="I6" s="193"/>
      <c r="K6" s="480" t="s">
        <v>123</v>
      </c>
      <c r="L6" s="480"/>
      <c r="N6" s="150">
        <f>C6*E6</f>
        <v>0</v>
      </c>
    </row>
    <row r="7" spans="1:14" ht="41.5" customHeight="1" x14ac:dyDescent="0.3">
      <c r="A7" s="182" t="s">
        <v>124</v>
      </c>
      <c r="B7" s="190" t="s">
        <v>122</v>
      </c>
      <c r="C7" s="192"/>
      <c r="D7" s="193"/>
      <c r="E7" s="192"/>
      <c r="F7" s="193"/>
      <c r="G7" s="193"/>
      <c r="H7" s="193"/>
      <c r="I7" s="193"/>
      <c r="K7" s="194" t="s">
        <v>125</v>
      </c>
      <c r="L7" s="195">
        <f>76.96*2.1</f>
        <v>161.61599999999999</v>
      </c>
      <c r="M7" s="196" t="s">
        <v>126</v>
      </c>
      <c r="N7" s="150">
        <f t="shared" ref="N7:N49" si="0">C7*E7</f>
        <v>0</v>
      </c>
    </row>
    <row r="8" spans="1:14"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50">
        <f t="shared" si="0"/>
        <v>0</v>
      </c>
    </row>
    <row r="9" spans="1:14" x14ac:dyDescent="0.3">
      <c r="A9" s="182" t="s">
        <v>129</v>
      </c>
      <c r="B9" s="190"/>
      <c r="C9" s="115"/>
      <c r="D9" s="190"/>
      <c r="E9" s="115"/>
      <c r="F9" s="190"/>
      <c r="G9" s="190"/>
      <c r="H9" s="190"/>
      <c r="I9" s="193"/>
      <c r="K9" s="194" t="s">
        <v>130</v>
      </c>
      <c r="L9" s="195">
        <f>30.58*2.1</f>
        <v>64.218000000000004</v>
      </c>
      <c r="M9" s="198"/>
      <c r="N9" s="150">
        <f t="shared" si="0"/>
        <v>0</v>
      </c>
    </row>
    <row r="10" spans="1:14" ht="26" x14ac:dyDescent="0.3">
      <c r="A10" s="301" t="s">
        <v>132</v>
      </c>
      <c r="B10" s="190">
        <v>0</v>
      </c>
      <c r="C10" s="115">
        <v>0</v>
      </c>
      <c r="D10" s="190">
        <f>B10*C10</f>
        <v>0</v>
      </c>
      <c r="E10" s="115">
        <v>0</v>
      </c>
      <c r="F10" s="190">
        <f>D10*E10</f>
        <v>0</v>
      </c>
      <c r="G10" s="190">
        <f>F10*0.05</f>
        <v>0</v>
      </c>
      <c r="H10" s="190">
        <f>F10*0.1</f>
        <v>0</v>
      </c>
      <c r="I10" s="199">
        <f>F10*$L$8+G10*$L$7+H10*$L$9</f>
        <v>0</v>
      </c>
      <c r="K10" s="420"/>
      <c r="N10" s="150">
        <f t="shared" si="0"/>
        <v>0</v>
      </c>
    </row>
    <row r="11" spans="1:14" ht="15.75" customHeight="1" x14ac:dyDescent="0.3">
      <c r="A11" s="301" t="s">
        <v>133</v>
      </c>
      <c r="B11" s="190"/>
      <c r="C11" s="115"/>
      <c r="D11" s="190"/>
      <c r="E11" s="115"/>
      <c r="F11" s="190"/>
      <c r="G11" s="190"/>
      <c r="H11" s="190"/>
      <c r="I11" s="199"/>
      <c r="K11" s="200"/>
      <c r="L11" s="200" t="s">
        <v>355</v>
      </c>
      <c r="N11" s="150">
        <f t="shared" si="0"/>
        <v>0</v>
      </c>
    </row>
    <row r="12" spans="1:14" ht="15.5" x14ac:dyDescent="0.3">
      <c r="A12" s="306" t="s">
        <v>290</v>
      </c>
      <c r="B12" s="190"/>
      <c r="C12" s="115"/>
      <c r="D12" s="190"/>
      <c r="E12" s="201"/>
      <c r="F12" s="202"/>
      <c r="G12" s="190"/>
      <c r="H12" s="190"/>
      <c r="I12" s="199"/>
      <c r="K12" s="200"/>
      <c r="L12" s="200">
        <v>0</v>
      </c>
      <c r="N12" s="150">
        <f t="shared" si="0"/>
        <v>0</v>
      </c>
    </row>
    <row r="13" spans="1:14" ht="24" customHeight="1" x14ac:dyDescent="0.3">
      <c r="A13" s="116" t="s">
        <v>483</v>
      </c>
      <c r="B13" s="115">
        <v>6</v>
      </c>
      <c r="C13" s="115">
        <v>1</v>
      </c>
      <c r="D13" s="190">
        <f>B13*C13</f>
        <v>6</v>
      </c>
      <c r="E13" s="201">
        <f t="shared" ref="E13" si="1">L$13</f>
        <v>7.2800000000000011</v>
      </c>
      <c r="F13" s="202">
        <f>D13*E13</f>
        <v>43.680000000000007</v>
      </c>
      <c r="G13" s="190">
        <f>F13*0.05</f>
        <v>2.1840000000000006</v>
      </c>
      <c r="H13" s="190">
        <f>F13*0.1</f>
        <v>4.3680000000000012</v>
      </c>
      <c r="I13" s="262">
        <f>F13*$L$8+G13*$L$7+H13*$L$9</f>
        <v>6210.535968000001</v>
      </c>
      <c r="K13" s="200" t="s">
        <v>136</v>
      </c>
      <c r="L13" s="200">
        <f>(L15+L16)*0.07</f>
        <v>7.2800000000000011</v>
      </c>
      <c r="M13" s="264" t="s">
        <v>294</v>
      </c>
      <c r="N13" s="150">
        <f t="shared" si="0"/>
        <v>7.2800000000000011</v>
      </c>
    </row>
    <row r="14" spans="1:14" x14ac:dyDescent="0.3">
      <c r="A14" s="116" t="s">
        <v>293</v>
      </c>
      <c r="B14" s="115">
        <v>6</v>
      </c>
      <c r="C14" s="115">
        <v>1</v>
      </c>
      <c r="D14" s="190">
        <f t="shared" ref="D14" si="2">B14*C14</f>
        <v>6</v>
      </c>
      <c r="E14" s="201">
        <f>E13*0.05</f>
        <v>0.3640000000000001</v>
      </c>
      <c r="F14" s="202">
        <f t="shared" ref="F14:F19" si="3">D14*E14</f>
        <v>2.1840000000000006</v>
      </c>
      <c r="G14" s="190">
        <f t="shared" ref="G14:G19" si="4">F14*0.05</f>
        <v>0.10920000000000003</v>
      </c>
      <c r="H14" s="190">
        <f t="shared" ref="H14:H19" si="5">F14*0.1</f>
        <v>0.21840000000000007</v>
      </c>
      <c r="I14" s="262">
        <f t="shared" ref="I14:I19" si="6">F14*$L$8+G14*$L$7+H14*$L$9</f>
        <v>310.52679840000008</v>
      </c>
      <c r="J14" s="420"/>
      <c r="K14" s="200" t="s">
        <v>141</v>
      </c>
      <c r="L14" s="200">
        <f>'BPPI-Y1'!$L$15</f>
        <v>208</v>
      </c>
      <c r="N14" s="150">
        <f t="shared" si="0"/>
        <v>0.3640000000000001</v>
      </c>
    </row>
    <row r="15" spans="1:14" ht="34.5" customHeight="1" x14ac:dyDescent="0.3">
      <c r="A15" s="306" t="s">
        <v>297</v>
      </c>
      <c r="B15" s="190"/>
      <c r="C15" s="115"/>
      <c r="D15" s="190"/>
      <c r="E15" s="115"/>
      <c r="F15" s="202"/>
      <c r="G15" s="190"/>
      <c r="H15" s="190"/>
      <c r="I15" s="199"/>
      <c r="K15" s="420" t="s">
        <v>448</v>
      </c>
      <c r="L15" s="420">
        <f>104-26</f>
        <v>78</v>
      </c>
      <c r="M15" s="420"/>
      <c r="N15" s="150">
        <f t="shared" si="0"/>
        <v>0</v>
      </c>
    </row>
    <row r="16" spans="1:14" ht="40.5" customHeight="1" x14ac:dyDescent="0.3">
      <c r="A16" s="301" t="s">
        <v>483</v>
      </c>
      <c r="B16" s="190">
        <v>0</v>
      </c>
      <c r="C16" s="115">
        <v>0</v>
      </c>
      <c r="D16" s="190">
        <f>B16*C16</f>
        <v>0</v>
      </c>
      <c r="E16" s="201">
        <v>0</v>
      </c>
      <c r="F16" s="202">
        <f t="shared" si="3"/>
        <v>0</v>
      </c>
      <c r="G16" s="190">
        <f t="shared" si="4"/>
        <v>0</v>
      </c>
      <c r="H16" s="190">
        <f t="shared" si="5"/>
        <v>0</v>
      </c>
      <c r="I16" s="199">
        <f t="shared" si="6"/>
        <v>0</v>
      </c>
      <c r="J16" s="203"/>
      <c r="K16" s="420" t="s">
        <v>450</v>
      </c>
      <c r="L16" s="150">
        <v>26</v>
      </c>
      <c r="N16" s="150">
        <f t="shared" si="0"/>
        <v>0</v>
      </c>
    </row>
    <row r="17" spans="1:14" x14ac:dyDescent="0.3">
      <c r="A17" s="301" t="s">
        <v>300</v>
      </c>
      <c r="B17" s="190">
        <v>0</v>
      </c>
      <c r="C17" s="115">
        <v>0</v>
      </c>
      <c r="D17" s="190">
        <f t="shared" ref="D17" si="7">B17*C17</f>
        <v>0</v>
      </c>
      <c r="E17" s="201">
        <f>E16*0.05</f>
        <v>0</v>
      </c>
      <c r="F17" s="202">
        <f t="shared" si="3"/>
        <v>0</v>
      </c>
      <c r="G17" s="190">
        <f t="shared" si="4"/>
        <v>0</v>
      </c>
      <c r="H17" s="190">
        <f t="shared" si="5"/>
        <v>0</v>
      </c>
      <c r="I17" s="199">
        <f t="shared" si="6"/>
        <v>0</v>
      </c>
      <c r="J17" s="203"/>
      <c r="N17" s="150">
        <f t="shared" si="0"/>
        <v>0</v>
      </c>
    </row>
    <row r="18" spans="1:14" ht="25.5" customHeight="1" x14ac:dyDescent="0.3">
      <c r="A18" s="306" t="s">
        <v>151</v>
      </c>
      <c r="B18" s="204"/>
      <c r="C18" s="205"/>
      <c r="D18" s="204"/>
      <c r="E18" s="206"/>
      <c r="F18" s="202"/>
      <c r="G18" s="190"/>
      <c r="H18" s="190"/>
      <c r="I18" s="199"/>
      <c r="N18" s="150">
        <f t="shared" si="0"/>
        <v>0</v>
      </c>
    </row>
    <row r="19" spans="1:14" ht="26" x14ac:dyDescent="0.3">
      <c r="A19" s="301" t="s">
        <v>154</v>
      </c>
      <c r="B19" s="190">
        <v>0.1</v>
      </c>
      <c r="C19" s="115">
        <v>330</v>
      </c>
      <c r="D19" s="190">
        <f>B19*C19</f>
        <v>33</v>
      </c>
      <c r="E19" s="201">
        <f>L15+L16</f>
        <v>104</v>
      </c>
      <c r="F19" s="202">
        <f t="shared" si="3"/>
        <v>3432</v>
      </c>
      <c r="G19" s="190">
        <f t="shared" si="4"/>
        <v>171.60000000000002</v>
      </c>
      <c r="H19" s="190">
        <f t="shared" si="5"/>
        <v>343.20000000000005</v>
      </c>
      <c r="I19" s="262">
        <f t="shared" si="6"/>
        <v>487970.68319999997</v>
      </c>
      <c r="N19" s="150">
        <f t="shared" si="0"/>
        <v>34320</v>
      </c>
    </row>
    <row r="20" spans="1:14" ht="26" x14ac:dyDescent="0.3">
      <c r="A20" s="301" t="s">
        <v>155</v>
      </c>
      <c r="B20" s="190"/>
      <c r="C20" s="192"/>
      <c r="D20" s="193"/>
      <c r="E20" s="207"/>
      <c r="F20" s="193"/>
      <c r="G20" s="193"/>
      <c r="H20" s="193"/>
      <c r="I20" s="193"/>
      <c r="N20" s="150">
        <f t="shared" si="0"/>
        <v>0</v>
      </c>
    </row>
    <row r="21" spans="1:14" ht="26" x14ac:dyDescent="0.3">
      <c r="A21" s="301" t="s">
        <v>156</v>
      </c>
      <c r="B21" s="190"/>
      <c r="C21" s="192"/>
      <c r="D21" s="193"/>
      <c r="E21" s="207"/>
      <c r="F21" s="193"/>
      <c r="G21" s="193"/>
      <c r="H21" s="193"/>
      <c r="I21" s="193"/>
      <c r="N21" s="150">
        <f t="shared" si="0"/>
        <v>0</v>
      </c>
    </row>
    <row r="22" spans="1:14" x14ac:dyDescent="0.3">
      <c r="A22" s="301" t="s">
        <v>157</v>
      </c>
      <c r="B22" s="193"/>
      <c r="C22" s="192"/>
      <c r="D22" s="193"/>
      <c r="E22" s="207"/>
      <c r="F22" s="193"/>
      <c r="G22" s="193"/>
      <c r="H22" s="193"/>
      <c r="I22" s="193"/>
      <c r="N22" s="150">
        <f t="shared" si="0"/>
        <v>0</v>
      </c>
    </row>
    <row r="23" spans="1:14" x14ac:dyDescent="0.3">
      <c r="A23" s="307" t="s">
        <v>158</v>
      </c>
      <c r="B23" s="190"/>
      <c r="C23" s="115"/>
      <c r="D23" s="190"/>
      <c r="E23" s="201"/>
      <c r="F23" s="190"/>
      <c r="G23" s="190"/>
      <c r="H23" s="190"/>
      <c r="I23" s="199"/>
      <c r="N23" s="150">
        <f t="shared" si="0"/>
        <v>0</v>
      </c>
    </row>
    <row r="24" spans="1:14" ht="26" x14ac:dyDescent="0.3">
      <c r="A24" s="301" t="s">
        <v>159</v>
      </c>
      <c r="B24" s="190">
        <v>2</v>
      </c>
      <c r="C24" s="115">
        <v>1</v>
      </c>
      <c r="D24" s="190">
        <v>2</v>
      </c>
      <c r="E24" s="201">
        <f>L13</f>
        <v>7.2800000000000011</v>
      </c>
      <c r="F24" s="190">
        <f t="shared" ref="F24:F28" si="8">D24*E24</f>
        <v>14.560000000000002</v>
      </c>
      <c r="G24" s="190">
        <f t="shared" ref="G24:G28" si="9">F24*0.05</f>
        <v>0.7280000000000002</v>
      </c>
      <c r="H24" s="190">
        <f t="shared" ref="H24:H28" si="10">F24*0.1</f>
        <v>1.4560000000000004</v>
      </c>
      <c r="I24" s="262">
        <f>F24*$L$8+G24*$L$7+H24*$L$9</f>
        <v>2070.178656</v>
      </c>
      <c r="N24" s="150">
        <f t="shared" si="0"/>
        <v>7.2800000000000011</v>
      </c>
    </row>
    <row r="25" spans="1:14" ht="25.5" customHeight="1" x14ac:dyDescent="0.3">
      <c r="A25" s="301" t="s">
        <v>160</v>
      </c>
      <c r="B25" s="190">
        <v>2</v>
      </c>
      <c r="C25" s="115">
        <v>1</v>
      </c>
      <c r="D25" s="190">
        <v>2</v>
      </c>
      <c r="E25" s="201">
        <f>L13</f>
        <v>7.2800000000000011</v>
      </c>
      <c r="F25" s="190">
        <f t="shared" si="8"/>
        <v>14.560000000000002</v>
      </c>
      <c r="G25" s="190">
        <f t="shared" si="9"/>
        <v>0.7280000000000002</v>
      </c>
      <c r="H25" s="190">
        <f t="shared" si="10"/>
        <v>1.4560000000000004</v>
      </c>
      <c r="I25" s="262">
        <f>F25*$L$8+G25*$L$7+H25*$L$9</f>
        <v>2070.178656</v>
      </c>
      <c r="N25" s="150">
        <f t="shared" si="0"/>
        <v>7.2800000000000011</v>
      </c>
    </row>
    <row r="26" spans="1:14" ht="39" x14ac:dyDescent="0.3">
      <c r="A26" s="301" t="s">
        <v>400</v>
      </c>
      <c r="B26" s="190">
        <v>2</v>
      </c>
      <c r="C26" s="115">
        <v>1</v>
      </c>
      <c r="D26" s="190">
        <v>2</v>
      </c>
      <c r="E26" s="201">
        <f>L13-E27</f>
        <v>6.5520000000000014</v>
      </c>
      <c r="F26" s="190">
        <f t="shared" si="8"/>
        <v>13.104000000000003</v>
      </c>
      <c r="G26" s="190">
        <f t="shared" si="9"/>
        <v>0.65520000000000023</v>
      </c>
      <c r="H26" s="190">
        <f t="shared" si="10"/>
        <v>1.3104000000000005</v>
      </c>
      <c r="I26" s="262">
        <f>F26*$L$8+G26*$L$7+H26*$L$9</f>
        <v>1863.1607904000002</v>
      </c>
      <c r="N26" s="150">
        <f t="shared" si="0"/>
        <v>6.5520000000000014</v>
      </c>
    </row>
    <row r="27" spans="1:14" ht="67.5" x14ac:dyDescent="0.3">
      <c r="A27" s="301" t="s">
        <v>494</v>
      </c>
      <c r="B27" s="190">
        <v>10</v>
      </c>
      <c r="C27" s="115">
        <v>1</v>
      </c>
      <c r="D27" s="190">
        <f>B27*C27</f>
        <v>10</v>
      </c>
      <c r="E27" s="201">
        <f>0.1*E24</f>
        <v>0.7280000000000002</v>
      </c>
      <c r="F27" s="190">
        <f t="shared" si="8"/>
        <v>7.280000000000002</v>
      </c>
      <c r="G27" s="190">
        <f t="shared" si="9"/>
        <v>0.3640000000000001</v>
      </c>
      <c r="H27" s="190">
        <f t="shared" si="10"/>
        <v>0.7280000000000002</v>
      </c>
      <c r="I27" s="262">
        <f>F27*$L$8+G27*$L$7+H27*$L$9</f>
        <v>1035.0893280000003</v>
      </c>
      <c r="N27" s="150">
        <f t="shared" si="0"/>
        <v>0.7280000000000002</v>
      </c>
    </row>
    <row r="28" spans="1:14" ht="74.150000000000006" customHeight="1" x14ac:dyDescent="0.3">
      <c r="A28" s="301" t="s">
        <v>495</v>
      </c>
      <c r="B28" s="190">
        <v>0</v>
      </c>
      <c r="C28" s="115">
        <v>0</v>
      </c>
      <c r="D28" s="190">
        <f>B28*C28</f>
        <v>0</v>
      </c>
      <c r="E28" s="201"/>
      <c r="F28" s="190">
        <f t="shared" si="8"/>
        <v>0</v>
      </c>
      <c r="G28" s="190">
        <f t="shared" si="9"/>
        <v>0</v>
      </c>
      <c r="H28" s="190">
        <f t="shared" si="10"/>
        <v>0</v>
      </c>
      <c r="I28" s="197">
        <f>F28*$L$8+G28*$L$7+H28*$L$9</f>
        <v>0</v>
      </c>
      <c r="N28" s="150">
        <f t="shared" si="0"/>
        <v>0</v>
      </c>
    </row>
    <row r="29" spans="1:14" x14ac:dyDescent="0.3">
      <c r="A29" s="307" t="s">
        <v>163</v>
      </c>
      <c r="B29" s="193"/>
      <c r="C29" s="192"/>
      <c r="D29" s="193"/>
      <c r="E29" s="207"/>
      <c r="F29" s="193"/>
      <c r="G29" s="193"/>
      <c r="H29" s="193"/>
      <c r="I29" s="193"/>
      <c r="N29" s="150">
        <f t="shared" si="0"/>
        <v>0</v>
      </c>
    </row>
    <row r="30" spans="1:14" ht="26" x14ac:dyDescent="0.3">
      <c r="A30" s="301" t="s">
        <v>159</v>
      </c>
      <c r="B30" s="190">
        <v>0</v>
      </c>
      <c r="C30" s="115">
        <v>0</v>
      </c>
      <c r="D30" s="190">
        <f t="shared" ref="D30:D32" si="11">B30*C30</f>
        <v>0</v>
      </c>
      <c r="E30" s="201">
        <v>0</v>
      </c>
      <c r="F30" s="190">
        <f>D30*E30</f>
        <v>0</v>
      </c>
      <c r="G30" s="190">
        <f>F30*0.05</f>
        <v>0</v>
      </c>
      <c r="H30" s="190">
        <f>F30*0.1</f>
        <v>0</v>
      </c>
      <c r="I30" s="199">
        <f>F30*$L$8+G30*$L$7+H30*$L$9</f>
        <v>0</v>
      </c>
      <c r="N30" s="150">
        <f t="shared" si="0"/>
        <v>0</v>
      </c>
    </row>
    <row r="31" spans="1:14" ht="26" x14ac:dyDescent="0.3">
      <c r="A31" s="301" t="s">
        <v>160</v>
      </c>
      <c r="B31" s="190">
        <v>0</v>
      </c>
      <c r="C31" s="115">
        <v>0</v>
      </c>
      <c r="D31" s="190">
        <f t="shared" si="11"/>
        <v>0</v>
      </c>
      <c r="E31" s="201">
        <v>0</v>
      </c>
      <c r="F31" s="190">
        <f>D31*E31</f>
        <v>0</v>
      </c>
      <c r="G31" s="190">
        <f>F31*0.05</f>
        <v>0</v>
      </c>
      <c r="H31" s="190">
        <f>F31*0.1</f>
        <v>0</v>
      </c>
      <c r="I31" s="199">
        <f>F31*$L$8+G31*$L$7+H31*$L$9</f>
        <v>0</v>
      </c>
      <c r="N31" s="150">
        <f t="shared" si="0"/>
        <v>0</v>
      </c>
    </row>
    <row r="32" spans="1:14" ht="52" x14ac:dyDescent="0.3">
      <c r="A32" s="301" t="s">
        <v>465</v>
      </c>
      <c r="B32" s="190">
        <v>0</v>
      </c>
      <c r="C32" s="115">
        <v>0</v>
      </c>
      <c r="D32" s="190">
        <f t="shared" si="11"/>
        <v>0</v>
      </c>
      <c r="E32" s="201">
        <v>0</v>
      </c>
      <c r="F32" s="190">
        <f>D32*E32</f>
        <v>0</v>
      </c>
      <c r="G32" s="190">
        <f>F32*0.05</f>
        <v>0</v>
      </c>
      <c r="H32" s="190">
        <f>F32*0.1</f>
        <v>0</v>
      </c>
      <c r="I32" s="199">
        <f>F32*$L$8+G32*$L$7+H32*$L$9</f>
        <v>0</v>
      </c>
      <c r="N32" s="150">
        <f t="shared" si="0"/>
        <v>0</v>
      </c>
    </row>
    <row r="33" spans="1:14" ht="67.5" x14ac:dyDescent="0.3">
      <c r="A33" s="301" t="s">
        <v>494</v>
      </c>
      <c r="B33" s="190">
        <v>0</v>
      </c>
      <c r="C33" s="115">
        <v>0</v>
      </c>
      <c r="D33" s="190">
        <f>B33*C33</f>
        <v>0</v>
      </c>
      <c r="E33" s="201">
        <v>0</v>
      </c>
      <c r="F33" s="190">
        <f>D33*E33</f>
        <v>0</v>
      </c>
      <c r="G33" s="190">
        <f>F33*0.05</f>
        <v>0</v>
      </c>
      <c r="H33" s="190">
        <f>F33*0.1</f>
        <v>0</v>
      </c>
      <c r="I33" s="199">
        <f>F33*$L$8+G33*$L$7+H33*$L$9</f>
        <v>0</v>
      </c>
      <c r="N33" s="150">
        <f t="shared" si="0"/>
        <v>0</v>
      </c>
    </row>
    <row r="34" spans="1:14" ht="91" x14ac:dyDescent="0.3">
      <c r="A34" s="301" t="s">
        <v>496</v>
      </c>
      <c r="B34" s="190">
        <v>0</v>
      </c>
      <c r="C34" s="115">
        <v>0</v>
      </c>
      <c r="D34" s="190">
        <f t="shared" ref="D34" si="12">B34*C34</f>
        <v>0</v>
      </c>
      <c r="E34" s="319"/>
      <c r="F34" s="190">
        <f t="shared" ref="F34" si="13">D34*E34</f>
        <v>0</v>
      </c>
      <c r="G34" s="190">
        <f t="shared" ref="G34" si="14">F34*0.05</f>
        <v>0</v>
      </c>
      <c r="H34" s="190">
        <f t="shared" ref="H34" si="15">F34*0.1</f>
        <v>0</v>
      </c>
      <c r="I34" s="199">
        <f>F34*$L$8+G34*$L$7+H34*$L$9</f>
        <v>0</v>
      </c>
      <c r="N34" s="150">
        <f t="shared" si="0"/>
        <v>0</v>
      </c>
    </row>
    <row r="35" spans="1:14" ht="23.5" customHeight="1" x14ac:dyDescent="0.3">
      <c r="A35" s="208" t="s">
        <v>167</v>
      </c>
      <c r="B35" s="209"/>
      <c r="C35" s="210"/>
      <c r="D35" s="209"/>
      <c r="E35" s="211"/>
      <c r="F35" s="212">
        <f>SUM(F8:H34)</f>
        <v>4056.4732000000004</v>
      </c>
      <c r="G35" s="212"/>
      <c r="H35" s="212"/>
      <c r="I35" s="213">
        <f>SUM(I8:I34)</f>
        <v>501530.35339679994</v>
      </c>
      <c r="N35" s="150">
        <f t="shared" si="0"/>
        <v>0</v>
      </c>
    </row>
    <row r="36" spans="1:14" ht="26" x14ac:dyDescent="0.3">
      <c r="A36" s="182" t="s">
        <v>168</v>
      </c>
      <c r="B36" s="193"/>
      <c r="C36" s="192"/>
      <c r="D36" s="193"/>
      <c r="E36" s="207"/>
      <c r="F36" s="193"/>
      <c r="G36" s="193"/>
      <c r="H36" s="193"/>
      <c r="I36" s="193"/>
      <c r="N36" s="150">
        <f t="shared" si="0"/>
        <v>0</v>
      </c>
    </row>
    <row r="37" spans="1:14" ht="26" x14ac:dyDescent="0.3">
      <c r="A37" s="301" t="s">
        <v>132</v>
      </c>
      <c r="B37" s="190"/>
      <c r="C37" s="192"/>
      <c r="D37" s="193"/>
      <c r="E37" s="192"/>
      <c r="F37" s="193"/>
      <c r="G37" s="193"/>
      <c r="H37" s="193"/>
      <c r="I37" s="193"/>
      <c r="N37" s="150">
        <f t="shared" si="0"/>
        <v>0</v>
      </c>
    </row>
    <row r="38" spans="1:14" x14ac:dyDescent="0.3">
      <c r="A38" s="301" t="s">
        <v>169</v>
      </c>
      <c r="B38" s="190"/>
      <c r="C38" s="192"/>
      <c r="D38" s="193"/>
      <c r="E38" s="192"/>
      <c r="F38" s="193"/>
      <c r="G38" s="193"/>
      <c r="H38" s="193"/>
      <c r="I38" s="193"/>
      <c r="N38" s="150">
        <f t="shared" si="0"/>
        <v>0</v>
      </c>
    </row>
    <row r="39" spans="1:14" x14ac:dyDescent="0.3">
      <c r="A39" s="301" t="s">
        <v>170</v>
      </c>
      <c r="B39" s="190"/>
      <c r="C39" s="192"/>
      <c r="D39" s="193"/>
      <c r="E39" s="192"/>
      <c r="F39" s="193"/>
      <c r="G39" s="193"/>
      <c r="H39" s="193"/>
      <c r="I39" s="193"/>
      <c r="N39" s="150">
        <f t="shared" si="0"/>
        <v>0</v>
      </c>
    </row>
    <row r="40" spans="1:14" x14ac:dyDescent="0.3">
      <c r="A40" s="301" t="s">
        <v>171</v>
      </c>
      <c r="B40" s="190" t="s">
        <v>122</v>
      </c>
      <c r="C40" s="192"/>
      <c r="D40" s="193"/>
      <c r="E40" s="192"/>
      <c r="F40" s="193"/>
      <c r="G40" s="193"/>
      <c r="H40" s="193"/>
      <c r="I40" s="193"/>
      <c r="N40" s="150">
        <f t="shared" si="0"/>
        <v>0</v>
      </c>
    </row>
    <row r="41" spans="1:14" ht="26" x14ac:dyDescent="0.3">
      <c r="A41" s="301" t="s">
        <v>172</v>
      </c>
      <c r="B41" s="193"/>
      <c r="C41" s="192"/>
      <c r="D41" s="193"/>
      <c r="E41" s="192"/>
      <c r="F41" s="193"/>
      <c r="G41" s="193"/>
      <c r="H41" s="193"/>
      <c r="I41" s="193"/>
      <c r="N41" s="150">
        <f t="shared" si="0"/>
        <v>0</v>
      </c>
    </row>
    <row r="42" spans="1:14" x14ac:dyDescent="0.3">
      <c r="A42" s="307" t="s">
        <v>163</v>
      </c>
      <c r="B42" s="193"/>
      <c r="C42" s="192"/>
      <c r="D42" s="193"/>
      <c r="E42" s="192"/>
      <c r="F42" s="193"/>
      <c r="G42" s="193"/>
      <c r="H42" s="193"/>
      <c r="I42" s="193"/>
      <c r="N42" s="150">
        <f t="shared" si="0"/>
        <v>0</v>
      </c>
    </row>
    <row r="43" spans="1:14" ht="15.65" customHeight="1" x14ac:dyDescent="0.3">
      <c r="A43" s="301" t="s">
        <v>173</v>
      </c>
      <c r="B43" s="190">
        <v>0.1</v>
      </c>
      <c r="C43" s="115">
        <v>1</v>
      </c>
      <c r="D43" s="190">
        <f t="shared" ref="D43:D48" si="16">B43*C43</f>
        <v>0.1</v>
      </c>
      <c r="E43" s="201">
        <f>$L$14</f>
        <v>208</v>
      </c>
      <c r="F43" s="202">
        <f t="shared" ref="F43:F48" si="17">D43*E43</f>
        <v>20.8</v>
      </c>
      <c r="G43" s="190">
        <f t="shared" ref="G43:G48" si="18">F43*0.05</f>
        <v>1.04</v>
      </c>
      <c r="H43" s="190">
        <f t="shared" ref="H43:H48" si="19">F43*0.1</f>
        <v>2.08</v>
      </c>
      <c r="I43" s="262">
        <f>F43*$L$8+G43*$L$7+H43*$L$9</f>
        <v>2957.3980800000004</v>
      </c>
      <c r="N43" s="150">
        <f t="shared" si="0"/>
        <v>208</v>
      </c>
    </row>
    <row r="44" spans="1:14" ht="91.5" customHeight="1" x14ac:dyDescent="0.3">
      <c r="A44" s="301" t="s">
        <v>497</v>
      </c>
      <c r="B44" s="190">
        <v>0.1</v>
      </c>
      <c r="C44" s="115">
        <v>330</v>
      </c>
      <c r="D44" s="190">
        <f t="shared" si="16"/>
        <v>33</v>
      </c>
      <c r="E44" s="201">
        <f>E43</f>
        <v>208</v>
      </c>
      <c r="F44" s="202">
        <f t="shared" si="17"/>
        <v>6864</v>
      </c>
      <c r="G44" s="190">
        <f t="shared" si="18"/>
        <v>343.20000000000005</v>
      </c>
      <c r="H44" s="190">
        <f t="shared" si="19"/>
        <v>686.40000000000009</v>
      </c>
      <c r="I44" s="262">
        <f>F44*$L$8+G44*$L$7+H44*$L$9</f>
        <v>975941.36639999994</v>
      </c>
      <c r="N44" s="150">
        <f t="shared" si="0"/>
        <v>68640</v>
      </c>
    </row>
    <row r="45" spans="1:14" x14ac:dyDescent="0.3">
      <c r="A45" s="307" t="s">
        <v>158</v>
      </c>
      <c r="B45" s="190"/>
      <c r="C45" s="115"/>
      <c r="D45" s="190"/>
      <c r="E45" s="201"/>
      <c r="F45" s="202"/>
      <c r="G45" s="190"/>
      <c r="H45" s="190"/>
      <c r="I45" s="199"/>
      <c r="N45" s="150">
        <f t="shared" si="0"/>
        <v>0</v>
      </c>
    </row>
    <row r="46" spans="1:14" x14ac:dyDescent="0.3">
      <c r="A46" s="301" t="s">
        <v>173</v>
      </c>
      <c r="B46" s="190">
        <v>1.5</v>
      </c>
      <c r="C46" s="115">
        <v>1</v>
      </c>
      <c r="D46" s="190">
        <f>B46*C46</f>
        <v>1.5</v>
      </c>
      <c r="E46" s="201">
        <f>L13</f>
        <v>7.2800000000000011</v>
      </c>
      <c r="F46" s="202">
        <f t="shared" ref="F46:F47" si="20">D46*E46</f>
        <v>10.920000000000002</v>
      </c>
      <c r="G46" s="190">
        <f t="shared" ref="G46:G47" si="21">F46*0.05</f>
        <v>0.54600000000000015</v>
      </c>
      <c r="H46" s="190">
        <f t="shared" ref="H46:H47" si="22">F46*0.1</f>
        <v>1.0920000000000003</v>
      </c>
      <c r="I46" s="197">
        <f>F46*$L$8+G46*$L$7+H46*$L$9</f>
        <v>1552.6339920000003</v>
      </c>
      <c r="N46" s="150">
        <f t="shared" si="0"/>
        <v>7.2800000000000011</v>
      </c>
    </row>
    <row r="47" spans="1:14" ht="109" customHeight="1" x14ac:dyDescent="0.3">
      <c r="A47" s="301" t="s">
        <v>497</v>
      </c>
      <c r="B47" s="190">
        <v>0.1</v>
      </c>
      <c r="C47" s="115">
        <v>330</v>
      </c>
      <c r="D47" s="190">
        <f t="shared" ref="D47" si="23">B47*C47</f>
        <v>33</v>
      </c>
      <c r="E47" s="201">
        <f>L13</f>
        <v>7.2800000000000011</v>
      </c>
      <c r="F47" s="202">
        <f t="shared" si="20"/>
        <v>240.24000000000004</v>
      </c>
      <c r="G47" s="190">
        <f t="shared" si="21"/>
        <v>12.012000000000002</v>
      </c>
      <c r="H47" s="190">
        <f t="shared" si="22"/>
        <v>24.024000000000004</v>
      </c>
      <c r="I47" s="197">
        <f>F47*$L$8+G47*$L$7+H47*$L$9</f>
        <v>34157.947824000003</v>
      </c>
      <c r="N47" s="150">
        <f t="shared" si="0"/>
        <v>2402.4000000000005</v>
      </c>
    </row>
    <row r="48" spans="1:14" ht="20.5" customHeight="1" x14ac:dyDescent="0.3">
      <c r="A48" s="301" t="s">
        <v>313</v>
      </c>
      <c r="B48" s="190">
        <v>0</v>
      </c>
      <c r="C48" s="115">
        <v>0</v>
      </c>
      <c r="D48" s="190">
        <f t="shared" si="16"/>
        <v>0</v>
      </c>
      <c r="E48" s="201">
        <f>$L$12</f>
        <v>0</v>
      </c>
      <c r="F48" s="202">
        <f t="shared" si="17"/>
        <v>0</v>
      </c>
      <c r="G48" s="190">
        <f t="shared" si="18"/>
        <v>0</v>
      </c>
      <c r="H48" s="190">
        <f t="shared" si="19"/>
        <v>0</v>
      </c>
      <c r="I48" s="197">
        <f>F48*$L$8+G48*$L$7+H48*$L$9</f>
        <v>0</v>
      </c>
      <c r="N48" s="150">
        <f t="shared" si="0"/>
        <v>0</v>
      </c>
    </row>
    <row r="49" spans="1:15" x14ac:dyDescent="0.3">
      <c r="A49" s="301" t="s">
        <v>186</v>
      </c>
      <c r="B49" s="190" t="s">
        <v>122</v>
      </c>
      <c r="C49" s="192"/>
      <c r="D49" s="193"/>
      <c r="E49" s="192"/>
      <c r="F49" s="193"/>
      <c r="G49" s="193"/>
      <c r="H49" s="193"/>
      <c r="I49" s="193"/>
      <c r="N49" s="150">
        <f t="shared" si="0"/>
        <v>0</v>
      </c>
    </row>
    <row r="50" spans="1:15" ht="27" x14ac:dyDescent="0.3">
      <c r="A50" s="208" t="s">
        <v>188</v>
      </c>
      <c r="B50" s="214"/>
      <c r="C50" s="215"/>
      <c r="D50" s="214"/>
      <c r="E50" s="216"/>
      <c r="F50" s="212">
        <f>SUM(F43:H48)</f>
        <v>8206.3539999999994</v>
      </c>
      <c r="G50" s="212"/>
      <c r="H50" s="212"/>
      <c r="I50" s="213">
        <f>SUM(I43:I49)</f>
        <v>1014609.3462959999</v>
      </c>
      <c r="N50" s="150">
        <f>SUM(N6:N49)</f>
        <v>105607.16399999999</v>
      </c>
    </row>
    <row r="51" spans="1:15" ht="28.5" customHeight="1" x14ac:dyDescent="0.3">
      <c r="A51" s="184" t="s">
        <v>189</v>
      </c>
      <c r="B51" s="217"/>
      <c r="C51" s="218"/>
      <c r="D51" s="217"/>
      <c r="E51" s="219"/>
      <c r="F51" s="481">
        <f>ROUND(F50+F35, -2)</f>
        <v>12300</v>
      </c>
      <c r="G51" s="481"/>
      <c r="H51" s="481"/>
      <c r="I51" s="220">
        <f>ROUND(I50+I35, -4)</f>
        <v>1520000</v>
      </c>
      <c r="K51" s="221">
        <f>F51/212</f>
        <v>58.018867924528301</v>
      </c>
      <c r="L51" s="150" t="s">
        <v>190</v>
      </c>
      <c r="N51" s="150">
        <f>N50-N19</f>
        <v>71287.16399999999</v>
      </c>
      <c r="O51" s="150" t="s">
        <v>248</v>
      </c>
    </row>
    <row r="52" spans="1:15" ht="28" x14ac:dyDescent="0.3">
      <c r="A52" s="222" t="s">
        <v>191</v>
      </c>
      <c r="B52" s="193"/>
      <c r="C52" s="192"/>
      <c r="D52" s="193"/>
      <c r="E52" s="192"/>
      <c r="F52" s="193"/>
      <c r="G52" s="193"/>
      <c r="H52" s="193"/>
      <c r="I52" s="220"/>
      <c r="O52" s="150" t="s">
        <v>357</v>
      </c>
    </row>
    <row r="53" spans="1:15" ht="42" customHeight="1" x14ac:dyDescent="0.3">
      <c r="A53" s="222" t="s">
        <v>192</v>
      </c>
      <c r="B53" s="193"/>
      <c r="C53" s="192"/>
      <c r="D53" s="193"/>
      <c r="E53" s="192"/>
      <c r="F53" s="193"/>
      <c r="G53" s="193"/>
      <c r="H53" s="193"/>
      <c r="I53" s="220">
        <f>ROUND(I51+I52, -5)</f>
        <v>1500000</v>
      </c>
    </row>
    <row r="55" spans="1:15" ht="26.15" customHeight="1" x14ac:dyDescent="0.3">
      <c r="A55" s="482" t="s">
        <v>490</v>
      </c>
      <c r="B55" s="482"/>
      <c r="C55" s="482"/>
      <c r="D55" s="482"/>
      <c r="E55" s="482"/>
      <c r="F55" s="482"/>
      <c r="G55" s="482"/>
      <c r="H55" s="482"/>
      <c r="I55" s="482"/>
    </row>
    <row r="56" spans="1:15" ht="68.150000000000006" customHeight="1" x14ac:dyDescent="0.3">
      <c r="A56" s="446" t="s">
        <v>194</v>
      </c>
      <c r="B56" s="446"/>
      <c r="C56" s="446"/>
      <c r="D56" s="446"/>
      <c r="E56" s="446"/>
      <c r="F56" s="446"/>
      <c r="G56" s="446"/>
      <c r="H56" s="446"/>
      <c r="I56" s="446"/>
    </row>
    <row r="57" spans="1:15" ht="24" customHeight="1" x14ac:dyDescent="0.3">
      <c r="A57" s="482" t="s">
        <v>359</v>
      </c>
      <c r="B57" s="482"/>
      <c r="C57" s="482"/>
      <c r="D57" s="482"/>
      <c r="E57" s="482"/>
      <c r="F57" s="482"/>
      <c r="G57" s="482"/>
      <c r="H57" s="482"/>
      <c r="I57" s="482"/>
    </row>
    <row r="58" spans="1:15" ht="30" customHeight="1" x14ac:dyDescent="0.3">
      <c r="A58" s="483" t="s">
        <v>360</v>
      </c>
      <c r="B58" s="483"/>
      <c r="C58" s="483"/>
      <c r="D58" s="483"/>
      <c r="E58" s="483"/>
      <c r="F58" s="483"/>
      <c r="G58" s="483"/>
      <c r="H58" s="483"/>
      <c r="I58" s="483"/>
    </row>
    <row r="59" spans="1:15" ht="17.149999999999999" customHeight="1" x14ac:dyDescent="0.3">
      <c r="A59" s="500" t="s">
        <v>197</v>
      </c>
      <c r="B59" s="500"/>
      <c r="C59" s="500"/>
      <c r="D59" s="500"/>
      <c r="E59" s="500"/>
      <c r="F59" s="500"/>
      <c r="G59" s="500"/>
      <c r="H59" s="500"/>
      <c r="I59" s="500"/>
    </row>
    <row r="60" spans="1:15" ht="35.15" customHeight="1" x14ac:dyDescent="0.3">
      <c r="A60" s="479" t="s">
        <v>466</v>
      </c>
      <c r="B60" s="479"/>
      <c r="C60" s="479"/>
      <c r="D60" s="479"/>
      <c r="E60" s="479"/>
      <c r="F60" s="479"/>
      <c r="G60" s="479"/>
      <c r="H60" s="479"/>
      <c r="I60" s="479"/>
    </row>
    <row r="61" spans="1:15" ht="18.75" customHeight="1" x14ac:dyDescent="0.3">
      <c r="A61" s="479" t="s">
        <v>361</v>
      </c>
      <c r="B61" s="479"/>
      <c r="C61" s="479"/>
      <c r="D61" s="479"/>
      <c r="E61" s="479"/>
      <c r="F61" s="479"/>
      <c r="G61" s="479"/>
      <c r="H61" s="479"/>
      <c r="I61" s="479"/>
    </row>
    <row r="62" spans="1:15" ht="19.5" customHeight="1" x14ac:dyDescent="0.3"/>
  </sheetData>
  <mergeCells count="11">
    <mergeCell ref="A56:I56"/>
    <mergeCell ref="A1:I1"/>
    <mergeCell ref="A3:I3"/>
    <mergeCell ref="K6:L6"/>
    <mergeCell ref="F51:H51"/>
    <mergeCell ref="A55:I55"/>
    <mergeCell ref="A57:I57"/>
    <mergeCell ref="A58:I58"/>
    <mergeCell ref="A59:I59"/>
    <mergeCell ref="A60:I60"/>
    <mergeCell ref="A61:I61"/>
  </mergeCells>
  <pageMargins left="0.7" right="0.7" top="0.75" bottom="0.75" header="0.3" footer="0.3"/>
  <pageSetup scale="3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442D-3587-42C1-A8B7-54AB6204AF5F}">
  <sheetPr codeName="Sheet28"/>
  <dimension ref="A1:P28"/>
  <sheetViews>
    <sheetView zoomScale="80" zoomScaleNormal="80" workbookViewId="0">
      <pane xSplit="12" ySplit="5" topLeftCell="M6" activePane="bottomRight" state="frozen"/>
      <selection pane="topRight" activeCell="A73" sqref="A73"/>
      <selection pane="bottomLeft" activeCell="A73" sqref="A73"/>
      <selection pane="bottomRight" activeCell="B12" sqref="B12:C14"/>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22.81640625" style="224" customWidth="1"/>
    <col min="14" max="16384" width="9.1796875" style="224"/>
  </cols>
  <sheetData>
    <row r="1" spans="1:16" ht="35.15" customHeight="1" x14ac:dyDescent="0.35">
      <c r="A1" s="462" t="s">
        <v>481</v>
      </c>
      <c r="B1" s="462"/>
      <c r="C1" s="462"/>
      <c r="D1" s="462"/>
      <c r="E1" s="462"/>
      <c r="F1" s="462"/>
      <c r="G1" s="462"/>
      <c r="H1" s="462"/>
      <c r="I1" s="462"/>
    </row>
    <row r="2" spans="1:16" ht="18.649999999999999" customHeight="1" x14ac:dyDescent="0.35">
      <c r="A2" s="423" t="s">
        <v>482</v>
      </c>
      <c r="B2" s="423"/>
      <c r="C2" s="423"/>
      <c r="D2" s="423"/>
      <c r="E2" s="423"/>
      <c r="F2" s="423"/>
      <c r="G2" s="423"/>
      <c r="H2" s="423"/>
      <c r="I2" s="423"/>
    </row>
    <row r="3" spans="1:16" ht="15" x14ac:dyDescent="0.35">
      <c r="A3" s="491" t="s">
        <v>468</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65.5"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0</v>
      </c>
      <c r="C8" s="115">
        <v>0</v>
      </c>
      <c r="D8" s="115">
        <f>B8*C8</f>
        <v>0</v>
      </c>
      <c r="E8" s="115">
        <f>'BPPI-Y1'!E26</f>
        <v>0</v>
      </c>
      <c r="F8" s="229">
        <f>D8*E8</f>
        <v>0</v>
      </c>
      <c r="G8" s="229">
        <f>F8*0.05</f>
        <v>0</v>
      </c>
      <c r="H8" s="229">
        <f>F8*0.1</f>
        <v>0</v>
      </c>
      <c r="I8" s="230">
        <f>(F8*$L$8)+(G8*$L$7)+(H8*$L$9)</f>
        <v>0</v>
      </c>
      <c r="K8" s="194" t="s">
        <v>128</v>
      </c>
      <c r="L8" s="162">
        <v>51.23</v>
      </c>
      <c r="M8" s="231"/>
      <c r="O8" s="224">
        <f>C8*E8</f>
        <v>0</v>
      </c>
    </row>
    <row r="9" spans="1:16" ht="15.5" x14ac:dyDescent="0.35">
      <c r="A9" s="228" t="s">
        <v>334</v>
      </c>
      <c r="B9" s="115">
        <v>0</v>
      </c>
      <c r="C9" s="115">
        <v>0</v>
      </c>
      <c r="D9" s="115">
        <f>B9*C9</f>
        <v>0</v>
      </c>
      <c r="E9" s="115">
        <v>0</v>
      </c>
      <c r="F9" s="232">
        <f>D9*E9</f>
        <v>0</v>
      </c>
      <c r="G9" s="232">
        <f>F9*0.05</f>
        <v>0</v>
      </c>
      <c r="H9" s="232">
        <f>F9*0.1</f>
        <v>0</v>
      </c>
      <c r="I9" s="233">
        <f>(F9*$L$8)+(G9*$L$7)+(H9*$L$9)</f>
        <v>0</v>
      </c>
      <c r="K9" s="194" t="s">
        <v>130</v>
      </c>
      <c r="L9" s="162">
        <v>27.73</v>
      </c>
      <c r="M9" s="231"/>
      <c r="O9" s="224">
        <f t="shared" ref="O9:O14" si="0">C9*E9</f>
        <v>0</v>
      </c>
    </row>
    <row r="10" spans="1:16" x14ac:dyDescent="0.35">
      <c r="A10" s="367" t="s">
        <v>243</v>
      </c>
      <c r="B10" s="115"/>
      <c r="C10" s="115"/>
      <c r="D10" s="115"/>
      <c r="E10" s="115"/>
      <c r="F10" s="229"/>
      <c r="G10" s="229"/>
      <c r="H10" s="229"/>
      <c r="I10" s="234"/>
      <c r="O10" s="224">
        <f t="shared" si="0"/>
        <v>0</v>
      </c>
    </row>
    <row r="11" spans="1:16" ht="39" x14ac:dyDescent="0.35">
      <c r="A11" s="76" t="s">
        <v>244</v>
      </c>
      <c r="B11" s="58">
        <v>8</v>
      </c>
      <c r="C11" s="58">
        <v>1</v>
      </c>
      <c r="D11" s="159">
        <f>B11*C11</f>
        <v>8</v>
      </c>
      <c r="E11" s="115">
        <f>'BPPI-Y1'!$L$15*0.01</f>
        <v>2.08</v>
      </c>
      <c r="F11" s="229">
        <f t="shared" ref="F11" si="1">D11*E11</f>
        <v>16.64</v>
      </c>
      <c r="G11" s="229">
        <f t="shared" ref="G11" si="2">F11*0.05</f>
        <v>0.83200000000000007</v>
      </c>
      <c r="H11" s="229">
        <f t="shared" ref="H11" si="3">F11*0.1</f>
        <v>1.6640000000000001</v>
      </c>
      <c r="I11" s="230">
        <f t="shared" ref="I11" si="4">(F11*$L$8)+(G11*$L$7)+(H11*$L$9)</f>
        <v>956.05119999999999</v>
      </c>
    </row>
    <row r="12" spans="1:16" ht="15.5" x14ac:dyDescent="0.35">
      <c r="A12" s="116" t="s">
        <v>337</v>
      </c>
      <c r="B12" s="115">
        <v>0</v>
      </c>
      <c r="C12" s="115">
        <v>0</v>
      </c>
      <c r="D12" s="115">
        <f t="shared" ref="D12:D14" si="5">B12*C12</f>
        <v>0</v>
      </c>
      <c r="E12" s="115">
        <v>0</v>
      </c>
      <c r="F12" s="229">
        <f t="shared" ref="F12:F14" si="6">D12*E12</f>
        <v>0</v>
      </c>
      <c r="G12" s="229">
        <f t="shared" ref="G12:G14" si="7">F12*0.05</f>
        <v>0</v>
      </c>
      <c r="H12" s="229">
        <f t="shared" ref="H12:H14" si="8">F12*0.1</f>
        <v>0</v>
      </c>
      <c r="I12" s="230">
        <f t="shared" ref="I12:I14" si="9">(F12*$L$8)+(G12*$L$7)+(H12*$L$9)</f>
        <v>0</v>
      </c>
      <c r="O12" s="224">
        <f t="shared" si="0"/>
        <v>0</v>
      </c>
    </row>
    <row r="13" spans="1:16" ht="15.5" x14ac:dyDescent="0.35">
      <c r="A13" s="116" t="s">
        <v>501</v>
      </c>
      <c r="B13" s="115">
        <v>0</v>
      </c>
      <c r="C13" s="115">
        <v>0</v>
      </c>
      <c r="D13" s="115">
        <f t="shared" si="5"/>
        <v>0</v>
      </c>
      <c r="E13" s="115">
        <v>0</v>
      </c>
      <c r="F13" s="229">
        <f t="shared" si="6"/>
        <v>0</v>
      </c>
      <c r="G13" s="235">
        <f t="shared" si="7"/>
        <v>0</v>
      </c>
      <c r="H13" s="235">
        <f t="shared" si="8"/>
        <v>0</v>
      </c>
      <c r="I13" s="230">
        <f t="shared" si="9"/>
        <v>0</v>
      </c>
      <c r="O13" s="224">
        <f t="shared" si="0"/>
        <v>0</v>
      </c>
    </row>
    <row r="14" spans="1:16" ht="36" customHeight="1" x14ac:dyDescent="0.35">
      <c r="A14" s="116" t="s">
        <v>502</v>
      </c>
      <c r="B14" s="115">
        <v>0</v>
      </c>
      <c r="C14" s="115">
        <v>0</v>
      </c>
      <c r="D14" s="115">
        <f t="shared" si="5"/>
        <v>0</v>
      </c>
      <c r="E14" s="115">
        <f>'BPPI-Y1'!E33</f>
        <v>0</v>
      </c>
      <c r="F14" s="232">
        <f t="shared" si="6"/>
        <v>0</v>
      </c>
      <c r="G14" s="229">
        <f t="shared" si="7"/>
        <v>0</v>
      </c>
      <c r="H14" s="229">
        <f t="shared" si="8"/>
        <v>0</v>
      </c>
      <c r="I14" s="230">
        <f t="shared" si="9"/>
        <v>0</v>
      </c>
      <c r="O14" s="224">
        <f t="shared" si="0"/>
        <v>0</v>
      </c>
    </row>
    <row r="15" spans="1:16" ht="15" x14ac:dyDescent="0.35">
      <c r="A15" s="222" t="s">
        <v>247</v>
      </c>
      <c r="B15" s="222"/>
      <c r="C15" s="222"/>
      <c r="D15" s="222"/>
      <c r="E15" s="222"/>
      <c r="F15" s="218">
        <f>ROUND(SUM(F8:H14), -1)</f>
        <v>20</v>
      </c>
      <c r="G15" s="236"/>
      <c r="H15" s="236"/>
      <c r="I15" s="237">
        <f>ROUND(SUM(I8:I14), -2)</f>
        <v>1000</v>
      </c>
      <c r="O15" s="224">
        <f>SUM(O8:O14)</f>
        <v>0</v>
      </c>
      <c r="P15" s="224" t="s">
        <v>248</v>
      </c>
    </row>
    <row r="16" spans="1:16" x14ac:dyDescent="0.35">
      <c r="A16" s="238"/>
      <c r="G16" s="239"/>
    </row>
    <row r="17" spans="1:9" ht="18.649999999999999" customHeight="1" x14ac:dyDescent="0.35">
      <c r="A17" s="238" t="s">
        <v>249</v>
      </c>
    </row>
    <row r="18" spans="1:9" ht="21.65" customHeight="1" x14ac:dyDescent="0.35">
      <c r="A18" s="490" t="s">
        <v>503</v>
      </c>
      <c r="B18" s="490"/>
      <c r="C18" s="490"/>
      <c r="D18" s="490"/>
      <c r="E18" s="490"/>
      <c r="F18" s="490"/>
      <c r="G18" s="490"/>
      <c r="H18" s="490"/>
      <c r="I18" s="490"/>
    </row>
    <row r="19" spans="1:9" ht="32.25" customHeight="1" x14ac:dyDescent="0.35">
      <c r="A19" s="475" t="s">
        <v>251</v>
      </c>
      <c r="B19" s="475"/>
      <c r="C19" s="475"/>
      <c r="D19" s="475"/>
      <c r="E19" s="475"/>
      <c r="F19" s="475"/>
      <c r="G19" s="475"/>
      <c r="H19" s="475"/>
      <c r="I19" s="475"/>
    </row>
    <row r="20" spans="1:9" ht="15.5" x14ac:dyDescent="0.35">
      <c r="A20" s="487" t="s">
        <v>383</v>
      </c>
      <c r="B20" s="487"/>
      <c r="C20" s="487"/>
      <c r="D20" s="487"/>
      <c r="E20" s="487"/>
      <c r="F20" s="487"/>
      <c r="G20" s="487"/>
      <c r="H20" s="487"/>
      <c r="I20" s="487"/>
    </row>
    <row r="21" spans="1:9" ht="15.5" x14ac:dyDescent="0.35">
      <c r="A21" s="488" t="s">
        <v>253</v>
      </c>
      <c r="B21" s="488"/>
      <c r="C21" s="488"/>
      <c r="D21" s="488"/>
      <c r="E21" s="488"/>
      <c r="F21" s="488"/>
      <c r="G21" s="488"/>
      <c r="H21" s="488"/>
      <c r="I21" s="488"/>
    </row>
    <row r="22" spans="1:9" ht="15.5" x14ac:dyDescent="0.35">
      <c r="A22" s="489" t="s">
        <v>384</v>
      </c>
      <c r="B22" s="489"/>
      <c r="C22" s="489"/>
      <c r="D22" s="489"/>
      <c r="E22" s="489"/>
      <c r="F22" s="489"/>
      <c r="G22" s="489"/>
      <c r="H22" s="489"/>
      <c r="I22" s="489"/>
    </row>
    <row r="23" spans="1:9" ht="15.5" x14ac:dyDescent="0.35">
      <c r="A23" s="489" t="s">
        <v>255</v>
      </c>
      <c r="B23" s="489"/>
      <c r="C23" s="489"/>
      <c r="D23" s="489"/>
      <c r="E23" s="489"/>
      <c r="F23" s="489"/>
      <c r="G23" s="489"/>
      <c r="H23" s="489"/>
      <c r="I23" s="489"/>
    </row>
    <row r="25" spans="1:9" x14ac:dyDescent="0.35">
      <c r="A25" s="240"/>
    </row>
    <row r="26" spans="1:9" x14ac:dyDescent="0.35">
      <c r="A26" s="240"/>
    </row>
    <row r="27" spans="1:9" x14ac:dyDescent="0.35">
      <c r="A27" s="240"/>
    </row>
    <row r="28" spans="1:9" x14ac:dyDescent="0.35">
      <c r="A28" s="240"/>
    </row>
  </sheetData>
  <mergeCells count="11">
    <mergeCell ref="K6:L6"/>
    <mergeCell ref="A18:I18"/>
    <mergeCell ref="A19:I19"/>
    <mergeCell ref="A20:I20"/>
    <mergeCell ref="A21:I21"/>
    <mergeCell ref="A22:I22"/>
    <mergeCell ref="A23:I23"/>
    <mergeCell ref="A1:I1"/>
    <mergeCell ref="A3:I3"/>
    <mergeCell ref="A4:I4"/>
    <mergeCell ref="A5:A7"/>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2685-AFDD-4D44-8DC9-6171BF936258}">
  <sheetPr codeName="Sheet29"/>
  <dimension ref="A1:P27"/>
  <sheetViews>
    <sheetView zoomScale="80" zoomScaleNormal="80" workbookViewId="0">
      <pane xSplit="12" ySplit="5" topLeftCell="M7" activePane="bottomRight" state="frozen"/>
      <selection pane="topRight" sqref="A1:I1"/>
      <selection pane="bottomLeft" sqref="A1:I1"/>
      <selection pane="bottomRight" activeCell="B11" sqref="B11:C13"/>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7.453125" style="224" customWidth="1"/>
    <col min="14" max="16384" width="9.1796875" style="224"/>
  </cols>
  <sheetData>
    <row r="1" spans="1:16" ht="33.65" customHeight="1" x14ac:dyDescent="0.35">
      <c r="A1" s="462" t="s">
        <v>481</v>
      </c>
      <c r="B1" s="462"/>
      <c r="C1" s="462"/>
      <c r="D1" s="462"/>
      <c r="E1" s="462"/>
      <c r="F1" s="462"/>
      <c r="G1" s="462"/>
      <c r="H1" s="462"/>
      <c r="I1" s="462"/>
    </row>
    <row r="2" spans="1:16" ht="18.649999999999999" customHeight="1" x14ac:dyDescent="0.35">
      <c r="A2" s="423" t="s">
        <v>482</v>
      </c>
      <c r="B2" s="423"/>
      <c r="C2" s="423"/>
      <c r="D2" s="423"/>
      <c r="E2" s="423"/>
      <c r="F2" s="423"/>
      <c r="G2" s="423"/>
      <c r="H2" s="423"/>
      <c r="I2" s="423"/>
    </row>
    <row r="3" spans="1:16" ht="15" x14ac:dyDescent="0.35">
      <c r="A3" s="491" t="s">
        <v>471</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104.5"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0</v>
      </c>
      <c r="C8" s="115">
        <v>0</v>
      </c>
      <c r="D8" s="115">
        <f>B8*C8</f>
        <v>0</v>
      </c>
      <c r="E8" s="115">
        <f>'BPPI-Y1'!E26</f>
        <v>0</v>
      </c>
      <c r="F8" s="229">
        <f>D8*E8</f>
        <v>0</v>
      </c>
      <c r="G8" s="229">
        <f>F8*0.05</f>
        <v>0</v>
      </c>
      <c r="H8" s="229">
        <f>F8*0.1</f>
        <v>0</v>
      </c>
      <c r="I8" s="230">
        <f>(F8*$L$8)+(G8*$L$7)+(H8*$L$9)</f>
        <v>0</v>
      </c>
      <c r="K8" s="194" t="s">
        <v>128</v>
      </c>
      <c r="L8" s="162">
        <v>51.23</v>
      </c>
      <c r="M8" s="231"/>
      <c r="O8" s="224">
        <f>C8*E8</f>
        <v>0</v>
      </c>
    </row>
    <row r="9" spans="1:16" ht="15.5" x14ac:dyDescent="0.35">
      <c r="A9" s="228" t="s">
        <v>334</v>
      </c>
      <c r="B9" s="115">
        <v>0</v>
      </c>
      <c r="C9" s="115">
        <v>0</v>
      </c>
      <c r="D9" s="115">
        <f>B9*C9</f>
        <v>0</v>
      </c>
      <c r="E9" s="115">
        <v>0</v>
      </c>
      <c r="F9" s="232">
        <f>D9*E9</f>
        <v>0</v>
      </c>
      <c r="G9" s="232">
        <f>F9*0.05</f>
        <v>0</v>
      </c>
      <c r="H9" s="232">
        <f>F9*0.1</f>
        <v>0</v>
      </c>
      <c r="I9" s="233">
        <f>(F9*$L$8)+(G9*$L$7)+(H9*$L$9)</f>
        <v>0</v>
      </c>
      <c r="K9" s="194" t="s">
        <v>130</v>
      </c>
      <c r="L9" s="162">
        <v>27.73</v>
      </c>
      <c r="M9" s="231"/>
      <c r="O9" s="224">
        <f t="shared" ref="O9:O13" si="0">C9*E9</f>
        <v>0</v>
      </c>
    </row>
    <row r="10" spans="1:16" x14ac:dyDescent="0.35">
      <c r="A10" s="228" t="s">
        <v>243</v>
      </c>
      <c r="B10" s="115"/>
      <c r="C10" s="115"/>
      <c r="D10" s="115"/>
      <c r="E10" s="115"/>
      <c r="F10" s="229"/>
      <c r="G10" s="229"/>
      <c r="H10" s="229"/>
      <c r="I10" s="234"/>
      <c r="O10" s="224">
        <f t="shared" si="0"/>
        <v>0</v>
      </c>
    </row>
    <row r="11" spans="1:16" ht="15.5" x14ac:dyDescent="0.35">
      <c r="A11" s="116" t="s">
        <v>337</v>
      </c>
      <c r="B11" s="115">
        <v>0</v>
      </c>
      <c r="C11" s="115">
        <v>0</v>
      </c>
      <c r="D11" s="115">
        <f t="shared" ref="D11:D13" si="1">B11*C11</f>
        <v>0</v>
      </c>
      <c r="E11" s="115">
        <v>0</v>
      </c>
      <c r="F11" s="229">
        <f t="shared" ref="F11:F13" si="2">D11*E11</f>
        <v>0</v>
      </c>
      <c r="G11" s="229">
        <f t="shared" ref="G11:G13" si="3">F11*0.05</f>
        <v>0</v>
      </c>
      <c r="H11" s="229">
        <f t="shared" ref="H11:H13" si="4">F11*0.1</f>
        <v>0</v>
      </c>
      <c r="I11" s="230">
        <f t="shared" ref="I11:I13" si="5">(F11*$L$8)+(G11*$L$7)+(H11*$L$9)</f>
        <v>0</v>
      </c>
      <c r="O11" s="224">
        <f t="shared" si="0"/>
        <v>0</v>
      </c>
    </row>
    <row r="12" spans="1:16" ht="15.5" x14ac:dyDescent="0.35">
      <c r="A12" s="116" t="s">
        <v>501</v>
      </c>
      <c r="B12" s="115">
        <v>0</v>
      </c>
      <c r="C12" s="115">
        <v>0</v>
      </c>
      <c r="D12" s="115">
        <f t="shared" si="1"/>
        <v>0</v>
      </c>
      <c r="E12" s="115">
        <v>0</v>
      </c>
      <c r="F12" s="229">
        <f t="shared" si="2"/>
        <v>0</v>
      </c>
      <c r="G12" s="235">
        <f t="shared" si="3"/>
        <v>0</v>
      </c>
      <c r="H12" s="235">
        <f t="shared" si="4"/>
        <v>0</v>
      </c>
      <c r="I12" s="230">
        <f t="shared" si="5"/>
        <v>0</v>
      </c>
      <c r="O12" s="224">
        <f t="shared" si="0"/>
        <v>0</v>
      </c>
    </row>
    <row r="13" spans="1:16" ht="42.65" customHeight="1" x14ac:dyDescent="0.35">
      <c r="A13" s="116" t="s">
        <v>502</v>
      </c>
      <c r="B13" s="115">
        <v>0</v>
      </c>
      <c r="C13" s="115">
        <v>0</v>
      </c>
      <c r="D13" s="115">
        <f t="shared" si="1"/>
        <v>0</v>
      </c>
      <c r="E13" s="115">
        <f>'BPPI-Y1'!E33</f>
        <v>0</v>
      </c>
      <c r="F13" s="232">
        <f t="shared" si="2"/>
        <v>0</v>
      </c>
      <c r="G13" s="229">
        <f t="shared" si="3"/>
        <v>0</v>
      </c>
      <c r="H13" s="229">
        <f t="shared" si="4"/>
        <v>0</v>
      </c>
      <c r="I13" s="230">
        <f t="shared" si="5"/>
        <v>0</v>
      </c>
      <c r="O13" s="224">
        <f t="shared" si="0"/>
        <v>0</v>
      </c>
    </row>
    <row r="14" spans="1:16" ht="15" x14ac:dyDescent="0.35">
      <c r="A14" s="222" t="s">
        <v>247</v>
      </c>
      <c r="B14" s="222"/>
      <c r="C14" s="222"/>
      <c r="D14" s="222"/>
      <c r="E14" s="222"/>
      <c r="F14" s="218">
        <f>ROUND(SUM(F8:H13), -1)</f>
        <v>0</v>
      </c>
      <c r="G14" s="236"/>
      <c r="H14" s="236"/>
      <c r="I14" s="237">
        <f>ROUND(SUM(I8:I13), -2)</f>
        <v>0</v>
      </c>
      <c r="O14" s="224">
        <f>SUM(O8:O13)</f>
        <v>0</v>
      </c>
      <c r="P14" s="224" t="s">
        <v>248</v>
      </c>
    </row>
    <row r="15" spans="1:16" x14ac:dyDescent="0.35">
      <c r="A15" s="238"/>
      <c r="G15" s="239"/>
    </row>
    <row r="16" spans="1:16" ht="20.149999999999999" customHeight="1" x14ac:dyDescent="0.35">
      <c r="A16" s="238" t="s">
        <v>249</v>
      </c>
    </row>
    <row r="17" spans="1:9" ht="21.65" customHeight="1" x14ac:dyDescent="0.35">
      <c r="A17" s="490" t="s">
        <v>503</v>
      </c>
      <c r="B17" s="490"/>
      <c r="C17" s="490"/>
      <c r="D17" s="490"/>
      <c r="E17" s="490"/>
      <c r="F17" s="490"/>
      <c r="G17" s="490"/>
      <c r="H17" s="490"/>
      <c r="I17" s="490"/>
    </row>
    <row r="18" spans="1:9" ht="32.25" customHeight="1" x14ac:dyDescent="0.35">
      <c r="A18" s="475" t="s">
        <v>251</v>
      </c>
      <c r="B18" s="475"/>
      <c r="C18" s="475"/>
      <c r="D18" s="475"/>
      <c r="E18" s="475"/>
      <c r="F18" s="475"/>
      <c r="G18" s="475"/>
      <c r="H18" s="475"/>
      <c r="I18" s="475"/>
    </row>
    <row r="19" spans="1:9" ht="15.5" x14ac:dyDescent="0.35">
      <c r="A19" s="487" t="s">
        <v>383</v>
      </c>
      <c r="B19" s="487"/>
      <c r="C19" s="487"/>
      <c r="D19" s="487"/>
      <c r="E19" s="487"/>
      <c r="F19" s="487"/>
      <c r="G19" s="487"/>
      <c r="H19" s="487"/>
      <c r="I19" s="487"/>
    </row>
    <row r="20" spans="1:9" ht="15.5" x14ac:dyDescent="0.35">
      <c r="A20" s="488" t="s">
        <v>253</v>
      </c>
      <c r="B20" s="488"/>
      <c r="C20" s="488"/>
      <c r="D20" s="488"/>
      <c r="E20" s="488"/>
      <c r="F20" s="488"/>
      <c r="G20" s="488"/>
      <c r="H20" s="488"/>
      <c r="I20" s="488"/>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6181-4849-49FC-95FD-D67D51315DFA}">
  <sheetPr codeName="Sheet30"/>
  <dimension ref="A1:P28"/>
  <sheetViews>
    <sheetView zoomScale="80" zoomScaleNormal="80" workbookViewId="0">
      <pane xSplit="12" ySplit="5" topLeftCell="M7" activePane="bottomRight" state="frozen"/>
      <selection pane="topRight" sqref="A1:I1"/>
      <selection pane="bottomLeft" sqref="A1:I1"/>
      <selection pane="bottomRight" activeCell="B12" sqref="B12:C14"/>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34" customHeight="1" x14ac:dyDescent="0.35">
      <c r="A1" s="462" t="s">
        <v>481</v>
      </c>
      <c r="B1" s="462"/>
      <c r="C1" s="462"/>
      <c r="D1" s="462"/>
      <c r="E1" s="462"/>
      <c r="F1" s="462"/>
      <c r="G1" s="462"/>
      <c r="H1" s="462"/>
      <c r="I1" s="462"/>
    </row>
    <row r="2" spans="1:16" ht="18.649999999999999" customHeight="1" x14ac:dyDescent="0.35">
      <c r="A2" s="423" t="s">
        <v>493</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38.5" customHeight="1"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0</v>
      </c>
      <c r="C8" s="115">
        <v>0</v>
      </c>
      <c r="D8" s="115">
        <f>B8*C8</f>
        <v>0</v>
      </c>
      <c r="E8" s="115">
        <v>0</v>
      </c>
      <c r="F8" s="229">
        <f>D8*E8</f>
        <v>0</v>
      </c>
      <c r="G8" s="229">
        <f>F8*0.05</f>
        <v>0</v>
      </c>
      <c r="H8" s="229">
        <f>F8*0.1</f>
        <v>0</v>
      </c>
      <c r="I8" s="233">
        <f>(F8*$L$8)+(G8*$L$7)+(H8*$L$9)</f>
        <v>0</v>
      </c>
      <c r="K8" s="194" t="s">
        <v>128</v>
      </c>
      <c r="L8" s="162">
        <v>51.23</v>
      </c>
      <c r="M8" s="231"/>
      <c r="O8" s="224">
        <f>C8*E8</f>
        <v>0</v>
      </c>
    </row>
    <row r="9" spans="1:16" ht="15.5" x14ac:dyDescent="0.35">
      <c r="A9" s="228" t="s">
        <v>334</v>
      </c>
      <c r="B9" s="115">
        <v>0</v>
      </c>
      <c r="C9" s="115">
        <v>0</v>
      </c>
      <c r="D9" s="115">
        <f>B9*C9</f>
        <v>0</v>
      </c>
      <c r="E9" s="115">
        <f>E8*0.05</f>
        <v>0</v>
      </c>
      <c r="F9" s="232">
        <f>D9*E9</f>
        <v>0</v>
      </c>
      <c r="G9" s="232">
        <f>F9*0.05</f>
        <v>0</v>
      </c>
      <c r="H9" s="232">
        <f>F9*0.1</f>
        <v>0</v>
      </c>
      <c r="I9" s="233">
        <f>(F9*$L$8)+(G9*$L$7)+(H9*$L$9)</f>
        <v>0</v>
      </c>
      <c r="K9" s="194" t="s">
        <v>130</v>
      </c>
      <c r="L9" s="162">
        <v>27.73</v>
      </c>
      <c r="M9" s="231"/>
      <c r="O9" s="224">
        <f t="shared" ref="O9:O14" si="0">C9*E9</f>
        <v>0</v>
      </c>
    </row>
    <row r="10" spans="1:16" ht="15.5" x14ac:dyDescent="0.35">
      <c r="A10" s="362" t="s">
        <v>243</v>
      </c>
      <c r="B10" s="115"/>
      <c r="C10" s="115"/>
      <c r="D10" s="115"/>
      <c r="E10" s="115"/>
      <c r="F10" s="229"/>
      <c r="G10" s="229"/>
      <c r="H10" s="229"/>
      <c r="I10" s="234"/>
      <c r="O10" s="224">
        <f t="shared" si="0"/>
        <v>0</v>
      </c>
    </row>
    <row r="11" spans="1:16" ht="39" x14ac:dyDescent="0.35">
      <c r="A11" s="76" t="s">
        <v>261</v>
      </c>
      <c r="B11" s="58">
        <v>8</v>
      </c>
      <c r="C11" s="58">
        <v>1</v>
      </c>
      <c r="D11" s="159">
        <f>B11*C11</f>
        <v>8</v>
      </c>
      <c r="E11" s="115">
        <f>'BPPI-Y1'!$L$15*0.01</f>
        <v>2.08</v>
      </c>
      <c r="F11" s="229">
        <f t="shared" ref="F11" si="1">D11*E11</f>
        <v>16.64</v>
      </c>
      <c r="G11" s="229">
        <f t="shared" ref="G11" si="2">F11*0.05</f>
        <v>0.83200000000000007</v>
      </c>
      <c r="H11" s="229">
        <f t="shared" ref="H11" si="3">F11*0.1</f>
        <v>1.6640000000000001</v>
      </c>
      <c r="I11" s="233">
        <f t="shared" ref="I11" si="4">(F11*$L$8)+(G11*$L$7)+(H11*$L$9)</f>
        <v>956.05119999999999</v>
      </c>
    </row>
    <row r="12" spans="1:16" ht="15.5" x14ac:dyDescent="0.35">
      <c r="A12" s="116" t="s">
        <v>337</v>
      </c>
      <c r="B12" s="115">
        <v>0</v>
      </c>
      <c r="C12" s="115">
        <v>0</v>
      </c>
      <c r="D12" s="115">
        <f t="shared" ref="D12:D14" si="5">B12*C12</f>
        <v>0</v>
      </c>
      <c r="E12" s="115">
        <v>0</v>
      </c>
      <c r="F12" s="229">
        <f t="shared" ref="F12:F14" si="6">D12*E12</f>
        <v>0</v>
      </c>
      <c r="G12" s="229">
        <f t="shared" ref="G12:G14" si="7">F12*0.05</f>
        <v>0</v>
      </c>
      <c r="H12" s="229">
        <f t="shared" ref="H12:H14" si="8">F12*0.1</f>
        <v>0</v>
      </c>
      <c r="I12" s="233">
        <f t="shared" ref="I12:I14" si="9">(F12*$L$8)+(G12*$L$7)+(H12*$L$9)</f>
        <v>0</v>
      </c>
      <c r="O12" s="224">
        <f t="shared" si="0"/>
        <v>0</v>
      </c>
    </row>
    <row r="13" spans="1:16" ht="15.5" x14ac:dyDescent="0.35">
      <c r="A13" s="116" t="s">
        <v>501</v>
      </c>
      <c r="B13" s="115">
        <v>0</v>
      </c>
      <c r="C13" s="115">
        <v>0</v>
      </c>
      <c r="D13" s="115">
        <f t="shared" si="5"/>
        <v>0</v>
      </c>
      <c r="E13" s="115">
        <v>0</v>
      </c>
      <c r="F13" s="229">
        <f t="shared" si="6"/>
        <v>0</v>
      </c>
      <c r="G13" s="235">
        <f t="shared" si="7"/>
        <v>0</v>
      </c>
      <c r="H13" s="235">
        <f t="shared" si="8"/>
        <v>0</v>
      </c>
      <c r="I13" s="233">
        <f t="shared" si="9"/>
        <v>0</v>
      </c>
      <c r="O13" s="224">
        <f t="shared" si="0"/>
        <v>0</v>
      </c>
    </row>
    <row r="14" spans="1:16" ht="41.15" customHeight="1" x14ac:dyDescent="0.35">
      <c r="A14" s="116" t="s">
        <v>502</v>
      </c>
      <c r="B14" s="115">
        <v>0</v>
      </c>
      <c r="C14" s="115">
        <v>0</v>
      </c>
      <c r="D14" s="115">
        <f t="shared" si="5"/>
        <v>0</v>
      </c>
      <c r="E14" s="115">
        <v>0</v>
      </c>
      <c r="F14" s="232">
        <f t="shared" si="6"/>
        <v>0</v>
      </c>
      <c r="G14" s="229">
        <f t="shared" si="7"/>
        <v>0</v>
      </c>
      <c r="H14" s="229">
        <f t="shared" si="8"/>
        <v>0</v>
      </c>
      <c r="I14" s="233">
        <f t="shared" si="9"/>
        <v>0</v>
      </c>
      <c r="O14" s="224">
        <f t="shared" si="0"/>
        <v>0</v>
      </c>
    </row>
    <row r="15" spans="1:16" ht="15" x14ac:dyDescent="0.35">
      <c r="A15" s="222" t="s">
        <v>247</v>
      </c>
      <c r="B15" s="222"/>
      <c r="C15" s="222"/>
      <c r="D15" s="222"/>
      <c r="E15" s="222"/>
      <c r="F15" s="218">
        <f>ROUND(SUM(F8:H14), -1)</f>
        <v>20</v>
      </c>
      <c r="G15" s="236"/>
      <c r="H15" s="236"/>
      <c r="I15" s="237">
        <f>ROUND(SUM(I8:I14), -2)</f>
        <v>1000</v>
      </c>
      <c r="O15" s="224">
        <f>SUM(O8:O14)</f>
        <v>0</v>
      </c>
      <c r="P15" s="224" t="s">
        <v>248</v>
      </c>
    </row>
    <row r="16" spans="1:16" x14ac:dyDescent="0.35">
      <c r="A16" s="238"/>
      <c r="G16" s="239"/>
    </row>
    <row r="17" spans="1:9" ht="17.5" customHeight="1" x14ac:dyDescent="0.35">
      <c r="A17" s="238" t="s">
        <v>249</v>
      </c>
    </row>
    <row r="18" spans="1:9" ht="21" customHeight="1" x14ac:dyDescent="0.35">
      <c r="A18" s="490" t="s">
        <v>503</v>
      </c>
      <c r="B18" s="490"/>
      <c r="C18" s="490"/>
      <c r="D18" s="490"/>
      <c r="E18" s="490"/>
      <c r="F18" s="490"/>
      <c r="G18" s="490"/>
      <c r="H18" s="490"/>
      <c r="I18" s="490"/>
    </row>
    <row r="19" spans="1:9" ht="45" customHeight="1" x14ac:dyDescent="0.35">
      <c r="A19" s="475" t="s">
        <v>251</v>
      </c>
      <c r="B19" s="475"/>
      <c r="C19" s="475"/>
      <c r="D19" s="475"/>
      <c r="E19" s="475"/>
      <c r="F19" s="475"/>
      <c r="G19" s="475"/>
      <c r="H19" s="475"/>
      <c r="I19" s="475"/>
    </row>
    <row r="20" spans="1:9" ht="15.5" x14ac:dyDescent="0.35">
      <c r="A20" s="487" t="s">
        <v>383</v>
      </c>
      <c r="B20" s="487"/>
      <c r="C20" s="487"/>
      <c r="D20" s="487"/>
      <c r="E20" s="487"/>
      <c r="F20" s="487"/>
      <c r="G20" s="487"/>
      <c r="H20" s="487"/>
      <c r="I20" s="487"/>
    </row>
    <row r="21" spans="1:9" ht="15.5" x14ac:dyDescent="0.35">
      <c r="A21" s="488" t="s">
        <v>253</v>
      </c>
      <c r="B21" s="488"/>
      <c r="C21" s="488"/>
      <c r="D21" s="488"/>
      <c r="E21" s="488"/>
      <c r="F21" s="488"/>
      <c r="G21" s="488"/>
      <c r="H21" s="488"/>
      <c r="I21" s="488"/>
    </row>
    <row r="22" spans="1:9" ht="15.5" x14ac:dyDescent="0.35">
      <c r="A22" s="489" t="s">
        <v>384</v>
      </c>
      <c r="B22" s="489"/>
      <c r="C22" s="489"/>
      <c r="D22" s="489"/>
      <c r="E22" s="489"/>
      <c r="F22" s="489"/>
      <c r="G22" s="489"/>
      <c r="H22" s="489"/>
      <c r="I22" s="489"/>
    </row>
    <row r="23" spans="1:9" ht="15.5" x14ac:dyDescent="0.35">
      <c r="A23" s="489" t="s">
        <v>255</v>
      </c>
      <c r="B23" s="489"/>
      <c r="C23" s="489"/>
      <c r="D23" s="489"/>
      <c r="E23" s="489"/>
      <c r="F23" s="489"/>
      <c r="G23" s="489"/>
      <c r="H23" s="489"/>
      <c r="I23" s="489"/>
    </row>
    <row r="25" spans="1:9" x14ac:dyDescent="0.35">
      <c r="A25" s="240"/>
    </row>
    <row r="26" spans="1:9" x14ac:dyDescent="0.35">
      <c r="A26" s="240"/>
    </row>
    <row r="27" spans="1:9" x14ac:dyDescent="0.35">
      <c r="A27" s="240"/>
    </row>
    <row r="28" spans="1:9" x14ac:dyDescent="0.35">
      <c r="A28" s="240"/>
    </row>
  </sheetData>
  <mergeCells count="11">
    <mergeCell ref="A1:I1"/>
    <mergeCell ref="A3:I3"/>
    <mergeCell ref="A4:I4"/>
    <mergeCell ref="A5:A7"/>
    <mergeCell ref="A23:I23"/>
    <mergeCell ref="K6:L6"/>
    <mergeCell ref="A19:I19"/>
    <mergeCell ref="A20:I20"/>
    <mergeCell ref="A21:I21"/>
    <mergeCell ref="A22:I22"/>
    <mergeCell ref="A18:I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C567-D49F-4AEC-90B3-0D0956C2C6B2}">
  <sheetPr codeName="Sheet8">
    <pageSetUpPr fitToPage="1"/>
  </sheetPr>
  <dimension ref="A1:P72"/>
  <sheetViews>
    <sheetView zoomScale="60" zoomScaleNormal="60" workbookViewId="0">
      <pane xSplit="13" ySplit="5" topLeftCell="N33" activePane="bottomRight" state="frozen"/>
      <selection activeCell="A25" sqref="A25:I25"/>
      <selection pane="topRight" activeCell="A25" sqref="A25:I25"/>
      <selection pane="bottomLeft" activeCell="A25" sqref="A25:I25"/>
      <selection pane="bottomRight" activeCell="M40" sqref="M40"/>
    </sheetView>
  </sheetViews>
  <sheetFormatPr defaultColWidth="9.1796875" defaultRowHeight="13" x14ac:dyDescent="0.3"/>
  <cols>
    <col min="1" max="1" width="27" style="71" customWidth="1"/>
    <col min="2" max="2" width="10.1796875" style="71" customWidth="1"/>
    <col min="3" max="3" width="12" style="80" customWidth="1"/>
    <col min="4" max="4" width="11.1796875" style="71" customWidth="1"/>
    <col min="5" max="5" width="12.1796875" style="80" customWidth="1"/>
    <col min="6" max="6" width="10.453125" style="71" customWidth="1"/>
    <col min="7" max="7" width="11.54296875" style="71" customWidth="1"/>
    <col min="8" max="9" width="11.453125" style="71" customWidth="1"/>
    <col min="10" max="10" width="7.1796875" style="71" customWidth="1"/>
    <col min="11" max="11" width="37.81640625" style="71" customWidth="1"/>
    <col min="12" max="12" width="14.453125" style="71" customWidth="1"/>
    <col min="13" max="13" width="51.453125" style="85" customWidth="1"/>
    <col min="14" max="14" width="8.54296875" style="71" customWidth="1"/>
    <col min="15" max="15" width="14.1796875" style="71" customWidth="1"/>
    <col min="16" max="16384" width="9.1796875" style="71"/>
  </cols>
  <sheetData>
    <row r="1" spans="1:15" s="54" customFormat="1" ht="15" x14ac:dyDescent="0.3">
      <c r="A1" s="57" t="s">
        <v>208</v>
      </c>
      <c r="J1" s="56"/>
      <c r="M1" s="146"/>
    </row>
    <row r="2" spans="1:15" s="54" customFormat="1" ht="15" x14ac:dyDescent="0.3">
      <c r="A2" s="55" t="s">
        <v>209</v>
      </c>
      <c r="J2" s="56"/>
      <c r="M2" s="146"/>
    </row>
    <row r="3" spans="1:15" s="54" customFormat="1" ht="32.15" customHeight="1" x14ac:dyDescent="0.3">
      <c r="A3" s="441" t="s">
        <v>210</v>
      </c>
      <c r="B3" s="442"/>
      <c r="C3" s="442"/>
      <c r="D3" s="442"/>
      <c r="E3" s="442"/>
      <c r="F3" s="442"/>
      <c r="G3" s="442"/>
      <c r="H3" s="442"/>
      <c r="I3" s="153"/>
      <c r="J3" s="56"/>
      <c r="M3" s="146"/>
    </row>
    <row r="5" spans="1:15" ht="65" x14ac:dyDescent="0.3">
      <c r="A5" s="72" t="s">
        <v>111</v>
      </c>
      <c r="B5" s="73" t="s">
        <v>112</v>
      </c>
      <c r="C5" s="74" t="s">
        <v>113</v>
      </c>
      <c r="D5" s="73" t="s">
        <v>114</v>
      </c>
      <c r="E5" s="74" t="s">
        <v>115</v>
      </c>
      <c r="F5" s="73" t="s">
        <v>116</v>
      </c>
      <c r="G5" s="73" t="s">
        <v>117</v>
      </c>
      <c r="H5" s="73" t="s">
        <v>118</v>
      </c>
      <c r="I5" s="73" t="s">
        <v>119</v>
      </c>
      <c r="J5" s="75"/>
      <c r="O5" s="71" t="s">
        <v>120</v>
      </c>
    </row>
    <row r="6" spans="1:15" x14ac:dyDescent="0.3">
      <c r="A6" s="76" t="s">
        <v>121</v>
      </c>
      <c r="B6" s="73" t="s">
        <v>122</v>
      </c>
      <c r="C6" s="77"/>
      <c r="D6" s="78"/>
      <c r="E6" s="77"/>
      <c r="F6" s="78"/>
      <c r="G6" s="78"/>
      <c r="H6" s="78"/>
      <c r="I6" s="78"/>
      <c r="K6" s="443" t="s">
        <v>123</v>
      </c>
      <c r="L6" s="443"/>
      <c r="O6" s="71">
        <f>C6*E6</f>
        <v>0</v>
      </c>
    </row>
    <row r="7" spans="1:15" ht="27.65" customHeight="1" x14ac:dyDescent="0.3">
      <c r="A7" s="76" t="s">
        <v>124</v>
      </c>
      <c r="B7" s="73" t="s">
        <v>122</v>
      </c>
      <c r="C7" s="77"/>
      <c r="D7" s="78"/>
      <c r="E7" s="77"/>
      <c r="F7" s="78"/>
      <c r="G7" s="78"/>
      <c r="H7" s="78"/>
      <c r="I7" s="78"/>
      <c r="K7" s="79" t="s">
        <v>125</v>
      </c>
      <c r="L7" s="195">
        <f>76.96*2.1</f>
        <v>161.61599999999999</v>
      </c>
      <c r="M7" s="144" t="s">
        <v>126</v>
      </c>
      <c r="O7" s="71">
        <f t="shared" ref="O7:O58" si="0">C7*E7</f>
        <v>0</v>
      </c>
    </row>
    <row r="8" spans="1:15" ht="41.5" customHeight="1" x14ac:dyDescent="0.3">
      <c r="A8" s="76" t="s">
        <v>127</v>
      </c>
      <c r="B8" s="73">
        <v>24</v>
      </c>
      <c r="C8" s="74">
        <v>1</v>
      </c>
      <c r="D8" s="73">
        <f>B8*C8</f>
        <v>24</v>
      </c>
      <c r="E8" s="296">
        <f>L13</f>
        <v>23.9148</v>
      </c>
      <c r="F8" s="296">
        <f>D8*E8</f>
        <v>573.95519999999999</v>
      </c>
      <c r="G8" s="296">
        <f>F8*0.05</f>
        <v>28.697760000000002</v>
      </c>
      <c r="H8" s="296">
        <f>F8*0.1</f>
        <v>57.395520000000005</v>
      </c>
      <c r="I8" s="81">
        <f>F8*$L$8+G8*$L$7+H8*$L$9</f>
        <v>81606.442619519992</v>
      </c>
      <c r="K8" s="79" t="s">
        <v>128</v>
      </c>
      <c r="L8" s="195">
        <f>60.8*2.1</f>
        <v>127.67999999999999</v>
      </c>
      <c r="M8" s="145"/>
      <c r="O8" s="111">
        <f t="shared" si="0"/>
        <v>23.9148</v>
      </c>
    </row>
    <row r="9" spans="1:15" x14ac:dyDescent="0.3">
      <c r="A9" s="76" t="s">
        <v>129</v>
      </c>
      <c r="B9" s="73"/>
      <c r="C9" s="74"/>
      <c r="D9" s="73"/>
      <c r="E9" s="74"/>
      <c r="F9" s="73"/>
      <c r="G9" s="73"/>
      <c r="H9" s="73"/>
      <c r="I9" s="78"/>
      <c r="K9" s="79" t="s">
        <v>130</v>
      </c>
      <c r="L9" s="195">
        <f>30.58*2.1</f>
        <v>64.218000000000004</v>
      </c>
      <c r="M9" s="145"/>
      <c r="O9" s="71">
        <f t="shared" si="0"/>
        <v>0</v>
      </c>
    </row>
    <row r="10" spans="1:15" ht="52.5" customHeight="1" x14ac:dyDescent="0.3">
      <c r="A10" s="76" t="s">
        <v>211</v>
      </c>
      <c r="B10" s="73">
        <v>156</v>
      </c>
      <c r="C10" s="74">
        <v>1</v>
      </c>
      <c r="D10" s="73">
        <f>B10*C10</f>
        <v>156</v>
      </c>
      <c r="E10" s="74">
        <f>L15*0.01</f>
        <v>28.47</v>
      </c>
      <c r="F10" s="73">
        <f>D10*E10</f>
        <v>4441.32</v>
      </c>
      <c r="G10" s="73">
        <f>F10*0.05</f>
        <v>222.066</v>
      </c>
      <c r="H10" s="73">
        <f>F10*0.1</f>
        <v>444.13200000000001</v>
      </c>
      <c r="I10" s="81">
        <f>F10*$L$8+G10*$L$7+H10*$L$9</f>
        <v>631478.42503199982</v>
      </c>
      <c r="K10" s="365"/>
      <c r="L10" s="311"/>
      <c r="M10" s="145"/>
    </row>
    <row r="11" spans="1:15" ht="26" x14ac:dyDescent="0.3">
      <c r="A11" s="297" t="s">
        <v>132</v>
      </c>
      <c r="B11" s="73">
        <v>0</v>
      </c>
      <c r="C11" s="74">
        <v>0</v>
      </c>
      <c r="D11" s="73">
        <f>B11*C11</f>
        <v>0</v>
      </c>
      <c r="E11" s="74">
        <v>0</v>
      </c>
      <c r="F11" s="73">
        <f>D11*E11</f>
        <v>0</v>
      </c>
      <c r="G11" s="73">
        <f>F11*0.05</f>
        <v>0</v>
      </c>
      <c r="H11" s="73">
        <f>F11*0.1</f>
        <v>0</v>
      </c>
      <c r="I11" s="84">
        <f>F11*$L$8+G11*$L$7+H11*$L$9</f>
        <v>0</v>
      </c>
      <c r="K11" s="85"/>
      <c r="O11" s="71">
        <f t="shared" si="0"/>
        <v>0</v>
      </c>
    </row>
    <row r="12" spans="1:15" ht="15.75" customHeight="1" x14ac:dyDescent="0.3">
      <c r="A12" s="297" t="s">
        <v>133</v>
      </c>
      <c r="B12" s="73"/>
      <c r="C12" s="74"/>
      <c r="D12" s="73"/>
      <c r="E12" s="74"/>
      <c r="F12" s="73"/>
      <c r="G12" s="73"/>
      <c r="H12" s="73"/>
      <c r="I12" s="84"/>
      <c r="K12" s="86"/>
      <c r="L12" s="86" t="s">
        <v>134</v>
      </c>
      <c r="O12" s="71">
        <f t="shared" si="0"/>
        <v>0</v>
      </c>
    </row>
    <row r="13" spans="1:15" ht="28.5" x14ac:dyDescent="0.3">
      <c r="A13" s="298" t="s">
        <v>135</v>
      </c>
      <c r="B13" s="73"/>
      <c r="C13" s="74"/>
      <c r="D13" s="73"/>
      <c r="E13" s="88"/>
      <c r="F13" s="89"/>
      <c r="G13" s="73"/>
      <c r="H13" s="73"/>
      <c r="I13" s="84"/>
      <c r="K13" s="86" t="s">
        <v>136</v>
      </c>
      <c r="L13" s="86">
        <f>L15*0.0084</f>
        <v>23.9148</v>
      </c>
      <c r="M13" s="85" t="s">
        <v>137</v>
      </c>
      <c r="O13" s="71">
        <f t="shared" si="0"/>
        <v>0</v>
      </c>
    </row>
    <row r="14" spans="1:15" ht="26.5" customHeight="1" x14ac:dyDescent="0.3">
      <c r="A14" s="299" t="s">
        <v>138</v>
      </c>
      <c r="B14" s="74">
        <v>0</v>
      </c>
      <c r="C14" s="74">
        <v>0</v>
      </c>
      <c r="D14" s="73">
        <f>B14*C14</f>
        <v>0</v>
      </c>
      <c r="E14" s="296">
        <v>0</v>
      </c>
      <c r="F14" s="89">
        <f>D14*E14</f>
        <v>0</v>
      </c>
      <c r="G14" s="296">
        <f>F14*0.05</f>
        <v>0</v>
      </c>
      <c r="H14" s="296">
        <f>F14*0.1</f>
        <v>0</v>
      </c>
      <c r="I14" s="84">
        <f>F14*$L$8+G14*$L$7+H14*$L$9</f>
        <v>0</v>
      </c>
      <c r="K14" s="86" t="s">
        <v>139</v>
      </c>
      <c r="L14" s="86">
        <v>0</v>
      </c>
      <c r="O14" s="71">
        <f t="shared" si="0"/>
        <v>0</v>
      </c>
    </row>
    <row r="15" spans="1:15" ht="26" x14ac:dyDescent="0.3">
      <c r="A15" s="299" t="s">
        <v>140</v>
      </c>
      <c r="B15" s="74">
        <v>0</v>
      </c>
      <c r="C15" s="74">
        <v>0</v>
      </c>
      <c r="D15" s="73">
        <f t="shared" ref="D15" si="1">B15*C15</f>
        <v>0</v>
      </c>
      <c r="E15" s="296">
        <f>E14*0.05</f>
        <v>0</v>
      </c>
      <c r="F15" s="89">
        <f t="shared" ref="F15:F22" si="2">D15*E15</f>
        <v>0</v>
      </c>
      <c r="G15" s="296">
        <f t="shared" ref="G15:G22" si="3">F15*0.05</f>
        <v>0</v>
      </c>
      <c r="H15" s="296">
        <f t="shared" ref="H15:H22" si="4">F15*0.1</f>
        <v>0</v>
      </c>
      <c r="I15" s="84">
        <f t="shared" ref="I15:I22" si="5">F15*$L$8+G15*$L$7+H15*$L$9</f>
        <v>0</v>
      </c>
      <c r="J15" s="85"/>
      <c r="K15" s="86" t="s">
        <v>141</v>
      </c>
      <c r="L15" s="86">
        <v>2847</v>
      </c>
      <c r="O15" s="71">
        <f t="shared" si="0"/>
        <v>0</v>
      </c>
    </row>
    <row r="16" spans="1:15" ht="28.5" x14ac:dyDescent="0.3">
      <c r="A16" s="298" t="s">
        <v>205</v>
      </c>
      <c r="B16" s="73"/>
      <c r="C16" s="74"/>
      <c r="D16" s="73"/>
      <c r="E16" s="74"/>
      <c r="F16" s="89"/>
      <c r="G16" s="73"/>
      <c r="H16" s="73"/>
      <c r="I16" s="84"/>
      <c r="K16" s="86" t="s">
        <v>143</v>
      </c>
      <c r="L16" s="86">
        <f>L18*0.0084</f>
        <v>12.316121999999998</v>
      </c>
      <c r="M16" s="85" t="s">
        <v>137</v>
      </c>
      <c r="O16" s="71">
        <f t="shared" si="0"/>
        <v>0</v>
      </c>
    </row>
    <row r="17" spans="1:15" ht="26" x14ac:dyDescent="0.3">
      <c r="A17" s="299" t="s">
        <v>138</v>
      </c>
      <c r="B17" s="73">
        <v>0</v>
      </c>
      <c r="C17" s="74">
        <v>0</v>
      </c>
      <c r="D17" s="73">
        <f>B17*C17</f>
        <v>0</v>
      </c>
      <c r="E17" s="88">
        <v>0</v>
      </c>
      <c r="F17" s="89">
        <f t="shared" si="2"/>
        <v>0</v>
      </c>
      <c r="G17" s="73">
        <f t="shared" si="3"/>
        <v>0</v>
      </c>
      <c r="H17" s="73">
        <f t="shared" si="4"/>
        <v>0</v>
      </c>
      <c r="I17" s="84">
        <f t="shared" si="5"/>
        <v>0</v>
      </c>
      <c r="J17" s="82"/>
      <c r="K17" s="86" t="s">
        <v>144</v>
      </c>
      <c r="L17" s="86">
        <f>L19*0.0084</f>
        <v>7.6019999999999994</v>
      </c>
      <c r="M17" s="85" t="s">
        <v>137</v>
      </c>
      <c r="N17" s="85"/>
      <c r="O17" s="71">
        <f t="shared" si="0"/>
        <v>0</v>
      </c>
    </row>
    <row r="18" spans="1:15" ht="26" x14ac:dyDescent="0.3">
      <c r="A18" s="299" t="s">
        <v>140</v>
      </c>
      <c r="B18" s="74">
        <v>0</v>
      </c>
      <c r="C18" s="74">
        <v>0</v>
      </c>
      <c r="D18" s="73">
        <f t="shared" ref="D18:D20" si="6">B18*C18</f>
        <v>0</v>
      </c>
      <c r="E18" s="88">
        <f>E17*0.05</f>
        <v>0</v>
      </c>
      <c r="F18" s="89">
        <f t="shared" si="2"/>
        <v>0</v>
      </c>
      <c r="G18" s="73">
        <f t="shared" si="3"/>
        <v>0</v>
      </c>
      <c r="H18" s="73">
        <f t="shared" si="4"/>
        <v>0</v>
      </c>
      <c r="I18" s="84">
        <f t="shared" si="5"/>
        <v>0</v>
      </c>
      <c r="J18" s="82"/>
      <c r="K18" s="86" t="s">
        <v>145</v>
      </c>
      <c r="L18" s="320">
        <f>0.515*L15</f>
        <v>1466.2049999999999</v>
      </c>
      <c r="O18" s="71">
        <f t="shared" si="0"/>
        <v>0</v>
      </c>
    </row>
    <row r="19" spans="1:15" ht="29" x14ac:dyDescent="0.3">
      <c r="A19" s="97" t="s">
        <v>146</v>
      </c>
      <c r="B19" s="93">
        <v>0</v>
      </c>
      <c r="C19" s="93">
        <v>0</v>
      </c>
      <c r="D19" s="92">
        <f t="shared" si="6"/>
        <v>0</v>
      </c>
      <c r="E19" s="94">
        <v>0</v>
      </c>
      <c r="F19" s="89">
        <f t="shared" si="2"/>
        <v>0</v>
      </c>
      <c r="G19" s="73">
        <f t="shared" si="3"/>
        <v>0</v>
      </c>
      <c r="H19" s="73">
        <f t="shared" si="4"/>
        <v>0</v>
      </c>
      <c r="I19" s="84">
        <f t="shared" si="5"/>
        <v>0</v>
      </c>
      <c r="K19" s="414" t="s">
        <v>147</v>
      </c>
      <c r="L19" s="321">
        <v>905</v>
      </c>
      <c r="O19" s="71">
        <f t="shared" si="0"/>
        <v>0</v>
      </c>
    </row>
    <row r="20" spans="1:15" ht="49" customHeight="1" x14ac:dyDescent="0.3">
      <c r="A20" s="97" t="s">
        <v>148</v>
      </c>
      <c r="B20" s="93">
        <v>0</v>
      </c>
      <c r="C20" s="93">
        <v>0</v>
      </c>
      <c r="D20" s="92">
        <f t="shared" si="6"/>
        <v>0</v>
      </c>
      <c r="E20" s="296">
        <f>E19*0.05</f>
        <v>0</v>
      </c>
      <c r="F20" s="89">
        <f t="shared" si="2"/>
        <v>0</v>
      </c>
      <c r="G20" s="73">
        <f t="shared" si="3"/>
        <v>0</v>
      </c>
      <c r="H20" s="73">
        <f t="shared" si="4"/>
        <v>0</v>
      </c>
      <c r="I20" s="84">
        <f t="shared" si="5"/>
        <v>0</v>
      </c>
      <c r="K20" s="71" t="s">
        <v>149</v>
      </c>
      <c r="L20" s="111">
        <f>L15*0.56</f>
        <v>1594.3200000000002</v>
      </c>
      <c r="M20" s="85" t="s">
        <v>150</v>
      </c>
      <c r="N20" s="82"/>
      <c r="O20" s="71">
        <f t="shared" si="0"/>
        <v>0</v>
      </c>
    </row>
    <row r="21" spans="1:15" ht="37.5" customHeight="1" x14ac:dyDescent="0.3">
      <c r="A21" s="298" t="s">
        <v>151</v>
      </c>
      <c r="B21" s="92"/>
      <c r="C21" s="93"/>
      <c r="D21" s="92"/>
      <c r="E21" s="94"/>
      <c r="F21" s="89"/>
      <c r="G21" s="296"/>
      <c r="H21" s="73"/>
      <c r="I21" s="84"/>
      <c r="K21" s="71" t="s">
        <v>152</v>
      </c>
      <c r="L21" s="111">
        <f>L15*0.44</f>
        <v>1252.68</v>
      </c>
      <c r="M21" s="85" t="s">
        <v>153</v>
      </c>
      <c r="N21" s="82"/>
      <c r="O21" s="71">
        <f t="shared" si="0"/>
        <v>0</v>
      </c>
    </row>
    <row r="22" spans="1:15" ht="26" x14ac:dyDescent="0.3">
      <c r="A22" s="297" t="s">
        <v>154</v>
      </c>
      <c r="B22" s="73">
        <v>0</v>
      </c>
      <c r="C22" s="74">
        <v>0</v>
      </c>
      <c r="D22" s="73">
        <f>B22*C22</f>
        <v>0</v>
      </c>
      <c r="E22" s="88">
        <v>0</v>
      </c>
      <c r="F22" s="89">
        <f t="shared" si="2"/>
        <v>0</v>
      </c>
      <c r="G22" s="73">
        <f t="shared" si="3"/>
        <v>0</v>
      </c>
      <c r="H22" s="73">
        <f t="shared" si="4"/>
        <v>0</v>
      </c>
      <c r="I22" s="84">
        <f t="shared" si="5"/>
        <v>0</v>
      </c>
      <c r="N22" s="82"/>
      <c r="O22" s="71">
        <f t="shared" si="0"/>
        <v>0</v>
      </c>
    </row>
    <row r="23" spans="1:15" ht="26" x14ac:dyDescent="0.3">
      <c r="A23" s="297" t="s">
        <v>155</v>
      </c>
      <c r="B23" s="73"/>
      <c r="C23" s="77"/>
      <c r="D23" s="78"/>
      <c r="E23" s="95"/>
      <c r="F23" s="78"/>
      <c r="G23" s="78"/>
      <c r="H23" s="78"/>
      <c r="I23" s="78"/>
      <c r="O23" s="71">
        <f t="shared" si="0"/>
        <v>0</v>
      </c>
    </row>
    <row r="24" spans="1:15" ht="26" x14ac:dyDescent="0.3">
      <c r="A24" s="297" t="s">
        <v>156</v>
      </c>
      <c r="B24" s="73"/>
      <c r="C24" s="77"/>
      <c r="D24" s="78"/>
      <c r="E24" s="95"/>
      <c r="F24" s="78"/>
      <c r="G24" s="78"/>
      <c r="H24" s="78"/>
      <c r="I24" s="78"/>
      <c r="O24" s="71">
        <f t="shared" si="0"/>
        <v>0</v>
      </c>
    </row>
    <row r="25" spans="1:15" x14ac:dyDescent="0.3">
      <c r="A25" s="297" t="s">
        <v>157</v>
      </c>
      <c r="B25" s="78"/>
      <c r="C25" s="77"/>
      <c r="D25" s="78"/>
      <c r="E25" s="95"/>
      <c r="F25" s="78"/>
      <c r="G25" s="78"/>
      <c r="H25" s="78"/>
      <c r="I25" s="78"/>
      <c r="O25" s="71">
        <f t="shared" si="0"/>
        <v>0</v>
      </c>
    </row>
    <row r="26" spans="1:15" ht="27" customHeight="1" x14ac:dyDescent="0.3">
      <c r="A26" s="300" t="s">
        <v>158</v>
      </c>
      <c r="B26" s="73"/>
      <c r="C26" s="74"/>
      <c r="D26" s="73"/>
      <c r="E26" s="88"/>
      <c r="F26" s="73"/>
      <c r="G26" s="73"/>
      <c r="H26" s="73"/>
      <c r="I26" s="84"/>
      <c r="O26" s="71">
        <f t="shared" si="0"/>
        <v>0</v>
      </c>
    </row>
    <row r="27" spans="1:15" ht="26" x14ac:dyDescent="0.3">
      <c r="A27" s="297" t="s">
        <v>159</v>
      </c>
      <c r="B27" s="73">
        <v>0</v>
      </c>
      <c r="C27" s="74">
        <v>0</v>
      </c>
      <c r="D27" s="73">
        <v>2</v>
      </c>
      <c r="E27" s="88">
        <v>0</v>
      </c>
      <c r="F27" s="73">
        <f t="shared" ref="F27:F30" si="7">D27*E27</f>
        <v>0</v>
      </c>
      <c r="G27" s="73">
        <f t="shared" ref="G27:G30" si="8">F27*0.05</f>
        <v>0</v>
      </c>
      <c r="H27" s="73">
        <f t="shared" ref="H27:H30" si="9">F27*0.1</f>
        <v>0</v>
      </c>
      <c r="I27" s="84">
        <f>F27*$L$8+G27*$L$7+H27*$L$9</f>
        <v>0</v>
      </c>
      <c r="O27" s="71">
        <f t="shared" si="0"/>
        <v>0</v>
      </c>
    </row>
    <row r="28" spans="1:15" ht="26" x14ac:dyDescent="0.3">
      <c r="A28" s="297" t="s">
        <v>160</v>
      </c>
      <c r="B28" s="73">
        <v>0</v>
      </c>
      <c r="C28" s="74">
        <v>0</v>
      </c>
      <c r="D28" s="73">
        <v>2</v>
      </c>
      <c r="E28" s="88">
        <v>0</v>
      </c>
      <c r="F28" s="73">
        <f t="shared" si="7"/>
        <v>0</v>
      </c>
      <c r="G28" s="73">
        <f t="shared" si="8"/>
        <v>0</v>
      </c>
      <c r="H28" s="73">
        <f t="shared" si="9"/>
        <v>0</v>
      </c>
      <c r="I28" s="84">
        <f>F28*$L$8+G28*$L$7+H28*$L$9</f>
        <v>0</v>
      </c>
      <c r="O28" s="71">
        <f t="shared" si="0"/>
        <v>0</v>
      </c>
    </row>
    <row r="29" spans="1:15" ht="16.5" customHeight="1" x14ac:dyDescent="0.3">
      <c r="A29" s="297" t="s">
        <v>161</v>
      </c>
      <c r="B29" s="73">
        <v>0</v>
      </c>
      <c r="C29" s="74">
        <v>0</v>
      </c>
      <c r="D29" s="73">
        <v>2</v>
      </c>
      <c r="E29" s="88">
        <v>0</v>
      </c>
      <c r="F29" s="73">
        <f t="shared" si="7"/>
        <v>0</v>
      </c>
      <c r="G29" s="73">
        <f t="shared" si="8"/>
        <v>0</v>
      </c>
      <c r="H29" s="73">
        <f t="shared" si="9"/>
        <v>0</v>
      </c>
      <c r="I29" s="84">
        <f>F29*$L$8+G29*$L$7+H29*$L$9</f>
        <v>0</v>
      </c>
      <c r="O29" s="71">
        <f t="shared" si="0"/>
        <v>0</v>
      </c>
    </row>
    <row r="30" spans="1:15" ht="52" x14ac:dyDescent="0.3">
      <c r="A30" s="301" t="s">
        <v>162</v>
      </c>
      <c r="B30" s="73">
        <v>0</v>
      </c>
      <c r="C30" s="115">
        <v>0</v>
      </c>
      <c r="D30" s="73">
        <f>B30*C30</f>
        <v>0</v>
      </c>
      <c r="E30" s="296">
        <v>0</v>
      </c>
      <c r="F30" s="296">
        <f t="shared" si="7"/>
        <v>0</v>
      </c>
      <c r="G30" s="296">
        <f t="shared" si="8"/>
        <v>0</v>
      </c>
      <c r="H30" s="296">
        <f t="shared" si="9"/>
        <v>0</v>
      </c>
      <c r="I30" s="81">
        <f>F30*$L$8+G30*$L$7+H30*$L$9</f>
        <v>0</v>
      </c>
      <c r="O30" s="71">
        <f t="shared" si="0"/>
        <v>0</v>
      </c>
    </row>
    <row r="31" spans="1:15" ht="20.149999999999999" customHeight="1" x14ac:dyDescent="0.3">
      <c r="A31" s="300" t="s">
        <v>163</v>
      </c>
      <c r="B31" s="78"/>
      <c r="C31" s="77"/>
      <c r="D31" s="78"/>
      <c r="E31" s="95"/>
      <c r="F31" s="78"/>
      <c r="G31" s="78"/>
      <c r="H31" s="78"/>
      <c r="I31" s="78"/>
      <c r="O31" s="71">
        <f t="shared" si="0"/>
        <v>0</v>
      </c>
    </row>
    <row r="32" spans="1:15" ht="32.5" customHeight="1" x14ac:dyDescent="0.3">
      <c r="A32" s="297" t="s">
        <v>212</v>
      </c>
      <c r="B32" s="73">
        <v>0</v>
      </c>
      <c r="C32" s="74">
        <v>0</v>
      </c>
      <c r="D32" s="73">
        <v>2</v>
      </c>
      <c r="E32" s="88">
        <v>0</v>
      </c>
      <c r="F32" s="73">
        <f>D32*E32</f>
        <v>0</v>
      </c>
      <c r="G32" s="73">
        <f>F32*0.05</f>
        <v>0</v>
      </c>
      <c r="H32" s="73">
        <f>F32*0.1</f>
        <v>0</v>
      </c>
      <c r="I32" s="84">
        <f>F32*$L$8+G32*$L$7+H32*$L$9</f>
        <v>0</v>
      </c>
      <c r="O32" s="71">
        <f t="shared" si="0"/>
        <v>0</v>
      </c>
    </row>
    <row r="33" spans="1:15" ht="32.15" customHeight="1" x14ac:dyDescent="0.3">
      <c r="A33" s="297" t="s">
        <v>164</v>
      </c>
      <c r="B33" s="73">
        <v>0</v>
      </c>
      <c r="C33" s="74">
        <v>0</v>
      </c>
      <c r="D33" s="73">
        <v>2</v>
      </c>
      <c r="E33" s="296">
        <v>0</v>
      </c>
      <c r="F33" s="296">
        <f>D33*E33</f>
        <v>0</v>
      </c>
      <c r="G33" s="296">
        <f>F33*0.05</f>
        <v>0</v>
      </c>
      <c r="H33" s="296">
        <f>F33*0.1</f>
        <v>0</v>
      </c>
      <c r="I33" s="84">
        <f>F33*$L$8+G33*$L$7+H33*$L$9</f>
        <v>0</v>
      </c>
      <c r="O33" s="71">
        <f t="shared" si="0"/>
        <v>0</v>
      </c>
    </row>
    <row r="34" spans="1:15" ht="54.65" customHeight="1" x14ac:dyDescent="0.3">
      <c r="A34" s="297" t="s">
        <v>165</v>
      </c>
      <c r="B34" s="73">
        <v>0</v>
      </c>
      <c r="C34" s="74">
        <v>0</v>
      </c>
      <c r="D34" s="73">
        <v>2</v>
      </c>
      <c r="E34" s="149">
        <v>0</v>
      </c>
      <c r="F34" s="296">
        <f>D34*E34</f>
        <v>0</v>
      </c>
      <c r="G34" s="296">
        <f>F34*0.05</f>
        <v>0</v>
      </c>
      <c r="H34" s="296">
        <f>F34*0.1</f>
        <v>0</v>
      </c>
      <c r="I34" s="84">
        <f>F34*$L$8+G34*$L$7+H34*$L$9</f>
        <v>0</v>
      </c>
      <c r="O34" s="71">
        <f t="shared" si="0"/>
        <v>0</v>
      </c>
    </row>
    <row r="35" spans="1:15" ht="39" x14ac:dyDescent="0.3">
      <c r="A35" s="301" t="s">
        <v>166</v>
      </c>
      <c r="B35" s="73">
        <v>0</v>
      </c>
      <c r="C35" s="115">
        <v>0</v>
      </c>
      <c r="D35" s="73">
        <f>B35*C35</f>
        <v>0</v>
      </c>
      <c r="E35" s="88">
        <v>0</v>
      </c>
      <c r="F35" s="73">
        <f t="shared" ref="F35" si="10">D35*E35</f>
        <v>0</v>
      </c>
      <c r="G35" s="73">
        <f t="shared" ref="G35" si="11">F35*0.05</f>
        <v>0</v>
      </c>
      <c r="H35" s="73">
        <f t="shared" ref="H35" si="12">F35*0.1</f>
        <v>0</v>
      </c>
      <c r="I35" s="81">
        <f>F35*$L$8+G35*$L$7+H35*$L$9</f>
        <v>0</v>
      </c>
      <c r="O35" s="71">
        <f t="shared" si="0"/>
        <v>0</v>
      </c>
    </row>
    <row r="36" spans="1:15" ht="24" customHeight="1" x14ac:dyDescent="0.3">
      <c r="A36" s="98" t="s">
        <v>167</v>
      </c>
      <c r="B36" s="99"/>
      <c r="C36" s="100"/>
      <c r="D36" s="99"/>
      <c r="E36" s="101"/>
      <c r="F36" s="142">
        <f>SUM(F8:H35)</f>
        <v>5767.5664799999995</v>
      </c>
      <c r="G36" s="142"/>
      <c r="H36" s="142"/>
      <c r="I36" s="102">
        <f>SUM(I8:I35)</f>
        <v>713084.86765151983</v>
      </c>
      <c r="O36" s="71">
        <f t="shared" si="0"/>
        <v>0</v>
      </c>
    </row>
    <row r="37" spans="1:15" ht="26" x14ac:dyDescent="0.3">
      <c r="A37" s="76" t="s">
        <v>168</v>
      </c>
      <c r="B37" s="78"/>
      <c r="C37" s="77"/>
      <c r="D37" s="78"/>
      <c r="E37" s="95"/>
      <c r="F37" s="78"/>
      <c r="G37" s="78"/>
      <c r="H37" s="78"/>
      <c r="I37" s="78"/>
      <c r="O37" s="71">
        <f t="shared" si="0"/>
        <v>0</v>
      </c>
    </row>
    <row r="38" spans="1:15" ht="26" x14ac:dyDescent="0.3">
      <c r="A38" s="297" t="s">
        <v>132</v>
      </c>
      <c r="B38" s="73"/>
      <c r="C38" s="77"/>
      <c r="D38" s="78"/>
      <c r="E38" s="77"/>
      <c r="F38" s="78"/>
      <c r="G38" s="78"/>
      <c r="H38" s="78"/>
      <c r="I38" s="78"/>
      <c r="O38" s="71">
        <f t="shared" si="0"/>
        <v>0</v>
      </c>
    </row>
    <row r="39" spans="1:15" x14ac:dyDescent="0.3">
      <c r="A39" s="297" t="s">
        <v>169</v>
      </c>
      <c r="B39" s="73"/>
      <c r="C39" s="77"/>
      <c r="D39" s="78"/>
      <c r="E39" s="77"/>
      <c r="F39" s="78"/>
      <c r="G39" s="78"/>
      <c r="H39" s="78"/>
      <c r="I39" s="78"/>
      <c r="O39" s="71">
        <f t="shared" si="0"/>
        <v>0</v>
      </c>
    </row>
    <row r="40" spans="1:15" x14ac:dyDescent="0.3">
      <c r="A40" s="297" t="s">
        <v>170</v>
      </c>
      <c r="B40" s="73"/>
      <c r="C40" s="77"/>
      <c r="D40" s="78"/>
      <c r="E40" s="77"/>
      <c r="F40" s="78"/>
      <c r="G40" s="78"/>
      <c r="H40" s="78"/>
      <c r="I40" s="78"/>
      <c r="O40" s="71">
        <f t="shared" si="0"/>
        <v>0</v>
      </c>
    </row>
    <row r="41" spans="1:15" x14ac:dyDescent="0.3">
      <c r="A41" s="297" t="s">
        <v>171</v>
      </c>
      <c r="B41" s="73" t="s">
        <v>122</v>
      </c>
      <c r="C41" s="77"/>
      <c r="D41" s="78"/>
      <c r="E41" s="77"/>
      <c r="F41" s="78"/>
      <c r="G41" s="78"/>
      <c r="H41" s="78"/>
      <c r="I41" s="78"/>
      <c r="K41" s="150"/>
      <c r="L41" s="150"/>
      <c r="M41" s="420"/>
      <c r="O41" s="71">
        <f t="shared" si="0"/>
        <v>0</v>
      </c>
    </row>
    <row r="42" spans="1:15" ht="26" x14ac:dyDescent="0.3">
      <c r="A42" s="297" t="s">
        <v>172</v>
      </c>
      <c r="B42" s="78"/>
      <c r="C42" s="77"/>
      <c r="D42" s="78"/>
      <c r="E42" s="77"/>
      <c r="F42" s="78"/>
      <c r="G42" s="78"/>
      <c r="H42" s="78"/>
      <c r="I42" s="78"/>
      <c r="K42" s="150"/>
      <c r="L42" s="150"/>
      <c r="M42" s="420"/>
      <c r="O42" s="71">
        <f t="shared" si="0"/>
        <v>0</v>
      </c>
    </row>
    <row r="43" spans="1:15" x14ac:dyDescent="0.3">
      <c r="A43" s="300" t="s">
        <v>163</v>
      </c>
      <c r="B43" s="78"/>
      <c r="C43" s="77"/>
      <c r="D43" s="78"/>
      <c r="E43" s="77"/>
      <c r="F43" s="78"/>
      <c r="G43" s="78"/>
      <c r="H43" s="78"/>
      <c r="I43" s="78"/>
      <c r="K43" s="150"/>
      <c r="L43" s="150"/>
      <c r="M43" s="420"/>
      <c r="O43" s="71">
        <f t="shared" si="0"/>
        <v>0</v>
      </c>
    </row>
    <row r="44" spans="1:15" ht="16" customHeight="1" x14ac:dyDescent="0.3">
      <c r="A44" s="297" t="s">
        <v>173</v>
      </c>
      <c r="B44" s="73">
        <v>0.1</v>
      </c>
      <c r="C44" s="74">
        <v>12</v>
      </c>
      <c r="D44" s="73">
        <f t="shared" ref="D44:D58" si="13">B44*C44</f>
        <v>1.2000000000000002</v>
      </c>
      <c r="E44" s="88">
        <f>$L$15</f>
        <v>2847</v>
      </c>
      <c r="F44" s="89">
        <f t="shared" ref="F44:F58" si="14">D44*E44</f>
        <v>3416.4000000000005</v>
      </c>
      <c r="G44" s="73">
        <f t="shared" ref="G44:G58" si="15">F44*0.05</f>
        <v>170.82000000000005</v>
      </c>
      <c r="H44" s="73">
        <f t="shared" ref="H44:H58" si="16">F44*0.1</f>
        <v>341.6400000000001</v>
      </c>
      <c r="I44" s="81">
        <f>F44*$L$8+G44*$L$7+H44*$L$9</f>
        <v>485752.63464000006</v>
      </c>
      <c r="K44" s="150"/>
      <c r="L44" s="150"/>
      <c r="M44" s="420"/>
      <c r="O44" s="71">
        <f t="shared" si="0"/>
        <v>34164</v>
      </c>
    </row>
    <row r="45" spans="1:15" ht="24.65" customHeight="1" x14ac:dyDescent="0.3">
      <c r="A45" s="297" t="s">
        <v>174</v>
      </c>
      <c r="B45" s="73">
        <v>0</v>
      </c>
      <c r="C45" s="74">
        <v>0</v>
      </c>
      <c r="D45" s="73">
        <f t="shared" si="13"/>
        <v>0</v>
      </c>
      <c r="E45" s="88">
        <v>0</v>
      </c>
      <c r="F45" s="89">
        <f t="shared" si="14"/>
        <v>0</v>
      </c>
      <c r="G45" s="73">
        <f t="shared" si="15"/>
        <v>0</v>
      </c>
      <c r="H45" s="73">
        <f t="shared" si="16"/>
        <v>0</v>
      </c>
      <c r="I45" s="84">
        <f>F45*$L$8+G45*$L$7+H45*$L$9</f>
        <v>0</v>
      </c>
      <c r="K45" s="150"/>
      <c r="L45" s="150"/>
      <c r="M45" s="420"/>
      <c r="O45" s="71">
        <f t="shared" si="0"/>
        <v>0</v>
      </c>
    </row>
    <row r="46" spans="1:15" ht="17.5" customHeight="1" x14ac:dyDescent="0.3">
      <c r="A46" s="297" t="s">
        <v>175</v>
      </c>
      <c r="B46" s="73">
        <v>0</v>
      </c>
      <c r="C46" s="115">
        <v>0</v>
      </c>
      <c r="D46" s="73">
        <f t="shared" ref="D46" si="17">B46*C46</f>
        <v>0</v>
      </c>
      <c r="E46" s="88">
        <v>0</v>
      </c>
      <c r="F46" s="89">
        <f t="shared" ref="F46" si="18">D46*E46</f>
        <v>0</v>
      </c>
      <c r="G46" s="73">
        <f t="shared" ref="G46" si="19">F46*0.05</f>
        <v>0</v>
      </c>
      <c r="H46" s="73">
        <f t="shared" ref="H46" si="20">F46*0.1</f>
        <v>0</v>
      </c>
      <c r="I46" s="84">
        <f>F46*$L$8+G46*$L$7+H46*$L$9</f>
        <v>0</v>
      </c>
      <c r="K46" s="150"/>
      <c r="L46" s="150"/>
      <c r="M46" s="420"/>
      <c r="O46" s="71">
        <f t="shared" si="0"/>
        <v>0</v>
      </c>
    </row>
    <row r="47" spans="1:15" ht="26.5" customHeight="1" x14ac:dyDescent="0.3">
      <c r="A47" s="301" t="s">
        <v>176</v>
      </c>
      <c r="B47" s="73">
        <v>0</v>
      </c>
      <c r="C47" s="74">
        <v>0</v>
      </c>
      <c r="D47" s="73">
        <f t="shared" si="13"/>
        <v>0</v>
      </c>
      <c r="E47" s="88">
        <v>0</v>
      </c>
      <c r="F47" s="89">
        <f t="shared" si="14"/>
        <v>0</v>
      </c>
      <c r="G47" s="73">
        <f t="shared" si="15"/>
        <v>0</v>
      </c>
      <c r="H47" s="73">
        <f t="shared" si="16"/>
        <v>0</v>
      </c>
      <c r="I47" s="84">
        <f>F47*$L$8+G47*$L$7+H47*$L$9</f>
        <v>0</v>
      </c>
      <c r="K47" s="150"/>
      <c r="L47" s="150"/>
      <c r="M47" s="420"/>
      <c r="O47" s="71">
        <f t="shared" si="0"/>
        <v>0</v>
      </c>
    </row>
    <row r="48" spans="1:15" ht="26.5" customHeight="1" x14ac:dyDescent="0.3">
      <c r="A48" s="298" t="s">
        <v>177</v>
      </c>
      <c r="B48" s="73"/>
      <c r="C48" s="74"/>
      <c r="D48" s="73"/>
      <c r="E48" s="88"/>
      <c r="F48" s="89"/>
      <c r="G48" s="73"/>
      <c r="H48" s="73"/>
      <c r="I48" s="84"/>
      <c r="O48" s="71">
        <f t="shared" si="0"/>
        <v>0</v>
      </c>
    </row>
    <row r="49" spans="1:16" ht="26.5" customHeight="1" x14ac:dyDescent="0.3">
      <c r="A49" s="301" t="s">
        <v>178</v>
      </c>
      <c r="B49" s="73">
        <v>0</v>
      </c>
      <c r="C49" s="74">
        <v>0</v>
      </c>
      <c r="D49" s="296">
        <f t="shared" ref="D49:D50" si="21">B49*C49</f>
        <v>0</v>
      </c>
      <c r="E49" s="322">
        <v>0</v>
      </c>
      <c r="F49" s="89">
        <f t="shared" ref="F49:F50" si="22">D49*E49</f>
        <v>0</v>
      </c>
      <c r="G49" s="296">
        <f t="shared" ref="G49:G50" si="23">F49*0.05</f>
        <v>0</v>
      </c>
      <c r="H49" s="296">
        <f t="shared" ref="H49:H50" si="24">F49*0.1</f>
        <v>0</v>
      </c>
      <c r="I49" s="84">
        <f>F49*$L$8+G49*$L$7+H49*$L$9</f>
        <v>0</v>
      </c>
      <c r="O49" s="71">
        <f t="shared" si="0"/>
        <v>0</v>
      </c>
    </row>
    <row r="50" spans="1:16" ht="26.5" customHeight="1" x14ac:dyDescent="0.3">
      <c r="A50" s="301" t="s">
        <v>179</v>
      </c>
      <c r="B50" s="73">
        <v>0</v>
      </c>
      <c r="C50" s="74">
        <v>0</v>
      </c>
      <c r="D50" s="73">
        <f t="shared" si="21"/>
        <v>0</v>
      </c>
      <c r="E50" s="322">
        <v>0</v>
      </c>
      <c r="F50" s="89">
        <f t="shared" si="22"/>
        <v>0</v>
      </c>
      <c r="G50" s="73">
        <f t="shared" si="23"/>
        <v>0</v>
      </c>
      <c r="H50" s="73">
        <f t="shared" si="24"/>
        <v>0</v>
      </c>
      <c r="I50" s="84">
        <f>F50*$L$8+G50*$L$7+H50*$L$9</f>
        <v>0</v>
      </c>
      <c r="O50" s="71">
        <f t="shared" si="0"/>
        <v>0</v>
      </c>
    </row>
    <row r="51" spans="1:16" ht="26.5" customHeight="1" x14ac:dyDescent="0.3">
      <c r="A51" s="298" t="s">
        <v>180</v>
      </c>
      <c r="B51" s="73"/>
      <c r="C51" s="74"/>
      <c r="D51" s="73"/>
      <c r="E51" s="88"/>
      <c r="F51" s="89"/>
      <c r="G51" s="73"/>
      <c r="H51" s="73"/>
      <c r="I51" s="84"/>
      <c r="O51" s="71">
        <f t="shared" si="0"/>
        <v>0</v>
      </c>
    </row>
    <row r="52" spans="1:16" ht="26.5" customHeight="1" x14ac:dyDescent="0.3">
      <c r="A52" s="301" t="s">
        <v>181</v>
      </c>
      <c r="B52" s="73">
        <v>0</v>
      </c>
      <c r="C52" s="74">
        <v>0</v>
      </c>
      <c r="D52" s="73">
        <f t="shared" ref="D52:D54" si="25">B52*C52</f>
        <v>0</v>
      </c>
      <c r="E52" s="88">
        <v>0</v>
      </c>
      <c r="F52" s="89">
        <f t="shared" ref="F52:F54" si="26">D52*E52</f>
        <v>0</v>
      </c>
      <c r="G52" s="73">
        <f t="shared" ref="G52:G54" si="27">F52*0.05</f>
        <v>0</v>
      </c>
      <c r="H52" s="73">
        <f t="shared" ref="H52:H54" si="28">F52*0.1</f>
        <v>0</v>
      </c>
      <c r="I52" s="84">
        <f>F52*$L$8+G52*$L$7+H52*$L$9</f>
        <v>0</v>
      </c>
      <c r="O52" s="71">
        <f t="shared" si="0"/>
        <v>0</v>
      </c>
    </row>
    <row r="53" spans="1:16" ht="26" x14ac:dyDescent="0.3">
      <c r="A53" s="301" t="s">
        <v>182</v>
      </c>
      <c r="B53" s="73">
        <v>0</v>
      </c>
      <c r="C53" s="74">
        <v>0</v>
      </c>
      <c r="D53" s="73">
        <f t="shared" ref="D53" si="29">B53*C53</f>
        <v>0</v>
      </c>
      <c r="E53" s="322">
        <v>0</v>
      </c>
      <c r="F53" s="89">
        <f t="shared" ref="F53" si="30">D53*E53</f>
        <v>0</v>
      </c>
      <c r="G53" s="73">
        <f t="shared" ref="G53" si="31">F53*0.05</f>
        <v>0</v>
      </c>
      <c r="H53" s="73">
        <f t="shared" ref="H53" si="32">F53*0.1</f>
        <v>0</v>
      </c>
      <c r="I53" s="84">
        <f>F53*$L$8+G53*$L$7+H53*$L$9</f>
        <v>0</v>
      </c>
      <c r="O53" s="71">
        <f t="shared" si="0"/>
        <v>0</v>
      </c>
    </row>
    <row r="54" spans="1:16" ht="26" x14ac:dyDescent="0.3">
      <c r="A54" s="301" t="s">
        <v>206</v>
      </c>
      <c r="B54" s="73">
        <v>0</v>
      </c>
      <c r="C54" s="74">
        <v>0</v>
      </c>
      <c r="D54" s="73">
        <f t="shared" si="25"/>
        <v>0</v>
      </c>
      <c r="E54" s="322">
        <v>0</v>
      </c>
      <c r="F54" s="89">
        <f t="shared" si="26"/>
        <v>0</v>
      </c>
      <c r="G54" s="73">
        <f t="shared" si="27"/>
        <v>0</v>
      </c>
      <c r="H54" s="73">
        <f t="shared" si="28"/>
        <v>0</v>
      </c>
      <c r="I54" s="84">
        <f>F54*$L$8+G54*$L$7+H54*$L$9</f>
        <v>0</v>
      </c>
      <c r="O54" s="71">
        <f t="shared" si="0"/>
        <v>0</v>
      </c>
    </row>
    <row r="55" spans="1:16" x14ac:dyDescent="0.3">
      <c r="A55" s="300" t="s">
        <v>158</v>
      </c>
      <c r="B55" s="73"/>
      <c r="C55" s="74"/>
      <c r="D55" s="73"/>
      <c r="E55" s="88"/>
      <c r="F55" s="89"/>
      <c r="G55" s="73"/>
      <c r="H55" s="73"/>
      <c r="I55" s="84"/>
      <c r="O55" s="71">
        <f t="shared" si="0"/>
        <v>0</v>
      </c>
    </row>
    <row r="56" spans="1:16" x14ac:dyDescent="0.3">
      <c r="A56" s="297" t="s">
        <v>173</v>
      </c>
      <c r="B56" s="257">
        <v>1.5</v>
      </c>
      <c r="C56" s="159">
        <v>1</v>
      </c>
      <c r="D56" s="73">
        <f>B56*C56</f>
        <v>1.5</v>
      </c>
      <c r="E56" s="296">
        <f>$L$13</f>
        <v>23.9148</v>
      </c>
      <c r="F56" s="89">
        <f t="shared" ref="F56:F57" si="33">D56*E56</f>
        <v>35.872199999999999</v>
      </c>
      <c r="G56" s="73">
        <f t="shared" ref="G56:G57" si="34">F56*0.05</f>
        <v>1.7936100000000001</v>
      </c>
      <c r="H56" s="73">
        <f t="shared" ref="H56:H57" si="35">F56*0.1</f>
        <v>3.5872200000000003</v>
      </c>
      <c r="I56" s="81">
        <f>F56*$L$8+G56*$L$7+H56*$L$9</f>
        <v>5100.4026637199995</v>
      </c>
      <c r="O56" s="111">
        <f t="shared" si="0"/>
        <v>23.9148</v>
      </c>
    </row>
    <row r="57" spans="1:16" x14ac:dyDescent="0.3">
      <c r="A57" s="297" t="s">
        <v>184</v>
      </c>
      <c r="B57" s="73">
        <v>0</v>
      </c>
      <c r="C57" s="74">
        <v>0</v>
      </c>
      <c r="D57" s="73">
        <f t="shared" ref="D57" si="36">B57*C57</f>
        <v>0</v>
      </c>
      <c r="E57" s="296">
        <v>0</v>
      </c>
      <c r="F57" s="89">
        <f t="shared" si="33"/>
        <v>0</v>
      </c>
      <c r="G57" s="73">
        <f t="shared" si="34"/>
        <v>0</v>
      </c>
      <c r="H57" s="73">
        <f t="shared" si="35"/>
        <v>0</v>
      </c>
      <c r="I57" s="81">
        <f>F57*$L$8+G57*$L$7+H57*$L$9</f>
        <v>0</v>
      </c>
      <c r="O57" s="71">
        <f t="shared" si="0"/>
        <v>0</v>
      </c>
    </row>
    <row r="58" spans="1:16" ht="27" customHeight="1" x14ac:dyDescent="0.3">
      <c r="A58" s="297" t="s">
        <v>207</v>
      </c>
      <c r="B58" s="73">
        <v>16</v>
      </c>
      <c r="C58" s="74">
        <v>1</v>
      </c>
      <c r="D58" s="73">
        <f t="shared" si="13"/>
        <v>16</v>
      </c>
      <c r="E58" s="296">
        <f>L13</f>
        <v>23.9148</v>
      </c>
      <c r="F58" s="89">
        <f t="shared" si="14"/>
        <v>382.63679999999999</v>
      </c>
      <c r="G58" s="296">
        <f t="shared" si="15"/>
        <v>19.13184</v>
      </c>
      <c r="H58" s="296">
        <f t="shared" si="16"/>
        <v>38.263680000000001</v>
      </c>
      <c r="I58" s="81">
        <f>F58*$L$8+G58*$L$7+H58*$L$9</f>
        <v>54404.29507968</v>
      </c>
      <c r="O58" s="111">
        <f t="shared" si="0"/>
        <v>23.9148</v>
      </c>
    </row>
    <row r="59" spans="1:16" x14ac:dyDescent="0.3">
      <c r="A59" s="297" t="s">
        <v>186</v>
      </c>
      <c r="B59" s="73" t="s">
        <v>122</v>
      </c>
      <c r="C59" s="77"/>
      <c r="D59" s="78"/>
      <c r="E59" s="77"/>
      <c r="F59" s="78"/>
      <c r="G59" s="78"/>
      <c r="H59" s="78"/>
      <c r="I59" s="78"/>
      <c r="O59" s="71">
        <f>SUM(O6:O58)</f>
        <v>34235.744399999996</v>
      </c>
      <c r="P59" s="71" t="s">
        <v>187</v>
      </c>
    </row>
    <row r="60" spans="1:16" ht="27" x14ac:dyDescent="0.3">
      <c r="A60" s="98" t="s">
        <v>188</v>
      </c>
      <c r="B60" s="103"/>
      <c r="C60" s="104"/>
      <c r="D60" s="103"/>
      <c r="E60" s="296"/>
      <c r="F60" s="142">
        <f>SUM(F44:H58)</f>
        <v>4410.1453500000007</v>
      </c>
      <c r="G60" s="142"/>
      <c r="H60" s="142"/>
      <c r="I60" s="102">
        <f>SUM(I44:I59)</f>
        <v>545257.33238340006</v>
      </c>
    </row>
    <row r="61" spans="1:16" ht="28" x14ac:dyDescent="0.3">
      <c r="A61" s="106" t="s">
        <v>189</v>
      </c>
      <c r="B61" s="107"/>
      <c r="C61" s="108"/>
      <c r="D61" s="107"/>
      <c r="E61" s="109"/>
      <c r="F61" s="444">
        <f>ROUND(F60+F36, -2)</f>
        <v>10200</v>
      </c>
      <c r="G61" s="444"/>
      <c r="H61" s="444"/>
      <c r="I61" s="110">
        <f>ROUND(I60+I36, -4)</f>
        <v>1260000</v>
      </c>
      <c r="K61" s="111">
        <f>F61/212</f>
        <v>48.113207547169814</v>
      </c>
      <c r="L61" s="71" t="s">
        <v>190</v>
      </c>
    </row>
    <row r="62" spans="1:16" ht="28" x14ac:dyDescent="0.3">
      <c r="A62" s="112" t="s">
        <v>191</v>
      </c>
      <c r="B62" s="78"/>
      <c r="C62" s="77"/>
      <c r="D62" s="78"/>
      <c r="E62" s="77"/>
      <c r="F62" s="78"/>
      <c r="G62" s="78"/>
      <c r="H62" s="78"/>
      <c r="I62" s="110">
        <v>0</v>
      </c>
    </row>
    <row r="63" spans="1:16" ht="15" x14ac:dyDescent="0.3">
      <c r="A63" s="112" t="s">
        <v>192</v>
      </c>
      <c r="B63" s="78"/>
      <c r="C63" s="77"/>
      <c r="D63" s="78"/>
      <c r="E63" s="77"/>
      <c r="F63" s="78"/>
      <c r="G63" s="78"/>
      <c r="H63" s="78"/>
      <c r="I63" s="110">
        <f>ROUND(I61+I62, -5)</f>
        <v>1300000</v>
      </c>
    </row>
    <row r="64" spans="1:16" ht="6.65" customHeight="1" x14ac:dyDescent="0.3"/>
    <row r="65" spans="1:11" ht="19.5" customHeight="1" x14ac:dyDescent="0.3">
      <c r="A65" s="445" t="s">
        <v>193</v>
      </c>
      <c r="B65" s="445"/>
      <c r="C65" s="445"/>
      <c r="D65" s="445"/>
      <c r="E65" s="445"/>
      <c r="F65" s="445"/>
      <c r="G65" s="445"/>
      <c r="H65" s="445"/>
      <c r="I65" s="445"/>
    </row>
    <row r="66" spans="1:11" ht="73.5" customHeight="1" x14ac:dyDescent="0.3">
      <c r="A66" s="446" t="s">
        <v>194</v>
      </c>
      <c r="B66" s="446"/>
      <c r="C66" s="446"/>
      <c r="D66" s="446"/>
      <c r="E66" s="446"/>
      <c r="F66" s="446"/>
      <c r="G66" s="446"/>
      <c r="H66" s="446"/>
      <c r="I66" s="446"/>
    </row>
    <row r="67" spans="1:11" ht="15.5" x14ac:dyDescent="0.3">
      <c r="A67" s="445" t="s">
        <v>195</v>
      </c>
      <c r="B67" s="445"/>
      <c r="C67" s="445"/>
      <c r="D67" s="445"/>
      <c r="E67" s="445"/>
      <c r="F67" s="445"/>
      <c r="G67" s="445"/>
      <c r="H67" s="445"/>
      <c r="I67" s="445"/>
    </row>
    <row r="68" spans="1:11" ht="18.75" customHeight="1" x14ac:dyDescent="0.3">
      <c r="A68" s="447" t="s">
        <v>196</v>
      </c>
      <c r="B68" s="447"/>
      <c r="C68" s="447"/>
      <c r="D68" s="447"/>
      <c r="E68" s="447"/>
      <c r="F68" s="447"/>
      <c r="G68" s="447"/>
      <c r="H68" s="447"/>
      <c r="I68" s="447"/>
      <c r="K68" s="296"/>
    </row>
    <row r="69" spans="1:11" ht="15.5" x14ac:dyDescent="0.3">
      <c r="A69" s="448" t="s">
        <v>197</v>
      </c>
      <c r="B69" s="448"/>
      <c r="C69" s="448"/>
      <c r="D69" s="448"/>
      <c r="E69" s="448"/>
      <c r="F69" s="448"/>
      <c r="G69" s="448"/>
      <c r="H69" s="448"/>
      <c r="I69" s="448"/>
    </row>
    <row r="70" spans="1:11" ht="20.5" customHeight="1" x14ac:dyDescent="0.3">
      <c r="A70" s="440" t="s">
        <v>198</v>
      </c>
      <c r="B70" s="440"/>
      <c r="C70" s="440"/>
      <c r="D70" s="440"/>
      <c r="E70" s="440"/>
      <c r="F70" s="440"/>
      <c r="G70" s="440"/>
      <c r="H70" s="440"/>
      <c r="I70" s="440"/>
    </row>
    <row r="71" spans="1:11" ht="23.5" customHeight="1" x14ac:dyDescent="0.3">
      <c r="A71" s="440" t="s">
        <v>199</v>
      </c>
      <c r="B71" s="440"/>
      <c r="C71" s="440"/>
      <c r="D71" s="440"/>
      <c r="E71" s="440"/>
      <c r="F71" s="440"/>
      <c r="G71" s="440"/>
      <c r="H71" s="440"/>
      <c r="I71" s="440"/>
    </row>
    <row r="72" spans="1:11" ht="99.65" customHeight="1" x14ac:dyDescent="0.3">
      <c r="A72" s="440" t="s">
        <v>200</v>
      </c>
      <c r="B72" s="440"/>
      <c r="C72" s="440"/>
      <c r="D72" s="440"/>
      <c r="E72" s="440"/>
      <c r="F72" s="440"/>
      <c r="G72" s="440"/>
      <c r="H72" s="440"/>
      <c r="I72" s="440"/>
    </row>
  </sheetData>
  <mergeCells count="11">
    <mergeCell ref="A72:I72"/>
    <mergeCell ref="A3:H3"/>
    <mergeCell ref="A67:I67"/>
    <mergeCell ref="A68:I68"/>
    <mergeCell ref="A69:I69"/>
    <mergeCell ref="A70:I70"/>
    <mergeCell ref="K6:L6"/>
    <mergeCell ref="F61:H61"/>
    <mergeCell ref="A65:I65"/>
    <mergeCell ref="A66:I66"/>
    <mergeCell ref="A71:I71"/>
  </mergeCells>
  <pageMargins left="0.7" right="0.7" top="0.75" bottom="0.75" header="0.3" footer="0.3"/>
  <pageSetup scale="33"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DC94-47C9-43F6-86B8-EA7EA9D239C7}">
  <dimension ref="A1:P27"/>
  <sheetViews>
    <sheetView zoomScale="80" zoomScaleNormal="80" workbookViewId="0">
      <pane xSplit="12" ySplit="5" topLeftCell="P6" activePane="bottomRight" state="frozen"/>
      <selection pane="topRight" sqref="A1:I1"/>
      <selection pane="bottomLeft" sqref="A1:I1"/>
      <selection pane="bottomRight" activeCell="B13" sqref="B13:C13"/>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34" customHeight="1" x14ac:dyDescent="0.35">
      <c r="A1" s="462" t="s">
        <v>481</v>
      </c>
      <c r="B1" s="462"/>
      <c r="C1" s="462"/>
      <c r="D1" s="462"/>
      <c r="E1" s="462"/>
      <c r="F1" s="462"/>
      <c r="G1" s="462"/>
      <c r="H1" s="462"/>
      <c r="I1" s="462"/>
    </row>
    <row r="2" spans="1:16" ht="18.649999999999999" customHeight="1" x14ac:dyDescent="0.35">
      <c r="A2" s="423" t="s">
        <v>498</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38.5" customHeight="1"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24</v>
      </c>
      <c r="C8" s="115">
        <v>1</v>
      </c>
      <c r="D8" s="115">
        <f>B8*C8</f>
        <v>24</v>
      </c>
      <c r="E8" s="115">
        <f>'BPPI-Y1'!$L$15</f>
        <v>208</v>
      </c>
      <c r="F8" s="229">
        <f>D8*E8</f>
        <v>4992</v>
      </c>
      <c r="G8" s="229">
        <f>F8*0.05</f>
        <v>249.60000000000002</v>
      </c>
      <c r="H8" s="229">
        <f>F8*0.1</f>
        <v>499.20000000000005</v>
      </c>
      <c r="I8" s="233">
        <f>(F8*$L$8)+(G8*$L$7)+(H8*$L$9)</f>
        <v>286815.35999999999</v>
      </c>
      <c r="K8" s="194" t="s">
        <v>128</v>
      </c>
      <c r="L8" s="162">
        <v>51.23</v>
      </c>
      <c r="M8" s="231"/>
      <c r="O8" s="224">
        <f>C8*E8</f>
        <v>208</v>
      </c>
    </row>
    <row r="9" spans="1:16" ht="15.5" x14ac:dyDescent="0.35">
      <c r="A9" s="228" t="s">
        <v>334</v>
      </c>
      <c r="B9" s="115">
        <v>24</v>
      </c>
      <c r="C9" s="115">
        <v>1</v>
      </c>
      <c r="D9" s="115">
        <f>B9*C9</f>
        <v>24</v>
      </c>
      <c r="E9" s="115">
        <f>E8*0.05</f>
        <v>10.4</v>
      </c>
      <c r="F9" s="232">
        <f>D9*E9</f>
        <v>249.60000000000002</v>
      </c>
      <c r="G9" s="232">
        <f>F9*0.05</f>
        <v>12.480000000000002</v>
      </c>
      <c r="H9" s="232">
        <f>F9*0.1</f>
        <v>24.960000000000004</v>
      </c>
      <c r="I9" s="233">
        <f>(F9*$L$8)+(G9*$L$7)+(H9*$L$9)</f>
        <v>14340.768</v>
      </c>
      <c r="K9" s="194" t="s">
        <v>130</v>
      </c>
      <c r="L9" s="162">
        <v>27.73</v>
      </c>
      <c r="M9" s="231"/>
      <c r="O9" s="224">
        <f t="shared" ref="O9:O13" si="0">C9*E9</f>
        <v>10.4</v>
      </c>
    </row>
    <row r="10" spans="1:16" ht="15.5" x14ac:dyDescent="0.35">
      <c r="A10" s="362" t="s">
        <v>243</v>
      </c>
      <c r="B10" s="115"/>
      <c r="C10" s="115"/>
      <c r="D10" s="115"/>
      <c r="E10" s="115"/>
      <c r="F10" s="229"/>
      <c r="G10" s="229"/>
      <c r="H10" s="229"/>
      <c r="I10" s="233"/>
      <c r="O10" s="224">
        <f>C10*E10</f>
        <v>0</v>
      </c>
    </row>
    <row r="11" spans="1:16" ht="15.5" x14ac:dyDescent="0.35">
      <c r="A11" s="116" t="s">
        <v>337</v>
      </c>
      <c r="B11" s="115">
        <v>0.5</v>
      </c>
      <c r="C11" s="115">
        <v>1.1000000000000001</v>
      </c>
      <c r="D11" s="115">
        <f>B11*C11</f>
        <v>0.55000000000000004</v>
      </c>
      <c r="E11" s="115">
        <f>'BPPI-Y1'!$L$15</f>
        <v>208</v>
      </c>
      <c r="F11" s="229">
        <f>D11*E11</f>
        <v>114.4</v>
      </c>
      <c r="G11" s="229">
        <f>F11*0.05</f>
        <v>5.7200000000000006</v>
      </c>
      <c r="H11" s="229">
        <f>F11*0.1</f>
        <v>11.440000000000001</v>
      </c>
      <c r="I11" s="233">
        <f>(F11*$L$8)+(G11*$L$7)+(H11*$L$9)</f>
        <v>6572.8519999999999</v>
      </c>
      <c r="O11" s="224">
        <f>C11*E11</f>
        <v>228.8</v>
      </c>
    </row>
    <row r="12" spans="1:16" ht="18.649999999999999" customHeight="1" x14ac:dyDescent="0.35">
      <c r="A12" s="116" t="s">
        <v>501</v>
      </c>
      <c r="B12" s="115">
        <v>8</v>
      </c>
      <c r="C12" s="115">
        <v>1</v>
      </c>
      <c r="D12" s="115">
        <f t="shared" ref="D12:D13" si="1">B12*C12</f>
        <v>8</v>
      </c>
      <c r="E12" s="115">
        <f>'BPPI-Y1'!$L$18</f>
        <v>104</v>
      </c>
      <c r="F12" s="229">
        <f t="shared" ref="F12:F13" si="2">D12*E12</f>
        <v>832</v>
      </c>
      <c r="G12" s="235">
        <f t="shared" ref="G12:G13" si="3">F12*0.05</f>
        <v>41.6</v>
      </c>
      <c r="H12" s="235">
        <f t="shared" ref="H12:H13" si="4">F12*0.1</f>
        <v>83.2</v>
      </c>
      <c r="I12" s="233">
        <f t="shared" ref="I12:I13" si="5">(F12*$L$8)+(G12*$L$7)+(H12*$L$9)</f>
        <v>47802.559999999998</v>
      </c>
      <c r="O12" s="224">
        <f t="shared" si="0"/>
        <v>104</v>
      </c>
    </row>
    <row r="13" spans="1:16" ht="60" customHeight="1" x14ac:dyDescent="0.35">
      <c r="A13" s="116" t="s">
        <v>502</v>
      </c>
      <c r="B13" s="115">
        <v>0</v>
      </c>
      <c r="C13" s="115">
        <v>0</v>
      </c>
      <c r="D13" s="115">
        <f t="shared" si="1"/>
        <v>0</v>
      </c>
      <c r="E13" s="115"/>
      <c r="F13" s="232">
        <f t="shared" si="2"/>
        <v>0</v>
      </c>
      <c r="G13" s="229">
        <f t="shared" si="3"/>
        <v>0</v>
      </c>
      <c r="H13" s="229">
        <f t="shared" si="4"/>
        <v>0</v>
      </c>
      <c r="I13" s="233">
        <f t="shared" si="5"/>
        <v>0</v>
      </c>
      <c r="O13" s="224">
        <f t="shared" si="0"/>
        <v>0</v>
      </c>
    </row>
    <row r="14" spans="1:16" ht="15" x14ac:dyDescent="0.35">
      <c r="A14" s="222" t="s">
        <v>247</v>
      </c>
      <c r="B14" s="222"/>
      <c r="C14" s="222"/>
      <c r="D14" s="222"/>
      <c r="E14" s="222"/>
      <c r="F14" s="218">
        <f>ROUND(SUM(F8:H13), -1)</f>
        <v>7120</v>
      </c>
      <c r="G14" s="236"/>
      <c r="H14" s="236"/>
      <c r="I14" s="237">
        <f>ROUND(SUM(I8:I13), -2)</f>
        <v>355500</v>
      </c>
      <c r="O14" s="224">
        <f>SUM(O8:O13)</f>
        <v>551.20000000000005</v>
      </c>
      <c r="P14" s="224" t="s">
        <v>248</v>
      </c>
    </row>
    <row r="15" spans="1:16" x14ac:dyDescent="0.35">
      <c r="A15" s="238"/>
      <c r="G15" s="239"/>
    </row>
    <row r="16" spans="1:16" ht="17.5" customHeight="1" x14ac:dyDescent="0.35">
      <c r="A16" s="238" t="s">
        <v>249</v>
      </c>
    </row>
    <row r="17" spans="1:9" ht="21" customHeight="1" x14ac:dyDescent="0.35">
      <c r="A17" s="490" t="s">
        <v>503</v>
      </c>
      <c r="B17" s="490"/>
      <c r="C17" s="490"/>
      <c r="D17" s="490"/>
      <c r="E17" s="490"/>
      <c r="F17" s="490"/>
      <c r="G17" s="490"/>
      <c r="H17" s="490"/>
      <c r="I17" s="490"/>
    </row>
    <row r="18" spans="1:9" ht="45" customHeight="1" x14ac:dyDescent="0.35">
      <c r="A18" s="475" t="s">
        <v>251</v>
      </c>
      <c r="B18" s="475"/>
      <c r="C18" s="475"/>
      <c r="D18" s="475"/>
      <c r="E18" s="475"/>
      <c r="F18" s="475"/>
      <c r="G18" s="475"/>
      <c r="H18" s="475"/>
      <c r="I18" s="475"/>
    </row>
    <row r="19" spans="1:9" ht="15.5" x14ac:dyDescent="0.35">
      <c r="A19" s="487" t="s">
        <v>383</v>
      </c>
      <c r="B19" s="487"/>
      <c r="C19" s="487"/>
      <c r="D19" s="487"/>
      <c r="E19" s="487"/>
      <c r="F19" s="487"/>
      <c r="G19" s="487"/>
      <c r="H19" s="487"/>
      <c r="I19" s="487"/>
    </row>
    <row r="20" spans="1:9" ht="15.5" x14ac:dyDescent="0.35">
      <c r="A20" s="488" t="s">
        <v>253</v>
      </c>
      <c r="B20" s="488"/>
      <c r="C20" s="488"/>
      <c r="D20" s="488"/>
      <c r="E20" s="488"/>
      <c r="F20" s="488"/>
      <c r="G20" s="488"/>
      <c r="H20" s="488"/>
      <c r="I20" s="488"/>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ignoredErrors>
    <ignoredError sqref="E12" formula="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B7CF-CDB9-4A3E-BC5D-3177625E9EAA}">
  <dimension ref="A1:P27"/>
  <sheetViews>
    <sheetView zoomScale="80" zoomScaleNormal="80" workbookViewId="0">
      <pane xSplit="12" ySplit="5" topLeftCell="M7" activePane="bottomRight" state="frozen"/>
      <selection pane="topRight" sqref="A1:I1"/>
      <selection pane="bottomLeft" sqref="A1:I1"/>
      <selection pane="bottomRight" activeCell="B13" sqref="B13:C13"/>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34" customHeight="1" x14ac:dyDescent="0.35">
      <c r="A1" s="462" t="s">
        <v>481</v>
      </c>
      <c r="B1" s="462"/>
      <c r="C1" s="462"/>
      <c r="D1" s="462"/>
      <c r="E1" s="462"/>
      <c r="F1" s="462"/>
      <c r="G1" s="462"/>
      <c r="H1" s="462"/>
      <c r="I1" s="462"/>
    </row>
    <row r="2" spans="1:16" ht="18.649999999999999" customHeight="1" x14ac:dyDescent="0.35">
      <c r="A2" s="423" t="s">
        <v>499</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38.5" customHeight="1"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0</v>
      </c>
      <c r="C8" s="115">
        <v>0</v>
      </c>
      <c r="D8" s="115">
        <f>B8*C8</f>
        <v>0</v>
      </c>
      <c r="E8" s="115">
        <f>'BPPI-Y1'!E26</f>
        <v>0</v>
      </c>
      <c r="F8" s="229">
        <f>D8*E8</f>
        <v>0</v>
      </c>
      <c r="G8" s="229">
        <f>F8*0.05</f>
        <v>0</v>
      </c>
      <c r="H8" s="229">
        <f>F8*0.1</f>
        <v>0</v>
      </c>
      <c r="I8" s="233">
        <f>(F8*$L$8)+(G8*$L$7)+(H8*$L$9)</f>
        <v>0</v>
      </c>
      <c r="K8" s="194" t="s">
        <v>128</v>
      </c>
      <c r="L8" s="162">
        <v>51.23</v>
      </c>
      <c r="M8" s="231"/>
      <c r="O8" s="224">
        <f>C8*E8</f>
        <v>0</v>
      </c>
    </row>
    <row r="9" spans="1:16" ht="15.5" x14ac:dyDescent="0.35">
      <c r="A9" s="228" t="s">
        <v>334</v>
      </c>
      <c r="B9" s="115">
        <v>0</v>
      </c>
      <c r="C9" s="115">
        <v>0</v>
      </c>
      <c r="D9" s="115">
        <f>B9*C9</f>
        <v>0</v>
      </c>
      <c r="E9" s="115">
        <v>0</v>
      </c>
      <c r="F9" s="232">
        <f>D9*E9</f>
        <v>0</v>
      </c>
      <c r="G9" s="232">
        <f>F9*0.05</f>
        <v>0</v>
      </c>
      <c r="H9" s="232">
        <f>F9*0.1</f>
        <v>0</v>
      </c>
      <c r="I9" s="233">
        <f>(F9*$L$8)+(G9*$L$7)+(H9*$L$9)</f>
        <v>0</v>
      </c>
      <c r="K9" s="194" t="s">
        <v>130</v>
      </c>
      <c r="L9" s="162">
        <v>27.73</v>
      </c>
      <c r="M9" s="231"/>
      <c r="O9" s="224">
        <f t="shared" ref="O9:O13" si="0">C9*E9</f>
        <v>0</v>
      </c>
    </row>
    <row r="10" spans="1:16" ht="15.5" x14ac:dyDescent="0.35">
      <c r="A10" s="362" t="s">
        <v>243</v>
      </c>
      <c r="B10" s="115"/>
      <c r="C10" s="115"/>
      <c r="D10" s="115"/>
      <c r="E10" s="115"/>
      <c r="F10" s="229"/>
      <c r="G10" s="229"/>
      <c r="H10" s="229"/>
      <c r="I10" s="233"/>
      <c r="O10" s="224">
        <f t="shared" si="0"/>
        <v>0</v>
      </c>
    </row>
    <row r="11" spans="1:16" ht="15.5" x14ac:dyDescent="0.35">
      <c r="A11" s="116" t="s">
        <v>337</v>
      </c>
      <c r="B11" s="115">
        <v>0.5</v>
      </c>
      <c r="C11" s="115">
        <v>1.1000000000000001</v>
      </c>
      <c r="D11" s="115">
        <f t="shared" ref="D11:D13" si="1">B11*C11</f>
        <v>0.55000000000000004</v>
      </c>
      <c r="E11" s="115">
        <f>'BPPI-Y1'!$L$15</f>
        <v>208</v>
      </c>
      <c r="F11" s="229">
        <f t="shared" ref="F11:F13" si="2">D11*E11</f>
        <v>114.4</v>
      </c>
      <c r="G11" s="229">
        <f t="shared" ref="G11:G13" si="3">F11*0.05</f>
        <v>5.7200000000000006</v>
      </c>
      <c r="H11" s="229">
        <f t="shared" ref="H11:H13" si="4">F11*0.1</f>
        <v>11.440000000000001</v>
      </c>
      <c r="I11" s="233">
        <f t="shared" ref="I11:I13" si="5">(F11*$L$8)+(G11*$L$7)+(H11*$L$9)</f>
        <v>6572.8519999999999</v>
      </c>
      <c r="O11" s="224">
        <f t="shared" si="0"/>
        <v>228.8</v>
      </c>
    </row>
    <row r="12" spans="1:16" ht="15.5" x14ac:dyDescent="0.35">
      <c r="A12" s="116" t="s">
        <v>501</v>
      </c>
      <c r="B12" s="115">
        <v>8</v>
      </c>
      <c r="C12" s="115">
        <v>1</v>
      </c>
      <c r="D12" s="115">
        <f t="shared" si="1"/>
        <v>8</v>
      </c>
      <c r="E12" s="115">
        <f>'BPPI-Y1'!$L$18</f>
        <v>104</v>
      </c>
      <c r="F12" s="229">
        <f t="shared" si="2"/>
        <v>832</v>
      </c>
      <c r="G12" s="235">
        <f t="shared" si="3"/>
        <v>41.6</v>
      </c>
      <c r="H12" s="235">
        <f t="shared" si="4"/>
        <v>83.2</v>
      </c>
      <c r="I12" s="233">
        <f t="shared" si="5"/>
        <v>47802.559999999998</v>
      </c>
      <c r="O12" s="224">
        <f t="shared" si="0"/>
        <v>104</v>
      </c>
    </row>
    <row r="13" spans="1:16" ht="57" customHeight="1" x14ac:dyDescent="0.35">
      <c r="A13" s="116" t="s">
        <v>502</v>
      </c>
      <c r="B13" s="115">
        <v>0</v>
      </c>
      <c r="C13" s="115">
        <v>0</v>
      </c>
      <c r="D13" s="115">
        <f t="shared" si="1"/>
        <v>0</v>
      </c>
      <c r="E13" s="115"/>
      <c r="F13" s="232">
        <f t="shared" si="2"/>
        <v>0</v>
      </c>
      <c r="G13" s="229">
        <f t="shared" si="3"/>
        <v>0</v>
      </c>
      <c r="H13" s="229">
        <f t="shared" si="4"/>
        <v>0</v>
      </c>
      <c r="I13" s="233">
        <f t="shared" si="5"/>
        <v>0</v>
      </c>
      <c r="O13" s="224">
        <f t="shared" si="0"/>
        <v>0</v>
      </c>
    </row>
    <row r="14" spans="1:16" ht="15" x14ac:dyDescent="0.35">
      <c r="A14" s="222" t="s">
        <v>247</v>
      </c>
      <c r="B14" s="222"/>
      <c r="C14" s="222"/>
      <c r="D14" s="222"/>
      <c r="E14" s="222"/>
      <c r="F14" s="218">
        <f>ROUND(SUM(F8:H13), -1)</f>
        <v>1090</v>
      </c>
      <c r="G14" s="236"/>
      <c r="H14" s="236"/>
      <c r="I14" s="237">
        <f>ROUND(SUM(I8:I13), -2)</f>
        <v>54400</v>
      </c>
      <c r="O14" s="224">
        <f>SUM(O8:O13)</f>
        <v>332.8</v>
      </c>
      <c r="P14" s="224" t="s">
        <v>248</v>
      </c>
    </row>
    <row r="15" spans="1:16" x14ac:dyDescent="0.35">
      <c r="A15" s="238"/>
      <c r="G15" s="239"/>
    </row>
    <row r="16" spans="1:16" ht="17.5" customHeight="1" x14ac:dyDescent="0.35">
      <c r="A16" s="238" t="s">
        <v>249</v>
      </c>
    </row>
    <row r="17" spans="1:9" ht="21" customHeight="1" x14ac:dyDescent="0.35">
      <c r="A17" s="490" t="s">
        <v>503</v>
      </c>
      <c r="B17" s="490"/>
      <c r="C17" s="490"/>
      <c r="D17" s="490"/>
      <c r="E17" s="490"/>
      <c r="F17" s="490"/>
      <c r="G17" s="490"/>
      <c r="H17" s="490"/>
      <c r="I17" s="490"/>
    </row>
    <row r="18" spans="1:9" ht="45" customHeight="1" x14ac:dyDescent="0.35">
      <c r="A18" s="475" t="s">
        <v>251</v>
      </c>
      <c r="B18" s="475"/>
      <c r="C18" s="475"/>
      <c r="D18" s="475"/>
      <c r="E18" s="475"/>
      <c r="F18" s="475"/>
      <c r="G18" s="475"/>
      <c r="H18" s="475"/>
      <c r="I18" s="475"/>
    </row>
    <row r="19" spans="1:9" ht="15.5" x14ac:dyDescent="0.35">
      <c r="A19" s="487" t="s">
        <v>383</v>
      </c>
      <c r="B19" s="487"/>
      <c r="C19" s="487"/>
      <c r="D19" s="487"/>
      <c r="E19" s="487"/>
      <c r="F19" s="487"/>
      <c r="G19" s="487"/>
      <c r="H19" s="487"/>
      <c r="I19" s="487"/>
    </row>
    <row r="20" spans="1:9" ht="15.5" x14ac:dyDescent="0.35">
      <c r="A20" s="488" t="s">
        <v>253</v>
      </c>
      <c r="B20" s="488"/>
      <c r="C20" s="488"/>
      <c r="D20" s="488"/>
      <c r="E20" s="488"/>
      <c r="F20" s="488"/>
      <c r="G20" s="488"/>
      <c r="H20" s="488"/>
      <c r="I20" s="488"/>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B18B-0F51-46FA-AD14-8AEEF1B4D8B3}">
  <dimension ref="A1:P27"/>
  <sheetViews>
    <sheetView zoomScale="80" zoomScaleNormal="80" workbookViewId="0">
      <pane xSplit="12" ySplit="5" topLeftCell="M6" activePane="bottomRight" state="frozen"/>
      <selection pane="topRight" sqref="A1:I1"/>
      <selection pane="bottomLeft" sqref="A1:I1"/>
      <selection pane="bottomRight" activeCell="K13" sqref="K13"/>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34" customHeight="1" x14ac:dyDescent="0.35">
      <c r="A1" s="462" t="s">
        <v>481</v>
      </c>
      <c r="B1" s="462"/>
      <c r="C1" s="462"/>
      <c r="D1" s="462"/>
      <c r="E1" s="462"/>
      <c r="F1" s="462"/>
      <c r="G1" s="462"/>
      <c r="H1" s="462"/>
      <c r="I1" s="462"/>
    </row>
    <row r="2" spans="1:16" ht="18.649999999999999" customHeight="1" x14ac:dyDescent="0.35">
      <c r="A2" s="423" t="s">
        <v>500</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493" t="s">
        <v>219</v>
      </c>
      <c r="B5" s="426" t="s">
        <v>220</v>
      </c>
      <c r="C5" s="426" t="s">
        <v>221</v>
      </c>
      <c r="D5" s="426" t="s">
        <v>222</v>
      </c>
      <c r="E5" s="426" t="s">
        <v>223</v>
      </c>
      <c r="F5" s="426" t="s">
        <v>224</v>
      </c>
      <c r="G5" s="426" t="s">
        <v>225</v>
      </c>
      <c r="H5" s="426" t="s">
        <v>226</v>
      </c>
      <c r="I5" s="426" t="s">
        <v>227</v>
      </c>
    </row>
    <row r="6" spans="1:16" ht="65" x14ac:dyDescent="0.35">
      <c r="A6" s="493"/>
      <c r="B6" s="426" t="s">
        <v>228</v>
      </c>
      <c r="C6" s="426" t="s">
        <v>229</v>
      </c>
      <c r="D6" s="426" t="s">
        <v>230</v>
      </c>
      <c r="E6" s="426" t="s">
        <v>231</v>
      </c>
      <c r="F6" s="426" t="s">
        <v>232</v>
      </c>
      <c r="G6" s="426" t="s">
        <v>233</v>
      </c>
      <c r="H6" s="426" t="s">
        <v>234</v>
      </c>
      <c r="I6" s="426" t="s">
        <v>235</v>
      </c>
      <c r="K6" s="480" t="s">
        <v>123</v>
      </c>
      <c r="L6" s="480"/>
      <c r="M6" s="226"/>
    </row>
    <row r="7" spans="1:16" ht="38.5" customHeight="1" x14ac:dyDescent="0.35">
      <c r="A7" s="493"/>
      <c r="B7" s="227"/>
      <c r="C7" s="227"/>
      <c r="D7" s="426" t="s">
        <v>236</v>
      </c>
      <c r="E7" s="227"/>
      <c r="F7" s="426" t="s">
        <v>237</v>
      </c>
      <c r="G7" s="426" t="s">
        <v>238</v>
      </c>
      <c r="H7" s="426" t="s">
        <v>239</v>
      </c>
      <c r="I7" s="227"/>
      <c r="K7" s="194" t="s">
        <v>125</v>
      </c>
      <c r="L7" s="158">
        <v>69.040000000000006</v>
      </c>
      <c r="M7" s="196" t="s">
        <v>240</v>
      </c>
      <c r="O7" s="224" t="s">
        <v>120</v>
      </c>
    </row>
    <row r="8" spans="1:16" ht="15.5" x14ac:dyDescent="0.35">
      <c r="A8" s="228" t="s">
        <v>333</v>
      </c>
      <c r="B8" s="115">
        <v>0</v>
      </c>
      <c r="C8" s="115">
        <v>0</v>
      </c>
      <c r="D8" s="115">
        <f>B8*C8</f>
        <v>0</v>
      </c>
      <c r="E8" s="115">
        <f>'BPPI-Y1'!E26</f>
        <v>0</v>
      </c>
      <c r="F8" s="229">
        <f>D8*E8</f>
        <v>0</v>
      </c>
      <c r="G8" s="229">
        <f>F8*0.05</f>
        <v>0</v>
      </c>
      <c r="H8" s="229">
        <f>F8*0.1</f>
        <v>0</v>
      </c>
      <c r="I8" s="233">
        <f>(F8*$L$8)+(G8*$L$7)+(H8*$L$9)</f>
        <v>0</v>
      </c>
      <c r="K8" s="194" t="s">
        <v>128</v>
      </c>
      <c r="L8" s="162">
        <v>51.23</v>
      </c>
      <c r="M8" s="231"/>
      <c r="O8" s="224">
        <f>C8*E8</f>
        <v>0</v>
      </c>
    </row>
    <row r="9" spans="1:16" ht="15.5" x14ac:dyDescent="0.35">
      <c r="A9" s="228" t="s">
        <v>334</v>
      </c>
      <c r="B9" s="115">
        <v>0</v>
      </c>
      <c r="C9" s="115">
        <v>0</v>
      </c>
      <c r="D9" s="115">
        <f>B9*C9</f>
        <v>0</v>
      </c>
      <c r="E9" s="115">
        <v>0</v>
      </c>
      <c r="F9" s="232">
        <f>D9*E9</f>
        <v>0</v>
      </c>
      <c r="G9" s="232">
        <f>F9*0.05</f>
        <v>0</v>
      </c>
      <c r="H9" s="232">
        <f>F9*0.1</f>
        <v>0</v>
      </c>
      <c r="I9" s="233">
        <f>(F9*$L$8)+(G9*$L$7)+(H9*$L$9)</f>
        <v>0</v>
      </c>
      <c r="K9" s="194" t="s">
        <v>130</v>
      </c>
      <c r="L9" s="162">
        <v>27.73</v>
      </c>
      <c r="M9" s="231"/>
      <c r="O9" s="224">
        <f t="shared" ref="O9:O13" si="0">C9*E9</f>
        <v>0</v>
      </c>
    </row>
    <row r="10" spans="1:16" ht="15.5" x14ac:dyDescent="0.35">
      <c r="A10" s="362" t="s">
        <v>243</v>
      </c>
      <c r="B10" s="115"/>
      <c r="C10" s="115"/>
      <c r="D10" s="115"/>
      <c r="E10" s="115"/>
      <c r="F10" s="229"/>
      <c r="G10" s="229"/>
      <c r="H10" s="229"/>
      <c r="I10" s="233"/>
      <c r="O10" s="224">
        <f t="shared" si="0"/>
        <v>0</v>
      </c>
    </row>
    <row r="11" spans="1:16" ht="15.5" x14ac:dyDescent="0.35">
      <c r="A11" s="116" t="s">
        <v>337</v>
      </c>
      <c r="B11" s="115">
        <v>0.5</v>
      </c>
      <c r="C11" s="115">
        <v>1.1000000000000001</v>
      </c>
      <c r="D11" s="115">
        <f t="shared" ref="D11:D13" si="1">B11*C11</f>
        <v>0.55000000000000004</v>
      </c>
      <c r="E11" s="115">
        <f>'BPPI-Y1'!$L$15</f>
        <v>208</v>
      </c>
      <c r="F11" s="229">
        <f t="shared" ref="F11:F13" si="2">D11*E11</f>
        <v>114.4</v>
      </c>
      <c r="G11" s="229">
        <f t="shared" ref="G11:G13" si="3">F11*0.05</f>
        <v>5.7200000000000006</v>
      </c>
      <c r="H11" s="229">
        <f t="shared" ref="H11:H13" si="4">F11*0.1</f>
        <v>11.440000000000001</v>
      </c>
      <c r="I11" s="233">
        <f t="shared" ref="I11:I13" si="5">(F11*$L$8)+(G11*$L$7)+(H11*$L$9)</f>
        <v>6572.8519999999999</v>
      </c>
      <c r="O11" s="224">
        <f t="shared" si="0"/>
        <v>228.8</v>
      </c>
    </row>
    <row r="12" spans="1:16" ht="15.5" x14ac:dyDescent="0.35">
      <c r="A12" s="116" t="s">
        <v>501</v>
      </c>
      <c r="B12" s="115">
        <v>8</v>
      </c>
      <c r="C12" s="115">
        <v>1</v>
      </c>
      <c r="D12" s="115">
        <f t="shared" si="1"/>
        <v>8</v>
      </c>
      <c r="E12" s="115">
        <f>'BPPI-Y1'!$L$18</f>
        <v>104</v>
      </c>
      <c r="F12" s="229">
        <f t="shared" si="2"/>
        <v>832</v>
      </c>
      <c r="G12" s="235">
        <f t="shared" si="3"/>
        <v>41.6</v>
      </c>
      <c r="H12" s="235">
        <f t="shared" si="4"/>
        <v>83.2</v>
      </c>
      <c r="I12" s="233">
        <f t="shared" si="5"/>
        <v>47802.559999999998</v>
      </c>
      <c r="O12" s="224">
        <f t="shared" si="0"/>
        <v>104</v>
      </c>
    </row>
    <row r="13" spans="1:16" ht="53.15" customHeight="1" x14ac:dyDescent="0.35">
      <c r="A13" s="116" t="s">
        <v>502</v>
      </c>
      <c r="B13" s="115">
        <v>0</v>
      </c>
      <c r="C13" s="115">
        <v>0</v>
      </c>
      <c r="D13" s="115">
        <f t="shared" si="1"/>
        <v>0</v>
      </c>
      <c r="E13" s="115"/>
      <c r="F13" s="232">
        <f t="shared" si="2"/>
        <v>0</v>
      </c>
      <c r="G13" s="229">
        <f t="shared" si="3"/>
        <v>0</v>
      </c>
      <c r="H13" s="229">
        <f t="shared" si="4"/>
        <v>0</v>
      </c>
      <c r="I13" s="233">
        <f t="shared" si="5"/>
        <v>0</v>
      </c>
      <c r="O13" s="224">
        <f t="shared" si="0"/>
        <v>0</v>
      </c>
    </row>
    <row r="14" spans="1:16" ht="15" x14ac:dyDescent="0.35">
      <c r="A14" s="222" t="s">
        <v>247</v>
      </c>
      <c r="B14" s="222"/>
      <c r="C14" s="222"/>
      <c r="D14" s="222"/>
      <c r="E14" s="222"/>
      <c r="F14" s="218">
        <f>ROUND(SUM(F8:H13), -1)</f>
        <v>1090</v>
      </c>
      <c r="G14" s="236"/>
      <c r="H14" s="236"/>
      <c r="I14" s="237">
        <f>ROUND(SUM(I8:I13), -2)</f>
        <v>54400</v>
      </c>
      <c r="O14" s="224">
        <f>SUM(O8:O13)</f>
        <v>332.8</v>
      </c>
      <c r="P14" s="224" t="s">
        <v>248</v>
      </c>
    </row>
    <row r="15" spans="1:16" x14ac:dyDescent="0.35">
      <c r="A15" s="238"/>
      <c r="G15" s="239"/>
    </row>
    <row r="16" spans="1:16" ht="17.5" customHeight="1" x14ac:dyDescent="0.35">
      <c r="A16" s="238" t="s">
        <v>249</v>
      </c>
    </row>
    <row r="17" spans="1:13" ht="21" customHeight="1" x14ac:dyDescent="0.35">
      <c r="A17" s="490" t="s">
        <v>503</v>
      </c>
      <c r="B17" s="490"/>
      <c r="C17" s="490"/>
      <c r="D17" s="490"/>
      <c r="E17" s="490"/>
      <c r="F17" s="490"/>
      <c r="G17" s="490"/>
      <c r="H17" s="490"/>
      <c r="I17" s="490"/>
    </row>
    <row r="18" spans="1:13" ht="45" customHeight="1" x14ac:dyDescent="0.35">
      <c r="A18" s="475" t="s">
        <v>251</v>
      </c>
      <c r="B18" s="475"/>
      <c r="C18" s="475"/>
      <c r="D18" s="475"/>
      <c r="E18" s="475"/>
      <c r="F18" s="475"/>
      <c r="G18" s="475"/>
      <c r="H18" s="475"/>
      <c r="I18" s="475"/>
      <c r="M18" s="233"/>
    </row>
    <row r="19" spans="1:13" ht="15.5" x14ac:dyDescent="0.35">
      <c r="A19" s="487" t="s">
        <v>383</v>
      </c>
      <c r="B19" s="487"/>
      <c r="C19" s="487"/>
      <c r="D19" s="487"/>
      <c r="E19" s="487"/>
      <c r="F19" s="487"/>
      <c r="G19" s="487"/>
      <c r="H19" s="487"/>
      <c r="I19" s="487"/>
    </row>
    <row r="20" spans="1:13" ht="15.5" x14ac:dyDescent="0.35">
      <c r="A20" s="488" t="s">
        <v>253</v>
      </c>
      <c r="B20" s="488"/>
      <c r="C20" s="488"/>
      <c r="D20" s="488"/>
      <c r="E20" s="488"/>
      <c r="F20" s="488"/>
      <c r="G20" s="488"/>
      <c r="H20" s="488"/>
      <c r="I20" s="488"/>
    </row>
    <row r="21" spans="1:13" ht="15.5" x14ac:dyDescent="0.35">
      <c r="A21" s="489" t="s">
        <v>384</v>
      </c>
      <c r="B21" s="489"/>
      <c r="C21" s="489"/>
      <c r="D21" s="489"/>
      <c r="E21" s="489"/>
      <c r="F21" s="489"/>
      <c r="G21" s="489"/>
      <c r="H21" s="489"/>
      <c r="I21" s="489"/>
    </row>
    <row r="22" spans="1:13" ht="15.5" x14ac:dyDescent="0.35">
      <c r="A22" s="489" t="s">
        <v>255</v>
      </c>
      <c r="B22" s="489"/>
      <c r="C22" s="489"/>
      <c r="D22" s="489"/>
      <c r="E22" s="489"/>
      <c r="F22" s="489"/>
      <c r="G22" s="489"/>
      <c r="H22" s="489"/>
      <c r="I22" s="489"/>
    </row>
    <row r="24" spans="1:13" x14ac:dyDescent="0.35">
      <c r="A24" s="240"/>
    </row>
    <row r="25" spans="1:13" x14ac:dyDescent="0.35">
      <c r="A25" s="240"/>
    </row>
    <row r="26" spans="1:13" x14ac:dyDescent="0.35">
      <c r="A26" s="240"/>
    </row>
    <row r="27" spans="1:13"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2783-A585-44FF-8013-ADD6A3248E0A}">
  <sheetPr codeName="Sheet31"/>
  <dimension ref="A1:I27"/>
  <sheetViews>
    <sheetView zoomScale="80" zoomScaleNormal="80" workbookViewId="0">
      <selection sqref="A1:I1"/>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29.5" customHeight="1" x14ac:dyDescent="0.35">
      <c r="A1" s="462" t="s">
        <v>481</v>
      </c>
      <c r="B1" s="462"/>
      <c r="C1" s="462"/>
      <c r="D1" s="462"/>
      <c r="E1" s="462"/>
      <c r="F1" s="462"/>
      <c r="G1" s="462"/>
      <c r="H1" s="462"/>
      <c r="I1" s="462"/>
    </row>
    <row r="2" spans="1:9" ht="30" x14ac:dyDescent="0.35">
      <c r="A2" s="423" t="s">
        <v>504</v>
      </c>
      <c r="B2" s="423"/>
      <c r="C2" s="423"/>
      <c r="D2" s="423"/>
      <c r="E2" s="423"/>
      <c r="F2" s="423"/>
      <c r="G2" s="423"/>
    </row>
    <row r="3" spans="1:9" ht="15.5" thickBot="1" x14ac:dyDescent="0.4">
      <c r="A3" s="501" t="s">
        <v>473</v>
      </c>
      <c r="B3" s="502"/>
      <c r="C3" s="502"/>
      <c r="D3" s="502"/>
      <c r="E3" s="502"/>
      <c r="F3" s="502"/>
      <c r="G3" s="502"/>
      <c r="H3" s="291"/>
    </row>
    <row r="4" spans="1:9" ht="15" x14ac:dyDescent="0.35">
      <c r="A4" s="175"/>
      <c r="B4" s="176"/>
      <c r="C4" s="176"/>
      <c r="D4" s="176"/>
      <c r="E4" s="176"/>
      <c r="F4" s="176"/>
      <c r="G4" s="289"/>
      <c r="H4" s="291"/>
    </row>
    <row r="5" spans="1:9" x14ac:dyDescent="0.35">
      <c r="B5" s="178" t="s">
        <v>220</v>
      </c>
      <c r="C5" s="179" t="s">
        <v>221</v>
      </c>
      <c r="D5" s="179" t="s">
        <v>222</v>
      </c>
      <c r="E5" s="179" t="s">
        <v>223</v>
      </c>
      <c r="F5" s="179" t="s">
        <v>224</v>
      </c>
      <c r="G5" s="179" t="s">
        <v>225</v>
      </c>
      <c r="H5" s="292" t="s">
        <v>226</v>
      </c>
      <c r="I5" s="291"/>
    </row>
    <row r="6" spans="1:9" ht="52" x14ac:dyDescent="0.35">
      <c r="A6" s="181" t="s">
        <v>264</v>
      </c>
      <c r="B6" s="181" t="s">
        <v>265</v>
      </c>
      <c r="C6" s="181" t="s">
        <v>266</v>
      </c>
      <c r="D6" s="181" t="s">
        <v>347</v>
      </c>
      <c r="E6" s="181" t="s">
        <v>268</v>
      </c>
      <c r="F6" s="181" t="s">
        <v>269</v>
      </c>
      <c r="G6" s="181" t="s">
        <v>348</v>
      </c>
      <c r="H6" s="181" t="s">
        <v>271</v>
      </c>
    </row>
    <row r="7" spans="1:9" ht="39" x14ac:dyDescent="0.35">
      <c r="A7" s="181" t="s">
        <v>86</v>
      </c>
      <c r="B7" s="182" t="s">
        <v>474</v>
      </c>
      <c r="C7" s="118">
        <v>0</v>
      </c>
      <c r="D7" s="181">
        <v>0</v>
      </c>
      <c r="E7" s="118">
        <f>C7*D7</f>
        <v>0</v>
      </c>
      <c r="F7" s="118">
        <v>0</v>
      </c>
      <c r="G7" s="181"/>
      <c r="H7" s="118">
        <f>F7*G7</f>
        <v>0</v>
      </c>
    </row>
    <row r="8" spans="1:9" ht="26" x14ac:dyDescent="0.35">
      <c r="A8" s="181" t="s">
        <v>86</v>
      </c>
      <c r="B8" s="181" t="s">
        <v>475</v>
      </c>
      <c r="C8" s="118">
        <v>0</v>
      </c>
      <c r="D8" s="181">
        <v>0</v>
      </c>
      <c r="E8" s="118">
        <f>C8*D8</f>
        <v>0</v>
      </c>
      <c r="F8" s="118"/>
      <c r="G8" s="181"/>
      <c r="H8" s="118"/>
    </row>
    <row r="9" spans="1:9" ht="39" x14ac:dyDescent="0.35">
      <c r="A9" s="181" t="s">
        <v>87</v>
      </c>
      <c r="B9" s="182" t="s">
        <v>474</v>
      </c>
      <c r="C9" s="118">
        <v>0</v>
      </c>
      <c r="D9" s="181">
        <v>0</v>
      </c>
      <c r="E9" s="118">
        <f>C9*D9</f>
        <v>0</v>
      </c>
      <c r="F9" s="118">
        <v>0</v>
      </c>
      <c r="G9" s="181"/>
      <c r="H9" s="181"/>
    </row>
    <row r="10" spans="1:9" ht="26" x14ac:dyDescent="0.35">
      <c r="A10" s="181" t="s">
        <v>87</v>
      </c>
      <c r="B10" s="181" t="s">
        <v>475</v>
      </c>
      <c r="C10" s="118">
        <v>0</v>
      </c>
      <c r="D10" s="181">
        <v>0</v>
      </c>
      <c r="E10" s="118">
        <f>C10*D10</f>
        <v>0</v>
      </c>
      <c r="F10" s="118"/>
      <c r="G10" s="181"/>
      <c r="H10" s="181"/>
    </row>
    <row r="11" spans="1:9" x14ac:dyDescent="0.35">
      <c r="A11" s="181" t="s">
        <v>88</v>
      </c>
      <c r="B11" s="182" t="s">
        <v>272</v>
      </c>
      <c r="C11" s="118"/>
      <c r="D11" s="181"/>
      <c r="E11" s="118"/>
      <c r="F11" s="118"/>
      <c r="G11" s="181"/>
      <c r="H11" s="181"/>
    </row>
    <row r="12" spans="1:9" ht="16" x14ac:dyDescent="0.35">
      <c r="A12" s="181" t="s">
        <v>88</v>
      </c>
      <c r="B12" s="182" t="s">
        <v>505</v>
      </c>
      <c r="C12" s="118"/>
      <c r="D12" s="181"/>
      <c r="E12" s="118"/>
      <c r="F12" s="118">
        <v>781</v>
      </c>
      <c r="G12" s="192">
        <f>'BPPI-Y1'!$L$18</f>
        <v>104</v>
      </c>
      <c r="H12" s="118">
        <f t="shared" ref="H12:H13" si="0">F12*G12</f>
        <v>81224</v>
      </c>
    </row>
    <row r="13" spans="1:9" ht="15.5" x14ac:dyDescent="0.35">
      <c r="A13" s="181" t="s">
        <v>88</v>
      </c>
      <c r="B13" s="182" t="s">
        <v>506</v>
      </c>
      <c r="C13" s="118"/>
      <c r="D13" s="181"/>
      <c r="E13" s="118"/>
      <c r="F13" s="118">
        <v>697</v>
      </c>
      <c r="G13" s="192">
        <f>'BPPI-Y1'!$L$18</f>
        <v>104</v>
      </c>
      <c r="H13" s="118">
        <f t="shared" si="0"/>
        <v>72488</v>
      </c>
    </row>
    <row r="14" spans="1:9" ht="41.5" x14ac:dyDescent="0.35">
      <c r="A14" s="181" t="s">
        <v>88</v>
      </c>
      <c r="B14" s="182" t="s">
        <v>476</v>
      </c>
      <c r="C14" s="118">
        <v>153700</v>
      </c>
      <c r="D14" s="181">
        <v>0</v>
      </c>
      <c r="E14" s="118">
        <f>C14*D14</f>
        <v>0</v>
      </c>
      <c r="F14" s="118"/>
      <c r="G14" s="181">
        <f>'BPPI-Y1'!$L$17</f>
        <v>26</v>
      </c>
      <c r="H14" s="118">
        <f>F14*G14</f>
        <v>0</v>
      </c>
    </row>
    <row r="15" spans="1:9" ht="16" x14ac:dyDescent="0.35">
      <c r="A15" s="181" t="s">
        <v>88</v>
      </c>
      <c r="B15" s="182" t="s">
        <v>432</v>
      </c>
      <c r="C15" s="118">
        <v>131222</v>
      </c>
      <c r="D15" s="181"/>
      <c r="E15" s="118"/>
      <c r="F15" s="118">
        <v>137881</v>
      </c>
      <c r="G15" s="181">
        <f>'BPPI-Y1'!$L$17</f>
        <v>26</v>
      </c>
      <c r="H15" s="118">
        <f>F15*G15</f>
        <v>3584906</v>
      </c>
    </row>
    <row r="16" spans="1:9" ht="15.5" x14ac:dyDescent="0.35">
      <c r="A16" s="181" t="s">
        <v>88</v>
      </c>
      <c r="B16" s="182" t="s">
        <v>433</v>
      </c>
      <c r="C16" s="118"/>
      <c r="D16" s="181"/>
      <c r="E16" s="118"/>
      <c r="F16" s="118">
        <v>50436</v>
      </c>
      <c r="G16" s="181">
        <f>'BPPI-Y1'!$L$17</f>
        <v>26</v>
      </c>
      <c r="H16" s="118">
        <f>F16*G16</f>
        <v>1311336</v>
      </c>
    </row>
    <row r="17" spans="1:8" ht="28.5" x14ac:dyDescent="0.35">
      <c r="A17" s="181" t="s">
        <v>88</v>
      </c>
      <c r="B17" s="182" t="s">
        <v>477</v>
      </c>
      <c r="C17" s="118"/>
      <c r="D17" s="181"/>
      <c r="E17" s="118"/>
      <c r="F17" s="118"/>
      <c r="G17" s="181"/>
      <c r="H17" s="118"/>
    </row>
    <row r="18" spans="1:8" x14ac:dyDescent="0.35">
      <c r="A18" s="181" t="s">
        <v>88</v>
      </c>
      <c r="B18" s="182" t="s">
        <v>283</v>
      </c>
      <c r="C18" s="118"/>
      <c r="D18" s="181"/>
      <c r="E18" s="118"/>
      <c r="F18" s="143">
        <f>Monitors!$F$32</f>
        <v>8523</v>
      </c>
      <c r="G18" s="181">
        <f>'BPPI-Y1'!$L$17</f>
        <v>26</v>
      </c>
      <c r="H18" s="118">
        <f t="shared" ref="H18:H19" si="1">F18*G18</f>
        <v>221598</v>
      </c>
    </row>
    <row r="19" spans="1:8" x14ac:dyDescent="0.35">
      <c r="A19" s="181" t="s">
        <v>88</v>
      </c>
      <c r="B19" s="182" t="s">
        <v>284</v>
      </c>
      <c r="C19" s="118"/>
      <c r="D19" s="181"/>
      <c r="E19" s="118"/>
      <c r="F19" s="143">
        <f>Monitors!$G$32</f>
        <v>1436</v>
      </c>
      <c r="G19" s="181">
        <f>'BPPI-Y1'!$L$17</f>
        <v>26</v>
      </c>
      <c r="H19" s="118">
        <f t="shared" si="1"/>
        <v>37336</v>
      </c>
    </row>
    <row r="20" spans="1:8" x14ac:dyDescent="0.35">
      <c r="A20" s="183"/>
      <c r="B20" s="184" t="s">
        <v>276</v>
      </c>
      <c r="C20" s="118"/>
      <c r="D20" s="181"/>
      <c r="E20" s="118">
        <f>ROUND(SUM(E14:E16), -4)</f>
        <v>0</v>
      </c>
      <c r="F20" s="118"/>
      <c r="G20" s="181"/>
      <c r="H20" s="118">
        <f>ROUND(SUM(H7:H19), -4)</f>
        <v>5310000</v>
      </c>
    </row>
    <row r="21" spans="1:8" x14ac:dyDescent="0.35">
      <c r="B21" s="185"/>
      <c r="D21" s="185"/>
      <c r="E21" s="185"/>
      <c r="G21" s="185"/>
    </row>
    <row r="22" spans="1:8" x14ac:dyDescent="0.35">
      <c r="B22" s="185"/>
      <c r="D22" s="185"/>
      <c r="F22" s="185"/>
      <c r="G22" s="310" t="s">
        <v>277</v>
      </c>
      <c r="H22" s="185">
        <f>ROUND(SUM(E7:E19,H7:H19), -4)</f>
        <v>5310000</v>
      </c>
    </row>
    <row r="23" spans="1:8" ht="155.5" customHeight="1" x14ac:dyDescent="0.35">
      <c r="A23" s="449" t="s">
        <v>507</v>
      </c>
      <c r="B23" s="442"/>
      <c r="C23" s="442"/>
      <c r="D23" s="442"/>
      <c r="E23" s="442"/>
      <c r="F23" s="442"/>
      <c r="G23" s="442"/>
      <c r="H23" s="442"/>
    </row>
    <row r="24" spans="1:8" ht="33.65" customHeight="1" x14ac:dyDescent="0.35">
      <c r="A24" s="449" t="s">
        <v>508</v>
      </c>
      <c r="B24" s="442"/>
      <c r="C24" s="442"/>
      <c r="D24" s="442"/>
      <c r="E24" s="442"/>
      <c r="F24" s="442"/>
      <c r="G24" s="442"/>
      <c r="H24" s="442"/>
    </row>
    <row r="25" spans="1:8" ht="29.5" customHeight="1" x14ac:dyDescent="0.35">
      <c r="A25" s="449" t="s">
        <v>509</v>
      </c>
      <c r="B25" s="442"/>
      <c r="C25" s="442"/>
      <c r="D25" s="442"/>
      <c r="E25" s="442"/>
      <c r="F25" s="442"/>
      <c r="G25" s="442"/>
      <c r="H25" s="442"/>
    </row>
    <row r="26" spans="1:8" ht="28" customHeight="1" x14ac:dyDescent="0.35">
      <c r="A26" s="449" t="s">
        <v>510</v>
      </c>
      <c r="B26" s="442"/>
      <c r="C26" s="442"/>
      <c r="D26" s="442"/>
      <c r="E26" s="442"/>
      <c r="F26" s="442"/>
      <c r="G26" s="442"/>
      <c r="H26" s="442"/>
    </row>
    <row r="27" spans="1:8" ht="33.65" customHeight="1" x14ac:dyDescent="0.35">
      <c r="A27" s="449" t="s">
        <v>511</v>
      </c>
      <c r="B27" s="442"/>
      <c r="C27" s="442"/>
      <c r="D27" s="442"/>
      <c r="E27" s="442"/>
      <c r="F27" s="442"/>
      <c r="G27" s="442"/>
      <c r="H27" s="442"/>
    </row>
  </sheetData>
  <mergeCells count="7">
    <mergeCell ref="A26:H26"/>
    <mergeCell ref="A27:H27"/>
    <mergeCell ref="A3:G3"/>
    <mergeCell ref="A1:I1"/>
    <mergeCell ref="A23:H23"/>
    <mergeCell ref="A24:H24"/>
    <mergeCell ref="A25:H25"/>
  </mergeCells>
  <phoneticPr fontId="40" type="noConversion"/>
  <pageMargins left="0.7" right="0.7" top="0.75" bottom="0.75" header="0.3" footer="0.3"/>
  <pageSetup orientation="portrait" horizontalDpi="0"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DD60-D9D1-4A45-B406-C121149F33F0}">
  <dimension ref="A1:I33"/>
  <sheetViews>
    <sheetView zoomScale="80" zoomScaleNormal="80" workbookViewId="0">
      <selection sqref="A1:I1"/>
    </sheetView>
  </sheetViews>
  <sheetFormatPr defaultColWidth="8.54296875" defaultRowHeight="14.5" x14ac:dyDescent="0.35"/>
  <cols>
    <col min="1" max="1" width="16.81640625" style="173" customWidth="1"/>
    <col min="2" max="2" width="20.1796875"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29.5" customHeight="1" x14ac:dyDescent="0.35">
      <c r="A1" s="462" t="s">
        <v>481</v>
      </c>
      <c r="B1" s="462"/>
      <c r="C1" s="462"/>
      <c r="D1" s="462"/>
      <c r="E1" s="462"/>
      <c r="F1" s="462"/>
      <c r="G1" s="462"/>
      <c r="H1" s="462"/>
      <c r="I1" s="462"/>
    </row>
    <row r="2" spans="1:9" ht="30" x14ac:dyDescent="0.35">
      <c r="A2" s="423" t="s">
        <v>512</v>
      </c>
      <c r="B2" s="423"/>
      <c r="C2" s="423"/>
      <c r="D2" s="423"/>
      <c r="E2" s="423"/>
      <c r="F2" s="423"/>
      <c r="G2" s="423"/>
    </row>
    <row r="3" spans="1:9" ht="15.5" thickBot="1" x14ac:dyDescent="0.4">
      <c r="A3" s="501" t="s">
        <v>473</v>
      </c>
      <c r="B3" s="502"/>
      <c r="C3" s="502"/>
      <c r="D3" s="502"/>
      <c r="E3" s="502"/>
      <c r="F3" s="502"/>
      <c r="G3" s="502"/>
      <c r="H3" s="291"/>
    </row>
    <row r="4" spans="1:9" ht="15" x14ac:dyDescent="0.35">
      <c r="A4" s="175"/>
      <c r="B4" s="176"/>
      <c r="C4" s="176"/>
      <c r="D4" s="176"/>
      <c r="E4" s="176"/>
      <c r="F4" s="176"/>
      <c r="G4" s="289"/>
      <c r="H4" s="291"/>
    </row>
    <row r="5" spans="1:9" x14ac:dyDescent="0.35">
      <c r="B5" s="178" t="s">
        <v>220</v>
      </c>
      <c r="C5" s="179" t="s">
        <v>221</v>
      </c>
      <c r="D5" s="179" t="s">
        <v>222</v>
      </c>
      <c r="E5" s="179" t="s">
        <v>223</v>
      </c>
      <c r="F5" s="179" t="s">
        <v>224</v>
      </c>
      <c r="G5" s="179" t="s">
        <v>225</v>
      </c>
      <c r="H5" s="292" t="s">
        <v>226</v>
      </c>
      <c r="I5" s="291"/>
    </row>
    <row r="6" spans="1:9" ht="52" x14ac:dyDescent="0.35">
      <c r="A6" s="181" t="s">
        <v>264</v>
      </c>
      <c r="B6" s="181" t="s">
        <v>265</v>
      </c>
      <c r="C6" s="181" t="s">
        <v>266</v>
      </c>
      <c r="D6" s="181" t="s">
        <v>347</v>
      </c>
      <c r="E6" s="181" t="s">
        <v>268</v>
      </c>
      <c r="F6" s="181" t="s">
        <v>269</v>
      </c>
      <c r="G6" s="181" t="s">
        <v>348</v>
      </c>
      <c r="H6" s="181" t="s">
        <v>271</v>
      </c>
    </row>
    <row r="7" spans="1:9" ht="26" x14ac:dyDescent="0.35">
      <c r="A7" s="181" t="s">
        <v>89</v>
      </c>
      <c r="B7" s="182" t="s">
        <v>513</v>
      </c>
      <c r="C7" s="118">
        <v>0</v>
      </c>
      <c r="D7" s="181">
        <v>0</v>
      </c>
      <c r="E7" s="118">
        <f>C7*D7</f>
        <v>0</v>
      </c>
      <c r="F7" s="118">
        <v>50436</v>
      </c>
      <c r="G7" s="181">
        <f>'BPPI-Y1'!$L$17</f>
        <v>26</v>
      </c>
      <c r="H7" s="118">
        <f>F7*G7</f>
        <v>1311336</v>
      </c>
    </row>
    <row r="8" spans="1:9" ht="28.5" x14ac:dyDescent="0.35">
      <c r="A8" s="181" t="s">
        <v>89</v>
      </c>
      <c r="B8" s="182" t="s">
        <v>514</v>
      </c>
      <c r="C8" s="118">
        <v>0</v>
      </c>
      <c r="D8" s="181">
        <v>0</v>
      </c>
      <c r="E8" s="118">
        <f>C8*D8</f>
        <v>0</v>
      </c>
      <c r="F8" s="143">
        <f>Monitors!$G$32</f>
        <v>1436</v>
      </c>
      <c r="G8" s="181">
        <f>'BPPI-Y1'!$L$17</f>
        <v>26</v>
      </c>
      <c r="H8" s="118">
        <f t="shared" ref="H8:H21" si="0">F8*G8</f>
        <v>37336</v>
      </c>
    </row>
    <row r="9" spans="1:9" x14ac:dyDescent="0.35">
      <c r="A9" s="181" t="s">
        <v>89</v>
      </c>
      <c r="B9" s="182" t="s">
        <v>272</v>
      </c>
      <c r="C9" s="118"/>
      <c r="D9" s="181"/>
      <c r="E9" s="118"/>
      <c r="F9" s="143"/>
      <c r="G9" s="181"/>
      <c r="H9" s="118"/>
    </row>
    <row r="10" spans="1:9" ht="16" x14ac:dyDescent="0.35">
      <c r="A10" s="181" t="s">
        <v>89</v>
      </c>
      <c r="B10" s="182" t="s">
        <v>505</v>
      </c>
      <c r="C10" s="118"/>
      <c r="D10" s="181"/>
      <c r="E10" s="118"/>
      <c r="F10" s="118">
        <v>781</v>
      </c>
      <c r="G10" s="181">
        <f>'BPPI-Y1'!$L$18</f>
        <v>104</v>
      </c>
      <c r="H10" s="118">
        <f t="shared" si="0"/>
        <v>81224</v>
      </c>
    </row>
    <row r="11" spans="1:9" ht="15.5" x14ac:dyDescent="0.35">
      <c r="A11" s="181" t="s">
        <v>89</v>
      </c>
      <c r="B11" s="182" t="s">
        <v>506</v>
      </c>
      <c r="C11" s="118"/>
      <c r="D11" s="181"/>
      <c r="E11" s="118"/>
      <c r="F11" s="118">
        <v>697</v>
      </c>
      <c r="G11" s="181">
        <f>'BPPI-Y1'!$L$18</f>
        <v>104</v>
      </c>
      <c r="H11" s="118">
        <f t="shared" si="0"/>
        <v>72488</v>
      </c>
    </row>
    <row r="12" spans="1:9" ht="26" x14ac:dyDescent="0.35">
      <c r="A12" s="181" t="s">
        <v>90</v>
      </c>
      <c r="B12" s="182" t="s">
        <v>513</v>
      </c>
      <c r="C12" s="118">
        <v>0</v>
      </c>
      <c r="D12" s="181">
        <v>0</v>
      </c>
      <c r="E12" s="118">
        <f>C12*D12</f>
        <v>0</v>
      </c>
      <c r="F12" s="118">
        <v>50436</v>
      </c>
      <c r="G12" s="181">
        <f>'BPPI-Y1'!$L$17</f>
        <v>26</v>
      </c>
      <c r="H12" s="118">
        <f t="shared" si="0"/>
        <v>1311336</v>
      </c>
    </row>
    <row r="13" spans="1:9" ht="28.5" x14ac:dyDescent="0.35">
      <c r="A13" s="181" t="s">
        <v>90</v>
      </c>
      <c r="B13" s="182" t="s">
        <v>514</v>
      </c>
      <c r="C13" s="118">
        <v>0</v>
      </c>
      <c r="D13" s="181">
        <v>0</v>
      </c>
      <c r="E13" s="118">
        <f>C13*D13</f>
        <v>0</v>
      </c>
      <c r="F13" s="143">
        <f>Monitors!$G$32</f>
        <v>1436</v>
      </c>
      <c r="G13" s="181">
        <f>'BPPI-Y1'!$L$17</f>
        <v>26</v>
      </c>
      <c r="H13" s="118">
        <f t="shared" si="0"/>
        <v>37336</v>
      </c>
    </row>
    <row r="14" spans="1:9" x14ac:dyDescent="0.35">
      <c r="A14" s="181" t="s">
        <v>90</v>
      </c>
      <c r="B14" s="182" t="s">
        <v>272</v>
      </c>
      <c r="C14" s="118"/>
      <c r="D14" s="181"/>
      <c r="E14" s="118"/>
      <c r="F14" s="143"/>
      <c r="G14" s="181"/>
      <c r="H14" s="118"/>
    </row>
    <row r="15" spans="1:9" ht="16" x14ac:dyDescent="0.35">
      <c r="A15" s="181" t="s">
        <v>90</v>
      </c>
      <c r="B15" s="182" t="s">
        <v>505</v>
      </c>
      <c r="C15" s="118"/>
      <c r="D15" s="181"/>
      <c r="E15" s="118"/>
      <c r="F15" s="118">
        <v>781</v>
      </c>
      <c r="G15" s="181">
        <f>'BPPI-Y1'!$L$18</f>
        <v>104</v>
      </c>
      <c r="H15" s="118">
        <f t="shared" si="0"/>
        <v>81224</v>
      </c>
    </row>
    <row r="16" spans="1:9" ht="15.5" x14ac:dyDescent="0.35">
      <c r="A16" s="181" t="s">
        <v>90</v>
      </c>
      <c r="B16" s="182" t="s">
        <v>506</v>
      </c>
      <c r="C16" s="118"/>
      <c r="D16" s="181"/>
      <c r="E16" s="118"/>
      <c r="F16" s="118">
        <v>697</v>
      </c>
      <c r="G16" s="181">
        <f>'BPPI-Y1'!$L$18</f>
        <v>104</v>
      </c>
      <c r="H16" s="118">
        <f t="shared" si="0"/>
        <v>72488</v>
      </c>
    </row>
    <row r="17" spans="1:8" ht="28.5" x14ac:dyDescent="0.35">
      <c r="A17" s="181" t="s">
        <v>91</v>
      </c>
      <c r="B17" s="182" t="s">
        <v>476</v>
      </c>
      <c r="C17" s="118">
        <v>153700</v>
      </c>
      <c r="D17" s="181">
        <v>0</v>
      </c>
      <c r="E17" s="118">
        <f>C17*D17</f>
        <v>0</v>
      </c>
      <c r="F17" s="118"/>
      <c r="G17" s="181"/>
      <c r="H17" s="118">
        <f t="shared" si="0"/>
        <v>0</v>
      </c>
    </row>
    <row r="18" spans="1:8" ht="16" x14ac:dyDescent="0.35">
      <c r="A18" s="181" t="s">
        <v>91</v>
      </c>
      <c r="B18" s="182" t="s">
        <v>432</v>
      </c>
      <c r="C18" s="118">
        <v>131222</v>
      </c>
      <c r="D18" s="181"/>
      <c r="E18" s="118"/>
      <c r="F18" s="118"/>
      <c r="G18" s="181"/>
      <c r="H18" s="118">
        <f t="shared" si="0"/>
        <v>0</v>
      </c>
    </row>
    <row r="19" spans="1:8" ht="15.5" x14ac:dyDescent="0.35">
      <c r="A19" s="181" t="s">
        <v>91</v>
      </c>
      <c r="B19" s="182" t="s">
        <v>433</v>
      </c>
      <c r="C19" s="118"/>
      <c r="D19" s="181"/>
      <c r="E19" s="118"/>
      <c r="F19" s="118">
        <v>50436</v>
      </c>
      <c r="G19" s="181">
        <f>'BPPI-Y1'!$L$17</f>
        <v>26</v>
      </c>
      <c r="H19" s="118">
        <f t="shared" si="0"/>
        <v>1311336</v>
      </c>
    </row>
    <row r="20" spans="1:8" ht="28.5" x14ac:dyDescent="0.35">
      <c r="A20" s="181" t="s">
        <v>91</v>
      </c>
      <c r="B20" s="182" t="s">
        <v>477</v>
      </c>
      <c r="C20" s="118"/>
      <c r="D20" s="181"/>
      <c r="E20" s="118"/>
      <c r="F20" s="118"/>
      <c r="G20" s="181"/>
      <c r="H20" s="118">
        <f t="shared" si="0"/>
        <v>0</v>
      </c>
    </row>
    <row r="21" spans="1:8" x14ac:dyDescent="0.35">
      <c r="A21" s="181" t="s">
        <v>91</v>
      </c>
      <c r="B21" s="182" t="s">
        <v>283</v>
      </c>
      <c r="C21" s="118"/>
      <c r="D21" s="181"/>
      <c r="E21" s="118"/>
      <c r="F21" s="143"/>
      <c r="G21" s="181"/>
      <c r="H21" s="118">
        <f t="shared" si="0"/>
        <v>0</v>
      </c>
    </row>
    <row r="22" spans="1:8" x14ac:dyDescent="0.35">
      <c r="A22" s="181" t="s">
        <v>91</v>
      </c>
      <c r="B22" s="182" t="s">
        <v>284</v>
      </c>
      <c r="C22" s="118"/>
      <c r="D22" s="181"/>
      <c r="E22" s="118"/>
      <c r="F22" s="143">
        <f>Monitors!$G$32</f>
        <v>1436</v>
      </c>
      <c r="G22" s="181">
        <f>'BPPI-Y1'!$L$17</f>
        <v>26</v>
      </c>
      <c r="H22" s="118">
        <f t="shared" ref="H22:H25" si="1">F22*G22</f>
        <v>37336</v>
      </c>
    </row>
    <row r="23" spans="1:8" x14ac:dyDescent="0.35">
      <c r="A23" s="181" t="s">
        <v>91</v>
      </c>
      <c r="B23" s="182" t="s">
        <v>272</v>
      </c>
      <c r="C23" s="118"/>
      <c r="D23" s="181"/>
      <c r="E23" s="118"/>
      <c r="F23" s="143"/>
      <c r="G23" s="181"/>
      <c r="H23" s="118"/>
    </row>
    <row r="24" spans="1:8" ht="16" x14ac:dyDescent="0.35">
      <c r="A24" s="181" t="s">
        <v>91</v>
      </c>
      <c r="B24" s="182" t="s">
        <v>505</v>
      </c>
      <c r="C24" s="118"/>
      <c r="D24" s="181"/>
      <c r="E24" s="118"/>
      <c r="F24" s="118">
        <v>781</v>
      </c>
      <c r="G24" s="181">
        <f>'BPPI-Y1'!$L$18</f>
        <v>104</v>
      </c>
      <c r="H24" s="118">
        <f t="shared" si="1"/>
        <v>81224</v>
      </c>
    </row>
    <row r="25" spans="1:8" ht="15.5" x14ac:dyDescent="0.35">
      <c r="A25" s="181" t="s">
        <v>91</v>
      </c>
      <c r="B25" s="182" t="s">
        <v>506</v>
      </c>
      <c r="C25" s="118"/>
      <c r="D25" s="181"/>
      <c r="E25" s="118"/>
      <c r="F25" s="118">
        <v>697</v>
      </c>
      <c r="G25" s="181">
        <f>'BPPI-Y1'!$L$18</f>
        <v>104</v>
      </c>
      <c r="H25" s="118">
        <f t="shared" si="1"/>
        <v>72488</v>
      </c>
    </row>
    <row r="26" spans="1:8" x14ac:dyDescent="0.35">
      <c r="A26" s="183"/>
      <c r="B26" s="184" t="s">
        <v>276</v>
      </c>
      <c r="C26" s="118"/>
      <c r="D26" s="181"/>
      <c r="E26" s="118">
        <f>ROUND(SUM(E17:E19), -4)</f>
        <v>0</v>
      </c>
      <c r="F26" s="118"/>
      <c r="G26" s="181"/>
      <c r="H26" s="118">
        <f>ROUND(SUM(H7:H22), -4)</f>
        <v>4350000</v>
      </c>
    </row>
    <row r="27" spans="1:8" x14ac:dyDescent="0.35">
      <c r="B27" s="185"/>
      <c r="D27" s="185"/>
      <c r="E27" s="185"/>
      <c r="G27" s="185"/>
    </row>
    <row r="28" spans="1:8" x14ac:dyDescent="0.35">
      <c r="B28" s="185"/>
      <c r="D28" s="185"/>
      <c r="F28" s="185"/>
      <c r="G28" s="310" t="s">
        <v>277</v>
      </c>
      <c r="H28" s="185">
        <f>ROUND(SUM(E7:E22,H7:H22), -4)</f>
        <v>4350000</v>
      </c>
    </row>
    <row r="29" spans="1:8" ht="149.5" customHeight="1" x14ac:dyDescent="0.35">
      <c r="A29" s="449" t="s">
        <v>507</v>
      </c>
      <c r="B29" s="442"/>
      <c r="C29" s="442"/>
      <c r="D29" s="442"/>
      <c r="E29" s="442"/>
      <c r="F29" s="442"/>
      <c r="G29" s="442"/>
      <c r="H29" s="442"/>
    </row>
    <row r="30" spans="1:8" ht="29.5" customHeight="1" x14ac:dyDescent="0.35">
      <c r="A30" s="449" t="s">
        <v>508</v>
      </c>
      <c r="B30" s="442"/>
      <c r="C30" s="442"/>
      <c r="D30" s="442"/>
      <c r="E30" s="442"/>
      <c r="F30" s="442"/>
      <c r="G30" s="442"/>
      <c r="H30" s="442"/>
    </row>
    <row r="31" spans="1:8" ht="29.5" customHeight="1" x14ac:dyDescent="0.35">
      <c r="A31" s="449" t="s">
        <v>509</v>
      </c>
      <c r="B31" s="442"/>
      <c r="C31" s="442"/>
      <c r="D31" s="442"/>
      <c r="E31" s="442"/>
      <c r="F31" s="442"/>
      <c r="G31" s="442"/>
      <c r="H31" s="442"/>
    </row>
    <row r="32" spans="1:8" ht="29.5" customHeight="1" x14ac:dyDescent="0.35">
      <c r="A32" s="449" t="s">
        <v>510</v>
      </c>
      <c r="B32" s="442"/>
      <c r="C32" s="442"/>
      <c r="D32" s="442"/>
      <c r="E32" s="442"/>
      <c r="F32" s="442"/>
      <c r="G32" s="442"/>
      <c r="H32" s="442"/>
    </row>
    <row r="33" spans="1:8" ht="29.5" customHeight="1" x14ac:dyDescent="0.35">
      <c r="A33" s="449" t="s">
        <v>511</v>
      </c>
      <c r="B33" s="442"/>
      <c r="C33" s="442"/>
      <c r="D33" s="442"/>
      <c r="E33" s="442"/>
      <c r="F33" s="442"/>
      <c r="G33" s="442"/>
      <c r="H33" s="442"/>
    </row>
  </sheetData>
  <mergeCells count="7">
    <mergeCell ref="A32:H32"/>
    <mergeCell ref="A33:H33"/>
    <mergeCell ref="A1:I1"/>
    <mergeCell ref="A3:G3"/>
    <mergeCell ref="A29:H29"/>
    <mergeCell ref="A30:H30"/>
    <mergeCell ref="A31:H31"/>
  </mergeCells>
  <pageMargins left="0.7" right="0.7" top="0.75" bottom="0.75" header="0.3" footer="0.3"/>
  <pageSetup orientation="portrait" horizontalDpi="0" verticalDpi="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A1F2-5EC5-4AF5-BF78-13137E2C4F47}">
  <sheetPr>
    <pageSetUpPr fitToPage="1"/>
  </sheetPr>
  <dimension ref="A1:P60"/>
  <sheetViews>
    <sheetView zoomScale="70" zoomScaleNormal="70" workbookViewId="0">
      <pane xSplit="13" ySplit="5" topLeftCell="O6" activePane="bottomRight" state="frozen"/>
      <selection activeCell="A60" sqref="A5:I60"/>
      <selection pane="topRight" activeCell="A60" sqref="A5:I60"/>
      <selection pane="bottomLeft" activeCell="A60" sqref="A5:I60"/>
      <selection pane="bottomRight" activeCell="I52" sqref="I52"/>
    </sheetView>
  </sheetViews>
  <sheetFormatPr defaultColWidth="9.1796875" defaultRowHeight="13" x14ac:dyDescent="0.3"/>
  <cols>
    <col min="1" max="1" width="26.81640625" style="150" customWidth="1"/>
    <col min="2" max="2" width="10.1796875" style="150" customWidth="1"/>
    <col min="3" max="3" width="12" style="223" customWidth="1"/>
    <col min="4" max="4" width="11.1796875" style="150" customWidth="1"/>
    <col min="5" max="5" width="11.54296875" style="223" customWidth="1"/>
    <col min="6" max="6" width="10.453125" style="150" customWidth="1"/>
    <col min="7" max="7" width="11.54296875" style="150" customWidth="1"/>
    <col min="8" max="8" width="11.453125" style="150" customWidth="1"/>
    <col min="9" max="9" width="10.81640625" style="150" customWidth="1"/>
    <col min="10" max="10" width="7.1796875" style="150" customWidth="1"/>
    <col min="11" max="11" width="19.453125" style="150" customWidth="1"/>
    <col min="12" max="12" width="14.453125" style="150" customWidth="1"/>
    <col min="13" max="13" width="53.81640625" style="150" customWidth="1"/>
    <col min="14" max="14" width="6.81640625" style="150" customWidth="1"/>
    <col min="15" max="15" width="14.1796875" style="150" customWidth="1"/>
    <col min="16" max="16384" width="9.1796875" style="150"/>
  </cols>
  <sheetData>
    <row r="1" spans="1:15" s="188" customFormat="1" ht="22" customHeight="1" x14ac:dyDescent="0.3">
      <c r="A1" s="462" t="s">
        <v>442</v>
      </c>
      <c r="B1" s="462"/>
      <c r="C1" s="462"/>
      <c r="D1" s="462"/>
      <c r="E1" s="462"/>
      <c r="F1" s="462"/>
      <c r="G1" s="462"/>
      <c r="H1" s="462"/>
      <c r="I1" s="462"/>
    </row>
    <row r="2" spans="1:15" s="188" customFormat="1" ht="15" x14ac:dyDescent="0.3">
      <c r="A2" s="423" t="s">
        <v>86</v>
      </c>
      <c r="B2" s="423"/>
      <c r="C2" s="423"/>
      <c r="D2" s="423"/>
      <c r="E2" s="423"/>
      <c r="F2" s="423"/>
      <c r="G2" s="423"/>
      <c r="H2" s="423"/>
      <c r="I2" s="423"/>
    </row>
    <row r="3" spans="1:15" s="188" customFormat="1" ht="33" customHeight="1" x14ac:dyDescent="0.3">
      <c r="A3" s="462" t="s">
        <v>443</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9" customHeight="1" x14ac:dyDescent="0.3">
      <c r="A7" s="182" t="s">
        <v>124</v>
      </c>
      <c r="B7" s="190" t="s">
        <v>122</v>
      </c>
      <c r="C7" s="192"/>
      <c r="D7" s="193"/>
      <c r="E7" s="192"/>
      <c r="F7" s="193"/>
      <c r="G7" s="193"/>
      <c r="H7" s="193"/>
      <c r="I7" s="193"/>
      <c r="K7" s="194" t="s">
        <v>125</v>
      </c>
      <c r="L7" s="195">
        <f>76.96*2.1</f>
        <v>161.61599999999999</v>
      </c>
      <c r="M7" s="196" t="s">
        <v>126</v>
      </c>
      <c r="O7" s="150">
        <f t="shared" ref="O7:O48" si="0">C7*E7</f>
        <v>0</v>
      </c>
    </row>
    <row r="8" spans="1:15" ht="52" customHeight="1" x14ac:dyDescent="0.3">
      <c r="A8" s="182" t="s">
        <v>127</v>
      </c>
      <c r="B8" s="190">
        <v>0</v>
      </c>
      <c r="C8" s="115">
        <v>0</v>
      </c>
      <c r="D8" s="190">
        <f>B8*C8</f>
        <v>0</v>
      </c>
      <c r="E8" s="115">
        <f>L13</f>
        <v>0</v>
      </c>
      <c r="F8" s="190">
        <f>D8*E8</f>
        <v>0</v>
      </c>
      <c r="G8" s="190">
        <f>F8*0.05</f>
        <v>0</v>
      </c>
      <c r="H8" s="190">
        <f>F8*0.1</f>
        <v>0</v>
      </c>
      <c r="I8" s="197">
        <f>F8*$L$8+G8*$L$7+H8*$L$9</f>
        <v>0</v>
      </c>
      <c r="K8" s="194" t="s">
        <v>128</v>
      </c>
      <c r="L8" s="195">
        <f>60.8*2.1</f>
        <v>127.67999999999999</v>
      </c>
      <c r="M8" s="198"/>
      <c r="O8" s="150">
        <f t="shared" si="0"/>
        <v>0</v>
      </c>
    </row>
    <row r="9" spans="1:15" x14ac:dyDescent="0.3">
      <c r="A9" s="182" t="s">
        <v>129</v>
      </c>
      <c r="B9" s="190"/>
      <c r="C9" s="115"/>
      <c r="D9" s="190"/>
      <c r="E9" s="115"/>
      <c r="F9" s="190"/>
      <c r="G9" s="190"/>
      <c r="H9" s="190"/>
      <c r="I9" s="193"/>
      <c r="K9" s="194" t="s">
        <v>130</v>
      </c>
      <c r="L9" s="195">
        <f>30.58*2.1</f>
        <v>64.218000000000004</v>
      </c>
      <c r="M9" s="198"/>
      <c r="O9" s="150">
        <f t="shared" si="0"/>
        <v>0</v>
      </c>
    </row>
    <row r="10" spans="1:15" ht="52" x14ac:dyDescent="0.3">
      <c r="A10" s="182" t="s">
        <v>131</v>
      </c>
      <c r="B10" s="190">
        <v>156</v>
      </c>
      <c r="C10" s="115">
        <v>1</v>
      </c>
      <c r="D10" s="190">
        <f>B10*C10</f>
        <v>156</v>
      </c>
      <c r="E10" s="115">
        <f>L15*0.01</f>
        <v>0.8</v>
      </c>
      <c r="F10" s="190">
        <f>D10*E10</f>
        <v>124.80000000000001</v>
      </c>
      <c r="G10" s="190">
        <f>F10*0.05</f>
        <v>6.2400000000000011</v>
      </c>
      <c r="H10" s="190">
        <f>F10*0.1</f>
        <v>12.480000000000002</v>
      </c>
      <c r="I10" s="262">
        <f>F10*$L$8+G10*$L$7+H10*$L$9</f>
        <v>17744.388480000001</v>
      </c>
      <c r="K10" s="285"/>
      <c r="L10" s="311"/>
      <c r="M10" s="198"/>
      <c r="O10" s="150">
        <f t="shared" si="0"/>
        <v>0.8</v>
      </c>
    </row>
    <row r="11" spans="1:15" ht="26" x14ac:dyDescent="0.3">
      <c r="A11" s="301" t="s">
        <v>132</v>
      </c>
      <c r="B11" s="190">
        <v>10</v>
      </c>
      <c r="C11" s="115">
        <v>1</v>
      </c>
      <c r="D11" s="190">
        <f>B11*C11</f>
        <v>10</v>
      </c>
      <c r="E11" s="115">
        <f>L15</f>
        <v>80</v>
      </c>
      <c r="F11" s="190">
        <f>D11*E11</f>
        <v>800</v>
      </c>
      <c r="G11" s="190">
        <f>F11*0.05</f>
        <v>40</v>
      </c>
      <c r="H11" s="190">
        <f>F11*0.1</f>
        <v>80</v>
      </c>
      <c r="I11" s="262">
        <f>F11*$L$8+G11*$L$7+H11*$L$9</f>
        <v>113746.08</v>
      </c>
      <c r="K11" s="420"/>
      <c r="O11" s="150">
        <f t="shared" si="0"/>
        <v>80</v>
      </c>
    </row>
    <row r="12" spans="1:15" ht="15.75" customHeight="1" x14ac:dyDescent="0.3">
      <c r="A12" s="301" t="s">
        <v>133</v>
      </c>
      <c r="B12" s="190"/>
      <c r="C12" s="115"/>
      <c r="D12" s="190"/>
      <c r="E12" s="115"/>
      <c r="F12" s="190"/>
      <c r="G12" s="190"/>
      <c r="H12" s="190"/>
      <c r="I12" s="199"/>
      <c r="K12" s="200"/>
      <c r="L12" s="200" t="s">
        <v>444</v>
      </c>
      <c r="O12" s="150">
        <f t="shared" si="0"/>
        <v>0</v>
      </c>
    </row>
    <row r="13" spans="1:15" ht="15.5" x14ac:dyDescent="0.3">
      <c r="A13" s="306" t="s">
        <v>290</v>
      </c>
      <c r="B13" s="190"/>
      <c r="C13" s="115"/>
      <c r="D13" s="190"/>
      <c r="E13" s="201"/>
      <c r="F13" s="202"/>
      <c r="G13" s="190"/>
      <c r="H13" s="190"/>
      <c r="I13" s="199"/>
      <c r="K13" s="200"/>
      <c r="L13" s="200">
        <v>0</v>
      </c>
      <c r="O13" s="150">
        <f t="shared" si="0"/>
        <v>0</v>
      </c>
    </row>
    <row r="14" spans="1:15" ht="38.5" customHeight="1" x14ac:dyDescent="0.3">
      <c r="A14" s="116" t="s">
        <v>445</v>
      </c>
      <c r="B14" s="190">
        <v>0</v>
      </c>
      <c r="C14" s="115">
        <v>0</v>
      </c>
      <c r="D14" s="190">
        <f>B14*C14</f>
        <v>0</v>
      </c>
      <c r="E14" s="201">
        <v>0</v>
      </c>
      <c r="F14" s="202">
        <f>D14*E14</f>
        <v>0</v>
      </c>
      <c r="G14" s="190">
        <f>F14*0.05</f>
        <v>0</v>
      </c>
      <c r="H14" s="190">
        <f>F14*0.1</f>
        <v>0</v>
      </c>
      <c r="I14" s="199">
        <f>F14*$L$8+G14*$L$7+H14*$L$9</f>
        <v>0</v>
      </c>
      <c r="K14" s="200" t="s">
        <v>136</v>
      </c>
      <c r="L14" s="200">
        <v>0</v>
      </c>
      <c r="M14" s="264" t="s">
        <v>446</v>
      </c>
      <c r="O14" s="150">
        <f>C14*E14</f>
        <v>0</v>
      </c>
    </row>
    <row r="15" spans="1:15" ht="32.5" customHeight="1" x14ac:dyDescent="0.3">
      <c r="A15" s="116" t="s">
        <v>293</v>
      </c>
      <c r="B15" s="190">
        <v>0</v>
      </c>
      <c r="C15" s="115">
        <v>0</v>
      </c>
      <c r="D15" s="190">
        <f t="shared" ref="D15" si="1">B15*C15</f>
        <v>0</v>
      </c>
      <c r="E15" s="201">
        <f>E14*0.05</f>
        <v>0</v>
      </c>
      <c r="F15" s="202">
        <f t="shared" ref="F15:F20" si="2">D15*E15</f>
        <v>0</v>
      </c>
      <c r="G15" s="190">
        <f t="shared" ref="G15:G20" si="3">F15*0.05</f>
        <v>0</v>
      </c>
      <c r="H15" s="190">
        <f t="shared" ref="H15:H20" si="4">F15*0.1</f>
        <v>0</v>
      </c>
      <c r="I15" s="199">
        <f t="shared" ref="I15:I20" si="5">F15*$L$8+G15*$L$7+H15*$L$9</f>
        <v>0</v>
      </c>
      <c r="J15" s="420"/>
      <c r="K15" s="200" t="s">
        <v>141</v>
      </c>
      <c r="L15" s="200">
        <v>80</v>
      </c>
      <c r="M15" s="420" t="s">
        <v>447</v>
      </c>
      <c r="O15" s="150">
        <f t="shared" si="0"/>
        <v>0</v>
      </c>
    </row>
    <row r="16" spans="1:15" ht="37.5" customHeight="1" x14ac:dyDescent="0.3">
      <c r="A16" s="306" t="s">
        <v>297</v>
      </c>
      <c r="B16" s="190"/>
      <c r="C16" s="115"/>
      <c r="D16" s="190"/>
      <c r="E16" s="115"/>
      <c r="F16" s="202"/>
      <c r="G16" s="190"/>
      <c r="H16" s="190"/>
      <c r="I16" s="199"/>
      <c r="K16" s="420" t="s">
        <v>448</v>
      </c>
      <c r="L16" s="420">
        <v>74</v>
      </c>
      <c r="M16" s="420" t="s">
        <v>449</v>
      </c>
      <c r="O16" s="150">
        <f t="shared" si="0"/>
        <v>0</v>
      </c>
    </row>
    <row r="17" spans="1:15" ht="26" x14ac:dyDescent="0.3">
      <c r="A17" s="301" t="s">
        <v>445</v>
      </c>
      <c r="B17" s="190">
        <v>0</v>
      </c>
      <c r="C17" s="115">
        <v>0</v>
      </c>
      <c r="D17" s="190">
        <f>B17*C17</f>
        <v>0</v>
      </c>
      <c r="E17" s="201">
        <v>0</v>
      </c>
      <c r="F17" s="202">
        <f>D17*E17</f>
        <v>0</v>
      </c>
      <c r="G17" s="190">
        <f t="shared" si="3"/>
        <v>0</v>
      </c>
      <c r="H17" s="190">
        <f t="shared" si="4"/>
        <v>0</v>
      </c>
      <c r="I17" s="199">
        <f t="shared" si="5"/>
        <v>0</v>
      </c>
      <c r="J17" s="203"/>
      <c r="K17" s="420" t="s">
        <v>450</v>
      </c>
      <c r="L17" s="150">
        <v>6</v>
      </c>
      <c r="M17" s="420" t="s">
        <v>451</v>
      </c>
      <c r="N17" s="420"/>
      <c r="O17" s="150">
        <f>C17*E17</f>
        <v>0</v>
      </c>
    </row>
    <row r="18" spans="1:15" x14ac:dyDescent="0.3">
      <c r="A18" s="301" t="s">
        <v>300</v>
      </c>
      <c r="B18" s="190">
        <v>0</v>
      </c>
      <c r="C18" s="115">
        <v>0</v>
      </c>
      <c r="D18" s="190">
        <f t="shared" ref="D18" si="6">B18*C18</f>
        <v>0</v>
      </c>
      <c r="E18" s="201">
        <f>E17*0.05</f>
        <v>0</v>
      </c>
      <c r="F18" s="202">
        <f t="shared" si="2"/>
        <v>0</v>
      </c>
      <c r="G18" s="190">
        <f t="shared" si="3"/>
        <v>0</v>
      </c>
      <c r="H18" s="190">
        <f t="shared" si="4"/>
        <v>0</v>
      </c>
      <c r="I18" s="199">
        <f t="shared" si="5"/>
        <v>0</v>
      </c>
      <c r="J18" s="203"/>
      <c r="O18" s="150">
        <f t="shared" si="0"/>
        <v>0</v>
      </c>
    </row>
    <row r="19" spans="1:15" ht="28.5" x14ac:dyDescent="0.3">
      <c r="A19" s="306" t="s">
        <v>151</v>
      </c>
      <c r="B19" s="204"/>
      <c r="C19" s="205"/>
      <c r="D19" s="204"/>
      <c r="E19" s="206"/>
      <c r="F19" s="202"/>
      <c r="G19" s="190"/>
      <c r="H19" s="190"/>
      <c r="I19" s="199"/>
      <c r="O19" s="150">
        <f t="shared" si="0"/>
        <v>0</v>
      </c>
    </row>
    <row r="20" spans="1:15" ht="29" x14ac:dyDescent="0.3">
      <c r="A20" s="301" t="s">
        <v>452</v>
      </c>
      <c r="B20" s="190">
        <v>0</v>
      </c>
      <c r="C20" s="115">
        <v>0</v>
      </c>
      <c r="D20" s="190">
        <f>B20*C20</f>
        <v>0</v>
      </c>
      <c r="E20" s="201">
        <v>0</v>
      </c>
      <c r="F20" s="202">
        <f t="shared" si="2"/>
        <v>0</v>
      </c>
      <c r="G20" s="190">
        <f t="shared" si="3"/>
        <v>0</v>
      </c>
      <c r="H20" s="190">
        <f t="shared" si="4"/>
        <v>0</v>
      </c>
      <c r="I20" s="199">
        <f t="shared" si="5"/>
        <v>0</v>
      </c>
      <c r="N20" s="203"/>
      <c r="O20" s="150">
        <f t="shared" si="0"/>
        <v>0</v>
      </c>
    </row>
    <row r="21" spans="1:15" ht="26" x14ac:dyDescent="0.3">
      <c r="A21" s="301" t="s">
        <v>155</v>
      </c>
      <c r="B21" s="190"/>
      <c r="C21" s="192"/>
      <c r="D21" s="193"/>
      <c r="E21" s="207"/>
      <c r="F21" s="193"/>
      <c r="G21" s="193"/>
      <c r="H21" s="193"/>
      <c r="I21" s="193"/>
      <c r="N21" s="203"/>
      <c r="O21" s="150">
        <f t="shared" si="0"/>
        <v>0</v>
      </c>
    </row>
    <row r="22" spans="1:15" ht="26" x14ac:dyDescent="0.3">
      <c r="A22" s="301" t="s">
        <v>156</v>
      </c>
      <c r="B22" s="190"/>
      <c r="C22" s="192"/>
      <c r="D22" s="193"/>
      <c r="E22" s="207"/>
      <c r="F22" s="193"/>
      <c r="G22" s="193"/>
      <c r="H22" s="193"/>
      <c r="I22" s="193"/>
      <c r="N22" s="203"/>
      <c r="O22" s="150">
        <f t="shared" si="0"/>
        <v>0</v>
      </c>
    </row>
    <row r="23" spans="1:15" x14ac:dyDescent="0.3">
      <c r="A23" s="301" t="s">
        <v>157</v>
      </c>
      <c r="B23" s="193"/>
      <c r="C23" s="192"/>
      <c r="D23" s="193"/>
      <c r="E23" s="207"/>
      <c r="F23" s="193"/>
      <c r="G23" s="193"/>
      <c r="H23" s="193"/>
      <c r="I23" s="193"/>
      <c r="O23" s="150">
        <f t="shared" si="0"/>
        <v>0</v>
      </c>
    </row>
    <row r="24" spans="1:15" x14ac:dyDescent="0.3">
      <c r="A24" s="307" t="s">
        <v>158</v>
      </c>
      <c r="B24" s="190"/>
      <c r="C24" s="115"/>
      <c r="D24" s="190"/>
      <c r="E24" s="201"/>
      <c r="F24" s="190"/>
      <c r="G24" s="190"/>
      <c r="H24" s="190"/>
      <c r="I24" s="199"/>
      <c r="O24" s="150">
        <f t="shared" si="0"/>
        <v>0</v>
      </c>
    </row>
    <row r="25" spans="1:15" ht="26" x14ac:dyDescent="0.3">
      <c r="A25" s="301" t="s">
        <v>159</v>
      </c>
      <c r="B25" s="190">
        <v>0</v>
      </c>
      <c r="C25" s="115">
        <v>0</v>
      </c>
      <c r="D25" s="190">
        <f t="shared" ref="D25:D33" si="7">B25*C25</f>
        <v>0</v>
      </c>
      <c r="E25" s="201">
        <v>0</v>
      </c>
      <c r="F25" s="190">
        <f t="shared" ref="F25:F28" si="8">D25*E25</f>
        <v>0</v>
      </c>
      <c r="G25" s="190">
        <f t="shared" ref="G25:G28" si="9">F25*0.05</f>
        <v>0</v>
      </c>
      <c r="H25" s="190">
        <f t="shared" ref="H25:H28" si="10">F25*0.1</f>
        <v>0</v>
      </c>
      <c r="I25" s="199">
        <f>F25*$L$8+G25*$L$7+H25*$L$9</f>
        <v>0</v>
      </c>
      <c r="O25" s="150">
        <f t="shared" si="0"/>
        <v>0</v>
      </c>
    </row>
    <row r="26" spans="1:15" ht="28.5" customHeight="1" x14ac:dyDescent="0.3">
      <c r="A26" s="301" t="s">
        <v>160</v>
      </c>
      <c r="B26" s="190">
        <v>0</v>
      </c>
      <c r="C26" s="115">
        <v>0</v>
      </c>
      <c r="D26" s="190">
        <f t="shared" si="7"/>
        <v>0</v>
      </c>
      <c r="E26" s="201">
        <v>0</v>
      </c>
      <c r="F26" s="190">
        <f t="shared" si="8"/>
        <v>0</v>
      </c>
      <c r="G26" s="190">
        <f t="shared" si="9"/>
        <v>0</v>
      </c>
      <c r="H26" s="190">
        <f t="shared" si="10"/>
        <v>0</v>
      </c>
      <c r="I26" s="199">
        <f>F26*$L$8+G26*$L$7+H26*$L$9</f>
        <v>0</v>
      </c>
      <c r="O26" s="150">
        <f t="shared" si="0"/>
        <v>0</v>
      </c>
    </row>
    <row r="27" spans="1:15" x14ac:dyDescent="0.3">
      <c r="A27" s="301" t="s">
        <v>453</v>
      </c>
      <c r="B27" s="190">
        <v>0</v>
      </c>
      <c r="C27" s="115">
        <v>0</v>
      </c>
      <c r="D27" s="190">
        <f t="shared" si="7"/>
        <v>0</v>
      </c>
      <c r="E27" s="201">
        <v>0</v>
      </c>
      <c r="F27" s="190">
        <f t="shared" si="8"/>
        <v>0</v>
      </c>
      <c r="G27" s="190">
        <f t="shared" si="9"/>
        <v>0</v>
      </c>
      <c r="H27" s="190">
        <f t="shared" si="10"/>
        <v>0</v>
      </c>
      <c r="I27" s="199">
        <f>F27*$L$8+G27*$L$7+H27*$L$9</f>
        <v>0</v>
      </c>
      <c r="O27" s="150">
        <f t="shared" si="0"/>
        <v>0</v>
      </c>
    </row>
    <row r="28" spans="1:15" ht="39" x14ac:dyDescent="0.3">
      <c r="A28" s="301" t="s">
        <v>454</v>
      </c>
      <c r="B28" s="190">
        <v>0</v>
      </c>
      <c r="C28" s="115">
        <v>0</v>
      </c>
      <c r="D28" s="190">
        <f t="shared" si="7"/>
        <v>0</v>
      </c>
      <c r="E28" s="201">
        <v>0</v>
      </c>
      <c r="F28" s="190">
        <f t="shared" si="8"/>
        <v>0</v>
      </c>
      <c r="G28" s="190">
        <f t="shared" si="9"/>
        <v>0</v>
      </c>
      <c r="H28" s="190">
        <f t="shared" si="10"/>
        <v>0</v>
      </c>
      <c r="I28" s="197">
        <f>F28*$L$8+G28*$L$7+H28*$L$9</f>
        <v>0</v>
      </c>
      <c r="O28" s="150">
        <f t="shared" si="0"/>
        <v>0</v>
      </c>
    </row>
    <row r="29" spans="1:15" x14ac:dyDescent="0.3">
      <c r="A29" s="307" t="s">
        <v>163</v>
      </c>
      <c r="B29" s="193"/>
      <c r="C29" s="192"/>
      <c r="D29" s="193"/>
      <c r="E29" s="207"/>
      <c r="F29" s="193"/>
      <c r="G29" s="193"/>
      <c r="H29" s="193"/>
      <c r="I29" s="193"/>
      <c r="O29" s="150">
        <f t="shared" si="0"/>
        <v>0</v>
      </c>
    </row>
    <row r="30" spans="1:15" ht="26" x14ac:dyDescent="0.3">
      <c r="A30" s="301" t="s">
        <v>159</v>
      </c>
      <c r="B30" s="190">
        <v>0</v>
      </c>
      <c r="C30" s="115">
        <v>0</v>
      </c>
      <c r="D30" s="190">
        <f t="shared" si="7"/>
        <v>0</v>
      </c>
      <c r="E30" s="201">
        <v>0</v>
      </c>
      <c r="F30" s="190">
        <f>D30*E30</f>
        <v>0</v>
      </c>
      <c r="G30" s="190">
        <f>F30*0.05</f>
        <v>0</v>
      </c>
      <c r="H30" s="190">
        <f>F30*0.1</f>
        <v>0</v>
      </c>
      <c r="I30" s="199">
        <f>F30*$L$8+G30*$L$7+H30*$L$9</f>
        <v>0</v>
      </c>
      <c r="O30" s="150">
        <f t="shared" si="0"/>
        <v>0</v>
      </c>
    </row>
    <row r="31" spans="1:15" ht="26" x14ac:dyDescent="0.3">
      <c r="A31" s="301" t="s">
        <v>160</v>
      </c>
      <c r="B31" s="190">
        <v>0</v>
      </c>
      <c r="C31" s="115">
        <v>0</v>
      </c>
      <c r="D31" s="190">
        <f t="shared" si="7"/>
        <v>0</v>
      </c>
      <c r="E31" s="201">
        <v>0</v>
      </c>
      <c r="F31" s="190">
        <f>D31*E31</f>
        <v>0</v>
      </c>
      <c r="G31" s="190">
        <f>F31*0.05</f>
        <v>0</v>
      </c>
      <c r="H31" s="190">
        <f>F31*0.1</f>
        <v>0</v>
      </c>
      <c r="I31" s="199">
        <f>F31*$L$8+G31*$L$7+H31*$L$9</f>
        <v>0</v>
      </c>
      <c r="O31" s="150">
        <f t="shared" si="0"/>
        <v>0</v>
      </c>
    </row>
    <row r="32" spans="1:15" ht="26" x14ac:dyDescent="0.3">
      <c r="A32" s="301" t="s">
        <v>455</v>
      </c>
      <c r="B32" s="190">
        <v>0</v>
      </c>
      <c r="C32" s="115">
        <v>0</v>
      </c>
      <c r="D32" s="190">
        <f t="shared" si="7"/>
        <v>0</v>
      </c>
      <c r="E32" s="201">
        <v>0</v>
      </c>
      <c r="F32" s="190">
        <f>D32*E32</f>
        <v>0</v>
      </c>
      <c r="G32" s="190">
        <f>F32*0.05</f>
        <v>0</v>
      </c>
      <c r="H32" s="190">
        <f>F32*0.1</f>
        <v>0</v>
      </c>
      <c r="I32" s="199">
        <f>F32*$L$8+G32*$L$7+H32*$L$9</f>
        <v>0</v>
      </c>
      <c r="O32" s="150">
        <f t="shared" si="0"/>
        <v>0</v>
      </c>
    </row>
    <row r="33" spans="1:15" ht="39" x14ac:dyDescent="0.3">
      <c r="A33" s="301" t="s">
        <v>454</v>
      </c>
      <c r="B33" s="190">
        <v>0</v>
      </c>
      <c r="C33" s="115">
        <v>0</v>
      </c>
      <c r="D33" s="190">
        <f t="shared" si="7"/>
        <v>0</v>
      </c>
      <c r="E33" s="201">
        <v>0</v>
      </c>
      <c r="F33" s="190">
        <f t="shared" ref="F33" si="11">D33*E33</f>
        <v>0</v>
      </c>
      <c r="G33" s="190">
        <f t="shared" ref="G33" si="12">F33*0.05</f>
        <v>0</v>
      </c>
      <c r="H33" s="190">
        <f t="shared" ref="H33" si="13">F33*0.1</f>
        <v>0</v>
      </c>
      <c r="I33" s="199">
        <f>F33*$L$8+G33*$L$7+H33*$L$9</f>
        <v>0</v>
      </c>
      <c r="O33" s="150">
        <f t="shared" si="0"/>
        <v>0</v>
      </c>
    </row>
    <row r="34" spans="1:15" ht="28" customHeight="1" x14ac:dyDescent="0.3">
      <c r="A34" s="208" t="s">
        <v>167</v>
      </c>
      <c r="B34" s="209"/>
      <c r="C34" s="210"/>
      <c r="D34" s="209"/>
      <c r="E34" s="211"/>
      <c r="F34" s="212">
        <f>SUM(F8:H33)</f>
        <v>1063.52</v>
      </c>
      <c r="G34" s="212"/>
      <c r="H34" s="212"/>
      <c r="I34" s="262">
        <f>SUM(I8:I33)</f>
        <v>131490.46848000001</v>
      </c>
      <c r="O34" s="150">
        <f t="shared" si="0"/>
        <v>0</v>
      </c>
    </row>
    <row r="35" spans="1:15" ht="26" x14ac:dyDescent="0.3">
      <c r="A35" s="182" t="s">
        <v>168</v>
      </c>
      <c r="B35" s="193"/>
      <c r="C35" s="192"/>
      <c r="D35" s="193"/>
      <c r="E35" s="207"/>
      <c r="F35" s="193"/>
      <c r="G35" s="193"/>
      <c r="H35" s="193"/>
      <c r="I35" s="193"/>
      <c r="O35" s="150">
        <f t="shared" si="0"/>
        <v>0</v>
      </c>
    </row>
    <row r="36" spans="1:15" ht="26" x14ac:dyDescent="0.3">
      <c r="A36" s="301" t="s">
        <v>132</v>
      </c>
      <c r="B36" s="190"/>
      <c r="C36" s="192"/>
      <c r="D36" s="193"/>
      <c r="E36" s="192"/>
      <c r="F36" s="193"/>
      <c r="G36" s="193"/>
      <c r="H36" s="193"/>
      <c r="I36" s="193"/>
      <c r="O36" s="150">
        <f t="shared" si="0"/>
        <v>0</v>
      </c>
    </row>
    <row r="37" spans="1:15" x14ac:dyDescent="0.3">
      <c r="A37" s="301" t="s">
        <v>169</v>
      </c>
      <c r="B37" s="190"/>
      <c r="C37" s="192"/>
      <c r="D37" s="193"/>
      <c r="E37" s="192"/>
      <c r="F37" s="193"/>
      <c r="G37" s="193"/>
      <c r="H37" s="193"/>
      <c r="I37" s="193"/>
      <c r="O37" s="150">
        <f t="shared" si="0"/>
        <v>0</v>
      </c>
    </row>
    <row r="38" spans="1:15" x14ac:dyDescent="0.3">
      <c r="A38" s="301" t="s">
        <v>170</v>
      </c>
      <c r="B38" s="190"/>
      <c r="C38" s="192"/>
      <c r="D38" s="193"/>
      <c r="E38" s="192"/>
      <c r="F38" s="193"/>
      <c r="G38" s="193"/>
      <c r="H38" s="193"/>
      <c r="I38" s="193"/>
      <c r="O38" s="150">
        <f t="shared" si="0"/>
        <v>0</v>
      </c>
    </row>
    <row r="39" spans="1:15" x14ac:dyDescent="0.3">
      <c r="A39" s="301" t="s">
        <v>171</v>
      </c>
      <c r="B39" s="190" t="s">
        <v>122</v>
      </c>
      <c r="C39" s="192"/>
      <c r="D39" s="193"/>
      <c r="E39" s="192"/>
      <c r="F39" s="193"/>
      <c r="G39" s="193"/>
      <c r="H39" s="193"/>
      <c r="I39" s="193"/>
      <c r="O39" s="150">
        <f t="shared" si="0"/>
        <v>0</v>
      </c>
    </row>
    <row r="40" spans="1:15" ht="26" x14ac:dyDescent="0.3">
      <c r="A40" s="301" t="s">
        <v>172</v>
      </c>
      <c r="B40" s="193"/>
      <c r="C40" s="192"/>
      <c r="D40" s="193"/>
      <c r="E40" s="192"/>
      <c r="F40" s="193"/>
      <c r="G40" s="193"/>
      <c r="H40" s="193"/>
      <c r="I40" s="193"/>
      <c r="O40" s="150">
        <f t="shared" si="0"/>
        <v>0</v>
      </c>
    </row>
    <row r="41" spans="1:15" x14ac:dyDescent="0.3">
      <c r="A41" s="307" t="s">
        <v>163</v>
      </c>
      <c r="B41" s="193"/>
      <c r="C41" s="192"/>
      <c r="D41" s="193"/>
      <c r="E41" s="192"/>
      <c r="F41" s="193"/>
      <c r="G41" s="193"/>
      <c r="H41" s="193"/>
      <c r="I41" s="193"/>
      <c r="O41" s="150">
        <f t="shared" si="0"/>
        <v>0</v>
      </c>
    </row>
    <row r="42" spans="1:15" x14ac:dyDescent="0.3">
      <c r="A42" s="301" t="s">
        <v>173</v>
      </c>
      <c r="B42" s="190">
        <v>0.4</v>
      </c>
      <c r="C42" s="115">
        <v>12</v>
      </c>
      <c r="D42" s="190">
        <f t="shared" ref="D42:D47" si="14">B42*C42</f>
        <v>4.8000000000000007</v>
      </c>
      <c r="E42" s="201">
        <f>$L$15</f>
        <v>80</v>
      </c>
      <c r="F42" s="202">
        <f t="shared" ref="F42:F47" si="15">D42*E42</f>
        <v>384.00000000000006</v>
      </c>
      <c r="G42" s="190">
        <f t="shared" ref="G42:G47" si="16">F42*0.05</f>
        <v>19.200000000000003</v>
      </c>
      <c r="H42" s="190">
        <f t="shared" ref="H42:H47" si="17">F42*0.1</f>
        <v>38.400000000000006</v>
      </c>
      <c r="I42" s="262">
        <f>F42*$L$8+G42*$L$7+H42*$L$9</f>
        <v>54598.118399999999</v>
      </c>
      <c r="O42" s="150">
        <f t="shared" si="0"/>
        <v>960</v>
      </c>
    </row>
    <row r="43" spans="1:15" ht="91" x14ac:dyDescent="0.3">
      <c r="A43" s="301" t="s">
        <v>456</v>
      </c>
      <c r="B43" s="190">
        <v>0</v>
      </c>
      <c r="C43" s="115">
        <v>0</v>
      </c>
      <c r="D43" s="190">
        <f t="shared" si="14"/>
        <v>0</v>
      </c>
      <c r="E43" s="201">
        <v>0</v>
      </c>
      <c r="F43" s="202">
        <f t="shared" si="15"/>
        <v>0</v>
      </c>
      <c r="G43" s="190">
        <f t="shared" si="16"/>
        <v>0</v>
      </c>
      <c r="H43" s="190">
        <f t="shared" si="17"/>
        <v>0</v>
      </c>
      <c r="I43" s="199">
        <f>F43*$L$8+G43*$L$7+H43*$L$9</f>
        <v>0</v>
      </c>
      <c r="O43" s="150">
        <f t="shared" si="0"/>
        <v>0</v>
      </c>
    </row>
    <row r="44" spans="1:15" x14ac:dyDescent="0.3">
      <c r="A44" s="307" t="s">
        <v>158</v>
      </c>
      <c r="B44" s="190"/>
      <c r="C44" s="115"/>
      <c r="D44" s="190"/>
      <c r="E44" s="201"/>
      <c r="F44" s="202"/>
      <c r="G44" s="190"/>
      <c r="H44" s="190"/>
      <c r="I44" s="199"/>
      <c r="O44" s="150">
        <f t="shared" si="0"/>
        <v>0</v>
      </c>
    </row>
    <row r="45" spans="1:15" x14ac:dyDescent="0.3">
      <c r="A45" s="301" t="s">
        <v>173</v>
      </c>
      <c r="B45" s="190">
        <v>0</v>
      </c>
      <c r="C45" s="115">
        <v>0</v>
      </c>
      <c r="D45" s="190">
        <f>B45*C45</f>
        <v>0</v>
      </c>
      <c r="E45" s="201">
        <f>$L$13</f>
        <v>0</v>
      </c>
      <c r="F45" s="202">
        <f t="shared" ref="F45:F46" si="18">D45*E45</f>
        <v>0</v>
      </c>
      <c r="G45" s="190">
        <f t="shared" ref="G45:G46" si="19">F45*0.05</f>
        <v>0</v>
      </c>
      <c r="H45" s="190">
        <f t="shared" ref="H45:H46" si="20">F45*0.1</f>
        <v>0</v>
      </c>
      <c r="I45" s="197">
        <f>F45*$L$8+G45*$L$7+H45*$L$9</f>
        <v>0</v>
      </c>
      <c r="O45" s="150">
        <f t="shared" si="0"/>
        <v>0</v>
      </c>
    </row>
    <row r="46" spans="1:15" ht="91" x14ac:dyDescent="0.3">
      <c r="A46" s="301" t="s">
        <v>456</v>
      </c>
      <c r="B46" s="190">
        <v>0</v>
      </c>
      <c r="C46" s="115">
        <v>0</v>
      </c>
      <c r="D46" s="190">
        <f t="shared" ref="D46" si="21">B46*C46</f>
        <v>0</v>
      </c>
      <c r="E46" s="201">
        <f>$L$13</f>
        <v>0</v>
      </c>
      <c r="F46" s="202">
        <f t="shared" si="18"/>
        <v>0</v>
      </c>
      <c r="G46" s="190">
        <f t="shared" si="19"/>
        <v>0</v>
      </c>
      <c r="H46" s="190">
        <f t="shared" si="20"/>
        <v>0</v>
      </c>
      <c r="I46" s="197">
        <f>F46*$L$8+G46*$L$7+H46*$L$9</f>
        <v>0</v>
      </c>
      <c r="K46" s="373"/>
      <c r="O46" s="150">
        <f t="shared" si="0"/>
        <v>0</v>
      </c>
    </row>
    <row r="47" spans="1:15" x14ac:dyDescent="0.3">
      <c r="A47" s="301" t="s">
        <v>313</v>
      </c>
      <c r="B47" s="190">
        <v>0</v>
      </c>
      <c r="C47" s="115">
        <v>0</v>
      </c>
      <c r="D47" s="190">
        <f t="shared" si="14"/>
        <v>0</v>
      </c>
      <c r="E47" s="201">
        <f>$L$13</f>
        <v>0</v>
      </c>
      <c r="F47" s="202">
        <f t="shared" si="15"/>
        <v>0</v>
      </c>
      <c r="G47" s="190">
        <f t="shared" si="16"/>
        <v>0</v>
      </c>
      <c r="H47" s="190">
        <f t="shared" si="17"/>
        <v>0</v>
      </c>
      <c r="I47" s="197">
        <f>F47*$L$8+G47*$L$7+H47*$L$9</f>
        <v>0</v>
      </c>
      <c r="O47" s="150">
        <f t="shared" si="0"/>
        <v>0</v>
      </c>
    </row>
    <row r="48" spans="1:15" x14ac:dyDescent="0.3">
      <c r="A48" s="301" t="s">
        <v>186</v>
      </c>
      <c r="B48" s="190" t="s">
        <v>122</v>
      </c>
      <c r="C48" s="192"/>
      <c r="D48" s="193"/>
      <c r="E48" s="192"/>
      <c r="F48" s="193"/>
      <c r="G48" s="193"/>
      <c r="H48" s="193"/>
      <c r="I48" s="193"/>
      <c r="O48" s="150">
        <f t="shared" si="0"/>
        <v>0</v>
      </c>
    </row>
    <row r="49" spans="1:16" ht="33" customHeight="1" x14ac:dyDescent="0.3">
      <c r="A49" s="208" t="s">
        <v>188</v>
      </c>
      <c r="B49" s="214"/>
      <c r="C49" s="215"/>
      <c r="D49" s="214"/>
      <c r="E49" s="216"/>
      <c r="F49" s="212">
        <f>SUM(F42:H47)</f>
        <v>441.6</v>
      </c>
      <c r="G49" s="212"/>
      <c r="H49" s="212"/>
      <c r="I49" s="213">
        <f>SUM(I42:I48)</f>
        <v>54598.118399999999</v>
      </c>
      <c r="O49" s="150">
        <f>SUM(O6:O48)</f>
        <v>1040.8</v>
      </c>
      <c r="P49" s="150" t="s">
        <v>248</v>
      </c>
    </row>
    <row r="50" spans="1:16" ht="28" x14ac:dyDescent="0.3">
      <c r="A50" s="184" t="s">
        <v>189</v>
      </c>
      <c r="B50" s="217"/>
      <c r="C50" s="218"/>
      <c r="D50" s="217"/>
      <c r="E50" s="219"/>
      <c r="F50" s="481">
        <f>ROUND(F49+F34, -2)</f>
        <v>1500</v>
      </c>
      <c r="G50" s="481"/>
      <c r="H50" s="481"/>
      <c r="I50" s="220">
        <f>ROUND(I49+I34, -4)</f>
        <v>190000</v>
      </c>
      <c r="K50" s="221">
        <f>F50/212</f>
        <v>7.0754716981132075</v>
      </c>
      <c r="L50" s="150" t="s">
        <v>190</v>
      </c>
    </row>
    <row r="51" spans="1:16" ht="28" x14ac:dyDescent="0.3">
      <c r="A51" s="222" t="s">
        <v>191</v>
      </c>
      <c r="B51" s="193"/>
      <c r="C51" s="192"/>
      <c r="D51" s="193"/>
      <c r="E51" s="192"/>
      <c r="F51" s="193"/>
      <c r="G51" s="193"/>
      <c r="H51" s="193"/>
      <c r="I51" s="220">
        <v>0</v>
      </c>
    </row>
    <row r="52" spans="1:16" ht="15" x14ac:dyDescent="0.3">
      <c r="A52" s="222" t="s">
        <v>192</v>
      </c>
      <c r="B52" s="193"/>
      <c r="C52" s="192"/>
      <c r="D52" s="193"/>
      <c r="E52" s="192"/>
      <c r="F52" s="193"/>
      <c r="G52" s="193"/>
      <c r="H52" s="193"/>
      <c r="I52" s="220">
        <f>ROUND(I50+I51, -5)</f>
        <v>200000</v>
      </c>
    </row>
    <row r="53" spans="1:16" ht="5.15" customHeight="1" x14ac:dyDescent="0.3"/>
    <row r="54" spans="1:16" ht="16" customHeight="1" x14ac:dyDescent="0.3">
      <c r="A54" s="482" t="s">
        <v>457</v>
      </c>
      <c r="B54" s="482"/>
      <c r="C54" s="482"/>
      <c r="D54" s="482"/>
      <c r="E54" s="482"/>
      <c r="F54" s="482"/>
      <c r="G54" s="482"/>
      <c r="H54" s="482"/>
      <c r="I54" s="482"/>
    </row>
    <row r="55" spans="1:16" ht="73" customHeight="1" x14ac:dyDescent="0.3">
      <c r="A55" s="503" t="s">
        <v>194</v>
      </c>
      <c r="B55" s="503"/>
      <c r="C55" s="503"/>
      <c r="D55" s="503"/>
      <c r="E55" s="503"/>
      <c r="F55" s="503"/>
      <c r="G55" s="503"/>
      <c r="H55" s="503"/>
      <c r="I55" s="503"/>
    </row>
    <row r="56" spans="1:16" ht="17.149999999999999" customHeight="1" x14ac:dyDescent="0.3">
      <c r="A56" s="482" t="s">
        <v>458</v>
      </c>
      <c r="B56" s="482"/>
      <c r="C56" s="482"/>
      <c r="D56" s="482"/>
      <c r="E56" s="482"/>
      <c r="F56" s="482"/>
      <c r="G56" s="482"/>
      <c r="H56" s="482"/>
      <c r="I56" s="482"/>
    </row>
    <row r="57" spans="1:16" ht="29.15" customHeight="1" x14ac:dyDescent="0.3">
      <c r="A57" s="483" t="s">
        <v>459</v>
      </c>
      <c r="B57" s="483"/>
      <c r="C57" s="483"/>
      <c r="D57" s="483"/>
      <c r="E57" s="483"/>
      <c r="F57" s="483"/>
      <c r="G57" s="483"/>
      <c r="H57" s="483"/>
      <c r="I57" s="483"/>
    </row>
    <row r="58" spans="1:16" ht="15.5" x14ac:dyDescent="0.3">
      <c r="A58" s="500" t="s">
        <v>460</v>
      </c>
      <c r="B58" s="500"/>
      <c r="C58" s="500"/>
      <c r="D58" s="500"/>
      <c r="E58" s="500"/>
      <c r="F58" s="500"/>
      <c r="G58" s="500"/>
      <c r="H58" s="500"/>
      <c r="I58" s="500"/>
    </row>
    <row r="59" spans="1:16" ht="18.75" customHeight="1" x14ac:dyDescent="0.3">
      <c r="A59" s="479" t="s">
        <v>198</v>
      </c>
      <c r="B59" s="479"/>
      <c r="C59" s="479"/>
      <c r="D59" s="479"/>
      <c r="E59" s="479"/>
      <c r="F59" s="479"/>
      <c r="G59" s="479"/>
      <c r="H59" s="479"/>
      <c r="I59" s="479"/>
    </row>
    <row r="60" spans="1:16" ht="49" customHeight="1" x14ac:dyDescent="0.3">
      <c r="A60" s="479" t="s">
        <v>516</v>
      </c>
      <c r="B60" s="479"/>
      <c r="C60" s="479"/>
      <c r="D60" s="479"/>
      <c r="E60" s="479"/>
      <c r="F60" s="479"/>
      <c r="G60" s="479"/>
      <c r="H60" s="479"/>
      <c r="I60" s="479"/>
    </row>
  </sheetData>
  <mergeCells count="11">
    <mergeCell ref="A60:I60"/>
    <mergeCell ref="A57:I57"/>
    <mergeCell ref="A58:I58"/>
    <mergeCell ref="A59:I59"/>
    <mergeCell ref="A1:I1"/>
    <mergeCell ref="A3:I3"/>
    <mergeCell ref="K6:L6"/>
    <mergeCell ref="F50:H50"/>
    <mergeCell ref="A54:I54"/>
    <mergeCell ref="A55:I55"/>
    <mergeCell ref="A56:I56"/>
  </mergeCells>
  <pageMargins left="0.7" right="0.7" top="0.75" bottom="0.75" header="0.3" footer="0.3"/>
  <pageSetup scale="4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90EA-D73F-44E3-96F3-2C9B1784481E}">
  <sheetPr>
    <pageSetUpPr fitToPage="1"/>
  </sheetPr>
  <dimension ref="A1:P59"/>
  <sheetViews>
    <sheetView zoomScale="70" zoomScaleNormal="70" workbookViewId="0">
      <pane xSplit="13" ySplit="5" topLeftCell="N6" activePane="bottomRight" state="frozen"/>
      <selection activeCell="A60" sqref="A5:I60"/>
      <selection pane="topRight" activeCell="A60" sqref="A5:I60"/>
      <selection pane="bottomLeft" activeCell="A60" sqref="A5:I60"/>
      <selection pane="bottomRight" activeCell="I51" sqref="I51"/>
    </sheetView>
  </sheetViews>
  <sheetFormatPr defaultColWidth="9.1796875" defaultRowHeight="13" x14ac:dyDescent="0.3"/>
  <cols>
    <col min="1" max="1" width="26" style="150" customWidth="1"/>
    <col min="2" max="2" width="10.1796875" style="150" customWidth="1"/>
    <col min="3" max="3" width="12" style="223" customWidth="1"/>
    <col min="4" max="4" width="11.1796875" style="150" customWidth="1"/>
    <col min="5" max="5" width="11.7265625" style="223" customWidth="1"/>
    <col min="6" max="6" width="10.453125" style="150" customWidth="1"/>
    <col min="7" max="7" width="11.54296875" style="150" customWidth="1"/>
    <col min="8" max="9" width="11.453125" style="150" customWidth="1"/>
    <col min="10" max="10" width="7.1796875" style="150" customWidth="1"/>
    <col min="11" max="11" width="19.453125" style="150" customWidth="1"/>
    <col min="12" max="12" width="14.453125" style="150" customWidth="1"/>
    <col min="13" max="13" width="53.1796875" style="150" customWidth="1"/>
    <col min="14" max="14" width="6.453125" style="150" customWidth="1"/>
    <col min="15" max="15" width="14.1796875" style="150" customWidth="1"/>
    <col min="16" max="16384" width="9.1796875" style="150"/>
  </cols>
  <sheetData>
    <row r="1" spans="1:15" s="188" customFormat="1" ht="21" customHeight="1" x14ac:dyDescent="0.3">
      <c r="A1" s="462" t="s">
        <v>442</v>
      </c>
      <c r="B1" s="462"/>
      <c r="C1" s="462"/>
      <c r="D1" s="462"/>
      <c r="E1" s="462"/>
      <c r="F1" s="462"/>
      <c r="G1" s="462"/>
      <c r="H1" s="462"/>
      <c r="I1" s="462"/>
    </row>
    <row r="2" spans="1:15" s="188" customFormat="1" ht="15" x14ac:dyDescent="0.3">
      <c r="A2" s="423" t="s">
        <v>87</v>
      </c>
      <c r="B2" s="423"/>
      <c r="C2" s="423"/>
      <c r="D2" s="423"/>
      <c r="E2" s="423"/>
      <c r="F2" s="423"/>
      <c r="G2" s="423"/>
      <c r="H2" s="423"/>
      <c r="I2" s="423"/>
    </row>
    <row r="3" spans="1:15" s="188" customFormat="1" ht="33" customHeight="1" x14ac:dyDescent="0.3">
      <c r="A3" s="462" t="s">
        <v>461</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2.15" customHeight="1" x14ac:dyDescent="0.3">
      <c r="A7" s="182" t="s">
        <v>124</v>
      </c>
      <c r="B7" s="190" t="s">
        <v>122</v>
      </c>
      <c r="C7" s="192"/>
      <c r="D7" s="193"/>
      <c r="E7" s="192"/>
      <c r="F7" s="193"/>
      <c r="G7" s="193"/>
      <c r="H7" s="193"/>
      <c r="I7" s="193"/>
      <c r="K7" s="194" t="s">
        <v>125</v>
      </c>
      <c r="L7" s="195">
        <f>76.96*2.1</f>
        <v>161.61599999999999</v>
      </c>
      <c r="M7" s="196" t="s">
        <v>126</v>
      </c>
      <c r="O7" s="150">
        <f t="shared" ref="O7:O47" si="0">C7*E7</f>
        <v>0</v>
      </c>
    </row>
    <row r="8" spans="1:15"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O8" s="150">
        <f t="shared" si="0"/>
        <v>0</v>
      </c>
    </row>
    <row r="9" spans="1:15" x14ac:dyDescent="0.3">
      <c r="A9" s="182" t="s">
        <v>129</v>
      </c>
      <c r="B9" s="190"/>
      <c r="C9" s="115"/>
      <c r="D9" s="190"/>
      <c r="E9" s="115"/>
      <c r="F9" s="190"/>
      <c r="G9" s="190"/>
      <c r="H9" s="190"/>
      <c r="I9" s="193"/>
      <c r="K9" s="194" t="s">
        <v>130</v>
      </c>
      <c r="L9" s="195">
        <f>30.58*2.1</f>
        <v>64.218000000000004</v>
      </c>
      <c r="M9" s="198"/>
      <c r="O9" s="150">
        <f t="shared" si="0"/>
        <v>0</v>
      </c>
    </row>
    <row r="10" spans="1:15" ht="26" x14ac:dyDescent="0.3">
      <c r="A10" s="301" t="s">
        <v>132</v>
      </c>
      <c r="B10" s="190">
        <v>0</v>
      </c>
      <c r="C10" s="115">
        <v>0</v>
      </c>
      <c r="D10" s="190">
        <f>B10*C10</f>
        <v>0</v>
      </c>
      <c r="E10" s="115">
        <v>0</v>
      </c>
      <c r="F10" s="190">
        <f>D10*E10</f>
        <v>0</v>
      </c>
      <c r="G10" s="190">
        <f>F10*0.05</f>
        <v>0</v>
      </c>
      <c r="H10" s="190">
        <f>F10*0.1</f>
        <v>0</v>
      </c>
      <c r="I10" s="199">
        <f>F10*$L$8+G10*$L$7+H10*$L$9</f>
        <v>0</v>
      </c>
      <c r="K10" s="420"/>
      <c r="O10" s="150">
        <f t="shared" si="0"/>
        <v>0</v>
      </c>
    </row>
    <row r="11" spans="1:15" ht="15.75" customHeight="1" x14ac:dyDescent="0.3">
      <c r="A11" s="301" t="s">
        <v>133</v>
      </c>
      <c r="B11" s="190"/>
      <c r="C11" s="115"/>
      <c r="D11" s="190"/>
      <c r="E11" s="115"/>
      <c r="F11" s="190"/>
      <c r="G11" s="190"/>
      <c r="H11" s="190"/>
      <c r="I11" s="199"/>
      <c r="K11" s="200"/>
      <c r="L11" s="200" t="s">
        <v>444</v>
      </c>
      <c r="O11" s="150">
        <f t="shared" si="0"/>
        <v>0</v>
      </c>
    </row>
    <row r="12" spans="1:15" ht="15.5" x14ac:dyDescent="0.3">
      <c r="A12" s="306" t="s">
        <v>290</v>
      </c>
      <c r="B12" s="190"/>
      <c r="C12" s="115"/>
      <c r="D12" s="190"/>
      <c r="E12" s="201"/>
      <c r="F12" s="202"/>
      <c r="G12" s="190"/>
      <c r="H12" s="190"/>
      <c r="I12" s="199"/>
      <c r="K12" s="200"/>
      <c r="L12" s="200">
        <v>0</v>
      </c>
      <c r="O12" s="150">
        <f t="shared" si="0"/>
        <v>0</v>
      </c>
    </row>
    <row r="13" spans="1:15" ht="53.15" customHeight="1" x14ac:dyDescent="0.3">
      <c r="A13" s="116" t="s">
        <v>445</v>
      </c>
      <c r="B13" s="190">
        <v>0</v>
      </c>
      <c r="C13" s="115">
        <v>0</v>
      </c>
      <c r="D13" s="190">
        <f>B13*C13</f>
        <v>0</v>
      </c>
      <c r="E13" s="201">
        <v>0</v>
      </c>
      <c r="F13" s="202">
        <f>D13*E13</f>
        <v>0</v>
      </c>
      <c r="G13" s="190">
        <f>F13*0.05</f>
        <v>0</v>
      </c>
      <c r="H13" s="190">
        <f>F13*0.1</f>
        <v>0</v>
      </c>
      <c r="I13" s="199">
        <f>F13*$L$8+G13*$L$7+H13*$L$9</f>
        <v>0</v>
      </c>
      <c r="K13" s="200" t="s">
        <v>136</v>
      </c>
      <c r="L13" s="200">
        <v>0</v>
      </c>
      <c r="M13" s="264" t="s">
        <v>446</v>
      </c>
      <c r="O13" s="150">
        <f t="shared" si="0"/>
        <v>0</v>
      </c>
    </row>
    <row r="14" spans="1:15" x14ac:dyDescent="0.3">
      <c r="A14" s="116" t="s">
        <v>293</v>
      </c>
      <c r="B14" s="190">
        <v>0</v>
      </c>
      <c r="C14" s="115">
        <v>0</v>
      </c>
      <c r="D14" s="190">
        <f t="shared" ref="D14" si="1">B14*C14</f>
        <v>0</v>
      </c>
      <c r="E14" s="201">
        <f>E13*0.05</f>
        <v>0</v>
      </c>
      <c r="F14" s="202">
        <f t="shared" ref="F14:F19" si="2">D14*E14</f>
        <v>0</v>
      </c>
      <c r="G14" s="190">
        <f t="shared" ref="G14:G19" si="3">F14*0.05</f>
        <v>0</v>
      </c>
      <c r="H14" s="190">
        <f t="shared" ref="H14:H19" si="4">F14*0.1</f>
        <v>0</v>
      </c>
      <c r="I14" s="199">
        <f t="shared" ref="I14:I19" si="5">F14*$L$8+G14*$L$7+H14*$L$9</f>
        <v>0</v>
      </c>
      <c r="J14" s="420"/>
      <c r="K14" s="200" t="s">
        <v>141</v>
      </c>
      <c r="L14" s="200">
        <f>'MWCI-Y1'!$L$15</f>
        <v>80</v>
      </c>
      <c r="M14" s="420" t="s">
        <v>447</v>
      </c>
      <c r="O14" s="150">
        <f t="shared" si="0"/>
        <v>0</v>
      </c>
    </row>
    <row r="15" spans="1:15" ht="58" customHeight="1" x14ac:dyDescent="0.3">
      <c r="A15" s="306" t="s">
        <v>297</v>
      </c>
      <c r="B15" s="190"/>
      <c r="C15" s="115"/>
      <c r="D15" s="190"/>
      <c r="E15" s="115"/>
      <c r="F15" s="202"/>
      <c r="G15" s="190"/>
      <c r="H15" s="190"/>
      <c r="I15" s="199"/>
      <c r="K15" s="420" t="s">
        <v>448</v>
      </c>
      <c r="L15" s="420">
        <v>74</v>
      </c>
      <c r="M15" s="420" t="s">
        <v>449</v>
      </c>
      <c r="O15" s="150">
        <f t="shared" si="0"/>
        <v>0</v>
      </c>
    </row>
    <row r="16" spans="1:15" ht="26" x14ac:dyDescent="0.3">
      <c r="A16" s="301" t="s">
        <v>445</v>
      </c>
      <c r="B16" s="190">
        <v>0</v>
      </c>
      <c r="C16" s="115">
        <v>0</v>
      </c>
      <c r="D16" s="190">
        <f>B16*C16</f>
        <v>0</v>
      </c>
      <c r="E16" s="201">
        <v>0</v>
      </c>
      <c r="F16" s="202">
        <f t="shared" si="2"/>
        <v>0</v>
      </c>
      <c r="G16" s="190">
        <f t="shared" si="3"/>
        <v>0</v>
      </c>
      <c r="H16" s="190">
        <f t="shared" si="4"/>
        <v>0</v>
      </c>
      <c r="I16" s="199">
        <f t="shared" si="5"/>
        <v>0</v>
      </c>
      <c r="J16" s="203"/>
      <c r="K16" s="420" t="s">
        <v>450</v>
      </c>
      <c r="L16" s="150">
        <v>6</v>
      </c>
      <c r="M16" s="420" t="s">
        <v>451</v>
      </c>
      <c r="N16" s="420"/>
      <c r="O16" s="150">
        <f t="shared" si="0"/>
        <v>0</v>
      </c>
    </row>
    <row r="17" spans="1:15" x14ac:dyDescent="0.3">
      <c r="A17" s="301" t="s">
        <v>300</v>
      </c>
      <c r="B17" s="190">
        <v>0</v>
      </c>
      <c r="C17" s="115">
        <v>0</v>
      </c>
      <c r="D17" s="190">
        <f t="shared" ref="D17" si="6">B17*C17</f>
        <v>0</v>
      </c>
      <c r="E17" s="201">
        <f>E16*0.05</f>
        <v>0</v>
      </c>
      <c r="F17" s="202">
        <f t="shared" si="2"/>
        <v>0</v>
      </c>
      <c r="G17" s="190">
        <f t="shared" si="3"/>
        <v>0</v>
      </c>
      <c r="H17" s="190">
        <f t="shared" si="4"/>
        <v>0</v>
      </c>
      <c r="I17" s="199">
        <f t="shared" si="5"/>
        <v>0</v>
      </c>
      <c r="J17" s="203"/>
      <c r="O17" s="150">
        <f t="shared" si="0"/>
        <v>0</v>
      </c>
    </row>
    <row r="18" spans="1:15" ht="28.5" x14ac:dyDescent="0.3">
      <c r="A18" s="306" t="s">
        <v>151</v>
      </c>
      <c r="B18" s="204"/>
      <c r="C18" s="205"/>
      <c r="D18" s="204"/>
      <c r="E18" s="206"/>
      <c r="F18" s="202"/>
      <c r="G18" s="190"/>
      <c r="H18" s="190"/>
      <c r="I18" s="199"/>
      <c r="O18" s="150">
        <f t="shared" si="0"/>
        <v>0</v>
      </c>
    </row>
    <row r="19" spans="1:15" ht="29" x14ac:dyDescent="0.3">
      <c r="A19" s="301" t="s">
        <v>452</v>
      </c>
      <c r="B19" s="190">
        <v>0</v>
      </c>
      <c r="C19" s="115">
        <v>0</v>
      </c>
      <c r="D19" s="190">
        <f>B19*C19</f>
        <v>0</v>
      </c>
      <c r="E19" s="201">
        <v>0</v>
      </c>
      <c r="F19" s="202">
        <f t="shared" si="2"/>
        <v>0</v>
      </c>
      <c r="G19" s="190">
        <f t="shared" si="3"/>
        <v>0</v>
      </c>
      <c r="H19" s="190">
        <f t="shared" si="4"/>
        <v>0</v>
      </c>
      <c r="I19" s="199">
        <f t="shared" si="5"/>
        <v>0</v>
      </c>
      <c r="N19" s="203"/>
      <c r="O19" s="150">
        <f t="shared" si="0"/>
        <v>0</v>
      </c>
    </row>
    <row r="20" spans="1:15" ht="26" x14ac:dyDescent="0.3">
      <c r="A20" s="301" t="s">
        <v>155</v>
      </c>
      <c r="B20" s="190"/>
      <c r="C20" s="192"/>
      <c r="D20" s="193"/>
      <c r="E20" s="207"/>
      <c r="F20" s="193"/>
      <c r="G20" s="193"/>
      <c r="H20" s="193"/>
      <c r="I20" s="193"/>
      <c r="N20" s="203"/>
      <c r="O20" s="150">
        <f t="shared" si="0"/>
        <v>0</v>
      </c>
    </row>
    <row r="21" spans="1:15" ht="26" x14ac:dyDescent="0.3">
      <c r="A21" s="301" t="s">
        <v>156</v>
      </c>
      <c r="B21" s="190"/>
      <c r="C21" s="192"/>
      <c r="D21" s="193"/>
      <c r="E21" s="207"/>
      <c r="F21" s="193"/>
      <c r="G21" s="193"/>
      <c r="H21" s="193"/>
      <c r="I21" s="193"/>
      <c r="N21" s="203"/>
      <c r="O21" s="150">
        <f t="shared" si="0"/>
        <v>0</v>
      </c>
    </row>
    <row r="22" spans="1:15" x14ac:dyDescent="0.3">
      <c r="A22" s="301" t="s">
        <v>157</v>
      </c>
      <c r="B22" s="193"/>
      <c r="C22" s="192"/>
      <c r="D22" s="193"/>
      <c r="E22" s="207"/>
      <c r="F22" s="193"/>
      <c r="G22" s="193"/>
      <c r="H22" s="193"/>
      <c r="I22" s="193"/>
      <c r="O22" s="150">
        <f t="shared" si="0"/>
        <v>0</v>
      </c>
    </row>
    <row r="23" spans="1:15" x14ac:dyDescent="0.3">
      <c r="A23" s="307" t="s">
        <v>158</v>
      </c>
      <c r="B23" s="190"/>
      <c r="C23" s="115"/>
      <c r="D23" s="190"/>
      <c r="E23" s="201"/>
      <c r="F23" s="190"/>
      <c r="G23" s="190"/>
      <c r="H23" s="190"/>
      <c r="I23" s="199"/>
      <c r="O23" s="150">
        <f t="shared" si="0"/>
        <v>0</v>
      </c>
    </row>
    <row r="24" spans="1:15" ht="26" x14ac:dyDescent="0.3">
      <c r="A24" s="301" t="s">
        <v>159</v>
      </c>
      <c r="B24" s="190">
        <v>0</v>
      </c>
      <c r="C24" s="115">
        <v>0</v>
      </c>
      <c r="D24" s="190">
        <f t="shared" ref="D24:D26" si="7">B24*C24</f>
        <v>0</v>
      </c>
      <c r="E24" s="201">
        <v>0</v>
      </c>
      <c r="F24" s="190">
        <f t="shared" ref="F24:F27" si="8">D24*E24</f>
        <v>0</v>
      </c>
      <c r="G24" s="190">
        <f t="shared" ref="G24:G27" si="9">F24*0.05</f>
        <v>0</v>
      </c>
      <c r="H24" s="190">
        <f t="shared" ref="H24:H27" si="10">F24*0.1</f>
        <v>0</v>
      </c>
      <c r="I24" s="199">
        <f>F24*$L$8+G24*$L$7+H24*$L$9</f>
        <v>0</v>
      </c>
      <c r="O24" s="150">
        <f t="shared" si="0"/>
        <v>0</v>
      </c>
    </row>
    <row r="25" spans="1:15" ht="27.65" customHeight="1" x14ac:dyDescent="0.3">
      <c r="A25" s="301" t="s">
        <v>160</v>
      </c>
      <c r="B25" s="190">
        <v>0</v>
      </c>
      <c r="C25" s="115">
        <v>0</v>
      </c>
      <c r="D25" s="190">
        <f t="shared" si="7"/>
        <v>0</v>
      </c>
      <c r="E25" s="201">
        <v>0</v>
      </c>
      <c r="F25" s="190">
        <f t="shared" si="8"/>
        <v>0</v>
      </c>
      <c r="G25" s="190">
        <f t="shared" si="9"/>
        <v>0</v>
      </c>
      <c r="H25" s="190">
        <f t="shared" si="10"/>
        <v>0</v>
      </c>
      <c r="I25" s="199">
        <f>F25*$L$8+G25*$L$7+H25*$L$9</f>
        <v>0</v>
      </c>
      <c r="O25" s="150">
        <f t="shared" si="0"/>
        <v>0</v>
      </c>
    </row>
    <row r="26" spans="1:15" x14ac:dyDescent="0.3">
      <c r="A26" s="301" t="s">
        <v>453</v>
      </c>
      <c r="B26" s="190">
        <v>0</v>
      </c>
      <c r="C26" s="115">
        <v>0</v>
      </c>
      <c r="D26" s="190">
        <f t="shared" si="7"/>
        <v>0</v>
      </c>
      <c r="E26" s="201">
        <v>0</v>
      </c>
      <c r="F26" s="190">
        <f t="shared" si="8"/>
        <v>0</v>
      </c>
      <c r="G26" s="190">
        <f t="shared" si="9"/>
        <v>0</v>
      </c>
      <c r="H26" s="190">
        <f t="shared" si="10"/>
        <v>0</v>
      </c>
      <c r="I26" s="199">
        <f>F26*$L$8+G26*$L$7+H26*$L$9</f>
        <v>0</v>
      </c>
      <c r="O26" s="150">
        <f t="shared" si="0"/>
        <v>0</v>
      </c>
    </row>
    <row r="27" spans="1:15" ht="84.65" customHeight="1" x14ac:dyDescent="0.3">
      <c r="A27" s="301" t="s">
        <v>454</v>
      </c>
      <c r="B27" s="190">
        <v>0</v>
      </c>
      <c r="C27" s="115">
        <v>0</v>
      </c>
      <c r="D27" s="190">
        <v>48</v>
      </c>
      <c r="E27" s="201">
        <v>0</v>
      </c>
      <c r="F27" s="190">
        <f t="shared" si="8"/>
        <v>0</v>
      </c>
      <c r="G27" s="190">
        <f t="shared" si="9"/>
        <v>0</v>
      </c>
      <c r="H27" s="190">
        <f t="shared" si="10"/>
        <v>0</v>
      </c>
      <c r="I27" s="197">
        <f>F27*$L$8+G27*$L$7+H27*$L$9</f>
        <v>0</v>
      </c>
      <c r="O27" s="150">
        <f t="shared" si="0"/>
        <v>0</v>
      </c>
    </row>
    <row r="28" spans="1:15" x14ac:dyDescent="0.3">
      <c r="A28" s="307" t="s">
        <v>163</v>
      </c>
      <c r="B28" s="193"/>
      <c r="C28" s="192"/>
      <c r="D28" s="193"/>
      <c r="E28" s="207"/>
      <c r="F28" s="193"/>
      <c r="G28" s="193"/>
      <c r="H28" s="193"/>
      <c r="I28" s="193"/>
      <c r="O28" s="150">
        <f t="shared" si="0"/>
        <v>0</v>
      </c>
    </row>
    <row r="29" spans="1:15" ht="26" x14ac:dyDescent="0.3">
      <c r="A29" s="301" t="s">
        <v>159</v>
      </c>
      <c r="B29" s="190">
        <v>0</v>
      </c>
      <c r="C29" s="115">
        <v>0</v>
      </c>
      <c r="D29" s="190">
        <f t="shared" ref="D29:D31" si="11">B29*C29</f>
        <v>0</v>
      </c>
      <c r="E29" s="201">
        <v>0</v>
      </c>
      <c r="F29" s="190">
        <f>D29*E29</f>
        <v>0</v>
      </c>
      <c r="G29" s="190">
        <f>F29*0.05</f>
        <v>0</v>
      </c>
      <c r="H29" s="190">
        <f>F29*0.1</f>
        <v>0</v>
      </c>
      <c r="I29" s="199">
        <f>F29*$L$8+G29*$L$7+H29*$L$9</f>
        <v>0</v>
      </c>
      <c r="O29" s="150">
        <f t="shared" si="0"/>
        <v>0</v>
      </c>
    </row>
    <row r="30" spans="1:15" ht="26" x14ac:dyDescent="0.3">
      <c r="A30" s="301" t="s">
        <v>160</v>
      </c>
      <c r="B30" s="190">
        <v>0</v>
      </c>
      <c r="C30" s="115">
        <v>0</v>
      </c>
      <c r="D30" s="190">
        <f t="shared" si="11"/>
        <v>0</v>
      </c>
      <c r="E30" s="201">
        <v>0</v>
      </c>
      <c r="F30" s="190">
        <f>D30*E30</f>
        <v>0</v>
      </c>
      <c r="G30" s="190">
        <f>F30*0.05</f>
        <v>0</v>
      </c>
      <c r="H30" s="190">
        <f>F30*0.1</f>
        <v>0</v>
      </c>
      <c r="I30" s="199">
        <f>F30*$L$8+G30*$L$7+H30*$L$9</f>
        <v>0</v>
      </c>
      <c r="O30" s="150">
        <f t="shared" si="0"/>
        <v>0</v>
      </c>
    </row>
    <row r="31" spans="1:15" ht="26" x14ac:dyDescent="0.3">
      <c r="A31" s="301" t="s">
        <v>455</v>
      </c>
      <c r="B31" s="190">
        <v>0</v>
      </c>
      <c r="C31" s="115">
        <v>0</v>
      </c>
      <c r="D31" s="190">
        <f t="shared" si="11"/>
        <v>0</v>
      </c>
      <c r="E31" s="201">
        <v>0</v>
      </c>
      <c r="F31" s="190">
        <f>D31*E31</f>
        <v>0</v>
      </c>
      <c r="G31" s="190">
        <f>F31*0.05</f>
        <v>0</v>
      </c>
      <c r="H31" s="190">
        <f>F31*0.1</f>
        <v>0</v>
      </c>
      <c r="I31" s="199">
        <f>F31*$L$8+G31*$L$7+H31*$L$9</f>
        <v>0</v>
      </c>
      <c r="O31" s="150">
        <f t="shared" si="0"/>
        <v>0</v>
      </c>
    </row>
    <row r="32" spans="1:15" ht="83.15" customHeight="1" x14ac:dyDescent="0.3">
      <c r="A32" s="301" t="s">
        <v>454</v>
      </c>
      <c r="B32" s="190">
        <v>0</v>
      </c>
      <c r="C32" s="115">
        <v>0</v>
      </c>
      <c r="D32" s="190">
        <f t="shared" ref="D32" si="12">B32*C32</f>
        <v>0</v>
      </c>
      <c r="E32" s="201">
        <v>0</v>
      </c>
      <c r="F32" s="190">
        <f t="shared" ref="F32" si="13">D32*E32</f>
        <v>0</v>
      </c>
      <c r="G32" s="190">
        <f t="shared" ref="G32" si="14">F32*0.05</f>
        <v>0</v>
      </c>
      <c r="H32" s="190">
        <f t="shared" ref="H32" si="15">F32*0.1</f>
        <v>0</v>
      </c>
      <c r="I32" s="199">
        <f>F32*$L$8+G32*$L$7+H32*$L$9</f>
        <v>0</v>
      </c>
      <c r="O32" s="150">
        <f t="shared" si="0"/>
        <v>0</v>
      </c>
    </row>
    <row r="33" spans="1:16" ht="30" customHeight="1" x14ac:dyDescent="0.3">
      <c r="A33" s="208" t="s">
        <v>167</v>
      </c>
      <c r="B33" s="209"/>
      <c r="C33" s="210"/>
      <c r="D33" s="209"/>
      <c r="E33" s="211"/>
      <c r="F33" s="212">
        <f>SUM(F8:H32)</f>
        <v>0</v>
      </c>
      <c r="G33" s="212"/>
      <c r="H33" s="212"/>
      <c r="I33" s="213">
        <f>SUM(I8:I32)</f>
        <v>0</v>
      </c>
      <c r="O33" s="150">
        <f t="shared" si="0"/>
        <v>0</v>
      </c>
    </row>
    <row r="34" spans="1:16" ht="26" x14ac:dyDescent="0.3">
      <c r="A34" s="182" t="s">
        <v>168</v>
      </c>
      <c r="B34" s="193"/>
      <c r="C34" s="192"/>
      <c r="D34" s="193"/>
      <c r="E34" s="207"/>
      <c r="F34" s="193"/>
      <c r="G34" s="193"/>
      <c r="H34" s="193"/>
      <c r="I34" s="193"/>
      <c r="O34" s="150">
        <f t="shared" si="0"/>
        <v>0</v>
      </c>
    </row>
    <row r="35" spans="1:16" ht="26" x14ac:dyDescent="0.3">
      <c r="A35" s="301" t="s">
        <v>132</v>
      </c>
      <c r="B35" s="190"/>
      <c r="C35" s="192"/>
      <c r="D35" s="193"/>
      <c r="E35" s="192"/>
      <c r="F35" s="193"/>
      <c r="G35" s="193"/>
      <c r="H35" s="193"/>
      <c r="I35" s="193"/>
      <c r="O35" s="150">
        <f t="shared" si="0"/>
        <v>0</v>
      </c>
    </row>
    <row r="36" spans="1:16" x14ac:dyDescent="0.3">
      <c r="A36" s="301" t="s">
        <v>169</v>
      </c>
      <c r="B36" s="190"/>
      <c r="C36" s="192"/>
      <c r="D36" s="193"/>
      <c r="E36" s="192"/>
      <c r="F36" s="193"/>
      <c r="G36" s="193"/>
      <c r="H36" s="193"/>
      <c r="I36" s="193"/>
      <c r="O36" s="150">
        <f t="shared" si="0"/>
        <v>0</v>
      </c>
    </row>
    <row r="37" spans="1:16" x14ac:dyDescent="0.3">
      <c r="A37" s="301" t="s">
        <v>170</v>
      </c>
      <c r="B37" s="190"/>
      <c r="C37" s="192"/>
      <c r="D37" s="193"/>
      <c r="E37" s="192"/>
      <c r="F37" s="193"/>
      <c r="G37" s="193"/>
      <c r="H37" s="193"/>
      <c r="I37" s="193"/>
      <c r="O37" s="150">
        <f t="shared" si="0"/>
        <v>0</v>
      </c>
    </row>
    <row r="38" spans="1:16" x14ac:dyDescent="0.3">
      <c r="A38" s="301" t="s">
        <v>171</v>
      </c>
      <c r="B38" s="190" t="s">
        <v>122</v>
      </c>
      <c r="C38" s="192"/>
      <c r="D38" s="193"/>
      <c r="E38" s="192"/>
      <c r="F38" s="193"/>
      <c r="G38" s="193"/>
      <c r="H38" s="193"/>
      <c r="I38" s="193"/>
      <c r="O38" s="150">
        <f t="shared" si="0"/>
        <v>0</v>
      </c>
    </row>
    <row r="39" spans="1:16" ht="26" x14ac:dyDescent="0.3">
      <c r="A39" s="301" t="s">
        <v>172</v>
      </c>
      <c r="B39" s="193"/>
      <c r="C39" s="192"/>
      <c r="D39" s="193"/>
      <c r="E39" s="192"/>
      <c r="F39" s="193"/>
      <c r="G39" s="193"/>
      <c r="H39" s="193"/>
      <c r="I39" s="193"/>
      <c r="O39" s="150">
        <f t="shared" si="0"/>
        <v>0</v>
      </c>
    </row>
    <row r="40" spans="1:16" x14ac:dyDescent="0.3">
      <c r="A40" s="307" t="s">
        <v>163</v>
      </c>
      <c r="B40" s="193"/>
      <c r="C40" s="192"/>
      <c r="D40" s="193"/>
      <c r="E40" s="192"/>
      <c r="F40" s="193"/>
      <c r="G40" s="193"/>
      <c r="H40" s="193"/>
      <c r="I40" s="193"/>
      <c r="O40" s="150">
        <f t="shared" si="0"/>
        <v>0</v>
      </c>
    </row>
    <row r="41" spans="1:16" x14ac:dyDescent="0.3">
      <c r="A41" s="301" t="s">
        <v>173</v>
      </c>
      <c r="B41" s="190">
        <v>0.4</v>
      </c>
      <c r="C41" s="115">
        <v>12</v>
      </c>
      <c r="D41" s="190">
        <f t="shared" ref="D41:D46" si="16">B41*C41</f>
        <v>4.8000000000000007</v>
      </c>
      <c r="E41" s="201">
        <f>$L$14</f>
        <v>80</v>
      </c>
      <c r="F41" s="202">
        <f t="shared" ref="F41:F46" si="17">D41*E41</f>
        <v>384.00000000000006</v>
      </c>
      <c r="G41" s="190">
        <f t="shared" ref="G41:G46" si="18">F41*0.05</f>
        <v>19.200000000000003</v>
      </c>
      <c r="H41" s="190">
        <f t="shared" ref="H41:H46" si="19">F41*0.1</f>
        <v>38.400000000000006</v>
      </c>
      <c r="I41" s="262">
        <f>F41*$L$8+G41*$L$7+H41*$L$9</f>
        <v>54598.118399999999</v>
      </c>
      <c r="O41" s="150">
        <f t="shared" si="0"/>
        <v>960</v>
      </c>
    </row>
    <row r="42" spans="1:16" ht="60" customHeight="1" x14ac:dyDescent="0.3">
      <c r="A42" s="301" t="s">
        <v>456</v>
      </c>
      <c r="B42" s="190">
        <v>0</v>
      </c>
      <c r="C42" s="115">
        <v>0</v>
      </c>
      <c r="D42" s="190">
        <f t="shared" si="16"/>
        <v>0</v>
      </c>
      <c r="E42" s="201">
        <v>0</v>
      </c>
      <c r="F42" s="202">
        <f t="shared" si="17"/>
        <v>0</v>
      </c>
      <c r="G42" s="190">
        <f t="shared" si="18"/>
        <v>0</v>
      </c>
      <c r="H42" s="190">
        <f t="shared" si="19"/>
        <v>0</v>
      </c>
      <c r="I42" s="199">
        <f>F42*$L$8+G42*$L$7+H42*$L$9</f>
        <v>0</v>
      </c>
      <c r="O42" s="150">
        <f t="shared" si="0"/>
        <v>0</v>
      </c>
    </row>
    <row r="43" spans="1:16" x14ac:dyDescent="0.3">
      <c r="A43" s="307" t="s">
        <v>158</v>
      </c>
      <c r="B43" s="190"/>
      <c r="C43" s="115"/>
      <c r="D43" s="190"/>
      <c r="E43" s="201"/>
      <c r="F43" s="202"/>
      <c r="G43" s="190"/>
      <c r="H43" s="190"/>
      <c r="I43" s="199"/>
      <c r="O43" s="150">
        <f t="shared" si="0"/>
        <v>0</v>
      </c>
    </row>
    <row r="44" spans="1:16" x14ac:dyDescent="0.3">
      <c r="A44" s="301" t="s">
        <v>173</v>
      </c>
      <c r="B44" s="190">
        <v>0</v>
      </c>
      <c r="C44" s="115">
        <v>0</v>
      </c>
      <c r="D44" s="190">
        <f>B44*C44</f>
        <v>0</v>
      </c>
      <c r="E44" s="201">
        <f>$L$12</f>
        <v>0</v>
      </c>
      <c r="F44" s="202">
        <f t="shared" ref="F44:F45" si="20">D44*E44</f>
        <v>0</v>
      </c>
      <c r="G44" s="190">
        <f t="shared" ref="G44:G45" si="21">F44*0.05</f>
        <v>0</v>
      </c>
      <c r="H44" s="190">
        <f t="shared" ref="H44:H45" si="22">F44*0.1</f>
        <v>0</v>
      </c>
      <c r="I44" s="197">
        <f>F44*$L$8+G44*$L$7+H44*$L$9</f>
        <v>0</v>
      </c>
      <c r="O44" s="150">
        <f t="shared" si="0"/>
        <v>0</v>
      </c>
    </row>
    <row r="45" spans="1:16" ht="104" x14ac:dyDescent="0.3">
      <c r="A45" s="301" t="s">
        <v>456</v>
      </c>
      <c r="B45" s="190">
        <v>0</v>
      </c>
      <c r="C45" s="115">
        <v>0</v>
      </c>
      <c r="D45" s="190">
        <f t="shared" ref="D45" si="23">B45*C45</f>
        <v>0</v>
      </c>
      <c r="E45" s="201">
        <f>$L$12</f>
        <v>0</v>
      </c>
      <c r="F45" s="202">
        <f t="shared" si="20"/>
        <v>0</v>
      </c>
      <c r="G45" s="190">
        <f t="shared" si="21"/>
        <v>0</v>
      </c>
      <c r="H45" s="190">
        <f t="shared" si="22"/>
        <v>0</v>
      </c>
      <c r="I45" s="197">
        <f>F45*$L$8+G45*$L$7+H45*$L$9</f>
        <v>0</v>
      </c>
      <c r="O45" s="150">
        <f t="shared" si="0"/>
        <v>0</v>
      </c>
    </row>
    <row r="46" spans="1:16" x14ac:dyDescent="0.3">
      <c r="A46" s="301" t="s">
        <v>313</v>
      </c>
      <c r="B46" s="190">
        <v>0</v>
      </c>
      <c r="C46" s="115">
        <v>0</v>
      </c>
      <c r="D46" s="190">
        <f t="shared" si="16"/>
        <v>0</v>
      </c>
      <c r="E46" s="201">
        <f>$L$12</f>
        <v>0</v>
      </c>
      <c r="F46" s="202">
        <f t="shared" si="17"/>
        <v>0</v>
      </c>
      <c r="G46" s="190">
        <f t="shared" si="18"/>
        <v>0</v>
      </c>
      <c r="H46" s="190">
        <f t="shared" si="19"/>
        <v>0</v>
      </c>
      <c r="I46" s="197">
        <f>F46*$L$8+G46*$L$7+H46*$L$9</f>
        <v>0</v>
      </c>
      <c r="O46" s="150">
        <f t="shared" si="0"/>
        <v>0</v>
      </c>
    </row>
    <row r="47" spans="1:16" x14ac:dyDescent="0.3">
      <c r="A47" s="301" t="s">
        <v>186</v>
      </c>
      <c r="B47" s="190" t="s">
        <v>122</v>
      </c>
      <c r="C47" s="192"/>
      <c r="D47" s="193"/>
      <c r="E47" s="192"/>
      <c r="F47" s="193"/>
      <c r="G47" s="193"/>
      <c r="H47" s="193"/>
      <c r="I47" s="193"/>
      <c r="O47" s="150">
        <f t="shared" si="0"/>
        <v>0</v>
      </c>
    </row>
    <row r="48" spans="1:16" ht="27" customHeight="1" x14ac:dyDescent="0.3">
      <c r="A48" s="208" t="s">
        <v>188</v>
      </c>
      <c r="B48" s="214"/>
      <c r="C48" s="215"/>
      <c r="D48" s="214"/>
      <c r="E48" s="216"/>
      <c r="F48" s="212">
        <f>SUM(F41:H46)</f>
        <v>441.6</v>
      </c>
      <c r="G48" s="212"/>
      <c r="H48" s="212"/>
      <c r="I48" s="213">
        <f>SUM(I41:I47)</f>
        <v>54598.118399999999</v>
      </c>
      <c r="O48" s="150">
        <f>SUM(O6:O47)</f>
        <v>960</v>
      </c>
      <c r="P48" s="150" t="s">
        <v>248</v>
      </c>
    </row>
    <row r="49" spans="1:12" ht="28" x14ac:dyDescent="0.3">
      <c r="A49" s="184" t="s">
        <v>189</v>
      </c>
      <c r="B49" s="217"/>
      <c r="C49" s="218"/>
      <c r="D49" s="217"/>
      <c r="E49" s="219"/>
      <c r="F49" s="481">
        <f>ROUND(F48+F33, -2)</f>
        <v>400</v>
      </c>
      <c r="G49" s="481"/>
      <c r="H49" s="481"/>
      <c r="I49" s="220">
        <f>ROUND(I48+I33, -4)</f>
        <v>50000</v>
      </c>
      <c r="K49" s="221">
        <f>F49/212</f>
        <v>1.8867924528301887</v>
      </c>
      <c r="L49" s="150" t="s">
        <v>190</v>
      </c>
    </row>
    <row r="50" spans="1:12" ht="28" x14ac:dyDescent="0.3">
      <c r="A50" s="222" t="s">
        <v>191</v>
      </c>
      <c r="B50" s="193"/>
      <c r="C50" s="192"/>
      <c r="D50" s="193"/>
      <c r="E50" s="192"/>
      <c r="F50" s="193"/>
      <c r="G50" s="193"/>
      <c r="H50" s="193"/>
      <c r="I50" s="220">
        <v>0</v>
      </c>
    </row>
    <row r="51" spans="1:12" ht="15" x14ac:dyDescent="0.3">
      <c r="A51" s="222" t="s">
        <v>192</v>
      </c>
      <c r="B51" s="193"/>
      <c r="C51" s="192"/>
      <c r="D51" s="193"/>
      <c r="E51" s="192"/>
      <c r="F51" s="193"/>
      <c r="G51" s="193"/>
      <c r="H51" s="193"/>
      <c r="I51" s="220">
        <f>ROUND(I49+I50, -5)</f>
        <v>100000</v>
      </c>
    </row>
    <row r="52" spans="1:12" ht="7.5" customHeight="1" x14ac:dyDescent="0.3"/>
    <row r="53" spans="1:12" ht="13" customHeight="1" x14ac:dyDescent="0.3">
      <c r="A53" s="482" t="s">
        <v>457</v>
      </c>
      <c r="B53" s="482"/>
      <c r="C53" s="482"/>
      <c r="D53" s="482"/>
      <c r="E53" s="482"/>
      <c r="F53" s="482"/>
      <c r="G53" s="482"/>
      <c r="H53" s="482"/>
      <c r="I53" s="482"/>
    </row>
    <row r="54" spans="1:12" ht="72.650000000000006" customHeight="1" x14ac:dyDescent="0.3">
      <c r="A54" s="503" t="s">
        <v>194</v>
      </c>
      <c r="B54" s="503"/>
      <c r="C54" s="503"/>
      <c r="D54" s="503"/>
      <c r="E54" s="503"/>
      <c r="F54" s="503"/>
      <c r="G54" s="503"/>
      <c r="H54" s="503"/>
      <c r="I54" s="503"/>
    </row>
    <row r="55" spans="1:12" ht="16.5" customHeight="1" x14ac:dyDescent="0.3">
      <c r="A55" s="482" t="s">
        <v>458</v>
      </c>
      <c r="B55" s="482"/>
      <c r="C55" s="482"/>
      <c r="D55" s="482"/>
      <c r="E55" s="482"/>
      <c r="F55" s="482"/>
      <c r="G55" s="482"/>
      <c r="H55" s="482"/>
      <c r="I55" s="482"/>
    </row>
    <row r="56" spans="1:12" ht="24.65" customHeight="1" x14ac:dyDescent="0.3">
      <c r="A56" s="483" t="s">
        <v>459</v>
      </c>
      <c r="B56" s="483"/>
      <c r="C56" s="483"/>
      <c r="D56" s="483"/>
      <c r="E56" s="483"/>
      <c r="F56" s="483"/>
      <c r="G56" s="483"/>
      <c r="H56" s="483"/>
      <c r="I56" s="483"/>
    </row>
    <row r="57" spans="1:12" ht="15.5" x14ac:dyDescent="0.3">
      <c r="A57" s="500" t="s">
        <v>462</v>
      </c>
      <c r="B57" s="500"/>
      <c r="C57" s="500"/>
      <c r="D57" s="500"/>
      <c r="E57" s="500"/>
      <c r="F57" s="500"/>
      <c r="G57" s="500"/>
      <c r="H57" s="500"/>
      <c r="I57" s="500"/>
    </row>
    <row r="58" spans="1:12" ht="16" customHeight="1" x14ac:dyDescent="0.3">
      <c r="A58" s="479" t="s">
        <v>198</v>
      </c>
      <c r="B58" s="479"/>
      <c r="C58" s="479"/>
      <c r="D58" s="479"/>
      <c r="E58" s="479"/>
      <c r="F58" s="479"/>
      <c r="G58" s="479"/>
      <c r="H58" s="479"/>
      <c r="I58" s="479"/>
    </row>
    <row r="59" spans="1:12" ht="38.5" customHeight="1" x14ac:dyDescent="0.3">
      <c r="A59" s="479" t="s">
        <v>516</v>
      </c>
      <c r="B59" s="479"/>
      <c r="C59" s="479"/>
      <c r="D59" s="479"/>
      <c r="E59" s="479"/>
      <c r="F59" s="479"/>
      <c r="G59" s="479"/>
      <c r="H59" s="479"/>
      <c r="I59" s="479"/>
    </row>
  </sheetData>
  <mergeCells count="11">
    <mergeCell ref="A59:I59"/>
    <mergeCell ref="A56:I56"/>
    <mergeCell ref="A57:I57"/>
    <mergeCell ref="A58:I58"/>
    <mergeCell ref="A1:I1"/>
    <mergeCell ref="A3:I3"/>
    <mergeCell ref="K6:L6"/>
    <mergeCell ref="F49:H49"/>
    <mergeCell ref="A53:I53"/>
    <mergeCell ref="A54:I54"/>
    <mergeCell ref="A55:I55"/>
  </mergeCells>
  <pageMargins left="0.7" right="0.7" top="0.75" bottom="0.75" header="0.3" footer="0.3"/>
  <pageSetup scale="4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1CFB-A207-4925-A4A6-70D0F6FB69F8}">
  <sheetPr>
    <pageSetUpPr fitToPage="1"/>
  </sheetPr>
  <dimension ref="A1:P61"/>
  <sheetViews>
    <sheetView zoomScale="80" zoomScaleNormal="80" workbookViewId="0">
      <pane xSplit="13" ySplit="5" topLeftCell="N9" activePane="bottomRight" state="frozen"/>
      <selection activeCell="A60" sqref="A5:I60"/>
      <selection pane="topRight" activeCell="A60" sqref="A5:I60"/>
      <selection pane="bottomLeft" activeCell="A60" sqref="A5:I60"/>
      <selection pane="bottomRight" activeCell="I42" sqref="I42"/>
    </sheetView>
  </sheetViews>
  <sheetFormatPr defaultColWidth="9.1796875" defaultRowHeight="13" x14ac:dyDescent="0.3"/>
  <cols>
    <col min="1" max="1" width="23.7265625" style="150" customWidth="1"/>
    <col min="2" max="2" width="10.1796875" style="150" customWidth="1"/>
    <col min="3" max="3" width="12" style="223" customWidth="1"/>
    <col min="4" max="4" width="10.453125" style="150" customWidth="1"/>
    <col min="5" max="5" width="11.54296875" style="223" customWidth="1"/>
    <col min="6" max="6" width="10.453125" style="150" customWidth="1"/>
    <col min="7" max="7" width="11.54296875" style="150" customWidth="1"/>
    <col min="8" max="8" width="11.453125" style="150" customWidth="1"/>
    <col min="9" max="9" width="13.26953125" style="150" customWidth="1"/>
    <col min="10" max="10" width="7.1796875" style="150" customWidth="1"/>
    <col min="11" max="11" width="19.453125" style="150" customWidth="1"/>
    <col min="12" max="12" width="14.453125" style="150" customWidth="1"/>
    <col min="13" max="13" width="45.54296875" style="150" customWidth="1"/>
    <col min="14" max="14" width="14" style="150" customWidth="1"/>
    <col min="15" max="15" width="20.453125" style="150" customWidth="1"/>
    <col min="16" max="16" width="14.1796875" style="150" customWidth="1"/>
    <col min="17" max="16384" width="9.1796875" style="150"/>
  </cols>
  <sheetData>
    <row r="1" spans="1:15" s="188" customFormat="1" ht="22.5" customHeight="1" x14ac:dyDescent="0.3">
      <c r="A1" s="462" t="s">
        <v>442</v>
      </c>
      <c r="B1" s="462"/>
      <c r="C1" s="462"/>
      <c r="D1" s="462"/>
      <c r="E1" s="462"/>
      <c r="F1" s="462"/>
      <c r="G1" s="462"/>
      <c r="H1" s="462"/>
      <c r="I1" s="462"/>
    </row>
    <row r="2" spans="1:15" s="188" customFormat="1" ht="15" x14ac:dyDescent="0.3">
      <c r="A2" s="423" t="s">
        <v>88</v>
      </c>
      <c r="B2" s="423"/>
      <c r="C2" s="423"/>
      <c r="D2" s="423"/>
      <c r="E2" s="423"/>
      <c r="F2" s="423"/>
      <c r="G2" s="423"/>
      <c r="H2" s="423"/>
      <c r="I2" s="423"/>
    </row>
    <row r="3" spans="1:15" s="188" customFormat="1" ht="33" customHeight="1" x14ac:dyDescent="0.3">
      <c r="A3" s="462" t="s">
        <v>463</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41.5" customHeight="1" x14ac:dyDescent="0.3">
      <c r="A7" s="182" t="s">
        <v>124</v>
      </c>
      <c r="B7" s="190" t="s">
        <v>122</v>
      </c>
      <c r="C7" s="192"/>
      <c r="D7" s="193"/>
      <c r="E7" s="192"/>
      <c r="F7" s="193"/>
      <c r="G7" s="193"/>
      <c r="H7" s="193"/>
      <c r="I7" s="193"/>
      <c r="K7" s="194" t="s">
        <v>125</v>
      </c>
      <c r="L7" s="195">
        <f>76.96*2.1</f>
        <v>161.61599999999999</v>
      </c>
      <c r="M7" s="196" t="s">
        <v>126</v>
      </c>
      <c r="N7" s="196"/>
      <c r="O7" s="150">
        <f t="shared" ref="O7:O48" si="0">C7*E7</f>
        <v>0</v>
      </c>
    </row>
    <row r="8" spans="1:15" ht="55" customHeight="1" x14ac:dyDescent="0.3">
      <c r="A8" s="182" t="s">
        <v>127</v>
      </c>
      <c r="B8" s="190">
        <v>0</v>
      </c>
      <c r="C8" s="115">
        <v>0</v>
      </c>
      <c r="D8" s="190">
        <f>B8*C8</f>
        <v>0</v>
      </c>
      <c r="E8" s="115">
        <f>L13</f>
        <v>0</v>
      </c>
      <c r="F8" s="190">
        <f>D8*E8</f>
        <v>0</v>
      </c>
      <c r="G8" s="190">
        <f>F8*0.05</f>
        <v>0</v>
      </c>
      <c r="H8" s="190">
        <f>F8*0.1</f>
        <v>0</v>
      </c>
      <c r="I8" s="197">
        <f>F8*$L$8+G8*$L$7+H8*$L$9</f>
        <v>0</v>
      </c>
      <c r="K8" s="194" t="s">
        <v>128</v>
      </c>
      <c r="L8" s="195">
        <f>60.8*2.1</f>
        <v>127.67999999999999</v>
      </c>
      <c r="M8" s="198"/>
      <c r="N8" s="198"/>
      <c r="O8" s="150">
        <f t="shared" si="0"/>
        <v>0</v>
      </c>
    </row>
    <row r="9" spans="1:15" ht="26" x14ac:dyDescent="0.3">
      <c r="A9" s="182" t="s">
        <v>129</v>
      </c>
      <c r="B9" s="190"/>
      <c r="C9" s="115"/>
      <c r="D9" s="190"/>
      <c r="E9" s="115"/>
      <c r="F9" s="190"/>
      <c r="G9" s="190"/>
      <c r="H9" s="190"/>
      <c r="I9" s="193"/>
      <c r="K9" s="194" t="s">
        <v>130</v>
      </c>
      <c r="L9" s="195">
        <f>30.58*2.1</f>
        <v>64.218000000000004</v>
      </c>
      <c r="M9" s="198"/>
      <c r="N9" s="198"/>
      <c r="O9" s="150">
        <f t="shared" si="0"/>
        <v>0</v>
      </c>
    </row>
    <row r="10" spans="1:15" ht="52" x14ac:dyDescent="0.3">
      <c r="A10" s="182" t="s">
        <v>211</v>
      </c>
      <c r="B10" s="190">
        <v>156</v>
      </c>
      <c r="C10" s="115">
        <v>1</v>
      </c>
      <c r="D10" s="190">
        <f>B10*C10</f>
        <v>156</v>
      </c>
      <c r="E10" s="115">
        <f>L15*0.01</f>
        <v>0.8</v>
      </c>
      <c r="F10" s="190">
        <f>D10*E10</f>
        <v>124.80000000000001</v>
      </c>
      <c r="G10" s="190">
        <f>F10*0.05</f>
        <v>6.2400000000000011</v>
      </c>
      <c r="H10" s="190">
        <f>F10*0.1</f>
        <v>12.480000000000002</v>
      </c>
      <c r="I10" s="262">
        <f>F10*$L$8+G10*$L$7+H10*$L$9</f>
        <v>17744.388480000001</v>
      </c>
      <c r="K10" s="285"/>
      <c r="L10" s="311"/>
      <c r="M10" s="198"/>
      <c r="N10" s="198"/>
    </row>
    <row r="11" spans="1:15" ht="26" x14ac:dyDescent="0.3">
      <c r="A11" s="301" t="s">
        <v>132</v>
      </c>
      <c r="B11" s="190">
        <v>10</v>
      </c>
      <c r="C11" s="115">
        <v>1</v>
      </c>
      <c r="D11" s="190">
        <f>B11*C11</f>
        <v>10</v>
      </c>
      <c r="E11" s="115">
        <f>$L$15</f>
        <v>80</v>
      </c>
      <c r="F11" s="190">
        <f>D11*E11</f>
        <v>800</v>
      </c>
      <c r="G11" s="190">
        <f>F11*0.05</f>
        <v>40</v>
      </c>
      <c r="H11" s="190">
        <f>F11*0.1</f>
        <v>80</v>
      </c>
      <c r="I11" s="262">
        <f>F11*$L$8+G11*$L$7+H11*$L$9</f>
        <v>113746.08</v>
      </c>
      <c r="K11" s="420"/>
      <c r="O11" s="150">
        <f t="shared" si="0"/>
        <v>80</v>
      </c>
    </row>
    <row r="12" spans="1:15" ht="15.75" customHeight="1" x14ac:dyDescent="0.3">
      <c r="A12" s="301" t="s">
        <v>133</v>
      </c>
      <c r="B12" s="190"/>
      <c r="C12" s="115"/>
      <c r="D12" s="190"/>
      <c r="E12" s="115"/>
      <c r="F12" s="190"/>
      <c r="G12" s="190"/>
      <c r="H12" s="190"/>
      <c r="I12" s="199"/>
      <c r="K12" s="200"/>
      <c r="L12" s="200" t="s">
        <v>444</v>
      </c>
      <c r="O12" s="150">
        <f t="shared" si="0"/>
        <v>0</v>
      </c>
    </row>
    <row r="13" spans="1:15" ht="15.5" x14ac:dyDescent="0.3">
      <c r="A13" s="306" t="s">
        <v>290</v>
      </c>
      <c r="B13" s="190"/>
      <c r="C13" s="115"/>
      <c r="D13" s="190"/>
      <c r="E13" s="201"/>
      <c r="F13" s="202"/>
      <c r="G13" s="190"/>
      <c r="H13" s="190"/>
      <c r="I13" s="199"/>
      <c r="K13" s="200"/>
      <c r="L13" s="200">
        <v>0</v>
      </c>
      <c r="O13" s="150">
        <f t="shared" si="0"/>
        <v>0</v>
      </c>
    </row>
    <row r="14" spans="1:15" ht="49.5" customHeight="1" x14ac:dyDescent="0.3">
      <c r="A14" s="116" t="s">
        <v>445</v>
      </c>
      <c r="B14" s="190">
        <v>0</v>
      </c>
      <c r="C14" s="115">
        <v>0</v>
      </c>
      <c r="D14" s="190">
        <f>B14*C14</f>
        <v>0</v>
      </c>
      <c r="E14" s="201">
        <f t="shared" ref="E14" si="1">L$14</f>
        <v>0</v>
      </c>
      <c r="F14" s="202">
        <f>D14*E14</f>
        <v>0</v>
      </c>
      <c r="G14" s="190">
        <f>F14*0.05</f>
        <v>0</v>
      </c>
      <c r="H14" s="190">
        <f>F14*0.1</f>
        <v>0</v>
      </c>
      <c r="I14" s="199">
        <f>F14*$L$8+G14*$L$7+H14*$L$9</f>
        <v>0</v>
      </c>
      <c r="K14" s="200" t="s">
        <v>136</v>
      </c>
      <c r="L14" s="200">
        <v>0</v>
      </c>
      <c r="M14" s="264" t="s">
        <v>446</v>
      </c>
      <c r="N14" s="264"/>
      <c r="O14" s="150">
        <f t="shared" si="0"/>
        <v>0</v>
      </c>
    </row>
    <row r="15" spans="1:15" ht="26" x14ac:dyDescent="0.3">
      <c r="A15" s="116" t="s">
        <v>293</v>
      </c>
      <c r="B15" s="190">
        <v>0</v>
      </c>
      <c r="C15" s="115">
        <v>0</v>
      </c>
      <c r="D15" s="190">
        <f t="shared" ref="D15" si="2">B15*C15</f>
        <v>0</v>
      </c>
      <c r="E15" s="201">
        <f>E14*0.05</f>
        <v>0</v>
      </c>
      <c r="F15" s="202">
        <f t="shared" ref="F15:F20" si="3">D15*E15</f>
        <v>0</v>
      </c>
      <c r="G15" s="190">
        <f t="shared" ref="G15:G20" si="4">F15*0.05</f>
        <v>0</v>
      </c>
      <c r="H15" s="190">
        <f t="shared" ref="H15:H20" si="5">F15*0.1</f>
        <v>0</v>
      </c>
      <c r="I15" s="199">
        <f t="shared" ref="I15:I20" si="6">F15*$L$8+G15*$L$7+H15*$L$9</f>
        <v>0</v>
      </c>
      <c r="J15" s="420"/>
      <c r="K15" s="200" t="s">
        <v>141</v>
      </c>
      <c r="L15" s="200">
        <f>'MWCI-Y1'!$L$15</f>
        <v>80</v>
      </c>
      <c r="M15" s="420" t="s">
        <v>447</v>
      </c>
      <c r="N15" s="420"/>
      <c r="O15" s="150">
        <f t="shared" si="0"/>
        <v>0</v>
      </c>
    </row>
    <row r="16" spans="1:15" ht="53.15" customHeight="1" x14ac:dyDescent="0.3">
      <c r="A16" s="306" t="s">
        <v>297</v>
      </c>
      <c r="B16" s="190"/>
      <c r="C16" s="115"/>
      <c r="D16" s="190"/>
      <c r="E16" s="115"/>
      <c r="F16" s="202"/>
      <c r="G16" s="190"/>
      <c r="H16" s="190"/>
      <c r="I16" s="199"/>
      <c r="K16" s="420" t="s">
        <v>448</v>
      </c>
      <c r="L16" s="420">
        <v>74</v>
      </c>
      <c r="M16" s="420" t="s">
        <v>449</v>
      </c>
      <c r="N16" s="420"/>
      <c r="O16" s="150">
        <f t="shared" si="0"/>
        <v>0</v>
      </c>
    </row>
    <row r="17" spans="1:15" ht="40.5" customHeight="1" x14ac:dyDescent="0.3">
      <c r="A17" s="116" t="s">
        <v>445</v>
      </c>
      <c r="B17" s="190">
        <v>6</v>
      </c>
      <c r="C17" s="115">
        <v>1</v>
      </c>
      <c r="D17" s="190">
        <f>B17*C17</f>
        <v>6</v>
      </c>
      <c r="E17" s="201">
        <f>$L$17</f>
        <v>6</v>
      </c>
      <c r="F17" s="202">
        <f t="shared" si="3"/>
        <v>36</v>
      </c>
      <c r="G17" s="190">
        <f t="shared" si="4"/>
        <v>1.8</v>
      </c>
      <c r="H17" s="190">
        <f t="shared" si="5"/>
        <v>3.6</v>
      </c>
      <c r="I17" s="262">
        <f t="shared" si="6"/>
        <v>5118.5735999999997</v>
      </c>
      <c r="J17" s="203"/>
      <c r="K17" s="420" t="s">
        <v>450</v>
      </c>
      <c r="L17" s="150">
        <v>6</v>
      </c>
      <c r="M17" s="420" t="s">
        <v>451</v>
      </c>
      <c r="O17" s="150">
        <f t="shared" si="0"/>
        <v>6</v>
      </c>
    </row>
    <row r="18" spans="1:15" x14ac:dyDescent="0.3">
      <c r="A18" s="301" t="s">
        <v>300</v>
      </c>
      <c r="B18" s="115">
        <v>6</v>
      </c>
      <c r="C18" s="115">
        <v>1</v>
      </c>
      <c r="D18" s="190">
        <f t="shared" ref="D18" si="7">B18*C18</f>
        <v>6</v>
      </c>
      <c r="E18" s="201">
        <f>E17*0.05</f>
        <v>0.30000000000000004</v>
      </c>
      <c r="F18" s="202">
        <f t="shared" si="3"/>
        <v>1.8000000000000003</v>
      </c>
      <c r="G18" s="190">
        <f t="shared" si="4"/>
        <v>9.0000000000000024E-2</v>
      </c>
      <c r="H18" s="190">
        <f t="shared" si="5"/>
        <v>0.18000000000000005</v>
      </c>
      <c r="I18" s="262">
        <f t="shared" si="6"/>
        <v>255.92868000000004</v>
      </c>
      <c r="J18" s="203"/>
      <c r="O18" s="150">
        <f t="shared" si="0"/>
        <v>0.30000000000000004</v>
      </c>
    </row>
    <row r="19" spans="1:15" ht="25.5" customHeight="1" x14ac:dyDescent="0.3">
      <c r="A19" s="306" t="s">
        <v>151</v>
      </c>
      <c r="B19" s="204"/>
      <c r="C19" s="205"/>
      <c r="D19" s="204"/>
      <c r="E19" s="206"/>
      <c r="F19" s="202"/>
      <c r="G19" s="190"/>
      <c r="H19" s="190"/>
      <c r="I19" s="199"/>
      <c r="O19" s="150">
        <f t="shared" si="0"/>
        <v>0</v>
      </c>
    </row>
    <row r="20" spans="1:15" ht="29" x14ac:dyDescent="0.3">
      <c r="A20" s="301" t="s">
        <v>464</v>
      </c>
      <c r="B20" s="190">
        <v>0.3</v>
      </c>
      <c r="C20" s="115">
        <v>330</v>
      </c>
      <c r="D20" s="190">
        <f>B20*C20</f>
        <v>99</v>
      </c>
      <c r="E20" s="201">
        <f>L14+L17</f>
        <v>6</v>
      </c>
      <c r="F20" s="202">
        <f t="shared" si="3"/>
        <v>594</v>
      </c>
      <c r="G20" s="190">
        <f t="shared" si="4"/>
        <v>29.700000000000003</v>
      </c>
      <c r="H20" s="190">
        <f t="shared" si="5"/>
        <v>59.400000000000006</v>
      </c>
      <c r="I20" s="262">
        <f t="shared" si="6"/>
        <v>84456.464399999997</v>
      </c>
      <c r="O20" s="150">
        <f t="shared" si="0"/>
        <v>1980</v>
      </c>
    </row>
    <row r="21" spans="1:15" ht="26" x14ac:dyDescent="0.3">
      <c r="A21" s="301" t="s">
        <v>155</v>
      </c>
      <c r="B21" s="190"/>
      <c r="C21" s="192"/>
      <c r="D21" s="193"/>
      <c r="E21" s="207"/>
      <c r="F21" s="193"/>
      <c r="G21" s="193"/>
      <c r="H21" s="193"/>
      <c r="I21" s="193"/>
      <c r="O21" s="150">
        <f t="shared" si="0"/>
        <v>0</v>
      </c>
    </row>
    <row r="22" spans="1:15" ht="26" x14ac:dyDescent="0.3">
      <c r="A22" s="301" t="s">
        <v>156</v>
      </c>
      <c r="B22" s="190"/>
      <c r="C22" s="192"/>
      <c r="D22" s="193"/>
      <c r="E22" s="207"/>
      <c r="F22" s="193"/>
      <c r="G22" s="193"/>
      <c r="H22" s="193"/>
      <c r="I22" s="193"/>
      <c r="O22" s="150">
        <f t="shared" si="0"/>
        <v>0</v>
      </c>
    </row>
    <row r="23" spans="1:15" x14ac:dyDescent="0.3">
      <c r="A23" s="301" t="s">
        <v>157</v>
      </c>
      <c r="B23" s="193"/>
      <c r="C23" s="192"/>
      <c r="D23" s="193"/>
      <c r="E23" s="207"/>
      <c r="F23" s="193"/>
      <c r="G23" s="193"/>
      <c r="H23" s="193"/>
      <c r="I23" s="193"/>
      <c r="O23" s="150">
        <f t="shared" si="0"/>
        <v>0</v>
      </c>
    </row>
    <row r="24" spans="1:15" x14ac:dyDescent="0.3">
      <c r="A24" s="307" t="s">
        <v>158</v>
      </c>
      <c r="B24" s="190"/>
      <c r="C24" s="115"/>
      <c r="D24" s="190"/>
      <c r="E24" s="201"/>
      <c r="F24" s="190"/>
      <c r="G24" s="190"/>
      <c r="H24" s="190"/>
      <c r="I24" s="199"/>
      <c r="O24" s="150">
        <f t="shared" si="0"/>
        <v>0</v>
      </c>
    </row>
    <row r="25" spans="1:15" ht="26" x14ac:dyDescent="0.3">
      <c r="A25" s="301" t="s">
        <v>159</v>
      </c>
      <c r="B25" s="190">
        <v>0</v>
      </c>
      <c r="C25" s="115">
        <v>0</v>
      </c>
      <c r="D25" s="190">
        <v>2</v>
      </c>
      <c r="E25" s="201">
        <f>L14</f>
        <v>0</v>
      </c>
      <c r="F25" s="190">
        <f t="shared" ref="F25:F27" si="8">D25*E25</f>
        <v>0</v>
      </c>
      <c r="G25" s="190">
        <f t="shared" ref="G25:G27" si="9">F25*0.05</f>
        <v>0</v>
      </c>
      <c r="H25" s="190">
        <f t="shared" ref="H25:H27" si="10">F25*0.1</f>
        <v>0</v>
      </c>
      <c r="I25" s="199">
        <f>F25*$L$8+G25*$L$7+H25*$L$9</f>
        <v>0</v>
      </c>
      <c r="O25" s="150">
        <f t="shared" si="0"/>
        <v>0</v>
      </c>
    </row>
    <row r="26" spans="1:15" ht="25.5" customHeight="1" x14ac:dyDescent="0.3">
      <c r="A26" s="301" t="s">
        <v>160</v>
      </c>
      <c r="B26" s="190">
        <v>0</v>
      </c>
      <c r="C26" s="115">
        <v>0</v>
      </c>
      <c r="D26" s="190">
        <v>2</v>
      </c>
      <c r="E26" s="201">
        <f>L14</f>
        <v>0</v>
      </c>
      <c r="F26" s="190">
        <f t="shared" si="8"/>
        <v>0</v>
      </c>
      <c r="G26" s="190">
        <f t="shared" si="9"/>
        <v>0</v>
      </c>
      <c r="H26" s="190">
        <f t="shared" si="10"/>
        <v>0</v>
      </c>
      <c r="I26" s="199">
        <f>F26*$L$8+G26*$L$7+H26*$L$9</f>
        <v>0</v>
      </c>
      <c r="O26" s="150">
        <f t="shared" si="0"/>
        <v>0</v>
      </c>
    </row>
    <row r="27" spans="1:15" ht="39" x14ac:dyDescent="0.3">
      <c r="A27" s="301" t="s">
        <v>400</v>
      </c>
      <c r="B27" s="190">
        <v>0</v>
      </c>
      <c r="C27" s="115">
        <v>0</v>
      </c>
      <c r="D27" s="190">
        <v>2</v>
      </c>
      <c r="E27" s="201">
        <f>L14</f>
        <v>0</v>
      </c>
      <c r="F27" s="190">
        <f t="shared" si="8"/>
        <v>0</v>
      </c>
      <c r="G27" s="190">
        <f t="shared" si="9"/>
        <v>0</v>
      </c>
      <c r="H27" s="190">
        <f t="shared" si="10"/>
        <v>0</v>
      </c>
      <c r="I27" s="199">
        <f>F27*$L$8+G27*$L$7+H27*$L$9</f>
        <v>0</v>
      </c>
      <c r="O27" s="150">
        <f t="shared" si="0"/>
        <v>0</v>
      </c>
    </row>
    <row r="28" spans="1:15" ht="50.15" customHeight="1" x14ac:dyDescent="0.3">
      <c r="A28" s="301" t="s">
        <v>454</v>
      </c>
      <c r="B28" s="190"/>
      <c r="C28" s="115"/>
      <c r="D28" s="190"/>
      <c r="E28" s="201"/>
      <c r="F28" s="190"/>
      <c r="G28" s="190"/>
      <c r="H28" s="190"/>
      <c r="I28" s="197"/>
    </row>
    <row r="29" spans="1:15" x14ac:dyDescent="0.3">
      <c r="A29" s="307" t="s">
        <v>163</v>
      </c>
      <c r="B29" s="193"/>
      <c r="C29" s="192"/>
      <c r="D29" s="193"/>
      <c r="E29" s="207"/>
      <c r="F29" s="193"/>
      <c r="G29" s="193"/>
      <c r="H29" s="193"/>
      <c r="I29" s="193"/>
      <c r="O29" s="150">
        <f t="shared" si="0"/>
        <v>0</v>
      </c>
    </row>
    <row r="30" spans="1:15" ht="26" x14ac:dyDescent="0.3">
      <c r="A30" s="301" t="s">
        <v>159</v>
      </c>
      <c r="B30" s="190">
        <v>2</v>
      </c>
      <c r="C30" s="115">
        <v>1</v>
      </c>
      <c r="D30" s="190">
        <v>2</v>
      </c>
      <c r="E30" s="201">
        <f>L17</f>
        <v>6</v>
      </c>
      <c r="F30" s="190">
        <f>D30*E30</f>
        <v>12</v>
      </c>
      <c r="G30" s="190">
        <f>F30*0.05</f>
        <v>0.60000000000000009</v>
      </c>
      <c r="H30" s="190">
        <f>F30*0.1</f>
        <v>1.2000000000000002</v>
      </c>
      <c r="I30" s="262">
        <f>F30*$L$8+G30*$L$7+H30*$L$9</f>
        <v>1706.1911999999998</v>
      </c>
      <c r="O30" s="150">
        <f t="shared" si="0"/>
        <v>6</v>
      </c>
    </row>
    <row r="31" spans="1:15" ht="26" x14ac:dyDescent="0.3">
      <c r="A31" s="301" t="s">
        <v>160</v>
      </c>
      <c r="B31" s="190">
        <v>2</v>
      </c>
      <c r="C31" s="115">
        <v>1</v>
      </c>
      <c r="D31" s="190">
        <v>2</v>
      </c>
      <c r="E31" s="201">
        <f>E30</f>
        <v>6</v>
      </c>
      <c r="F31" s="190">
        <f>D31*E31</f>
        <v>12</v>
      </c>
      <c r="G31" s="190">
        <f>F31*0.05</f>
        <v>0.60000000000000009</v>
      </c>
      <c r="H31" s="190">
        <f>F31*0.1</f>
        <v>1.2000000000000002</v>
      </c>
      <c r="I31" s="262">
        <f>F31*$L$8+G31*$L$7+H31*$L$9</f>
        <v>1706.1911999999998</v>
      </c>
      <c r="O31" s="150">
        <f t="shared" si="0"/>
        <v>6</v>
      </c>
    </row>
    <row r="32" spans="1:15" ht="52" x14ac:dyDescent="0.3">
      <c r="A32" s="301" t="s">
        <v>465</v>
      </c>
      <c r="B32" s="190">
        <v>2</v>
      </c>
      <c r="C32" s="115">
        <v>1</v>
      </c>
      <c r="D32" s="190">
        <v>2</v>
      </c>
      <c r="E32" s="201">
        <f>L17</f>
        <v>6</v>
      </c>
      <c r="F32" s="190">
        <f>D32*E32</f>
        <v>12</v>
      </c>
      <c r="G32" s="190">
        <f>F32*0.05</f>
        <v>0.60000000000000009</v>
      </c>
      <c r="H32" s="190">
        <f>F32*0.1</f>
        <v>1.2000000000000002</v>
      </c>
      <c r="I32" s="262">
        <f>F32*$L$8+G32*$L$7+H32*$L$9</f>
        <v>1706.1911999999998</v>
      </c>
      <c r="O32" s="150">
        <f t="shared" si="0"/>
        <v>6</v>
      </c>
    </row>
    <row r="33" spans="1:15" ht="55" customHeight="1" x14ac:dyDescent="0.3">
      <c r="A33" s="301" t="s">
        <v>454</v>
      </c>
      <c r="B33" s="204"/>
      <c r="C33" s="205">
        <v>1</v>
      </c>
      <c r="D33" s="204"/>
      <c r="E33" s="206"/>
      <c r="F33" s="190"/>
      <c r="G33" s="190"/>
      <c r="H33" s="190"/>
      <c r="I33" s="199"/>
    </row>
    <row r="34" spans="1:15" ht="23.5" customHeight="1" x14ac:dyDescent="0.3">
      <c r="A34" s="208" t="s">
        <v>167</v>
      </c>
      <c r="B34" s="209"/>
      <c r="C34" s="210"/>
      <c r="D34" s="209"/>
      <c r="E34" s="211"/>
      <c r="F34" s="212">
        <f>SUM(F8:H33)</f>
        <v>1831.4899999999998</v>
      </c>
      <c r="G34" s="212"/>
      <c r="H34" s="212"/>
      <c r="I34" s="213">
        <f>SUM(I8:I33)</f>
        <v>226440.00876000003</v>
      </c>
      <c r="O34" s="150">
        <f t="shared" si="0"/>
        <v>0</v>
      </c>
    </row>
    <row r="35" spans="1:15" ht="26" x14ac:dyDescent="0.3">
      <c r="A35" s="182" t="s">
        <v>168</v>
      </c>
      <c r="B35" s="193"/>
      <c r="C35" s="192"/>
      <c r="D35" s="193"/>
      <c r="E35" s="207"/>
      <c r="F35" s="193"/>
      <c r="G35" s="193"/>
      <c r="H35" s="193"/>
      <c r="I35" s="193"/>
      <c r="O35" s="150">
        <f t="shared" si="0"/>
        <v>0</v>
      </c>
    </row>
    <row r="36" spans="1:15" ht="26" x14ac:dyDescent="0.3">
      <c r="A36" s="301" t="s">
        <v>132</v>
      </c>
      <c r="B36" s="190"/>
      <c r="C36" s="192"/>
      <c r="D36" s="193"/>
      <c r="E36" s="192"/>
      <c r="F36" s="193"/>
      <c r="G36" s="193"/>
      <c r="H36" s="193"/>
      <c r="I36" s="193"/>
      <c r="O36" s="150">
        <f t="shared" si="0"/>
        <v>0</v>
      </c>
    </row>
    <row r="37" spans="1:15" x14ac:dyDescent="0.3">
      <c r="A37" s="301" t="s">
        <v>169</v>
      </c>
      <c r="B37" s="190"/>
      <c r="C37" s="192"/>
      <c r="D37" s="193"/>
      <c r="E37" s="192"/>
      <c r="F37" s="193"/>
      <c r="G37" s="193"/>
      <c r="H37" s="193"/>
      <c r="I37" s="193"/>
      <c r="O37" s="150">
        <f t="shared" si="0"/>
        <v>0</v>
      </c>
    </row>
    <row r="38" spans="1:15" x14ac:dyDescent="0.3">
      <c r="A38" s="301" t="s">
        <v>170</v>
      </c>
      <c r="B38" s="190"/>
      <c r="C38" s="192"/>
      <c r="D38" s="193"/>
      <c r="E38" s="192"/>
      <c r="F38" s="193"/>
      <c r="G38" s="193"/>
      <c r="H38" s="193"/>
      <c r="I38" s="193"/>
      <c r="O38" s="150">
        <f t="shared" si="0"/>
        <v>0</v>
      </c>
    </row>
    <row r="39" spans="1:15" x14ac:dyDescent="0.3">
      <c r="A39" s="301" t="s">
        <v>171</v>
      </c>
      <c r="B39" s="190" t="s">
        <v>122</v>
      </c>
      <c r="C39" s="192"/>
      <c r="D39" s="193"/>
      <c r="E39" s="192"/>
      <c r="F39" s="193"/>
      <c r="G39" s="193"/>
      <c r="H39" s="193"/>
      <c r="I39" s="193"/>
      <c r="O39" s="150">
        <f t="shared" si="0"/>
        <v>0</v>
      </c>
    </row>
    <row r="40" spans="1:15" ht="26" x14ac:dyDescent="0.3">
      <c r="A40" s="301" t="s">
        <v>172</v>
      </c>
      <c r="B40" s="193"/>
      <c r="C40" s="192"/>
      <c r="D40" s="193"/>
      <c r="E40" s="192"/>
      <c r="F40" s="193"/>
      <c r="G40" s="193"/>
      <c r="H40" s="193"/>
      <c r="I40" s="193"/>
      <c r="O40" s="150">
        <f t="shared" si="0"/>
        <v>0</v>
      </c>
    </row>
    <row r="41" spans="1:15" x14ac:dyDescent="0.3">
      <c r="A41" s="307" t="s">
        <v>163</v>
      </c>
      <c r="B41" s="193"/>
      <c r="C41" s="192"/>
      <c r="D41" s="193"/>
      <c r="E41" s="192"/>
      <c r="F41" s="193"/>
      <c r="G41" s="193"/>
      <c r="H41" s="193"/>
      <c r="I41" s="193"/>
      <c r="O41" s="150">
        <f t="shared" si="0"/>
        <v>0</v>
      </c>
    </row>
    <row r="42" spans="1:15" ht="15.65" customHeight="1" x14ac:dyDescent="0.3">
      <c r="A42" s="301" t="s">
        <v>173</v>
      </c>
      <c r="B42" s="190">
        <v>0.1</v>
      </c>
      <c r="C42" s="115">
        <v>1</v>
      </c>
      <c r="D42" s="190">
        <f t="shared" ref="D42:D47" si="11">B42*C42</f>
        <v>0.1</v>
      </c>
      <c r="E42" s="201">
        <f>$L$15</f>
        <v>80</v>
      </c>
      <c r="F42" s="202">
        <f t="shared" ref="F42:F47" si="12">D42*E42</f>
        <v>8</v>
      </c>
      <c r="G42" s="190">
        <f t="shared" ref="G42:G47" si="13">F42*0.05</f>
        <v>0.4</v>
      </c>
      <c r="H42" s="190">
        <f t="shared" ref="H42:H47" si="14">F42*0.1</f>
        <v>0.8</v>
      </c>
      <c r="I42" s="262">
        <f>F42*$L$8+G42*$L$7+H42*$L$9</f>
        <v>1137.4607999999998</v>
      </c>
      <c r="O42" s="150">
        <f t="shared" si="0"/>
        <v>80</v>
      </c>
    </row>
    <row r="43" spans="1:15" ht="91.5" customHeight="1" x14ac:dyDescent="0.3">
      <c r="A43" s="301" t="s">
        <v>456</v>
      </c>
      <c r="B43" s="190">
        <v>0</v>
      </c>
      <c r="C43" s="115">
        <v>0</v>
      </c>
      <c r="D43" s="190">
        <f t="shared" si="11"/>
        <v>0</v>
      </c>
      <c r="E43" s="201">
        <v>0</v>
      </c>
      <c r="F43" s="202">
        <f t="shared" si="12"/>
        <v>0</v>
      </c>
      <c r="G43" s="190">
        <f t="shared" si="13"/>
        <v>0</v>
      </c>
      <c r="H43" s="190">
        <f t="shared" si="14"/>
        <v>0</v>
      </c>
      <c r="I43" s="199">
        <f>F43*$L$8+G43*$L$7+H43*$L$9</f>
        <v>0</v>
      </c>
      <c r="O43" s="150">
        <f t="shared" si="0"/>
        <v>0</v>
      </c>
    </row>
    <row r="44" spans="1:15" x14ac:dyDescent="0.3">
      <c r="A44" s="307" t="s">
        <v>158</v>
      </c>
      <c r="B44" s="190"/>
      <c r="C44" s="115"/>
      <c r="D44" s="190"/>
      <c r="E44" s="201"/>
      <c r="F44" s="202"/>
      <c r="G44" s="190"/>
      <c r="H44" s="190"/>
      <c r="I44" s="199"/>
      <c r="O44" s="150">
        <f t="shared" si="0"/>
        <v>0</v>
      </c>
    </row>
    <row r="45" spans="1:15" x14ac:dyDescent="0.3">
      <c r="A45" s="301" t="s">
        <v>173</v>
      </c>
      <c r="B45" s="190">
        <v>0</v>
      </c>
      <c r="C45" s="115">
        <v>0</v>
      </c>
      <c r="D45" s="190">
        <f>B45*C45</f>
        <v>0</v>
      </c>
      <c r="E45" s="201">
        <v>0</v>
      </c>
      <c r="F45" s="202">
        <f t="shared" ref="F45:F46" si="15">D45*E45</f>
        <v>0</v>
      </c>
      <c r="G45" s="190">
        <f t="shared" ref="G45:G46" si="16">F45*0.05</f>
        <v>0</v>
      </c>
      <c r="H45" s="190">
        <f t="shared" ref="H45:H46" si="17">F45*0.1</f>
        <v>0</v>
      </c>
      <c r="I45" s="197">
        <f>F45*$L$8+G45*$L$7+H45*$L$9</f>
        <v>0</v>
      </c>
      <c r="O45" s="150">
        <f t="shared" si="0"/>
        <v>0</v>
      </c>
    </row>
    <row r="46" spans="1:15" ht="97" customHeight="1" x14ac:dyDescent="0.3">
      <c r="A46" s="301" t="s">
        <v>456</v>
      </c>
      <c r="B46" s="190">
        <v>0</v>
      </c>
      <c r="C46" s="115">
        <v>0</v>
      </c>
      <c r="D46" s="190">
        <f t="shared" ref="D46" si="18">B46*C46</f>
        <v>0</v>
      </c>
      <c r="E46" s="201"/>
      <c r="F46" s="202">
        <f t="shared" si="15"/>
        <v>0</v>
      </c>
      <c r="G46" s="190">
        <f t="shared" si="16"/>
        <v>0</v>
      </c>
      <c r="H46" s="190">
        <f t="shared" si="17"/>
        <v>0</v>
      </c>
      <c r="I46" s="197">
        <f>F46*$L$8+G46*$L$7+H46*$L$9</f>
        <v>0</v>
      </c>
      <c r="O46" s="150">
        <f t="shared" si="0"/>
        <v>0</v>
      </c>
    </row>
    <row r="47" spans="1:15" ht="20.5" customHeight="1" x14ac:dyDescent="0.3">
      <c r="A47" s="301" t="s">
        <v>313</v>
      </c>
      <c r="B47" s="190">
        <v>0</v>
      </c>
      <c r="C47" s="115">
        <v>0</v>
      </c>
      <c r="D47" s="190">
        <f t="shared" si="11"/>
        <v>0</v>
      </c>
      <c r="E47" s="201">
        <f>$L$13</f>
        <v>0</v>
      </c>
      <c r="F47" s="202">
        <f t="shared" si="12"/>
        <v>0</v>
      </c>
      <c r="G47" s="190">
        <f t="shared" si="13"/>
        <v>0</v>
      </c>
      <c r="H47" s="190">
        <f t="shared" si="14"/>
        <v>0</v>
      </c>
      <c r="I47" s="197">
        <f>F47*$L$8+G47*$L$7+H47*$L$9</f>
        <v>0</v>
      </c>
      <c r="O47" s="150">
        <f t="shared" si="0"/>
        <v>0</v>
      </c>
    </row>
    <row r="48" spans="1:15" x14ac:dyDescent="0.3">
      <c r="A48" s="301" t="s">
        <v>186</v>
      </c>
      <c r="B48" s="190" t="s">
        <v>122</v>
      </c>
      <c r="C48" s="192"/>
      <c r="D48" s="193"/>
      <c r="E48" s="192"/>
      <c r="F48" s="193"/>
      <c r="G48" s="193"/>
      <c r="H48" s="193"/>
      <c r="I48" s="193"/>
      <c r="O48" s="150">
        <f t="shared" si="0"/>
        <v>0</v>
      </c>
    </row>
    <row r="49" spans="1:16" ht="27" x14ac:dyDescent="0.3">
      <c r="A49" s="208" t="s">
        <v>188</v>
      </c>
      <c r="B49" s="214"/>
      <c r="C49" s="215"/>
      <c r="D49" s="214"/>
      <c r="E49" s="216"/>
      <c r="F49" s="212">
        <f>SUM(F42:H47)</f>
        <v>9.2000000000000011</v>
      </c>
      <c r="G49" s="212"/>
      <c r="H49" s="212"/>
      <c r="I49" s="213">
        <f>SUM(I42:I48)</f>
        <v>1137.4607999999998</v>
      </c>
      <c r="O49" s="150">
        <f>SUM(O6:O48)</f>
        <v>2164.3000000000002</v>
      </c>
    </row>
    <row r="50" spans="1:16" ht="28.5" customHeight="1" x14ac:dyDescent="0.3">
      <c r="A50" s="184" t="s">
        <v>189</v>
      </c>
      <c r="B50" s="217"/>
      <c r="C50" s="218"/>
      <c r="D50" s="217"/>
      <c r="E50" s="219"/>
      <c r="F50" s="481">
        <f>ROUND(F49+F34, -2)</f>
        <v>1800</v>
      </c>
      <c r="G50" s="481"/>
      <c r="H50" s="481"/>
      <c r="I50" s="220">
        <f>ROUND(I49+I34, -4)</f>
        <v>230000</v>
      </c>
      <c r="K50" s="221">
        <f>F50/212</f>
        <v>8.4905660377358494</v>
      </c>
      <c r="L50" s="150" t="s">
        <v>190</v>
      </c>
      <c r="O50" s="150">
        <f>O49-O20</f>
        <v>184.30000000000018</v>
      </c>
      <c r="P50" s="150" t="s">
        <v>248</v>
      </c>
    </row>
    <row r="51" spans="1:16" ht="28" x14ac:dyDescent="0.3">
      <c r="A51" s="222" t="s">
        <v>191</v>
      </c>
      <c r="B51" s="193"/>
      <c r="C51" s="192"/>
      <c r="D51" s="193"/>
      <c r="E51" s="192"/>
      <c r="F51" s="193"/>
      <c r="G51" s="193"/>
      <c r="H51" s="193"/>
      <c r="I51" s="220"/>
      <c r="P51" s="150" t="s">
        <v>357</v>
      </c>
    </row>
    <row r="52" spans="1:16" ht="15" x14ac:dyDescent="0.3">
      <c r="A52" s="222" t="s">
        <v>192</v>
      </c>
      <c r="B52" s="193"/>
      <c r="C52" s="192"/>
      <c r="D52" s="193"/>
      <c r="E52" s="192"/>
      <c r="F52" s="193"/>
      <c r="G52" s="193"/>
      <c r="H52" s="193"/>
      <c r="I52" s="220">
        <f>ROUND(I50+I51, -5)</f>
        <v>200000</v>
      </c>
    </row>
    <row r="53" spans="1:16" ht="6" customHeight="1" x14ac:dyDescent="0.3"/>
    <row r="54" spans="1:16" ht="18" customHeight="1" x14ac:dyDescent="0.3">
      <c r="A54" s="482" t="s">
        <v>457</v>
      </c>
      <c r="B54" s="482"/>
      <c r="C54" s="482"/>
      <c r="D54" s="482"/>
      <c r="E54" s="482"/>
      <c r="F54" s="482"/>
      <c r="G54" s="482"/>
      <c r="H54" s="482"/>
      <c r="I54" s="482"/>
    </row>
    <row r="55" spans="1:16" ht="72.650000000000006" customHeight="1" x14ac:dyDescent="0.3">
      <c r="A55" s="503" t="s">
        <v>194</v>
      </c>
      <c r="B55" s="503"/>
      <c r="C55" s="503"/>
      <c r="D55" s="503"/>
      <c r="E55" s="503"/>
      <c r="F55" s="503"/>
      <c r="G55" s="503"/>
      <c r="H55" s="503"/>
      <c r="I55" s="503"/>
    </row>
    <row r="56" spans="1:16" ht="14.15" customHeight="1" x14ac:dyDescent="0.3">
      <c r="A56" s="482" t="s">
        <v>458</v>
      </c>
      <c r="B56" s="482"/>
      <c r="C56" s="482"/>
      <c r="D56" s="482"/>
      <c r="E56" s="482"/>
      <c r="F56" s="482"/>
      <c r="G56" s="482"/>
      <c r="H56" s="482"/>
      <c r="I56" s="482"/>
    </row>
    <row r="57" spans="1:16" ht="30" customHeight="1" x14ac:dyDescent="0.3">
      <c r="A57" s="483" t="s">
        <v>459</v>
      </c>
      <c r="B57" s="483"/>
      <c r="C57" s="483"/>
      <c r="D57" s="483"/>
      <c r="E57" s="483"/>
      <c r="F57" s="483"/>
      <c r="G57" s="483"/>
      <c r="H57" s="483"/>
      <c r="I57" s="483"/>
    </row>
    <row r="58" spans="1:16" ht="14.15" customHeight="1" x14ac:dyDescent="0.3">
      <c r="A58" s="500" t="s">
        <v>197</v>
      </c>
      <c r="B58" s="500"/>
      <c r="C58" s="500"/>
      <c r="D58" s="500"/>
      <c r="E58" s="500"/>
      <c r="F58" s="500"/>
      <c r="G58" s="500"/>
      <c r="H58" s="500"/>
      <c r="I58" s="500"/>
    </row>
    <row r="59" spans="1:16" ht="14.5" customHeight="1" x14ac:dyDescent="0.3">
      <c r="A59" s="479" t="s">
        <v>466</v>
      </c>
      <c r="B59" s="479"/>
      <c r="C59" s="479"/>
      <c r="D59" s="479"/>
      <c r="E59" s="479"/>
      <c r="F59" s="479"/>
      <c r="G59" s="479"/>
      <c r="H59" s="479"/>
      <c r="I59" s="479"/>
    </row>
    <row r="60" spans="1:16" ht="14.5" customHeight="1" x14ac:dyDescent="0.3">
      <c r="A60" s="479" t="s">
        <v>361</v>
      </c>
      <c r="B60" s="479"/>
      <c r="C60" s="479"/>
      <c r="D60" s="479"/>
      <c r="E60" s="479"/>
      <c r="F60" s="479"/>
      <c r="G60" s="479"/>
      <c r="H60" s="479"/>
      <c r="I60" s="479"/>
    </row>
    <row r="61" spans="1:16" ht="46.5" customHeight="1" x14ac:dyDescent="0.3">
      <c r="A61" s="479" t="s">
        <v>516</v>
      </c>
      <c r="B61" s="479"/>
      <c r="C61" s="479"/>
      <c r="D61" s="479"/>
      <c r="E61" s="479"/>
      <c r="F61" s="479"/>
      <c r="G61" s="479"/>
      <c r="H61" s="479"/>
      <c r="I61" s="479"/>
    </row>
  </sheetData>
  <mergeCells count="12">
    <mergeCell ref="A61:I61"/>
    <mergeCell ref="A56:I56"/>
    <mergeCell ref="A57:I57"/>
    <mergeCell ref="A58:I58"/>
    <mergeCell ref="A59:I59"/>
    <mergeCell ref="A60:I60"/>
    <mergeCell ref="A55:I55"/>
    <mergeCell ref="A1:I1"/>
    <mergeCell ref="A3:I3"/>
    <mergeCell ref="K6:L6"/>
    <mergeCell ref="F50:H50"/>
    <mergeCell ref="A54:I54"/>
  </mergeCells>
  <pageMargins left="0.2" right="0.2" top="0.25" bottom="0.25" header="0.3" footer="0.3"/>
  <pageSetup scale="42"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F009-6D60-4B6F-95AB-28C5F7B03578}">
  <sheetPr>
    <pageSetUpPr fitToPage="1"/>
  </sheetPr>
  <dimension ref="A1:P59"/>
  <sheetViews>
    <sheetView zoomScale="80" zoomScaleNormal="80" workbookViewId="0">
      <pane xSplit="13" ySplit="5" topLeftCell="N42" activePane="bottomRight" state="frozen"/>
      <selection activeCell="A60" sqref="A5:I60"/>
      <selection pane="topRight" activeCell="A60" sqref="A5:I60"/>
      <selection pane="bottomLeft" activeCell="A60" sqref="A5:I60"/>
      <selection pane="bottomRight" activeCell="I42" sqref="I42"/>
    </sheetView>
  </sheetViews>
  <sheetFormatPr defaultColWidth="9.1796875" defaultRowHeight="13" x14ac:dyDescent="0.3"/>
  <cols>
    <col min="1" max="1" width="29.542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45.7265625" style="150" customWidth="1"/>
    <col min="14" max="14" width="6.81640625" style="150" customWidth="1"/>
    <col min="15" max="15" width="14.1796875" style="150" customWidth="1"/>
    <col min="16" max="16384" width="9.1796875" style="150"/>
  </cols>
  <sheetData>
    <row r="1" spans="1:15" s="188" customFormat="1" ht="22" customHeight="1" x14ac:dyDescent="0.3">
      <c r="A1" s="462" t="s">
        <v>442</v>
      </c>
      <c r="B1" s="462"/>
      <c r="C1" s="462"/>
      <c r="D1" s="462"/>
      <c r="E1" s="462"/>
      <c r="F1" s="462"/>
      <c r="G1" s="462"/>
      <c r="H1" s="462"/>
      <c r="I1" s="462"/>
    </row>
    <row r="2" spans="1:15" s="188" customFormat="1" ht="15" x14ac:dyDescent="0.3">
      <c r="A2" s="423" t="s">
        <v>89</v>
      </c>
      <c r="B2" s="423"/>
      <c r="C2" s="423"/>
      <c r="D2" s="423"/>
      <c r="E2" s="423"/>
      <c r="F2" s="423"/>
      <c r="G2" s="423"/>
      <c r="H2" s="423"/>
      <c r="I2" s="423"/>
    </row>
    <row r="3" spans="1:15" s="188" customFormat="1" ht="33" customHeight="1" x14ac:dyDescent="0.3">
      <c r="A3" s="462" t="s">
        <v>443</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9" customHeight="1" x14ac:dyDescent="0.3">
      <c r="A7" s="182" t="s">
        <v>124</v>
      </c>
      <c r="B7" s="190" t="s">
        <v>122</v>
      </c>
      <c r="C7" s="192"/>
      <c r="D7" s="193"/>
      <c r="E7" s="192"/>
      <c r="F7" s="193"/>
      <c r="G7" s="193"/>
      <c r="H7" s="193"/>
      <c r="I7" s="193"/>
      <c r="K7" s="194" t="s">
        <v>125</v>
      </c>
      <c r="L7" s="195">
        <f>76.96*2.1</f>
        <v>161.61599999999999</v>
      </c>
      <c r="M7" s="196" t="s">
        <v>126</v>
      </c>
      <c r="O7" s="150">
        <f t="shared" ref="O7:O47" si="0">C7*E7</f>
        <v>0</v>
      </c>
    </row>
    <row r="8" spans="1:15" ht="52"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O8" s="150">
        <f t="shared" si="0"/>
        <v>0</v>
      </c>
    </row>
    <row r="9" spans="1:15" x14ac:dyDescent="0.3">
      <c r="A9" s="182" t="s">
        <v>129</v>
      </c>
      <c r="B9" s="190"/>
      <c r="C9" s="115"/>
      <c r="D9" s="190"/>
      <c r="E9" s="115"/>
      <c r="F9" s="190"/>
      <c r="G9" s="190"/>
      <c r="H9" s="190"/>
      <c r="I9" s="193"/>
      <c r="K9" s="194" t="s">
        <v>130</v>
      </c>
      <c r="L9" s="195">
        <f>30.58*2.1</f>
        <v>64.218000000000004</v>
      </c>
      <c r="M9" s="198"/>
      <c r="O9" s="150">
        <f t="shared" si="0"/>
        <v>0</v>
      </c>
    </row>
    <row r="10" spans="1:15" ht="26" x14ac:dyDescent="0.3">
      <c r="A10" s="301" t="s">
        <v>132</v>
      </c>
      <c r="B10" s="190">
        <v>0</v>
      </c>
      <c r="C10" s="115">
        <v>0</v>
      </c>
      <c r="D10" s="190">
        <f>B10*C10</f>
        <v>0</v>
      </c>
      <c r="E10" s="115"/>
      <c r="F10" s="190">
        <f>D10*E10</f>
        <v>0</v>
      </c>
      <c r="G10" s="190">
        <f>F10*0.05</f>
        <v>0</v>
      </c>
      <c r="H10" s="190">
        <f>F10*0.1</f>
        <v>0</v>
      </c>
      <c r="I10" s="199">
        <f>F10*$L$8+G10*$L$7+H10*$L$9</f>
        <v>0</v>
      </c>
      <c r="K10" s="420"/>
      <c r="O10" s="150">
        <f t="shared" si="0"/>
        <v>0</v>
      </c>
    </row>
    <row r="11" spans="1:15" ht="15.75" customHeight="1" x14ac:dyDescent="0.3">
      <c r="A11" s="301" t="s">
        <v>133</v>
      </c>
      <c r="B11" s="190"/>
      <c r="C11" s="115"/>
      <c r="D11" s="190"/>
      <c r="E11" s="115"/>
      <c r="F11" s="190"/>
      <c r="G11" s="190"/>
      <c r="H11" s="190"/>
      <c r="I11" s="199"/>
      <c r="K11" s="200"/>
      <c r="L11" s="200" t="s">
        <v>444</v>
      </c>
      <c r="O11" s="150">
        <f t="shared" si="0"/>
        <v>0</v>
      </c>
    </row>
    <row r="12" spans="1:15" ht="15.5" x14ac:dyDescent="0.3">
      <c r="A12" s="306" t="s">
        <v>290</v>
      </c>
      <c r="B12" s="190"/>
      <c r="C12" s="115"/>
      <c r="D12" s="190"/>
      <c r="E12" s="201"/>
      <c r="F12" s="202"/>
      <c r="G12" s="190"/>
      <c r="H12" s="190"/>
      <c r="I12" s="199"/>
      <c r="K12" s="200"/>
      <c r="L12" s="200">
        <v>0</v>
      </c>
      <c r="O12" s="150">
        <f t="shared" si="0"/>
        <v>0</v>
      </c>
    </row>
    <row r="13" spans="1:15" ht="56.15" customHeight="1" x14ac:dyDescent="0.3">
      <c r="A13" s="116" t="s">
        <v>445</v>
      </c>
      <c r="B13" s="190">
        <v>0</v>
      </c>
      <c r="C13" s="115">
        <v>0</v>
      </c>
      <c r="D13" s="190">
        <f>B13*C13</f>
        <v>0</v>
      </c>
      <c r="E13" s="201">
        <f>L13</f>
        <v>0</v>
      </c>
      <c r="F13" s="202">
        <f>D13*E13</f>
        <v>0</v>
      </c>
      <c r="G13" s="190">
        <f>F13*0.05</f>
        <v>0</v>
      </c>
      <c r="H13" s="190">
        <f>F13*0.1</f>
        <v>0</v>
      </c>
      <c r="I13" s="199">
        <f>F13*$L$8+G13*$L$7+H13*$L$9</f>
        <v>0</v>
      </c>
      <c r="K13" s="200" t="s">
        <v>136</v>
      </c>
      <c r="L13" s="200">
        <v>0</v>
      </c>
      <c r="M13" s="264" t="s">
        <v>446</v>
      </c>
      <c r="O13" s="150">
        <f t="shared" si="0"/>
        <v>0</v>
      </c>
    </row>
    <row r="14" spans="1:15" ht="32.5" customHeight="1" x14ac:dyDescent="0.3">
      <c r="A14" s="116" t="s">
        <v>293</v>
      </c>
      <c r="B14" s="190">
        <v>0</v>
      </c>
      <c r="C14" s="115">
        <v>0</v>
      </c>
      <c r="D14" s="190">
        <f t="shared" ref="D14" si="1">B14*C14</f>
        <v>0</v>
      </c>
      <c r="E14" s="201">
        <f>E13*0.05</f>
        <v>0</v>
      </c>
      <c r="F14" s="202">
        <f t="shared" ref="F14:F19" si="2">D14*E14</f>
        <v>0</v>
      </c>
      <c r="G14" s="190">
        <f t="shared" ref="G14:G19" si="3">F14*0.05</f>
        <v>0</v>
      </c>
      <c r="H14" s="190">
        <f t="shared" ref="H14:H19" si="4">F14*0.1</f>
        <v>0</v>
      </c>
      <c r="I14" s="199">
        <f t="shared" ref="I14:I19" si="5">F14*$L$8+G14*$L$7+H14*$L$9</f>
        <v>0</v>
      </c>
      <c r="J14" s="420"/>
      <c r="K14" s="200" t="s">
        <v>141</v>
      </c>
      <c r="L14" s="200">
        <f>'MWCI-Y1'!$L$15</f>
        <v>80</v>
      </c>
      <c r="M14" s="420" t="s">
        <v>447</v>
      </c>
      <c r="O14" s="150">
        <f t="shared" si="0"/>
        <v>0</v>
      </c>
    </row>
    <row r="15" spans="1:15" ht="52" x14ac:dyDescent="0.3">
      <c r="A15" s="306" t="s">
        <v>297</v>
      </c>
      <c r="B15" s="190"/>
      <c r="C15" s="115"/>
      <c r="D15" s="190"/>
      <c r="E15" s="115"/>
      <c r="F15" s="202"/>
      <c r="G15" s="190"/>
      <c r="H15" s="190"/>
      <c r="I15" s="199"/>
      <c r="K15" s="420" t="s">
        <v>448</v>
      </c>
      <c r="L15" s="420">
        <v>74</v>
      </c>
      <c r="M15" s="420" t="s">
        <v>449</v>
      </c>
      <c r="O15" s="150">
        <f t="shared" si="0"/>
        <v>0</v>
      </c>
    </row>
    <row r="16" spans="1:15" ht="26" x14ac:dyDescent="0.3">
      <c r="A16" s="301" t="s">
        <v>445</v>
      </c>
      <c r="B16" s="190">
        <v>6</v>
      </c>
      <c r="C16" s="115">
        <v>1</v>
      </c>
      <c r="D16" s="190">
        <f>B16*C16</f>
        <v>6</v>
      </c>
      <c r="E16" s="201">
        <f>L16</f>
        <v>6</v>
      </c>
      <c r="F16" s="202">
        <f t="shared" si="2"/>
        <v>36</v>
      </c>
      <c r="G16" s="190">
        <f t="shared" si="3"/>
        <v>1.8</v>
      </c>
      <c r="H16" s="190">
        <f t="shared" si="4"/>
        <v>3.6</v>
      </c>
      <c r="I16" s="262">
        <f t="shared" si="5"/>
        <v>5118.5735999999997</v>
      </c>
      <c r="J16" s="203"/>
      <c r="K16" s="420" t="s">
        <v>450</v>
      </c>
      <c r="L16" s="150">
        <v>6</v>
      </c>
      <c r="M16" s="420" t="s">
        <v>451</v>
      </c>
      <c r="N16" s="420"/>
      <c r="O16" s="150">
        <f t="shared" si="0"/>
        <v>6</v>
      </c>
    </row>
    <row r="17" spans="1:15" x14ac:dyDescent="0.3">
      <c r="A17" s="301" t="s">
        <v>300</v>
      </c>
      <c r="B17" s="115">
        <v>6</v>
      </c>
      <c r="C17" s="115">
        <v>1</v>
      </c>
      <c r="D17" s="190">
        <f t="shared" ref="D17" si="6">B17*C17</f>
        <v>6</v>
      </c>
      <c r="E17" s="201">
        <f>E16*0.05</f>
        <v>0.30000000000000004</v>
      </c>
      <c r="F17" s="202">
        <f t="shared" si="2"/>
        <v>1.8000000000000003</v>
      </c>
      <c r="G17" s="190">
        <f t="shared" si="3"/>
        <v>9.0000000000000024E-2</v>
      </c>
      <c r="H17" s="190">
        <f t="shared" si="4"/>
        <v>0.18000000000000005</v>
      </c>
      <c r="I17" s="262">
        <f t="shared" si="5"/>
        <v>255.92868000000004</v>
      </c>
      <c r="J17" s="203"/>
      <c r="O17" s="150">
        <f t="shared" si="0"/>
        <v>0.30000000000000004</v>
      </c>
    </row>
    <row r="18" spans="1:15" ht="28.5" x14ac:dyDescent="0.3">
      <c r="A18" s="306" t="s">
        <v>151</v>
      </c>
      <c r="B18" s="204"/>
      <c r="C18" s="205"/>
      <c r="D18" s="204"/>
      <c r="E18" s="206"/>
      <c r="F18" s="202"/>
      <c r="G18" s="190"/>
      <c r="H18" s="190"/>
      <c r="I18" s="199"/>
      <c r="O18" s="150">
        <f t="shared" si="0"/>
        <v>0</v>
      </c>
    </row>
    <row r="19" spans="1:15" ht="29" x14ac:dyDescent="0.3">
      <c r="A19" s="301" t="s">
        <v>452</v>
      </c>
      <c r="B19" s="190">
        <v>0.3</v>
      </c>
      <c r="C19" s="115">
        <v>330</v>
      </c>
      <c r="D19" s="190">
        <f>B19*C19</f>
        <v>99</v>
      </c>
      <c r="E19" s="201">
        <f>L13+L16</f>
        <v>6</v>
      </c>
      <c r="F19" s="202">
        <f t="shared" si="2"/>
        <v>594</v>
      </c>
      <c r="G19" s="190">
        <f t="shared" si="3"/>
        <v>29.700000000000003</v>
      </c>
      <c r="H19" s="190">
        <f t="shared" si="4"/>
        <v>59.400000000000006</v>
      </c>
      <c r="I19" s="262">
        <f t="shared" si="5"/>
        <v>84456.464399999997</v>
      </c>
      <c r="N19" s="203"/>
      <c r="O19" s="150">
        <f t="shared" si="0"/>
        <v>1980</v>
      </c>
    </row>
    <row r="20" spans="1:15" x14ac:dyDescent="0.3">
      <c r="A20" s="301" t="s">
        <v>155</v>
      </c>
      <c r="B20" s="190"/>
      <c r="C20" s="192"/>
      <c r="D20" s="193"/>
      <c r="E20" s="207"/>
      <c r="F20" s="193"/>
      <c r="G20" s="193"/>
      <c r="H20" s="193"/>
      <c r="I20" s="193"/>
      <c r="N20" s="203"/>
      <c r="O20" s="150">
        <f t="shared" si="0"/>
        <v>0</v>
      </c>
    </row>
    <row r="21" spans="1:15" ht="26" x14ac:dyDescent="0.3">
      <c r="A21" s="301" t="s">
        <v>156</v>
      </c>
      <c r="B21" s="190"/>
      <c r="C21" s="192"/>
      <c r="D21" s="193"/>
      <c r="E21" s="207"/>
      <c r="F21" s="193"/>
      <c r="G21" s="193"/>
      <c r="H21" s="193"/>
      <c r="I21" s="193"/>
      <c r="N21" s="203"/>
      <c r="O21" s="150">
        <f t="shared" si="0"/>
        <v>0</v>
      </c>
    </row>
    <row r="22" spans="1:15" x14ac:dyDescent="0.3">
      <c r="A22" s="301" t="s">
        <v>157</v>
      </c>
      <c r="B22" s="193"/>
      <c r="C22" s="192"/>
      <c r="D22" s="193"/>
      <c r="E22" s="207"/>
      <c r="F22" s="193"/>
      <c r="G22" s="193"/>
      <c r="H22" s="193"/>
      <c r="I22" s="193"/>
      <c r="O22" s="150">
        <f t="shared" si="0"/>
        <v>0</v>
      </c>
    </row>
    <row r="23" spans="1:15" x14ac:dyDescent="0.3">
      <c r="A23" s="307" t="s">
        <v>158</v>
      </c>
      <c r="B23" s="190"/>
      <c r="C23" s="115"/>
      <c r="D23" s="190"/>
      <c r="E23" s="201"/>
      <c r="F23" s="190"/>
      <c r="G23" s="190"/>
      <c r="H23" s="190"/>
      <c r="I23" s="199"/>
      <c r="O23" s="150">
        <f t="shared" si="0"/>
        <v>0</v>
      </c>
    </row>
    <row r="24" spans="1:15" ht="26" x14ac:dyDescent="0.3">
      <c r="A24" s="301" t="s">
        <v>159</v>
      </c>
      <c r="B24" s="190">
        <v>0</v>
      </c>
      <c r="C24" s="115">
        <v>0</v>
      </c>
      <c r="D24" s="190">
        <v>2</v>
      </c>
      <c r="E24" s="201">
        <f>L13</f>
        <v>0</v>
      </c>
      <c r="F24" s="190">
        <f t="shared" ref="F24:F27" si="7">D24*E24</f>
        <v>0</v>
      </c>
      <c r="G24" s="190">
        <f t="shared" ref="G24:G27" si="8">F24*0.05</f>
        <v>0</v>
      </c>
      <c r="H24" s="190">
        <f t="shared" ref="H24:H27" si="9">F24*0.1</f>
        <v>0</v>
      </c>
      <c r="I24" s="199">
        <f>F24*$L$8+G24*$L$7+H24*$L$9</f>
        <v>0</v>
      </c>
      <c r="O24" s="150">
        <f t="shared" si="0"/>
        <v>0</v>
      </c>
    </row>
    <row r="25" spans="1:15" ht="28.5" customHeight="1" x14ac:dyDescent="0.3">
      <c r="A25" s="301" t="s">
        <v>160</v>
      </c>
      <c r="B25" s="190">
        <v>0</v>
      </c>
      <c r="C25" s="115">
        <v>0</v>
      </c>
      <c r="D25" s="190">
        <v>2</v>
      </c>
      <c r="E25" s="201">
        <f>L13</f>
        <v>0</v>
      </c>
      <c r="F25" s="190">
        <f t="shared" si="7"/>
        <v>0</v>
      </c>
      <c r="G25" s="190">
        <f t="shared" si="8"/>
        <v>0</v>
      </c>
      <c r="H25" s="190">
        <f t="shared" si="9"/>
        <v>0</v>
      </c>
      <c r="I25" s="199">
        <f>F25*$L$8+G25*$L$7+H25*$L$9</f>
        <v>0</v>
      </c>
      <c r="O25" s="150">
        <f t="shared" si="0"/>
        <v>0</v>
      </c>
    </row>
    <row r="26" spans="1:15" ht="49.5" customHeight="1" x14ac:dyDescent="0.3">
      <c r="A26" s="301" t="s">
        <v>400</v>
      </c>
      <c r="B26" s="190">
        <v>0</v>
      </c>
      <c r="C26" s="115">
        <v>0</v>
      </c>
      <c r="D26" s="190">
        <v>2</v>
      </c>
      <c r="E26" s="201">
        <f>L13</f>
        <v>0</v>
      </c>
      <c r="F26" s="190">
        <f t="shared" si="7"/>
        <v>0</v>
      </c>
      <c r="G26" s="190">
        <f t="shared" si="8"/>
        <v>0</v>
      </c>
      <c r="H26" s="190">
        <f t="shared" si="9"/>
        <v>0</v>
      </c>
      <c r="I26" s="199">
        <f>F26*$L$8+G26*$L$7+H26*$L$9</f>
        <v>0</v>
      </c>
      <c r="O26" s="150">
        <f t="shared" si="0"/>
        <v>0</v>
      </c>
    </row>
    <row r="27" spans="1:15" ht="39" x14ac:dyDescent="0.3">
      <c r="A27" s="301" t="s">
        <v>454</v>
      </c>
      <c r="B27" s="190">
        <v>0</v>
      </c>
      <c r="C27" s="115">
        <v>0</v>
      </c>
      <c r="D27" s="190">
        <f t="shared" ref="D27" si="10">B27*C27</f>
        <v>0</v>
      </c>
      <c r="E27" s="201">
        <f>L13</f>
        <v>0</v>
      </c>
      <c r="F27" s="190">
        <f t="shared" si="7"/>
        <v>0</v>
      </c>
      <c r="G27" s="190">
        <f t="shared" si="8"/>
        <v>0</v>
      </c>
      <c r="H27" s="190">
        <f t="shared" si="9"/>
        <v>0</v>
      </c>
      <c r="I27" s="197">
        <f>F27*$L$8+G27*$L$7+H27*$L$9</f>
        <v>0</v>
      </c>
      <c r="O27" s="150">
        <f t="shared" si="0"/>
        <v>0</v>
      </c>
    </row>
    <row r="28" spans="1:15" x14ac:dyDescent="0.3">
      <c r="A28" s="307" t="s">
        <v>163</v>
      </c>
      <c r="B28" s="193"/>
      <c r="C28" s="192"/>
      <c r="D28" s="193"/>
      <c r="E28" s="207"/>
      <c r="F28" s="193"/>
      <c r="G28" s="193"/>
      <c r="H28" s="193"/>
      <c r="I28" s="193"/>
      <c r="O28" s="150">
        <f t="shared" si="0"/>
        <v>0</v>
      </c>
    </row>
    <row r="29" spans="1:15" ht="26" x14ac:dyDescent="0.3">
      <c r="A29" s="301" t="s">
        <v>159</v>
      </c>
      <c r="B29" s="190">
        <v>2</v>
      </c>
      <c r="C29" s="115">
        <v>1</v>
      </c>
      <c r="D29" s="190">
        <v>2</v>
      </c>
      <c r="E29" s="201">
        <f>L16</f>
        <v>6</v>
      </c>
      <c r="F29" s="190">
        <f>D29*E29</f>
        <v>12</v>
      </c>
      <c r="G29" s="190">
        <f>F29*0.05</f>
        <v>0.60000000000000009</v>
      </c>
      <c r="H29" s="190">
        <f>F29*0.1</f>
        <v>1.2000000000000002</v>
      </c>
      <c r="I29" s="262">
        <f>F29*$L$8+G29*$L$7+H29*$L$9</f>
        <v>1706.1911999999998</v>
      </c>
      <c r="O29" s="150">
        <f t="shared" si="0"/>
        <v>6</v>
      </c>
    </row>
    <row r="30" spans="1:15" ht="26" x14ac:dyDescent="0.3">
      <c r="A30" s="301" t="s">
        <v>160</v>
      </c>
      <c r="B30" s="190">
        <v>2</v>
      </c>
      <c r="C30" s="115">
        <v>1</v>
      </c>
      <c r="D30" s="190">
        <v>2</v>
      </c>
      <c r="E30" s="201">
        <f>L16</f>
        <v>6</v>
      </c>
      <c r="F30" s="190">
        <f>D30*E30</f>
        <v>12</v>
      </c>
      <c r="G30" s="190">
        <f>F30*0.05</f>
        <v>0.60000000000000009</v>
      </c>
      <c r="H30" s="190">
        <f>F30*0.1</f>
        <v>1.2000000000000002</v>
      </c>
      <c r="I30" s="262">
        <f>F30*$L$8+G30*$L$7+H30*$L$9</f>
        <v>1706.1911999999998</v>
      </c>
      <c r="O30" s="150">
        <f t="shared" si="0"/>
        <v>6</v>
      </c>
    </row>
    <row r="31" spans="1:15" ht="26" x14ac:dyDescent="0.3">
      <c r="A31" s="301" t="s">
        <v>455</v>
      </c>
      <c r="B31" s="190">
        <v>2</v>
      </c>
      <c r="C31" s="115">
        <v>1</v>
      </c>
      <c r="D31" s="190">
        <v>2</v>
      </c>
      <c r="E31" s="201">
        <f>L16</f>
        <v>6</v>
      </c>
      <c r="F31" s="190">
        <f>D31*E31</f>
        <v>12</v>
      </c>
      <c r="G31" s="190">
        <f>F31*0.05</f>
        <v>0.60000000000000009</v>
      </c>
      <c r="H31" s="190">
        <f>F31*0.1</f>
        <v>1.2000000000000002</v>
      </c>
      <c r="I31" s="262">
        <f>F31*$L$8+G31*$L$7+H31*$L$9</f>
        <v>1706.1911999999998</v>
      </c>
      <c r="O31" s="150">
        <f t="shared" si="0"/>
        <v>6</v>
      </c>
    </row>
    <row r="32" spans="1:15" ht="39" x14ac:dyDescent="0.3">
      <c r="A32" s="301" t="s">
        <v>454</v>
      </c>
      <c r="B32" s="190">
        <v>2</v>
      </c>
      <c r="C32" s="115">
        <v>1</v>
      </c>
      <c r="D32" s="190">
        <f>B32*C32</f>
        <v>2</v>
      </c>
      <c r="E32" s="201">
        <f>L14</f>
        <v>80</v>
      </c>
      <c r="F32" s="190">
        <f t="shared" ref="F32" si="11">D32*E32</f>
        <v>160</v>
      </c>
      <c r="G32" s="190">
        <f t="shared" ref="G32" si="12">F32*0.05</f>
        <v>8</v>
      </c>
      <c r="H32" s="190">
        <f t="shared" ref="H32" si="13">F32*0.1</f>
        <v>16</v>
      </c>
      <c r="I32" s="262">
        <f>F32*$L$8+G32*$L$7+H32*$L$9</f>
        <v>22749.216</v>
      </c>
      <c r="O32" s="150">
        <f t="shared" si="0"/>
        <v>80</v>
      </c>
    </row>
    <row r="33" spans="1:16" ht="28" customHeight="1" x14ac:dyDescent="0.3">
      <c r="A33" s="208" t="s">
        <v>167</v>
      </c>
      <c r="B33" s="209"/>
      <c r="C33" s="210"/>
      <c r="D33" s="209"/>
      <c r="E33" s="211"/>
      <c r="F33" s="212">
        <f>SUM(F8:H32)</f>
        <v>951.97000000000025</v>
      </c>
      <c r="G33" s="212"/>
      <c r="H33" s="212"/>
      <c r="I33" s="213">
        <f>SUM(I8:I32)</f>
        <v>117698.75628</v>
      </c>
      <c r="O33" s="150">
        <f t="shared" si="0"/>
        <v>0</v>
      </c>
    </row>
    <row r="34" spans="1:16" ht="26" x14ac:dyDescent="0.3">
      <c r="A34" s="182" t="s">
        <v>168</v>
      </c>
      <c r="B34" s="193"/>
      <c r="C34" s="192"/>
      <c r="D34" s="193"/>
      <c r="E34" s="207"/>
      <c r="F34" s="193"/>
      <c r="G34" s="193"/>
      <c r="H34" s="193"/>
      <c r="I34" s="193"/>
      <c r="O34" s="150">
        <f t="shared" si="0"/>
        <v>0</v>
      </c>
    </row>
    <row r="35" spans="1:16" ht="26" x14ac:dyDescent="0.3">
      <c r="A35" s="301" t="s">
        <v>132</v>
      </c>
      <c r="B35" s="190"/>
      <c r="C35" s="192"/>
      <c r="D35" s="193"/>
      <c r="E35" s="192"/>
      <c r="F35" s="193"/>
      <c r="G35" s="193"/>
      <c r="H35" s="193"/>
      <c r="I35" s="193"/>
      <c r="O35" s="150">
        <f t="shared" si="0"/>
        <v>0</v>
      </c>
    </row>
    <row r="36" spans="1:16" x14ac:dyDescent="0.3">
      <c r="A36" s="301" t="s">
        <v>169</v>
      </c>
      <c r="B36" s="190"/>
      <c r="C36" s="192"/>
      <c r="D36" s="193"/>
      <c r="E36" s="192"/>
      <c r="F36" s="193"/>
      <c r="G36" s="193"/>
      <c r="H36" s="193"/>
      <c r="I36" s="193"/>
      <c r="O36" s="150">
        <f t="shared" si="0"/>
        <v>0</v>
      </c>
    </row>
    <row r="37" spans="1:16" x14ac:dyDescent="0.3">
      <c r="A37" s="301" t="s">
        <v>170</v>
      </c>
      <c r="B37" s="190"/>
      <c r="C37" s="192"/>
      <c r="D37" s="193"/>
      <c r="E37" s="192"/>
      <c r="F37" s="193"/>
      <c r="G37" s="193"/>
      <c r="H37" s="193"/>
      <c r="I37" s="193"/>
      <c r="O37" s="150">
        <f t="shared" si="0"/>
        <v>0</v>
      </c>
    </row>
    <row r="38" spans="1:16" x14ac:dyDescent="0.3">
      <c r="A38" s="301" t="s">
        <v>171</v>
      </c>
      <c r="B38" s="190" t="s">
        <v>122</v>
      </c>
      <c r="C38" s="192"/>
      <c r="D38" s="193"/>
      <c r="E38" s="192"/>
      <c r="F38" s="193"/>
      <c r="G38" s="193"/>
      <c r="H38" s="193"/>
      <c r="I38" s="193"/>
      <c r="O38" s="150">
        <f t="shared" si="0"/>
        <v>0</v>
      </c>
    </row>
    <row r="39" spans="1:16" ht="26" x14ac:dyDescent="0.3">
      <c r="A39" s="301" t="s">
        <v>172</v>
      </c>
      <c r="B39" s="193"/>
      <c r="C39" s="192"/>
      <c r="D39" s="193"/>
      <c r="E39" s="192"/>
      <c r="F39" s="193"/>
      <c r="G39" s="193"/>
      <c r="H39" s="193"/>
      <c r="I39" s="193"/>
      <c r="O39" s="150">
        <f t="shared" si="0"/>
        <v>0</v>
      </c>
    </row>
    <row r="40" spans="1:16" x14ac:dyDescent="0.3">
      <c r="A40" s="307" t="s">
        <v>163</v>
      </c>
      <c r="B40" s="193"/>
      <c r="C40" s="192"/>
      <c r="D40" s="193"/>
      <c r="E40" s="192"/>
      <c r="F40" s="193"/>
      <c r="G40" s="193"/>
      <c r="H40" s="193"/>
      <c r="I40" s="193"/>
      <c r="O40" s="150">
        <f t="shared" si="0"/>
        <v>0</v>
      </c>
    </row>
    <row r="41" spans="1:16" x14ac:dyDescent="0.3">
      <c r="A41" s="301" t="s">
        <v>173</v>
      </c>
      <c r="B41" s="190">
        <v>0.4</v>
      </c>
      <c r="C41" s="115">
        <v>1</v>
      </c>
      <c r="D41" s="190">
        <f t="shared" ref="D41:D46" si="14">B41*C41</f>
        <v>0.4</v>
      </c>
      <c r="E41" s="201">
        <f>$L$14</f>
        <v>80</v>
      </c>
      <c r="F41" s="202">
        <f t="shared" ref="F41:F46" si="15">D41*E41</f>
        <v>32</v>
      </c>
      <c r="G41" s="190">
        <f t="shared" ref="G41:G46" si="16">F41*0.05</f>
        <v>1.6</v>
      </c>
      <c r="H41" s="190">
        <f t="shared" ref="H41:H46" si="17">F41*0.1</f>
        <v>3.2</v>
      </c>
      <c r="I41" s="262">
        <f>F41*$L$8+G41*$L$7+H41*$L$9</f>
        <v>4549.8431999999993</v>
      </c>
      <c r="O41" s="150">
        <f t="shared" si="0"/>
        <v>80</v>
      </c>
    </row>
    <row r="42" spans="1:16" ht="88" customHeight="1" x14ac:dyDescent="0.3">
      <c r="A42" s="301" t="s">
        <v>456</v>
      </c>
      <c r="B42" s="190">
        <v>0.1</v>
      </c>
      <c r="C42" s="115">
        <v>330</v>
      </c>
      <c r="D42" s="190">
        <f t="shared" si="14"/>
        <v>33</v>
      </c>
      <c r="E42" s="201">
        <f>E41</f>
        <v>80</v>
      </c>
      <c r="F42" s="202">
        <f t="shared" si="15"/>
        <v>2640</v>
      </c>
      <c r="G42" s="190">
        <f t="shared" si="16"/>
        <v>132</v>
      </c>
      <c r="H42" s="190">
        <f t="shared" si="17"/>
        <v>264</v>
      </c>
      <c r="I42" s="262">
        <f>F42*$L$8+G42*$L$7+H42*$L$9</f>
        <v>375362.06399999995</v>
      </c>
      <c r="O42" s="150">
        <f t="shared" si="0"/>
        <v>26400</v>
      </c>
    </row>
    <row r="43" spans="1:16" x14ac:dyDescent="0.3">
      <c r="A43" s="307" t="s">
        <v>158</v>
      </c>
      <c r="B43" s="190"/>
      <c r="C43" s="115"/>
      <c r="D43" s="190"/>
      <c r="E43" s="201"/>
      <c r="F43" s="202"/>
      <c r="G43" s="190"/>
      <c r="H43" s="190"/>
      <c r="I43" s="199"/>
      <c r="O43" s="150">
        <f t="shared" si="0"/>
        <v>0</v>
      </c>
    </row>
    <row r="44" spans="1:16" x14ac:dyDescent="0.3">
      <c r="A44" s="301" t="s">
        <v>173</v>
      </c>
      <c r="B44" s="190">
        <v>0</v>
      </c>
      <c r="C44" s="115">
        <v>0</v>
      </c>
      <c r="D44" s="190">
        <f>B44*C44</f>
        <v>0</v>
      </c>
      <c r="E44" s="201">
        <f>L13</f>
        <v>0</v>
      </c>
      <c r="F44" s="202">
        <f t="shared" ref="F44:F45" si="18">D44*E44</f>
        <v>0</v>
      </c>
      <c r="G44" s="190">
        <f t="shared" ref="G44:G45" si="19">F44*0.05</f>
        <v>0</v>
      </c>
      <c r="H44" s="190">
        <f t="shared" ref="H44:H45" si="20">F44*0.1</f>
        <v>0</v>
      </c>
      <c r="I44" s="197">
        <f>F44*$L$8+G44*$L$7+H44*$L$9</f>
        <v>0</v>
      </c>
      <c r="O44" s="150">
        <f t="shared" si="0"/>
        <v>0</v>
      </c>
    </row>
    <row r="45" spans="1:16" ht="91" x14ac:dyDescent="0.3">
      <c r="A45" s="301" t="s">
        <v>456</v>
      </c>
      <c r="B45" s="190">
        <v>0</v>
      </c>
      <c r="C45" s="115">
        <v>0</v>
      </c>
      <c r="D45" s="190">
        <f t="shared" ref="D45" si="21">B45*C45</f>
        <v>0</v>
      </c>
      <c r="E45" s="201">
        <f>L13</f>
        <v>0</v>
      </c>
      <c r="F45" s="202">
        <f t="shared" si="18"/>
        <v>0</v>
      </c>
      <c r="G45" s="190">
        <f t="shared" si="19"/>
        <v>0</v>
      </c>
      <c r="H45" s="190">
        <f t="shared" si="20"/>
        <v>0</v>
      </c>
      <c r="I45" s="197">
        <f>F45*$L$8+G45*$L$7+H45*$L$9</f>
        <v>0</v>
      </c>
      <c r="O45" s="150">
        <f t="shared" si="0"/>
        <v>0</v>
      </c>
    </row>
    <row r="46" spans="1:16" x14ac:dyDescent="0.3">
      <c r="A46" s="301" t="s">
        <v>313</v>
      </c>
      <c r="B46" s="190">
        <v>0</v>
      </c>
      <c r="C46" s="115">
        <v>0</v>
      </c>
      <c r="D46" s="190">
        <f t="shared" si="14"/>
        <v>0</v>
      </c>
      <c r="E46" s="201">
        <f>$L$12</f>
        <v>0</v>
      </c>
      <c r="F46" s="202">
        <f t="shared" si="15"/>
        <v>0</v>
      </c>
      <c r="G46" s="190">
        <f t="shared" si="16"/>
        <v>0</v>
      </c>
      <c r="H46" s="190">
        <f t="shared" si="17"/>
        <v>0</v>
      </c>
      <c r="I46" s="197">
        <f>F46*$L$8+G46*$L$7+H46*$L$9</f>
        <v>0</v>
      </c>
      <c r="O46" s="150">
        <f t="shared" si="0"/>
        <v>0</v>
      </c>
    </row>
    <row r="47" spans="1:16" x14ac:dyDescent="0.3">
      <c r="A47" s="301" t="s">
        <v>186</v>
      </c>
      <c r="B47" s="190" t="s">
        <v>122</v>
      </c>
      <c r="C47" s="192"/>
      <c r="D47" s="193"/>
      <c r="E47" s="192"/>
      <c r="F47" s="193"/>
      <c r="G47" s="193"/>
      <c r="H47" s="193"/>
      <c r="I47" s="193"/>
      <c r="O47" s="150">
        <f t="shared" si="0"/>
        <v>0</v>
      </c>
    </row>
    <row r="48" spans="1:16" ht="33" customHeight="1" x14ac:dyDescent="0.3">
      <c r="A48" s="208" t="s">
        <v>188</v>
      </c>
      <c r="B48" s="214"/>
      <c r="C48" s="215"/>
      <c r="D48" s="214"/>
      <c r="E48" s="216"/>
      <c r="F48" s="212">
        <f>SUM(F41:H46)</f>
        <v>3072.8</v>
      </c>
      <c r="G48" s="212"/>
      <c r="H48" s="212"/>
      <c r="I48" s="213">
        <f>SUM(I41:I47)</f>
        <v>379911.90719999996</v>
      </c>
      <c r="O48" s="150">
        <f>SUM(O6:O47)</f>
        <v>28564.3</v>
      </c>
      <c r="P48" s="150" t="s">
        <v>248</v>
      </c>
    </row>
    <row r="49" spans="1:12" ht="28" x14ac:dyDescent="0.3">
      <c r="A49" s="184" t="s">
        <v>189</v>
      </c>
      <c r="B49" s="217"/>
      <c r="C49" s="218"/>
      <c r="D49" s="217"/>
      <c r="E49" s="219"/>
      <c r="F49" s="481">
        <f>ROUND(F48+F33, -2)</f>
        <v>4000</v>
      </c>
      <c r="G49" s="481"/>
      <c r="H49" s="481"/>
      <c r="I49" s="220">
        <f>ROUND(I48+I33, -4)</f>
        <v>500000</v>
      </c>
      <c r="K49" s="221">
        <f>F49/212</f>
        <v>18.867924528301888</v>
      </c>
      <c r="L49" s="150" t="s">
        <v>190</v>
      </c>
    </row>
    <row r="50" spans="1:12" ht="28" x14ac:dyDescent="0.3">
      <c r="A50" s="222" t="s">
        <v>191</v>
      </c>
      <c r="B50" s="193"/>
      <c r="C50" s="192"/>
      <c r="D50" s="193"/>
      <c r="E50" s="192"/>
      <c r="F50" s="193"/>
      <c r="G50" s="193"/>
      <c r="H50" s="193"/>
      <c r="I50" s="220">
        <v>0</v>
      </c>
    </row>
    <row r="51" spans="1:12" ht="15" x14ac:dyDescent="0.3">
      <c r="A51" s="222" t="s">
        <v>192</v>
      </c>
      <c r="B51" s="193"/>
      <c r="C51" s="192"/>
      <c r="D51" s="193"/>
      <c r="E51" s="192"/>
      <c r="F51" s="193"/>
      <c r="G51" s="193"/>
      <c r="H51" s="193"/>
      <c r="I51" s="220">
        <f>ROUND(I49+I50, -5)</f>
        <v>500000</v>
      </c>
    </row>
    <row r="52" spans="1:12" ht="10.5" customHeight="1" x14ac:dyDescent="0.3"/>
    <row r="53" spans="1:12" ht="24.65" customHeight="1" x14ac:dyDescent="0.3">
      <c r="A53" s="482" t="s">
        <v>457</v>
      </c>
      <c r="B53" s="482"/>
      <c r="C53" s="482"/>
      <c r="D53" s="482"/>
      <c r="E53" s="482"/>
      <c r="F53" s="482"/>
      <c r="G53" s="482"/>
      <c r="H53" s="482"/>
      <c r="I53" s="482"/>
    </row>
    <row r="54" spans="1:12" ht="87.65" customHeight="1" x14ac:dyDescent="0.3">
      <c r="A54" s="503" t="s">
        <v>194</v>
      </c>
      <c r="B54" s="503"/>
      <c r="C54" s="503"/>
      <c r="D54" s="503"/>
      <c r="E54" s="503"/>
      <c r="F54" s="503"/>
      <c r="G54" s="503"/>
      <c r="H54" s="503"/>
      <c r="I54" s="503"/>
    </row>
    <row r="55" spans="1:12" ht="17.149999999999999" customHeight="1" x14ac:dyDescent="0.3">
      <c r="A55" s="482" t="s">
        <v>458</v>
      </c>
      <c r="B55" s="482"/>
      <c r="C55" s="482"/>
      <c r="D55" s="482"/>
      <c r="E55" s="482"/>
      <c r="F55" s="482"/>
      <c r="G55" s="482"/>
      <c r="H55" s="482"/>
      <c r="I55" s="482"/>
    </row>
    <row r="56" spans="1:12" ht="29.15" customHeight="1" x14ac:dyDescent="0.3">
      <c r="A56" s="483" t="s">
        <v>459</v>
      </c>
      <c r="B56" s="483"/>
      <c r="C56" s="483"/>
      <c r="D56" s="483"/>
      <c r="E56" s="483"/>
      <c r="F56" s="483"/>
      <c r="G56" s="483"/>
      <c r="H56" s="483"/>
      <c r="I56" s="483"/>
    </row>
    <row r="57" spans="1:12" ht="15.5" x14ac:dyDescent="0.3">
      <c r="A57" s="500" t="s">
        <v>460</v>
      </c>
      <c r="B57" s="500"/>
      <c r="C57" s="500"/>
      <c r="D57" s="500"/>
      <c r="E57" s="500"/>
      <c r="F57" s="500"/>
      <c r="G57" s="500"/>
      <c r="H57" s="500"/>
      <c r="I57" s="500"/>
    </row>
    <row r="58" spans="1:12" ht="18.75" customHeight="1" x14ac:dyDescent="0.3">
      <c r="A58" s="479" t="s">
        <v>198</v>
      </c>
      <c r="B58" s="479"/>
      <c r="C58" s="479"/>
      <c r="D58" s="479"/>
      <c r="E58" s="479"/>
      <c r="F58" s="479"/>
      <c r="G58" s="479"/>
      <c r="H58" s="479"/>
      <c r="I58" s="479"/>
    </row>
    <row r="59" spans="1:12" ht="49" customHeight="1" x14ac:dyDescent="0.3">
      <c r="A59" s="479" t="s">
        <v>516</v>
      </c>
      <c r="B59" s="479"/>
      <c r="C59" s="479"/>
      <c r="D59" s="479"/>
      <c r="E59" s="479"/>
      <c r="F59" s="479"/>
      <c r="G59" s="479"/>
      <c r="H59" s="479"/>
      <c r="I59" s="479"/>
    </row>
  </sheetData>
  <mergeCells count="11">
    <mergeCell ref="A1:I1"/>
    <mergeCell ref="A3:I3"/>
    <mergeCell ref="A59:I59"/>
    <mergeCell ref="K6:L6"/>
    <mergeCell ref="F49:H49"/>
    <mergeCell ref="A53:I53"/>
    <mergeCell ref="A54:I54"/>
    <mergeCell ref="A55:I55"/>
    <mergeCell ref="A56:I56"/>
    <mergeCell ref="A57:I57"/>
    <mergeCell ref="A58:I58"/>
  </mergeCells>
  <pageMargins left="0.7" right="0.7" top="0.75" bottom="0.75" header="0.3" footer="0.3"/>
  <pageSetup scale="4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3F1E-93CA-46FA-9AEA-B0311AE112E6}">
  <sheetPr>
    <pageSetUpPr fitToPage="1"/>
  </sheetPr>
  <dimension ref="A1:P59"/>
  <sheetViews>
    <sheetView zoomScale="80" zoomScaleNormal="80" workbookViewId="0">
      <pane xSplit="13" ySplit="5" topLeftCell="N33" activePane="bottomRight" state="frozen"/>
      <selection activeCell="A60" sqref="A5:I60"/>
      <selection pane="topRight" activeCell="A60" sqref="A5:I60"/>
      <selection pane="bottomLeft" activeCell="A60" sqref="A5:I60"/>
      <selection pane="bottomRight" activeCell="I41" sqref="I41"/>
    </sheetView>
  </sheetViews>
  <sheetFormatPr defaultColWidth="9.1796875" defaultRowHeight="13" x14ac:dyDescent="0.3"/>
  <cols>
    <col min="1" max="1" width="28.542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52.1796875" style="150" customWidth="1"/>
    <col min="14" max="14" width="6.453125" style="150" customWidth="1"/>
    <col min="15" max="15" width="14.1796875" style="150" customWidth="1"/>
    <col min="16" max="16384" width="9.1796875" style="150"/>
  </cols>
  <sheetData>
    <row r="1" spans="1:15" s="188" customFormat="1" ht="21" customHeight="1" x14ac:dyDescent="0.3">
      <c r="A1" s="462" t="s">
        <v>442</v>
      </c>
      <c r="B1" s="462"/>
      <c r="C1" s="462"/>
      <c r="D1" s="462"/>
      <c r="E1" s="462"/>
      <c r="F1" s="462"/>
      <c r="G1" s="462"/>
      <c r="H1" s="462"/>
      <c r="I1" s="462"/>
    </row>
    <row r="2" spans="1:15" s="188" customFormat="1" ht="15" x14ac:dyDescent="0.3">
      <c r="A2" s="423" t="s">
        <v>90</v>
      </c>
      <c r="B2" s="423"/>
      <c r="C2" s="423"/>
      <c r="D2" s="423"/>
      <c r="E2" s="423"/>
      <c r="F2" s="423"/>
      <c r="G2" s="423"/>
      <c r="H2" s="423"/>
      <c r="I2" s="423"/>
    </row>
    <row r="3" spans="1:15" s="188" customFormat="1" ht="33" customHeight="1" x14ac:dyDescent="0.3">
      <c r="A3" s="462" t="s">
        <v>461</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32.15" customHeight="1" x14ac:dyDescent="0.3">
      <c r="A7" s="182" t="s">
        <v>124</v>
      </c>
      <c r="B7" s="190" t="s">
        <v>122</v>
      </c>
      <c r="C7" s="192"/>
      <c r="D7" s="193"/>
      <c r="E7" s="192"/>
      <c r="F7" s="193"/>
      <c r="G7" s="193"/>
      <c r="H7" s="193"/>
      <c r="I7" s="193"/>
      <c r="K7" s="194" t="s">
        <v>125</v>
      </c>
      <c r="L7" s="195">
        <f>76.96*2.1</f>
        <v>161.61599999999999</v>
      </c>
      <c r="M7" s="196" t="s">
        <v>126</v>
      </c>
      <c r="O7" s="150">
        <f t="shared" ref="O7:O47" si="0">C7*E7</f>
        <v>0</v>
      </c>
    </row>
    <row r="8" spans="1:15"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O8" s="150">
        <f t="shared" si="0"/>
        <v>0</v>
      </c>
    </row>
    <row r="9" spans="1:15" x14ac:dyDescent="0.3">
      <c r="A9" s="182" t="s">
        <v>129</v>
      </c>
      <c r="B9" s="190"/>
      <c r="C9" s="115"/>
      <c r="D9" s="190"/>
      <c r="E9" s="115"/>
      <c r="F9" s="190"/>
      <c r="G9" s="190"/>
      <c r="H9" s="190"/>
      <c r="I9" s="193"/>
      <c r="K9" s="194" t="s">
        <v>130</v>
      </c>
      <c r="L9" s="195">
        <f>30.58*2.1</f>
        <v>64.218000000000004</v>
      </c>
      <c r="M9" s="198"/>
      <c r="O9" s="150">
        <f t="shared" si="0"/>
        <v>0</v>
      </c>
    </row>
    <row r="10" spans="1:15" ht="26" x14ac:dyDescent="0.3">
      <c r="A10" s="301" t="s">
        <v>132</v>
      </c>
      <c r="B10" s="190">
        <v>0</v>
      </c>
      <c r="C10" s="115">
        <v>0</v>
      </c>
      <c r="D10" s="190">
        <f>B10*C10</f>
        <v>0</v>
      </c>
      <c r="E10" s="115">
        <v>0</v>
      </c>
      <c r="F10" s="190">
        <f>D10*E10</f>
        <v>0</v>
      </c>
      <c r="G10" s="190">
        <f>F10*0.05</f>
        <v>0</v>
      </c>
      <c r="H10" s="190">
        <f>F10*0.1</f>
        <v>0</v>
      </c>
      <c r="I10" s="199">
        <f>F10*$L$8+G10*$L$7+H10*$L$9</f>
        <v>0</v>
      </c>
      <c r="K10" s="420"/>
      <c r="O10" s="150">
        <f t="shared" si="0"/>
        <v>0</v>
      </c>
    </row>
    <row r="11" spans="1:15" ht="15.75" customHeight="1" x14ac:dyDescent="0.3">
      <c r="A11" s="301" t="s">
        <v>133</v>
      </c>
      <c r="B11" s="190"/>
      <c r="C11" s="115"/>
      <c r="D11" s="190"/>
      <c r="E11" s="115"/>
      <c r="F11" s="190"/>
      <c r="G11" s="190"/>
      <c r="H11" s="190"/>
      <c r="I11" s="199"/>
      <c r="K11" s="200"/>
      <c r="L11" s="200" t="s">
        <v>444</v>
      </c>
      <c r="O11" s="150">
        <f t="shared" si="0"/>
        <v>0</v>
      </c>
    </row>
    <row r="12" spans="1:15" ht="15.5" x14ac:dyDescent="0.3">
      <c r="A12" s="306" t="s">
        <v>290</v>
      </c>
      <c r="B12" s="190"/>
      <c r="C12" s="115"/>
      <c r="D12" s="190"/>
      <c r="E12" s="201"/>
      <c r="F12" s="202"/>
      <c r="G12" s="190"/>
      <c r="H12" s="190"/>
      <c r="I12" s="199"/>
      <c r="K12" s="200"/>
      <c r="L12" s="200">
        <v>0</v>
      </c>
      <c r="O12" s="150">
        <f t="shared" si="0"/>
        <v>0</v>
      </c>
    </row>
    <row r="13" spans="1:15" ht="59.5" customHeight="1" x14ac:dyDescent="0.3">
      <c r="A13" s="116" t="s">
        <v>445</v>
      </c>
      <c r="B13" s="190">
        <v>0</v>
      </c>
      <c r="C13" s="115">
        <v>0</v>
      </c>
      <c r="D13" s="190">
        <f>B13*C13</f>
        <v>0</v>
      </c>
      <c r="E13" s="201">
        <f>L13</f>
        <v>0</v>
      </c>
      <c r="F13" s="202">
        <f>D13*E13</f>
        <v>0</v>
      </c>
      <c r="G13" s="190">
        <f>F13*0.05</f>
        <v>0</v>
      </c>
      <c r="H13" s="190">
        <f>F13*0.1</f>
        <v>0</v>
      </c>
      <c r="I13" s="199">
        <f>F13*$L$8+G13*$L$7+H13*$L$9</f>
        <v>0</v>
      </c>
      <c r="K13" s="200" t="s">
        <v>136</v>
      </c>
      <c r="L13" s="200">
        <v>0</v>
      </c>
      <c r="M13" s="264" t="s">
        <v>446</v>
      </c>
      <c r="O13" s="150">
        <f t="shared" si="0"/>
        <v>0</v>
      </c>
    </row>
    <row r="14" spans="1:15" x14ac:dyDescent="0.3">
      <c r="A14" s="116" t="s">
        <v>293</v>
      </c>
      <c r="B14" s="190">
        <v>0</v>
      </c>
      <c r="C14" s="115">
        <v>0</v>
      </c>
      <c r="D14" s="190">
        <f t="shared" ref="D14" si="1">B14*C14</f>
        <v>0</v>
      </c>
      <c r="E14" s="201">
        <f>E13*0.05</f>
        <v>0</v>
      </c>
      <c r="F14" s="202">
        <f t="shared" ref="F14:F19" si="2">D14*E14</f>
        <v>0</v>
      </c>
      <c r="G14" s="190">
        <f t="shared" ref="G14:G19" si="3">F14*0.05</f>
        <v>0</v>
      </c>
      <c r="H14" s="190">
        <f t="shared" ref="H14:H19" si="4">F14*0.1</f>
        <v>0</v>
      </c>
      <c r="I14" s="199">
        <f t="shared" ref="I14:I19" si="5">F14*$L$8+G14*$L$7+H14*$L$9</f>
        <v>0</v>
      </c>
      <c r="J14" s="420"/>
      <c r="K14" s="200" t="s">
        <v>141</v>
      </c>
      <c r="L14" s="200">
        <v>80</v>
      </c>
      <c r="M14" s="420" t="s">
        <v>447</v>
      </c>
      <c r="O14" s="150">
        <f t="shared" si="0"/>
        <v>0</v>
      </c>
    </row>
    <row r="15" spans="1:15" ht="57" customHeight="1" x14ac:dyDescent="0.3">
      <c r="A15" s="306" t="s">
        <v>297</v>
      </c>
      <c r="B15" s="190"/>
      <c r="C15" s="115"/>
      <c r="D15" s="190"/>
      <c r="E15" s="115"/>
      <c r="F15" s="202"/>
      <c r="G15" s="190"/>
      <c r="H15" s="190"/>
      <c r="I15" s="199"/>
      <c r="K15" s="420" t="s">
        <v>448</v>
      </c>
      <c r="L15" s="420">
        <v>74</v>
      </c>
      <c r="M15" s="420" t="s">
        <v>449</v>
      </c>
      <c r="O15" s="150">
        <f t="shared" si="0"/>
        <v>0</v>
      </c>
    </row>
    <row r="16" spans="1:15" ht="26" x14ac:dyDescent="0.3">
      <c r="A16" s="301" t="s">
        <v>445</v>
      </c>
      <c r="B16" s="190">
        <v>0</v>
      </c>
      <c r="C16" s="115">
        <v>0</v>
      </c>
      <c r="D16" s="190">
        <f>B16*C16</f>
        <v>0</v>
      </c>
      <c r="E16" s="201">
        <v>0</v>
      </c>
      <c r="F16" s="202">
        <f t="shared" si="2"/>
        <v>0</v>
      </c>
      <c r="G16" s="190">
        <f t="shared" si="3"/>
        <v>0</v>
      </c>
      <c r="H16" s="190">
        <f t="shared" si="4"/>
        <v>0</v>
      </c>
      <c r="I16" s="199">
        <f t="shared" si="5"/>
        <v>0</v>
      </c>
      <c r="J16" s="203"/>
      <c r="K16" s="420" t="s">
        <v>450</v>
      </c>
      <c r="L16" s="150">
        <v>6</v>
      </c>
      <c r="M16" s="420" t="s">
        <v>451</v>
      </c>
      <c r="N16" s="420"/>
      <c r="O16" s="150">
        <f t="shared" si="0"/>
        <v>0</v>
      </c>
    </row>
    <row r="17" spans="1:15" x14ac:dyDescent="0.3">
      <c r="A17" s="301" t="s">
        <v>300</v>
      </c>
      <c r="B17" s="190">
        <v>0</v>
      </c>
      <c r="C17" s="115">
        <v>0</v>
      </c>
      <c r="D17" s="190">
        <f t="shared" ref="D17" si="6">B17*C17</f>
        <v>0</v>
      </c>
      <c r="E17" s="201">
        <f>E16*0.05</f>
        <v>0</v>
      </c>
      <c r="F17" s="202">
        <f t="shared" si="2"/>
        <v>0</v>
      </c>
      <c r="G17" s="190">
        <f t="shared" si="3"/>
        <v>0</v>
      </c>
      <c r="H17" s="190">
        <f t="shared" si="4"/>
        <v>0</v>
      </c>
      <c r="I17" s="199">
        <f t="shared" si="5"/>
        <v>0</v>
      </c>
      <c r="J17" s="203"/>
      <c r="O17" s="150">
        <f t="shared" si="0"/>
        <v>0</v>
      </c>
    </row>
    <row r="18" spans="1:15" ht="28.5" x14ac:dyDescent="0.3">
      <c r="A18" s="306" t="s">
        <v>151</v>
      </c>
      <c r="B18" s="204"/>
      <c r="C18" s="205"/>
      <c r="D18" s="204"/>
      <c r="E18" s="206"/>
      <c r="F18" s="202"/>
      <c r="G18" s="190"/>
      <c r="H18" s="190"/>
      <c r="I18" s="199"/>
      <c r="O18" s="150">
        <f t="shared" si="0"/>
        <v>0</v>
      </c>
    </row>
    <row r="19" spans="1:15" ht="29" x14ac:dyDescent="0.3">
      <c r="A19" s="301" t="s">
        <v>452</v>
      </c>
      <c r="B19" s="190">
        <v>0.3</v>
      </c>
      <c r="C19" s="115">
        <v>330</v>
      </c>
      <c r="D19" s="190">
        <f>B19*C19</f>
        <v>99</v>
      </c>
      <c r="E19" s="201">
        <f>L13+L16</f>
        <v>6</v>
      </c>
      <c r="F19" s="202">
        <f t="shared" si="2"/>
        <v>594</v>
      </c>
      <c r="G19" s="190">
        <f t="shared" si="3"/>
        <v>29.700000000000003</v>
      </c>
      <c r="H19" s="190">
        <f t="shared" si="4"/>
        <v>59.400000000000006</v>
      </c>
      <c r="I19" s="262">
        <f t="shared" si="5"/>
        <v>84456.464399999997</v>
      </c>
      <c r="N19" s="203"/>
      <c r="O19" s="150">
        <f t="shared" si="0"/>
        <v>1980</v>
      </c>
    </row>
    <row r="20" spans="1:15" ht="26" x14ac:dyDescent="0.3">
      <c r="A20" s="301" t="s">
        <v>155</v>
      </c>
      <c r="B20" s="190"/>
      <c r="C20" s="192"/>
      <c r="D20" s="193"/>
      <c r="E20" s="207"/>
      <c r="F20" s="193"/>
      <c r="G20" s="193"/>
      <c r="H20" s="193"/>
      <c r="I20" s="193"/>
      <c r="N20" s="203"/>
      <c r="O20" s="150">
        <f t="shared" si="0"/>
        <v>0</v>
      </c>
    </row>
    <row r="21" spans="1:15" ht="26" x14ac:dyDescent="0.3">
      <c r="A21" s="301" t="s">
        <v>156</v>
      </c>
      <c r="B21" s="190"/>
      <c r="C21" s="192"/>
      <c r="D21" s="193"/>
      <c r="E21" s="207"/>
      <c r="F21" s="193"/>
      <c r="G21" s="193"/>
      <c r="H21" s="193"/>
      <c r="I21" s="193"/>
      <c r="N21" s="203"/>
      <c r="O21" s="150">
        <f t="shared" si="0"/>
        <v>0</v>
      </c>
    </row>
    <row r="22" spans="1:15" x14ac:dyDescent="0.3">
      <c r="A22" s="301" t="s">
        <v>157</v>
      </c>
      <c r="B22" s="193"/>
      <c r="C22" s="192"/>
      <c r="D22" s="193"/>
      <c r="E22" s="207"/>
      <c r="F22" s="193"/>
      <c r="G22" s="193"/>
      <c r="H22" s="193"/>
      <c r="I22" s="193"/>
      <c r="O22" s="150">
        <f t="shared" si="0"/>
        <v>0</v>
      </c>
    </row>
    <row r="23" spans="1:15" x14ac:dyDescent="0.3">
      <c r="A23" s="307" t="s">
        <v>158</v>
      </c>
      <c r="B23" s="190"/>
      <c r="C23" s="115"/>
      <c r="D23" s="190"/>
      <c r="E23" s="201"/>
      <c r="F23" s="190"/>
      <c r="G23" s="190"/>
      <c r="H23" s="190"/>
      <c r="I23" s="199"/>
      <c r="O23" s="150">
        <f t="shared" si="0"/>
        <v>0</v>
      </c>
    </row>
    <row r="24" spans="1:15" ht="26" x14ac:dyDescent="0.3">
      <c r="A24" s="301" t="s">
        <v>159</v>
      </c>
      <c r="B24" s="190">
        <v>0</v>
      </c>
      <c r="C24" s="115">
        <v>0</v>
      </c>
      <c r="D24" s="190">
        <f t="shared" ref="D24:D26" si="7">B24*C24</f>
        <v>0</v>
      </c>
      <c r="E24" s="201">
        <f>L13</f>
        <v>0</v>
      </c>
      <c r="F24" s="190">
        <f t="shared" ref="F24:F27" si="8">D24*E24</f>
        <v>0</v>
      </c>
      <c r="G24" s="190">
        <f t="shared" ref="G24:G27" si="9">F24*0.05</f>
        <v>0</v>
      </c>
      <c r="H24" s="190">
        <f t="shared" ref="H24:H27" si="10">F24*0.1</f>
        <v>0</v>
      </c>
      <c r="I24" s="199">
        <f>F24*$L$8+G24*$L$7+H24*$L$9</f>
        <v>0</v>
      </c>
      <c r="O24" s="150">
        <f t="shared" si="0"/>
        <v>0</v>
      </c>
    </row>
    <row r="25" spans="1:15" ht="27.65" customHeight="1" x14ac:dyDescent="0.3">
      <c r="A25" s="301" t="s">
        <v>160</v>
      </c>
      <c r="B25" s="190">
        <v>0</v>
      </c>
      <c r="C25" s="115">
        <v>0</v>
      </c>
      <c r="D25" s="190">
        <f t="shared" si="7"/>
        <v>0</v>
      </c>
      <c r="E25" s="201">
        <f>L13</f>
        <v>0</v>
      </c>
      <c r="F25" s="190">
        <f t="shared" si="8"/>
        <v>0</v>
      </c>
      <c r="G25" s="190">
        <f t="shared" si="9"/>
        <v>0</v>
      </c>
      <c r="H25" s="190">
        <f t="shared" si="10"/>
        <v>0</v>
      </c>
      <c r="I25" s="199">
        <f>F25*$L$8+G25*$L$7+H25*$L$9</f>
        <v>0</v>
      </c>
      <c r="O25" s="150">
        <f t="shared" si="0"/>
        <v>0</v>
      </c>
    </row>
    <row r="26" spans="1:15" x14ac:dyDescent="0.3">
      <c r="A26" s="301" t="s">
        <v>453</v>
      </c>
      <c r="B26" s="190">
        <v>0</v>
      </c>
      <c r="C26" s="115">
        <v>0</v>
      </c>
      <c r="D26" s="190">
        <f t="shared" si="7"/>
        <v>0</v>
      </c>
      <c r="E26" s="201">
        <f>L13</f>
        <v>0</v>
      </c>
      <c r="F26" s="190">
        <f t="shared" si="8"/>
        <v>0</v>
      </c>
      <c r="G26" s="190">
        <f t="shared" si="9"/>
        <v>0</v>
      </c>
      <c r="H26" s="190">
        <f t="shared" si="10"/>
        <v>0</v>
      </c>
      <c r="I26" s="199">
        <f>F26*$L$8+G26*$L$7+H26*$L$9</f>
        <v>0</v>
      </c>
      <c r="O26" s="150">
        <f t="shared" si="0"/>
        <v>0</v>
      </c>
    </row>
    <row r="27" spans="1:15" ht="84.65" customHeight="1" x14ac:dyDescent="0.3">
      <c r="A27" s="301" t="s">
        <v>454</v>
      </c>
      <c r="B27" s="190">
        <v>0</v>
      </c>
      <c r="C27" s="115">
        <v>0</v>
      </c>
      <c r="D27" s="190">
        <f t="shared" ref="D27" si="11">B27*C27</f>
        <v>0</v>
      </c>
      <c r="E27" s="201">
        <f>L13</f>
        <v>0</v>
      </c>
      <c r="F27" s="190">
        <f t="shared" si="8"/>
        <v>0</v>
      </c>
      <c r="G27" s="190">
        <f t="shared" si="9"/>
        <v>0</v>
      </c>
      <c r="H27" s="190">
        <f t="shared" si="10"/>
        <v>0</v>
      </c>
      <c r="I27" s="197">
        <f>F27*$L$8+G27*$L$7+H27*$L$9</f>
        <v>0</v>
      </c>
      <c r="O27" s="150">
        <f t="shared" si="0"/>
        <v>0</v>
      </c>
    </row>
    <row r="28" spans="1:15" x14ac:dyDescent="0.3">
      <c r="A28" s="307" t="s">
        <v>163</v>
      </c>
      <c r="B28" s="193"/>
      <c r="C28" s="192"/>
      <c r="D28" s="193"/>
      <c r="E28" s="207"/>
      <c r="F28" s="193"/>
      <c r="G28" s="193"/>
      <c r="H28" s="193"/>
      <c r="I28" s="193"/>
      <c r="O28" s="150">
        <f t="shared" si="0"/>
        <v>0</v>
      </c>
    </row>
    <row r="29" spans="1:15" ht="26" x14ac:dyDescent="0.3">
      <c r="A29" s="301" t="s">
        <v>159</v>
      </c>
      <c r="B29" s="190">
        <v>2</v>
      </c>
      <c r="C29" s="115">
        <v>1</v>
      </c>
      <c r="D29" s="190">
        <v>2</v>
      </c>
      <c r="E29" s="201">
        <f>L16</f>
        <v>6</v>
      </c>
      <c r="F29" s="190">
        <f>D29*E29</f>
        <v>12</v>
      </c>
      <c r="G29" s="190">
        <f>F29*0.05</f>
        <v>0.60000000000000009</v>
      </c>
      <c r="H29" s="190">
        <f>F29*0.1</f>
        <v>1.2000000000000002</v>
      </c>
      <c r="I29" s="262">
        <f>F29*$L$8+G29*$L$7+H29*$L$9</f>
        <v>1706.1911999999998</v>
      </c>
      <c r="O29" s="150">
        <f t="shared" si="0"/>
        <v>6</v>
      </c>
    </row>
    <row r="30" spans="1:15" ht="26" x14ac:dyDescent="0.3">
      <c r="A30" s="301" t="s">
        <v>160</v>
      </c>
      <c r="B30" s="190">
        <v>2</v>
      </c>
      <c r="C30" s="115">
        <v>1</v>
      </c>
      <c r="D30" s="190">
        <v>2</v>
      </c>
      <c r="E30" s="201">
        <f>L16</f>
        <v>6</v>
      </c>
      <c r="F30" s="190">
        <f>D30*E30</f>
        <v>12</v>
      </c>
      <c r="G30" s="190">
        <f>F30*0.05</f>
        <v>0.60000000000000009</v>
      </c>
      <c r="H30" s="190">
        <f>F30*0.1</f>
        <v>1.2000000000000002</v>
      </c>
      <c r="I30" s="262">
        <f>F30*$L$8+G30*$L$7+H30*$L$9</f>
        <v>1706.1911999999998</v>
      </c>
      <c r="O30" s="150">
        <f t="shared" si="0"/>
        <v>6</v>
      </c>
    </row>
    <row r="31" spans="1:15" ht="26" x14ac:dyDescent="0.3">
      <c r="A31" s="301" t="s">
        <v>455</v>
      </c>
      <c r="B31" s="190">
        <v>2</v>
      </c>
      <c r="C31" s="115">
        <v>1</v>
      </c>
      <c r="D31" s="190">
        <v>2</v>
      </c>
      <c r="E31" s="201">
        <f>L16</f>
        <v>6</v>
      </c>
      <c r="F31" s="190">
        <f>D31*E31</f>
        <v>12</v>
      </c>
      <c r="G31" s="190">
        <f>F31*0.05</f>
        <v>0.60000000000000009</v>
      </c>
      <c r="H31" s="190">
        <f>F31*0.1</f>
        <v>1.2000000000000002</v>
      </c>
      <c r="I31" s="262">
        <f>F31*$L$8+G31*$L$7+H31*$L$9</f>
        <v>1706.1911999999998</v>
      </c>
      <c r="O31" s="150">
        <f t="shared" si="0"/>
        <v>6</v>
      </c>
    </row>
    <row r="32" spans="1:15" ht="83.15" customHeight="1" x14ac:dyDescent="0.3">
      <c r="A32" s="301" t="s">
        <v>454</v>
      </c>
      <c r="B32" s="190">
        <v>2</v>
      </c>
      <c r="C32" s="115">
        <v>1</v>
      </c>
      <c r="D32" s="190">
        <f t="shared" ref="D32" si="12">B32*C32</f>
        <v>2</v>
      </c>
      <c r="E32" s="201">
        <f>L14</f>
        <v>80</v>
      </c>
      <c r="F32" s="190">
        <f t="shared" ref="F32" si="13">D32*E32</f>
        <v>160</v>
      </c>
      <c r="G32" s="190">
        <f t="shared" ref="G32" si="14">F32*0.05</f>
        <v>8</v>
      </c>
      <c r="H32" s="190">
        <f t="shared" ref="H32" si="15">F32*0.1</f>
        <v>16</v>
      </c>
      <c r="I32" s="262">
        <f>F32*$L$8+G32*$L$7+H32*$L$9</f>
        <v>22749.216</v>
      </c>
      <c r="O32" s="150">
        <f t="shared" si="0"/>
        <v>80</v>
      </c>
    </row>
    <row r="33" spans="1:16" ht="30" customHeight="1" x14ac:dyDescent="0.3">
      <c r="A33" s="208" t="s">
        <v>167</v>
      </c>
      <c r="B33" s="209"/>
      <c r="C33" s="210"/>
      <c r="D33" s="209"/>
      <c r="E33" s="211"/>
      <c r="F33" s="212">
        <f>SUM(F8:H32)</f>
        <v>908.50000000000023</v>
      </c>
      <c r="G33" s="212"/>
      <c r="H33" s="212"/>
      <c r="I33" s="213">
        <f>SUM(I8:I32)</f>
        <v>112324.254</v>
      </c>
      <c r="O33" s="150">
        <f t="shared" si="0"/>
        <v>0</v>
      </c>
    </row>
    <row r="34" spans="1:16" ht="26" x14ac:dyDescent="0.3">
      <c r="A34" s="182" t="s">
        <v>168</v>
      </c>
      <c r="B34" s="193"/>
      <c r="C34" s="192"/>
      <c r="D34" s="193"/>
      <c r="E34" s="207"/>
      <c r="F34" s="193"/>
      <c r="G34" s="193"/>
      <c r="H34" s="193"/>
      <c r="I34" s="193"/>
      <c r="O34" s="150">
        <f t="shared" si="0"/>
        <v>0</v>
      </c>
    </row>
    <row r="35" spans="1:16" ht="26" x14ac:dyDescent="0.3">
      <c r="A35" s="301" t="s">
        <v>132</v>
      </c>
      <c r="B35" s="190"/>
      <c r="C35" s="192"/>
      <c r="D35" s="193"/>
      <c r="E35" s="192"/>
      <c r="F35" s="193"/>
      <c r="G35" s="193"/>
      <c r="H35" s="193"/>
      <c r="I35" s="193"/>
      <c r="O35" s="150">
        <f t="shared" si="0"/>
        <v>0</v>
      </c>
    </row>
    <row r="36" spans="1:16" x14ac:dyDescent="0.3">
      <c r="A36" s="301" t="s">
        <v>169</v>
      </c>
      <c r="B36" s="190"/>
      <c r="C36" s="192"/>
      <c r="D36" s="193"/>
      <c r="E36" s="192"/>
      <c r="F36" s="193"/>
      <c r="G36" s="193"/>
      <c r="H36" s="193"/>
      <c r="I36" s="193"/>
      <c r="O36" s="150">
        <f t="shared" si="0"/>
        <v>0</v>
      </c>
    </row>
    <row r="37" spans="1:16" x14ac:dyDescent="0.3">
      <c r="A37" s="301" t="s">
        <v>170</v>
      </c>
      <c r="B37" s="190"/>
      <c r="C37" s="192"/>
      <c r="D37" s="193"/>
      <c r="E37" s="192"/>
      <c r="F37" s="193"/>
      <c r="G37" s="193"/>
      <c r="H37" s="193"/>
      <c r="I37" s="193"/>
      <c r="O37" s="150">
        <f t="shared" si="0"/>
        <v>0</v>
      </c>
    </row>
    <row r="38" spans="1:16" x14ac:dyDescent="0.3">
      <c r="A38" s="301" t="s">
        <v>171</v>
      </c>
      <c r="B38" s="190" t="s">
        <v>122</v>
      </c>
      <c r="C38" s="192"/>
      <c r="D38" s="193"/>
      <c r="E38" s="192"/>
      <c r="F38" s="193"/>
      <c r="G38" s="193"/>
      <c r="H38" s="193"/>
      <c r="I38" s="193"/>
      <c r="O38" s="150">
        <f t="shared" si="0"/>
        <v>0</v>
      </c>
    </row>
    <row r="39" spans="1:16" ht="26" x14ac:dyDescent="0.3">
      <c r="A39" s="301" t="s">
        <v>172</v>
      </c>
      <c r="B39" s="193"/>
      <c r="C39" s="192"/>
      <c r="D39" s="193"/>
      <c r="E39" s="192"/>
      <c r="F39" s="193"/>
      <c r="G39" s="193"/>
      <c r="H39" s="193"/>
      <c r="I39" s="193"/>
      <c r="O39" s="150">
        <f t="shared" si="0"/>
        <v>0</v>
      </c>
    </row>
    <row r="40" spans="1:16" x14ac:dyDescent="0.3">
      <c r="A40" s="307" t="s">
        <v>163</v>
      </c>
      <c r="B40" s="193"/>
      <c r="C40" s="192"/>
      <c r="D40" s="193"/>
      <c r="E40" s="192"/>
      <c r="F40" s="193"/>
      <c r="G40" s="193"/>
      <c r="H40" s="193"/>
      <c r="I40" s="193"/>
      <c r="O40" s="150">
        <f t="shared" si="0"/>
        <v>0</v>
      </c>
    </row>
    <row r="41" spans="1:16" x14ac:dyDescent="0.3">
      <c r="A41" s="301" t="s">
        <v>173</v>
      </c>
      <c r="B41" s="190">
        <v>0.4</v>
      </c>
      <c r="C41" s="115">
        <v>1</v>
      </c>
      <c r="D41" s="190">
        <f t="shared" ref="D41:D46" si="16">B41*C41</f>
        <v>0.4</v>
      </c>
      <c r="E41" s="201">
        <f>$L$14</f>
        <v>80</v>
      </c>
      <c r="F41" s="202">
        <f t="shared" ref="F41:F46" si="17">D41*E41</f>
        <v>32</v>
      </c>
      <c r="G41" s="190">
        <f t="shared" ref="G41:G46" si="18">F41*0.05</f>
        <v>1.6</v>
      </c>
      <c r="H41" s="190">
        <f t="shared" ref="H41:H46" si="19">F41*0.1</f>
        <v>3.2</v>
      </c>
      <c r="I41" s="262">
        <f>F41*$L$8+G41*$L$7+H41*$L$9</f>
        <v>4549.8431999999993</v>
      </c>
      <c r="O41" s="150">
        <f t="shared" si="0"/>
        <v>80</v>
      </c>
    </row>
    <row r="42" spans="1:16" ht="101.5" customHeight="1" x14ac:dyDescent="0.3">
      <c r="A42" s="301" t="s">
        <v>456</v>
      </c>
      <c r="B42" s="190">
        <v>0.1</v>
      </c>
      <c r="C42" s="115">
        <v>330</v>
      </c>
      <c r="D42" s="190">
        <f t="shared" si="16"/>
        <v>33</v>
      </c>
      <c r="E42" s="201">
        <f>E41</f>
        <v>80</v>
      </c>
      <c r="F42" s="202">
        <f t="shared" si="17"/>
        <v>2640</v>
      </c>
      <c r="G42" s="190">
        <f t="shared" si="18"/>
        <v>132</v>
      </c>
      <c r="H42" s="190">
        <f t="shared" si="19"/>
        <v>264</v>
      </c>
      <c r="I42" s="262">
        <f>F42*$L$8+G42*$L$7+H42*$L$9</f>
        <v>375362.06399999995</v>
      </c>
      <c r="O42" s="150">
        <f t="shared" si="0"/>
        <v>26400</v>
      </c>
    </row>
    <row r="43" spans="1:16" x14ac:dyDescent="0.3">
      <c r="A43" s="307" t="s">
        <v>158</v>
      </c>
      <c r="B43" s="190"/>
      <c r="C43" s="115"/>
      <c r="D43" s="190"/>
      <c r="E43" s="201"/>
      <c r="F43" s="202"/>
      <c r="G43" s="190"/>
      <c r="H43" s="190"/>
      <c r="I43" s="199"/>
      <c r="O43" s="150">
        <f t="shared" si="0"/>
        <v>0</v>
      </c>
    </row>
    <row r="44" spans="1:16" x14ac:dyDescent="0.3">
      <c r="A44" s="301" t="s">
        <v>173</v>
      </c>
      <c r="B44" s="190">
        <v>0</v>
      </c>
      <c r="C44" s="115">
        <v>0</v>
      </c>
      <c r="D44" s="190">
        <f>B44*C44</f>
        <v>0</v>
      </c>
      <c r="E44" s="201">
        <f>L13</f>
        <v>0</v>
      </c>
      <c r="F44" s="202">
        <f t="shared" ref="F44:F45" si="20">D44*E44</f>
        <v>0</v>
      </c>
      <c r="G44" s="190">
        <f t="shared" ref="G44:G45" si="21">F44*0.05</f>
        <v>0</v>
      </c>
      <c r="H44" s="190">
        <f t="shared" ref="H44:H45" si="22">F44*0.1</f>
        <v>0</v>
      </c>
      <c r="I44" s="197">
        <f>F44*$L$8+G44*$L$7+H44*$L$9</f>
        <v>0</v>
      </c>
      <c r="O44" s="150">
        <f t="shared" si="0"/>
        <v>0</v>
      </c>
    </row>
    <row r="45" spans="1:16" ht="109" customHeight="1" x14ac:dyDescent="0.3">
      <c r="A45" s="301" t="s">
        <v>456</v>
      </c>
      <c r="B45" s="190">
        <v>0</v>
      </c>
      <c r="C45" s="115">
        <v>0</v>
      </c>
      <c r="D45" s="190">
        <f>B45*C45</f>
        <v>0</v>
      </c>
      <c r="E45" s="201">
        <f>L13</f>
        <v>0</v>
      </c>
      <c r="F45" s="202">
        <f t="shared" si="20"/>
        <v>0</v>
      </c>
      <c r="G45" s="190">
        <f t="shared" si="21"/>
        <v>0</v>
      </c>
      <c r="H45" s="190">
        <f t="shared" si="22"/>
        <v>0</v>
      </c>
      <c r="I45" s="197">
        <f>F45*$L$8+G45*$L$7+H45*$L$9</f>
        <v>0</v>
      </c>
      <c r="O45" s="150">
        <f t="shared" si="0"/>
        <v>0</v>
      </c>
    </row>
    <row r="46" spans="1:16" x14ac:dyDescent="0.3">
      <c r="A46" s="301" t="s">
        <v>313</v>
      </c>
      <c r="B46" s="190">
        <v>0</v>
      </c>
      <c r="C46" s="115">
        <v>0</v>
      </c>
      <c r="D46" s="190">
        <f t="shared" si="16"/>
        <v>0</v>
      </c>
      <c r="E46" s="201">
        <f>$L$12</f>
        <v>0</v>
      </c>
      <c r="F46" s="202">
        <f t="shared" si="17"/>
        <v>0</v>
      </c>
      <c r="G46" s="190">
        <f t="shared" si="18"/>
        <v>0</v>
      </c>
      <c r="H46" s="190">
        <f t="shared" si="19"/>
        <v>0</v>
      </c>
      <c r="I46" s="197">
        <f>F46*$L$8+G46*$L$7+H46*$L$9</f>
        <v>0</v>
      </c>
      <c r="O46" s="150">
        <f t="shared" si="0"/>
        <v>0</v>
      </c>
    </row>
    <row r="47" spans="1:16" x14ac:dyDescent="0.3">
      <c r="A47" s="301" t="s">
        <v>186</v>
      </c>
      <c r="B47" s="190" t="s">
        <v>122</v>
      </c>
      <c r="C47" s="192"/>
      <c r="D47" s="193"/>
      <c r="E47" s="192"/>
      <c r="F47" s="193"/>
      <c r="G47" s="193"/>
      <c r="H47" s="193"/>
      <c r="I47" s="193"/>
      <c r="O47" s="150">
        <f t="shared" si="0"/>
        <v>0</v>
      </c>
    </row>
    <row r="48" spans="1:16" ht="27" customHeight="1" x14ac:dyDescent="0.3">
      <c r="A48" s="208" t="s">
        <v>188</v>
      </c>
      <c r="B48" s="214"/>
      <c r="C48" s="215"/>
      <c r="D48" s="214"/>
      <c r="E48" s="216"/>
      <c r="F48" s="212">
        <f>SUM(F41:H46)</f>
        <v>3072.8</v>
      </c>
      <c r="G48" s="212"/>
      <c r="H48" s="212"/>
      <c r="I48" s="213">
        <f>SUM(I41:I47)</f>
        <v>379911.90719999996</v>
      </c>
      <c r="O48" s="150">
        <f>SUM(O6:O47)</f>
        <v>28558</v>
      </c>
      <c r="P48" s="150" t="s">
        <v>248</v>
      </c>
    </row>
    <row r="49" spans="1:12" ht="28" x14ac:dyDescent="0.3">
      <c r="A49" s="184" t="s">
        <v>189</v>
      </c>
      <c r="B49" s="217"/>
      <c r="C49" s="218"/>
      <c r="D49" s="217"/>
      <c r="E49" s="219"/>
      <c r="F49" s="481">
        <f>ROUND(F48+F33, -2)</f>
        <v>4000</v>
      </c>
      <c r="G49" s="481"/>
      <c r="H49" s="481"/>
      <c r="I49" s="220">
        <f>ROUND(I48+I33, -4)</f>
        <v>490000</v>
      </c>
      <c r="K49" s="221">
        <f>F49/212</f>
        <v>18.867924528301888</v>
      </c>
      <c r="L49" s="150" t="s">
        <v>190</v>
      </c>
    </row>
    <row r="50" spans="1:12" ht="28" x14ac:dyDescent="0.3">
      <c r="A50" s="222" t="s">
        <v>191</v>
      </c>
      <c r="B50" s="193"/>
      <c r="C50" s="192"/>
      <c r="D50" s="193"/>
      <c r="E50" s="192"/>
      <c r="F50" s="193"/>
      <c r="G50" s="193"/>
      <c r="H50" s="193"/>
      <c r="I50" s="220">
        <v>0</v>
      </c>
    </row>
    <row r="51" spans="1:12" ht="15" x14ac:dyDescent="0.3">
      <c r="A51" s="222" t="s">
        <v>192</v>
      </c>
      <c r="B51" s="193"/>
      <c r="C51" s="192"/>
      <c r="D51" s="193"/>
      <c r="E51" s="192"/>
      <c r="F51" s="193"/>
      <c r="G51" s="193"/>
      <c r="H51" s="193"/>
      <c r="I51" s="220">
        <f>ROUND(I49+I50, -5)</f>
        <v>500000</v>
      </c>
    </row>
    <row r="52" spans="1:12" ht="7.5" customHeight="1" x14ac:dyDescent="0.3"/>
    <row r="53" spans="1:12" ht="26.5" customHeight="1" x14ac:dyDescent="0.3">
      <c r="A53" s="482" t="s">
        <v>457</v>
      </c>
      <c r="B53" s="482"/>
      <c r="C53" s="482"/>
      <c r="D53" s="482"/>
      <c r="E53" s="482"/>
      <c r="F53" s="482"/>
      <c r="G53" s="482"/>
      <c r="H53" s="482"/>
      <c r="I53" s="482"/>
    </row>
    <row r="54" spans="1:12" ht="82.5" customHeight="1" x14ac:dyDescent="0.3">
      <c r="A54" s="503" t="s">
        <v>194</v>
      </c>
      <c r="B54" s="503"/>
      <c r="C54" s="503"/>
      <c r="D54" s="503"/>
      <c r="E54" s="503"/>
      <c r="F54" s="503"/>
      <c r="G54" s="503"/>
      <c r="H54" s="503"/>
      <c r="I54" s="503"/>
    </row>
    <row r="55" spans="1:12" ht="23.15" customHeight="1" x14ac:dyDescent="0.3">
      <c r="A55" s="482" t="s">
        <v>458</v>
      </c>
      <c r="B55" s="482"/>
      <c r="C55" s="482"/>
      <c r="D55" s="482"/>
      <c r="E55" s="482"/>
      <c r="F55" s="482"/>
      <c r="G55" s="482"/>
      <c r="H55" s="482"/>
      <c r="I55" s="482"/>
    </row>
    <row r="56" spans="1:12" ht="24.65" customHeight="1" x14ac:dyDescent="0.3">
      <c r="A56" s="483" t="s">
        <v>459</v>
      </c>
      <c r="B56" s="483"/>
      <c r="C56" s="483"/>
      <c r="D56" s="483"/>
      <c r="E56" s="483"/>
      <c r="F56" s="483"/>
      <c r="G56" s="483"/>
      <c r="H56" s="483"/>
      <c r="I56" s="483"/>
    </row>
    <row r="57" spans="1:12" ht="15.5" x14ac:dyDescent="0.3">
      <c r="A57" s="500" t="s">
        <v>462</v>
      </c>
      <c r="B57" s="500"/>
      <c r="C57" s="500"/>
      <c r="D57" s="500"/>
      <c r="E57" s="500"/>
      <c r="F57" s="500"/>
      <c r="G57" s="500"/>
      <c r="H57" s="500"/>
      <c r="I57" s="500"/>
    </row>
    <row r="58" spans="1:12" ht="18.75" customHeight="1" x14ac:dyDescent="0.3">
      <c r="A58" s="479" t="s">
        <v>198</v>
      </c>
      <c r="B58" s="479"/>
      <c r="C58" s="479"/>
      <c r="D58" s="479"/>
      <c r="E58" s="479"/>
      <c r="F58" s="479"/>
      <c r="G58" s="479"/>
      <c r="H58" s="479"/>
      <c r="I58" s="479"/>
    </row>
    <row r="59" spans="1:12" ht="50.15" customHeight="1" x14ac:dyDescent="0.3">
      <c r="A59" s="479" t="s">
        <v>516</v>
      </c>
      <c r="B59" s="479"/>
      <c r="C59" s="479"/>
      <c r="D59" s="479"/>
      <c r="E59" s="479"/>
      <c r="F59" s="479"/>
      <c r="G59" s="479"/>
      <c r="H59" s="479"/>
      <c r="I59" s="479"/>
    </row>
  </sheetData>
  <mergeCells count="11">
    <mergeCell ref="A1:I1"/>
    <mergeCell ref="A3:I3"/>
    <mergeCell ref="A59:I59"/>
    <mergeCell ref="K6:L6"/>
    <mergeCell ref="F49:H49"/>
    <mergeCell ref="A53:I53"/>
    <mergeCell ref="A54:I54"/>
    <mergeCell ref="A55:I55"/>
    <mergeCell ref="A56:I56"/>
    <mergeCell ref="A57:I57"/>
    <mergeCell ref="A58:I58"/>
  </mergeCells>
  <pageMargins left="0.7" right="0.7" top="0.75" bottom="0.75" header="0.3" footer="0.3"/>
  <pageSetup scale="4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3BED-11CF-4B04-B88C-18DBE43D830F}">
  <sheetPr>
    <pageSetUpPr fitToPage="1"/>
  </sheetPr>
  <dimension ref="A1:P71"/>
  <sheetViews>
    <sheetView zoomScale="60" zoomScaleNormal="60" workbookViewId="0">
      <pane xSplit="13" ySplit="5" topLeftCell="N48" activePane="bottomRight" state="frozen"/>
      <selection activeCell="A25" sqref="A25:I25"/>
      <selection pane="topRight" activeCell="A25" sqref="A25:I25"/>
      <selection pane="bottomLeft" activeCell="A25" sqref="A25:I25"/>
      <selection pane="bottomRight" activeCell="I53" sqref="I53"/>
    </sheetView>
  </sheetViews>
  <sheetFormatPr defaultColWidth="9.1796875" defaultRowHeight="13" x14ac:dyDescent="0.3"/>
  <cols>
    <col min="1" max="1" width="40.1796875" style="71" customWidth="1"/>
    <col min="2" max="2" width="10.1796875" style="71" customWidth="1"/>
    <col min="3" max="3" width="12" style="80" customWidth="1"/>
    <col min="4" max="4" width="11.1796875" style="71" customWidth="1"/>
    <col min="5" max="5" width="12.1796875" style="80" customWidth="1"/>
    <col min="6" max="6" width="10.453125" style="71" customWidth="1"/>
    <col min="7" max="7" width="11.54296875" style="71" customWidth="1"/>
    <col min="8" max="8" width="11.453125" style="71" customWidth="1"/>
    <col min="9" max="9" width="14.453125" style="71" customWidth="1"/>
    <col min="10" max="10" width="7.1796875" style="71" customWidth="1"/>
    <col min="11" max="11" width="37.81640625" style="71" customWidth="1"/>
    <col min="12" max="12" width="14.453125" style="71" customWidth="1"/>
    <col min="13" max="13" width="86.54296875" style="71" customWidth="1"/>
    <col min="14" max="14" width="42.453125" style="71" customWidth="1"/>
    <col min="15" max="15" width="20.453125" style="71" customWidth="1"/>
    <col min="16" max="16" width="14.1796875" style="71" customWidth="1"/>
    <col min="17" max="16384" width="9.1796875" style="71"/>
  </cols>
  <sheetData>
    <row r="1" spans="1:15" s="54" customFormat="1" ht="15" x14ac:dyDescent="0.3">
      <c r="A1" s="57" t="s">
        <v>85</v>
      </c>
      <c r="J1" s="56"/>
    </row>
    <row r="2" spans="1:15" s="54" customFormat="1" ht="15" x14ac:dyDescent="0.3">
      <c r="A2" s="55" t="s">
        <v>213</v>
      </c>
      <c r="J2" s="56"/>
    </row>
    <row r="3" spans="1:15" s="54" customFormat="1" ht="31" customHeight="1" x14ac:dyDescent="0.3">
      <c r="A3" s="441" t="s">
        <v>110</v>
      </c>
      <c r="B3" s="442"/>
      <c r="C3" s="442"/>
      <c r="D3" s="442"/>
      <c r="E3" s="442"/>
      <c r="F3" s="442"/>
      <c r="G3" s="442"/>
      <c r="H3" s="442"/>
      <c r="I3" s="153"/>
      <c r="J3" s="56"/>
    </row>
    <row r="5" spans="1:15" ht="65" x14ac:dyDescent="0.3">
      <c r="A5" s="72" t="s">
        <v>111</v>
      </c>
      <c r="B5" s="73" t="s">
        <v>112</v>
      </c>
      <c r="C5" s="74" t="s">
        <v>113</v>
      </c>
      <c r="D5" s="73" t="s">
        <v>114</v>
      </c>
      <c r="E5" s="74" t="s">
        <v>115</v>
      </c>
      <c r="F5" s="73" t="s">
        <v>116</v>
      </c>
      <c r="G5" s="73" t="s">
        <v>117</v>
      </c>
      <c r="H5" s="73" t="s">
        <v>118</v>
      </c>
      <c r="I5" s="73" t="s">
        <v>119</v>
      </c>
      <c r="J5" s="75"/>
      <c r="O5" s="71" t="s">
        <v>120</v>
      </c>
    </row>
    <row r="6" spans="1:15" x14ac:dyDescent="0.3">
      <c r="A6" s="76" t="s">
        <v>121</v>
      </c>
      <c r="B6" s="73" t="s">
        <v>122</v>
      </c>
      <c r="C6" s="77"/>
      <c r="D6" s="78"/>
      <c r="E6" s="77"/>
      <c r="F6" s="78"/>
      <c r="G6" s="78"/>
      <c r="H6" s="78"/>
      <c r="I6" s="78"/>
      <c r="K6" s="443" t="s">
        <v>123</v>
      </c>
      <c r="L6" s="443"/>
    </row>
    <row r="7" spans="1:15" ht="89.5" customHeight="1" x14ac:dyDescent="0.3">
      <c r="A7" s="76" t="s">
        <v>124</v>
      </c>
      <c r="B7" s="73" t="s">
        <v>122</v>
      </c>
      <c r="C7" s="77"/>
      <c r="D7" s="78"/>
      <c r="E7" s="77"/>
      <c r="F7" s="78"/>
      <c r="G7" s="78"/>
      <c r="H7" s="78"/>
      <c r="I7" s="78"/>
      <c r="K7" s="79" t="s">
        <v>125</v>
      </c>
      <c r="L7" s="195">
        <f>76.96*2.1</f>
        <v>161.61599999999999</v>
      </c>
      <c r="M7" s="144" t="s">
        <v>126</v>
      </c>
      <c r="N7" s="144"/>
    </row>
    <row r="8" spans="1:15" ht="46.5" customHeight="1" x14ac:dyDescent="0.3">
      <c r="A8" s="76" t="s">
        <v>127</v>
      </c>
      <c r="B8" s="73">
        <v>24</v>
      </c>
      <c r="C8" s="74">
        <v>1</v>
      </c>
      <c r="D8" s="73">
        <f>B8*C8</f>
        <v>24</v>
      </c>
      <c r="E8" s="296">
        <f>L12</f>
        <v>23.9148</v>
      </c>
      <c r="F8" s="295">
        <f>D8*E8</f>
        <v>573.95519999999999</v>
      </c>
      <c r="G8" s="295">
        <f>F8*0.05</f>
        <v>28.697760000000002</v>
      </c>
      <c r="H8" s="295">
        <f>F8*0.1</f>
        <v>57.395520000000005</v>
      </c>
      <c r="I8" s="81">
        <f>F8*$L$8+G8*$L$7+H8*$L$9</f>
        <v>81606.442619519992</v>
      </c>
      <c r="K8" s="79" t="s">
        <v>128</v>
      </c>
      <c r="L8" s="195">
        <f>60.8*2.1</f>
        <v>127.67999999999999</v>
      </c>
      <c r="M8" s="145"/>
      <c r="N8" s="145"/>
      <c r="O8" s="111">
        <f>C8*E8</f>
        <v>23.9148</v>
      </c>
    </row>
    <row r="9" spans="1:15" x14ac:dyDescent="0.3">
      <c r="A9" s="76" t="s">
        <v>129</v>
      </c>
      <c r="B9" s="73"/>
      <c r="C9" s="74"/>
      <c r="D9" s="73"/>
      <c r="E9" s="74"/>
      <c r="F9" s="73"/>
      <c r="G9" s="73"/>
      <c r="H9" s="73"/>
      <c r="I9" s="78"/>
      <c r="K9" s="79" t="s">
        <v>130</v>
      </c>
      <c r="L9" s="195">
        <f>30.58*2.1</f>
        <v>64.218000000000004</v>
      </c>
      <c r="M9" s="145"/>
      <c r="N9" s="145"/>
      <c r="O9" s="71">
        <f t="shared" ref="O9:O57" si="0">C9*E9</f>
        <v>0</v>
      </c>
    </row>
    <row r="10" spans="1:15" x14ac:dyDescent="0.3">
      <c r="A10" s="83" t="s">
        <v>132</v>
      </c>
      <c r="B10" s="73">
        <v>0.5</v>
      </c>
      <c r="C10" s="74">
        <v>1</v>
      </c>
      <c r="D10" s="73">
        <f>B10*C10</f>
        <v>0.5</v>
      </c>
      <c r="E10" s="74">
        <f>$L$14</f>
        <v>2847</v>
      </c>
      <c r="F10" s="73">
        <f>D10*E10</f>
        <v>1423.5</v>
      </c>
      <c r="G10" s="73">
        <f>F10*0.05</f>
        <v>71.174999999999997</v>
      </c>
      <c r="H10" s="73">
        <f>F10*0.1</f>
        <v>142.35</v>
      </c>
      <c r="I10" s="81">
        <f>F10*$L$8+G10*$L$7+H10*$L$9</f>
        <v>202396.93109999999</v>
      </c>
      <c r="K10" s="85"/>
      <c r="L10" s="150"/>
      <c r="M10" s="85"/>
      <c r="N10" s="85"/>
      <c r="O10" s="71">
        <f t="shared" si="0"/>
        <v>2847</v>
      </c>
    </row>
    <row r="11" spans="1:15" ht="15.75" customHeight="1" x14ac:dyDescent="0.3">
      <c r="A11" s="83" t="s">
        <v>133</v>
      </c>
      <c r="B11" s="73"/>
      <c r="C11" s="74"/>
      <c r="D11" s="73"/>
      <c r="E11" s="74"/>
      <c r="F11" s="73"/>
      <c r="G11" s="73"/>
      <c r="H11" s="73"/>
      <c r="I11" s="84"/>
      <c r="K11" s="86"/>
      <c r="L11" s="86" t="s">
        <v>134</v>
      </c>
      <c r="M11" s="85"/>
      <c r="N11" s="85"/>
      <c r="O11" s="71">
        <f t="shared" si="0"/>
        <v>0</v>
      </c>
    </row>
    <row r="12" spans="1:15" ht="28.5" x14ac:dyDescent="0.3">
      <c r="A12" s="119" t="s">
        <v>135</v>
      </c>
      <c r="B12" s="73"/>
      <c r="C12" s="74"/>
      <c r="D12" s="73"/>
      <c r="E12" s="88"/>
      <c r="F12" s="89"/>
      <c r="G12" s="73"/>
      <c r="H12" s="73"/>
      <c r="I12" s="84"/>
      <c r="K12" s="86" t="s">
        <v>136</v>
      </c>
      <c r="L12" s="86">
        <f>L14*0.0084</f>
        <v>23.9148</v>
      </c>
      <c r="M12" s="85" t="s">
        <v>137</v>
      </c>
      <c r="N12" s="85"/>
      <c r="O12" s="71">
        <f t="shared" si="0"/>
        <v>0</v>
      </c>
    </row>
    <row r="13" spans="1:15" ht="15" customHeight="1" x14ac:dyDescent="0.3">
      <c r="A13" s="90" t="s">
        <v>138</v>
      </c>
      <c r="B13" s="74">
        <v>8</v>
      </c>
      <c r="C13" s="74">
        <v>1</v>
      </c>
      <c r="D13" s="73">
        <f>B13*C13</f>
        <v>8</v>
      </c>
      <c r="E13" s="296">
        <f>L16</f>
        <v>7.6019999999999994</v>
      </c>
      <c r="F13" s="89">
        <f>D13*E13</f>
        <v>60.815999999999995</v>
      </c>
      <c r="G13" s="73">
        <f>F13*0.05</f>
        <v>3.0407999999999999</v>
      </c>
      <c r="H13" s="73">
        <f>F13*0.1</f>
        <v>6.0815999999999999</v>
      </c>
      <c r="I13" s="81">
        <f>F13*$L$8+G13*$L$7+H13*$L$9</f>
        <v>8646.9770015999984</v>
      </c>
      <c r="K13" s="86" t="s">
        <v>139</v>
      </c>
      <c r="L13" s="86">
        <v>0</v>
      </c>
      <c r="M13" s="85"/>
      <c r="N13" s="85"/>
      <c r="O13" s="71">
        <f t="shared" si="0"/>
        <v>7.6019999999999994</v>
      </c>
    </row>
    <row r="14" spans="1:15" ht="26.5" customHeight="1" x14ac:dyDescent="0.3">
      <c r="A14" s="324" t="s">
        <v>140</v>
      </c>
      <c r="B14" s="74">
        <v>8</v>
      </c>
      <c r="C14" s="74">
        <v>1</v>
      </c>
      <c r="D14" s="73">
        <f t="shared" ref="D14" si="1">B14*C14</f>
        <v>8</v>
      </c>
      <c r="E14" s="296">
        <f>E13*0.05</f>
        <v>0.38009999999999999</v>
      </c>
      <c r="F14" s="89">
        <f t="shared" ref="F14:F21" si="2">D14*E14</f>
        <v>3.0407999999999999</v>
      </c>
      <c r="G14" s="73">
        <f t="shared" ref="G14:G21" si="3">F14*0.05</f>
        <v>0.15204000000000001</v>
      </c>
      <c r="H14" s="73">
        <f t="shared" ref="H14:H21" si="4">F14*0.1</f>
        <v>0.30408000000000002</v>
      </c>
      <c r="I14" s="84">
        <f t="shared" ref="I14:I21" si="5">F14*$L$8+G14*$L$7+H14*$L$9</f>
        <v>432.34885007999992</v>
      </c>
      <c r="J14" s="85"/>
      <c r="K14" s="86" t="s">
        <v>141</v>
      </c>
      <c r="L14" s="86">
        <v>2847</v>
      </c>
      <c r="M14" s="85"/>
      <c r="N14" s="85"/>
      <c r="O14" s="71">
        <f t="shared" si="0"/>
        <v>0.38009999999999999</v>
      </c>
    </row>
    <row r="15" spans="1:15" ht="15.5" x14ac:dyDescent="0.3">
      <c r="A15" s="87" t="s">
        <v>142</v>
      </c>
      <c r="B15" s="73"/>
      <c r="C15" s="74"/>
      <c r="D15" s="73"/>
      <c r="E15" s="74"/>
      <c r="F15" s="89"/>
      <c r="G15" s="73"/>
      <c r="H15" s="73"/>
      <c r="I15" s="84"/>
      <c r="K15" s="86" t="s">
        <v>143</v>
      </c>
      <c r="L15" s="86">
        <f>L17*0.0084</f>
        <v>12.316121999999998</v>
      </c>
      <c r="M15" s="85" t="s">
        <v>137</v>
      </c>
      <c r="N15" s="85"/>
      <c r="O15" s="71">
        <f t="shared" si="0"/>
        <v>0</v>
      </c>
    </row>
    <row r="16" spans="1:15" x14ac:dyDescent="0.3">
      <c r="A16" s="90" t="s">
        <v>138</v>
      </c>
      <c r="B16" s="73">
        <v>8</v>
      </c>
      <c r="C16" s="74">
        <v>1</v>
      </c>
      <c r="D16" s="73">
        <f>B16*C16</f>
        <v>8</v>
      </c>
      <c r="E16" s="88">
        <f>L18*0.25</f>
        <v>226.25</v>
      </c>
      <c r="F16" s="89">
        <f t="shared" si="2"/>
        <v>1810</v>
      </c>
      <c r="G16" s="73">
        <f t="shared" si="3"/>
        <v>90.5</v>
      </c>
      <c r="H16" s="73">
        <f t="shared" si="4"/>
        <v>181</v>
      </c>
      <c r="I16" s="81">
        <f t="shared" si="5"/>
        <v>257350.50599999999</v>
      </c>
      <c r="J16" s="82"/>
      <c r="K16" s="86" t="s">
        <v>144</v>
      </c>
      <c r="L16" s="86">
        <f>L18*0.0084</f>
        <v>7.6019999999999994</v>
      </c>
      <c r="M16" s="85" t="s">
        <v>137</v>
      </c>
      <c r="N16" s="85"/>
      <c r="O16" s="71">
        <f t="shared" si="0"/>
        <v>226.25</v>
      </c>
    </row>
    <row r="17" spans="1:15" ht="26.5" customHeight="1" x14ac:dyDescent="0.3">
      <c r="A17" s="324" t="s">
        <v>140</v>
      </c>
      <c r="B17" s="74">
        <v>8</v>
      </c>
      <c r="C17" s="74">
        <v>1</v>
      </c>
      <c r="D17" s="73">
        <f t="shared" ref="D17:D19" si="6">B17*C17</f>
        <v>8</v>
      </c>
      <c r="E17" s="88">
        <f>E16*0.05</f>
        <v>11.3125</v>
      </c>
      <c r="F17" s="89">
        <f t="shared" si="2"/>
        <v>90.5</v>
      </c>
      <c r="G17" s="73">
        <f t="shared" si="3"/>
        <v>4.5250000000000004</v>
      </c>
      <c r="H17" s="73">
        <f t="shared" si="4"/>
        <v>9.0500000000000007</v>
      </c>
      <c r="I17" s="81">
        <f t="shared" si="5"/>
        <v>12867.525299999999</v>
      </c>
      <c r="J17" s="82"/>
      <c r="K17" s="86" t="s">
        <v>145</v>
      </c>
      <c r="L17" s="320">
        <f>0.515*L14</f>
        <v>1466.2049999999999</v>
      </c>
      <c r="O17" s="71">
        <f t="shared" si="0"/>
        <v>11.3125</v>
      </c>
    </row>
    <row r="18" spans="1:15" ht="30.65" customHeight="1" x14ac:dyDescent="0.3">
      <c r="A18" s="97" t="s">
        <v>146</v>
      </c>
      <c r="B18" s="205">
        <v>6</v>
      </c>
      <c r="C18" s="93">
        <v>1</v>
      </c>
      <c r="D18" s="92">
        <f t="shared" si="6"/>
        <v>6</v>
      </c>
      <c r="E18" s="94">
        <f>L20</f>
        <v>1252.68</v>
      </c>
      <c r="F18" s="89">
        <f t="shared" si="2"/>
        <v>7516.08</v>
      </c>
      <c r="G18" s="73">
        <f t="shared" si="3"/>
        <v>375.80400000000003</v>
      </c>
      <c r="H18" s="73">
        <f t="shared" si="4"/>
        <v>751.60800000000006</v>
      </c>
      <c r="I18" s="81">
        <f t="shared" si="5"/>
        <v>1068655.796208</v>
      </c>
      <c r="K18" s="414" t="s">
        <v>147</v>
      </c>
      <c r="L18" s="321">
        <v>905</v>
      </c>
      <c r="O18" s="71">
        <f t="shared" si="0"/>
        <v>1252.68</v>
      </c>
    </row>
    <row r="19" spans="1:15" ht="34" customHeight="1" x14ac:dyDescent="0.3">
      <c r="A19" s="97" t="s">
        <v>148</v>
      </c>
      <c r="B19" s="205">
        <v>6</v>
      </c>
      <c r="C19" s="93">
        <v>1</v>
      </c>
      <c r="D19" s="92">
        <f t="shared" si="6"/>
        <v>6</v>
      </c>
      <c r="E19" s="94">
        <f>E18*0.05</f>
        <v>62.634000000000007</v>
      </c>
      <c r="F19" s="89">
        <f t="shared" si="2"/>
        <v>375.80400000000003</v>
      </c>
      <c r="G19" s="73">
        <f t="shared" si="3"/>
        <v>18.790200000000002</v>
      </c>
      <c r="H19" s="73">
        <f t="shared" si="4"/>
        <v>37.580400000000004</v>
      </c>
      <c r="I19" s="81">
        <f t="shared" si="5"/>
        <v>53432.789810400005</v>
      </c>
      <c r="K19" s="71" t="s">
        <v>149</v>
      </c>
      <c r="L19" s="111">
        <f>L14*0.56</f>
        <v>1594.3200000000002</v>
      </c>
      <c r="M19" s="85" t="s">
        <v>150</v>
      </c>
      <c r="N19" s="85"/>
      <c r="O19" s="71">
        <f t="shared" si="0"/>
        <v>62.634000000000007</v>
      </c>
    </row>
    <row r="20" spans="1:15" ht="27.65" customHeight="1" x14ac:dyDescent="0.3">
      <c r="A20" s="87" t="s">
        <v>151</v>
      </c>
      <c r="B20" s="92"/>
      <c r="C20" s="93"/>
      <c r="D20" s="92"/>
      <c r="E20" s="94"/>
      <c r="F20" s="89"/>
      <c r="G20" s="73"/>
      <c r="H20" s="73"/>
      <c r="I20" s="84"/>
      <c r="K20" s="71" t="s">
        <v>152</v>
      </c>
      <c r="L20" s="111">
        <f>L14*0.44</f>
        <v>1252.68</v>
      </c>
      <c r="M20" s="85" t="s">
        <v>153</v>
      </c>
      <c r="N20" s="85"/>
      <c r="O20" s="71">
        <f t="shared" si="0"/>
        <v>0</v>
      </c>
    </row>
    <row r="21" spans="1:15" x14ac:dyDescent="0.3">
      <c r="A21" s="91" t="s">
        <v>154</v>
      </c>
      <c r="B21" s="73">
        <v>0</v>
      </c>
      <c r="C21" s="74">
        <v>0</v>
      </c>
      <c r="D21" s="73">
        <f>B21*C21</f>
        <v>0</v>
      </c>
      <c r="E21" s="88"/>
      <c r="F21" s="89">
        <f t="shared" si="2"/>
        <v>0</v>
      </c>
      <c r="G21" s="73">
        <f t="shared" si="3"/>
        <v>0</v>
      </c>
      <c r="H21" s="73">
        <f t="shared" si="4"/>
        <v>0</v>
      </c>
      <c r="I21" s="84">
        <f t="shared" si="5"/>
        <v>0</v>
      </c>
      <c r="O21" s="71">
        <f t="shared" si="0"/>
        <v>0</v>
      </c>
    </row>
    <row r="22" spans="1:15" x14ac:dyDescent="0.3">
      <c r="A22" s="83" t="s">
        <v>155</v>
      </c>
      <c r="B22" s="73"/>
      <c r="C22" s="77"/>
      <c r="D22" s="78"/>
      <c r="E22" s="95"/>
      <c r="F22" s="78"/>
      <c r="G22" s="78"/>
      <c r="H22" s="78"/>
      <c r="I22" s="78"/>
      <c r="O22" s="71">
        <f t="shared" si="0"/>
        <v>0</v>
      </c>
    </row>
    <row r="23" spans="1:15" x14ac:dyDescent="0.3">
      <c r="A23" s="113" t="s">
        <v>156</v>
      </c>
      <c r="B23" s="73"/>
      <c r="C23" s="77"/>
      <c r="D23" s="78"/>
      <c r="E23" s="95"/>
      <c r="F23" s="78"/>
      <c r="G23" s="78"/>
      <c r="H23" s="78"/>
      <c r="I23" s="78"/>
      <c r="O23" s="71">
        <f t="shared" si="0"/>
        <v>0</v>
      </c>
    </row>
    <row r="24" spans="1:15" x14ac:dyDescent="0.3">
      <c r="A24" s="83" t="s">
        <v>157</v>
      </c>
      <c r="B24" s="78"/>
      <c r="C24" s="77"/>
      <c r="D24" s="78"/>
      <c r="E24" s="95"/>
      <c r="F24" s="78"/>
      <c r="G24" s="78"/>
      <c r="H24" s="78"/>
      <c r="I24" s="78"/>
      <c r="L24" s="311"/>
      <c r="O24" s="71">
        <f t="shared" si="0"/>
        <v>0</v>
      </c>
    </row>
    <row r="25" spans="1:15" ht="15.75" customHeight="1" x14ac:dyDescent="0.3">
      <c r="A25" s="96" t="s">
        <v>158</v>
      </c>
      <c r="B25" s="73"/>
      <c r="C25" s="74"/>
      <c r="D25" s="73"/>
      <c r="E25" s="88"/>
      <c r="F25" s="73"/>
      <c r="G25" s="73"/>
      <c r="H25" s="73"/>
      <c r="I25" s="84"/>
      <c r="L25" s="311"/>
      <c r="O25" s="71">
        <f t="shared" si="0"/>
        <v>0</v>
      </c>
    </row>
    <row r="26" spans="1:15" x14ac:dyDescent="0.3">
      <c r="A26" s="97" t="s">
        <v>212</v>
      </c>
      <c r="B26" s="73">
        <v>2</v>
      </c>
      <c r="C26" s="74">
        <v>1</v>
      </c>
      <c r="D26" s="73">
        <v>2</v>
      </c>
      <c r="E26" s="294">
        <f>$L$12</f>
        <v>23.9148</v>
      </c>
      <c r="F26" s="73">
        <f t="shared" ref="F26:F29" si="7">D26*E26</f>
        <v>47.829599999999999</v>
      </c>
      <c r="G26" s="73">
        <f t="shared" ref="G26:G29" si="8">F26*0.05</f>
        <v>2.3914800000000001</v>
      </c>
      <c r="H26" s="73">
        <f t="shared" ref="H26:H29" si="9">F26*0.1</f>
        <v>4.7829600000000001</v>
      </c>
      <c r="I26" s="81">
        <f>F26*$L$8+G26*$L$7+H26*$L$9</f>
        <v>6800.53688496</v>
      </c>
      <c r="L26" s="311"/>
      <c r="O26" s="71">
        <f t="shared" si="0"/>
        <v>23.9148</v>
      </c>
    </row>
    <row r="27" spans="1:15" x14ac:dyDescent="0.3">
      <c r="A27" s="97" t="s">
        <v>160</v>
      </c>
      <c r="B27" s="73">
        <v>2</v>
      </c>
      <c r="C27" s="74">
        <v>1</v>
      </c>
      <c r="D27" s="73">
        <v>2</v>
      </c>
      <c r="E27" s="294">
        <f t="shared" ref="E27:E28" si="10">$L$12</f>
        <v>23.9148</v>
      </c>
      <c r="F27" s="73">
        <f t="shared" si="7"/>
        <v>47.829599999999999</v>
      </c>
      <c r="G27" s="73">
        <f t="shared" si="8"/>
        <v>2.3914800000000001</v>
      </c>
      <c r="H27" s="73">
        <f t="shared" si="9"/>
        <v>4.7829600000000001</v>
      </c>
      <c r="I27" s="81">
        <f>F27*$L$8+G27*$L$7+H27*$L$9</f>
        <v>6800.53688496</v>
      </c>
      <c r="O27" s="71">
        <f t="shared" si="0"/>
        <v>23.9148</v>
      </c>
    </row>
    <row r="28" spans="1:15" x14ac:dyDescent="0.3">
      <c r="A28" s="97" t="s">
        <v>161</v>
      </c>
      <c r="B28" s="73">
        <v>2</v>
      </c>
      <c r="C28" s="74">
        <v>1</v>
      </c>
      <c r="D28" s="73">
        <v>2</v>
      </c>
      <c r="E28" s="294">
        <f t="shared" si="10"/>
        <v>23.9148</v>
      </c>
      <c r="F28" s="73">
        <f t="shared" si="7"/>
        <v>47.829599999999999</v>
      </c>
      <c r="G28" s="73">
        <f t="shared" si="8"/>
        <v>2.3914800000000001</v>
      </c>
      <c r="H28" s="73">
        <f t="shared" si="9"/>
        <v>4.7829600000000001</v>
      </c>
      <c r="I28" s="81">
        <f>F28*$L$8+G28*$L$7+H28*$L$9</f>
        <v>6800.53688496</v>
      </c>
      <c r="O28" s="71">
        <f t="shared" si="0"/>
        <v>23.9148</v>
      </c>
    </row>
    <row r="29" spans="1:15" ht="38.15" customHeight="1" x14ac:dyDescent="0.3">
      <c r="A29" s="114" t="s">
        <v>162</v>
      </c>
      <c r="B29" s="73">
        <v>1</v>
      </c>
      <c r="C29" s="115">
        <v>1</v>
      </c>
      <c r="D29" s="73">
        <f>B29*C29</f>
        <v>1</v>
      </c>
      <c r="E29" s="294">
        <f>L12</f>
        <v>23.9148</v>
      </c>
      <c r="F29" s="295">
        <f t="shared" si="7"/>
        <v>23.9148</v>
      </c>
      <c r="G29" s="295">
        <f t="shared" si="8"/>
        <v>1.19574</v>
      </c>
      <c r="H29" s="295">
        <f t="shared" si="9"/>
        <v>2.3914800000000001</v>
      </c>
      <c r="I29" s="81">
        <f>F29*$L$8+G29*$L$7+H29*$L$9</f>
        <v>3400.26844248</v>
      </c>
      <c r="O29" s="71">
        <f t="shared" si="0"/>
        <v>23.9148</v>
      </c>
    </row>
    <row r="30" spans="1:15" x14ac:dyDescent="0.3">
      <c r="A30" s="96" t="s">
        <v>163</v>
      </c>
      <c r="B30" s="78"/>
      <c r="C30" s="77"/>
      <c r="D30" s="78"/>
      <c r="E30" s="95"/>
      <c r="F30" s="78"/>
      <c r="G30" s="78"/>
      <c r="H30" s="78"/>
      <c r="I30" s="78"/>
      <c r="O30" s="71">
        <f t="shared" si="0"/>
        <v>0</v>
      </c>
    </row>
    <row r="31" spans="1:15" x14ac:dyDescent="0.3">
      <c r="A31" s="97" t="s">
        <v>212</v>
      </c>
      <c r="B31" s="73">
        <v>0</v>
      </c>
      <c r="C31" s="74">
        <v>0</v>
      </c>
      <c r="D31" s="73">
        <v>2</v>
      </c>
      <c r="E31" s="88">
        <v>0</v>
      </c>
      <c r="F31" s="73">
        <f>D31*E31</f>
        <v>0</v>
      </c>
      <c r="G31" s="73">
        <f>F31*0.05</f>
        <v>0</v>
      </c>
      <c r="H31" s="73">
        <f>F31*0.1</f>
        <v>0</v>
      </c>
      <c r="I31" s="84">
        <f>F31*$L$8+G31*$L$7+H31*$L$9</f>
        <v>0</v>
      </c>
      <c r="O31" s="71">
        <f t="shared" si="0"/>
        <v>0</v>
      </c>
    </row>
    <row r="32" spans="1:15" ht="26" x14ac:dyDescent="0.3">
      <c r="A32" s="97" t="s">
        <v>164</v>
      </c>
      <c r="B32" s="73">
        <v>2</v>
      </c>
      <c r="C32" s="74">
        <v>1</v>
      </c>
      <c r="D32" s="73">
        <v>2</v>
      </c>
      <c r="E32" s="294">
        <f>SUM(E18:E19)</f>
        <v>1315.3140000000001</v>
      </c>
      <c r="F32" s="295">
        <f>D32*E32</f>
        <v>2630.6280000000002</v>
      </c>
      <c r="G32" s="295">
        <f>F32*0.05</f>
        <v>131.53140000000002</v>
      </c>
      <c r="H32" s="295">
        <f>F32*0.1</f>
        <v>263.06280000000004</v>
      </c>
      <c r="I32" s="81">
        <f>F32*$L$8+G32*$L$7+H32*$L$9</f>
        <v>374029.52867279999</v>
      </c>
      <c r="O32" s="71">
        <f t="shared" si="0"/>
        <v>1315.3140000000001</v>
      </c>
    </row>
    <row r="33" spans="1:15" ht="49" customHeight="1" x14ac:dyDescent="0.3">
      <c r="A33" s="97" t="s">
        <v>165</v>
      </c>
      <c r="B33" s="73">
        <v>2</v>
      </c>
      <c r="C33" s="74">
        <v>1</v>
      </c>
      <c r="D33" s="73">
        <v>2</v>
      </c>
      <c r="E33" s="294">
        <f>SUM(E18:E19)</f>
        <v>1315.3140000000001</v>
      </c>
      <c r="F33" s="295">
        <f>D33*E33</f>
        <v>2630.6280000000002</v>
      </c>
      <c r="G33" s="295">
        <f>F33*0.05</f>
        <v>131.53140000000002</v>
      </c>
      <c r="H33" s="295">
        <f>F33*0.1</f>
        <v>263.06280000000004</v>
      </c>
      <c r="I33" s="81">
        <f>F33*$L$8+G33*$L$7+H33*$L$9</f>
        <v>374029.52867279999</v>
      </c>
      <c r="O33" s="71">
        <f t="shared" si="0"/>
        <v>1315.3140000000001</v>
      </c>
    </row>
    <row r="34" spans="1:15" ht="26" x14ac:dyDescent="0.3">
      <c r="A34" s="114" t="s">
        <v>166</v>
      </c>
      <c r="B34" s="73">
        <v>1</v>
      </c>
      <c r="C34" s="115">
        <v>1</v>
      </c>
      <c r="D34" s="73">
        <f>B34*C34</f>
        <v>1</v>
      </c>
      <c r="E34" s="88">
        <f>L14</f>
        <v>2847</v>
      </c>
      <c r="F34" s="73">
        <f t="shared" ref="F34" si="11">D34*E34</f>
        <v>2847</v>
      </c>
      <c r="G34" s="73">
        <f t="shared" ref="G34" si="12">F34*0.05</f>
        <v>142.35</v>
      </c>
      <c r="H34" s="73">
        <f t="shared" ref="H34" si="13">F34*0.1</f>
        <v>284.7</v>
      </c>
      <c r="I34" s="81">
        <f>F34*$L$8+G34*$L$7+H34*$L$9</f>
        <v>404793.86219999997</v>
      </c>
      <c r="O34" s="71">
        <f t="shared" si="0"/>
        <v>2847</v>
      </c>
    </row>
    <row r="35" spans="1:15" ht="13.5" x14ac:dyDescent="0.3">
      <c r="A35" s="98" t="s">
        <v>167</v>
      </c>
      <c r="B35" s="99"/>
      <c r="C35" s="100"/>
      <c r="D35" s="99"/>
      <c r="E35" s="101"/>
      <c r="F35" s="142">
        <f>SUM(F8:H34)</f>
        <v>23148.758939999996</v>
      </c>
      <c r="G35" s="142"/>
      <c r="H35" s="142"/>
      <c r="I35" s="102">
        <f>SUM(I8:I34)</f>
        <v>2862044.1155325598</v>
      </c>
      <c r="O35" s="71">
        <f t="shared" si="0"/>
        <v>0</v>
      </c>
    </row>
    <row r="36" spans="1:15" x14ac:dyDescent="0.3">
      <c r="A36" s="76" t="s">
        <v>168</v>
      </c>
      <c r="B36" s="78"/>
      <c r="C36" s="77"/>
      <c r="D36" s="78"/>
      <c r="E36" s="95"/>
      <c r="F36" s="78"/>
      <c r="G36" s="78"/>
      <c r="H36" s="78"/>
      <c r="I36" s="78"/>
      <c r="O36" s="71">
        <f t="shared" si="0"/>
        <v>0</v>
      </c>
    </row>
    <row r="37" spans="1:15" x14ac:dyDescent="0.3">
      <c r="A37" s="83" t="s">
        <v>132</v>
      </c>
      <c r="B37" s="73"/>
      <c r="C37" s="77"/>
      <c r="D37" s="78"/>
      <c r="E37" s="77"/>
      <c r="F37" s="78"/>
      <c r="G37" s="78"/>
      <c r="H37" s="78"/>
      <c r="I37" s="78"/>
      <c r="O37" s="71">
        <f t="shared" si="0"/>
        <v>0</v>
      </c>
    </row>
    <row r="38" spans="1:15" x14ac:dyDescent="0.3">
      <c r="A38" s="83" t="s">
        <v>169</v>
      </c>
      <c r="B38" s="73"/>
      <c r="C38" s="77"/>
      <c r="D38" s="78"/>
      <c r="E38" s="77"/>
      <c r="F38" s="78"/>
      <c r="G38" s="78"/>
      <c r="H38" s="78"/>
      <c r="I38" s="78"/>
      <c r="O38" s="71">
        <f t="shared" si="0"/>
        <v>0</v>
      </c>
    </row>
    <row r="39" spans="1:15" x14ac:dyDescent="0.3">
      <c r="A39" s="83" t="s">
        <v>170</v>
      </c>
      <c r="B39" s="73"/>
      <c r="C39" s="77"/>
      <c r="D39" s="78"/>
      <c r="E39" s="77"/>
      <c r="F39" s="78"/>
      <c r="G39" s="78"/>
      <c r="H39" s="78"/>
      <c r="I39" s="78"/>
      <c r="O39" s="71">
        <f t="shared" si="0"/>
        <v>0</v>
      </c>
    </row>
    <row r="40" spans="1:15" x14ac:dyDescent="0.3">
      <c r="A40" s="83" t="s">
        <v>171</v>
      </c>
      <c r="B40" s="73" t="s">
        <v>122</v>
      </c>
      <c r="C40" s="77"/>
      <c r="D40" s="78"/>
      <c r="E40" s="77"/>
      <c r="F40" s="78"/>
      <c r="G40" s="78"/>
      <c r="H40" s="78"/>
      <c r="I40" s="78"/>
      <c r="O40" s="71">
        <f t="shared" si="0"/>
        <v>0</v>
      </c>
    </row>
    <row r="41" spans="1:15" x14ac:dyDescent="0.3">
      <c r="A41" s="83" t="s">
        <v>172</v>
      </c>
      <c r="B41" s="78"/>
      <c r="C41" s="77"/>
      <c r="D41" s="78"/>
      <c r="E41" s="77"/>
      <c r="F41" s="78"/>
      <c r="G41" s="78"/>
      <c r="H41" s="78"/>
      <c r="I41" s="78"/>
      <c r="O41" s="71">
        <f t="shared" si="0"/>
        <v>0</v>
      </c>
    </row>
    <row r="42" spans="1:15" x14ac:dyDescent="0.3">
      <c r="A42" s="96" t="s">
        <v>163</v>
      </c>
      <c r="B42" s="78"/>
      <c r="C42" s="77"/>
      <c r="D42" s="78"/>
      <c r="E42" s="77"/>
      <c r="F42" s="78"/>
      <c r="G42" s="78"/>
      <c r="H42" s="78"/>
      <c r="I42" s="78"/>
      <c r="O42" s="71">
        <f t="shared" si="0"/>
        <v>0</v>
      </c>
    </row>
    <row r="43" spans="1:15" x14ac:dyDescent="0.3">
      <c r="A43" s="91" t="s">
        <v>173</v>
      </c>
      <c r="B43" s="73">
        <v>0.1</v>
      </c>
      <c r="C43" s="74">
        <v>12</v>
      </c>
      <c r="D43" s="73">
        <f t="shared" ref="D43:D57" si="14">B43*C43</f>
        <v>1.2000000000000002</v>
      </c>
      <c r="E43" s="88">
        <f>$L$14</f>
        <v>2847</v>
      </c>
      <c r="F43" s="89">
        <f t="shared" ref="F43:F57" si="15">D43*E43</f>
        <v>3416.4000000000005</v>
      </c>
      <c r="G43" s="73">
        <f t="shared" ref="G43:G57" si="16">F43*0.05</f>
        <v>170.82000000000005</v>
      </c>
      <c r="H43" s="73">
        <f t="shared" ref="H43:H57" si="17">F43*0.1</f>
        <v>341.6400000000001</v>
      </c>
      <c r="I43" s="81">
        <f>F43*$L$8+G43*$L$7+H43*$L$9</f>
        <v>485752.63464000006</v>
      </c>
      <c r="K43" s="150"/>
      <c r="L43" s="150"/>
      <c r="M43" s="150"/>
      <c r="N43" s="150"/>
      <c r="O43" s="71">
        <f t="shared" si="0"/>
        <v>34164</v>
      </c>
    </row>
    <row r="44" spans="1:15" ht="14.5" customHeight="1" x14ac:dyDescent="0.3">
      <c r="A44" s="91" t="s">
        <v>174</v>
      </c>
      <c r="B44" s="73">
        <v>0.4</v>
      </c>
      <c r="C44" s="74">
        <v>1</v>
      </c>
      <c r="D44" s="73">
        <f t="shared" si="14"/>
        <v>0.4</v>
      </c>
      <c r="E44" s="88">
        <f>$L$14</f>
        <v>2847</v>
      </c>
      <c r="F44" s="89">
        <f t="shared" si="15"/>
        <v>1138.8</v>
      </c>
      <c r="G44" s="73">
        <f t="shared" si="16"/>
        <v>56.94</v>
      </c>
      <c r="H44" s="73">
        <f t="shared" si="17"/>
        <v>113.88</v>
      </c>
      <c r="I44" s="81">
        <f>F44*$L$8+G44*$L$7+H44*$L$9</f>
        <v>161917.54488</v>
      </c>
      <c r="L44" s="150"/>
      <c r="M44" s="150"/>
      <c r="N44" s="150"/>
      <c r="O44" s="71">
        <f t="shared" si="0"/>
        <v>2847</v>
      </c>
    </row>
    <row r="45" spans="1:15" ht="17.5" customHeight="1" x14ac:dyDescent="0.3">
      <c r="A45" s="91" t="s">
        <v>175</v>
      </c>
      <c r="B45" s="73">
        <v>0.1</v>
      </c>
      <c r="C45" s="115">
        <v>4</v>
      </c>
      <c r="D45" s="73">
        <f t="shared" si="14"/>
        <v>0.4</v>
      </c>
      <c r="E45" s="88">
        <f>$L$14</f>
        <v>2847</v>
      </c>
      <c r="F45" s="89">
        <f t="shared" si="15"/>
        <v>1138.8</v>
      </c>
      <c r="G45" s="73">
        <f t="shared" si="16"/>
        <v>56.94</v>
      </c>
      <c r="H45" s="73">
        <f t="shared" si="17"/>
        <v>113.88</v>
      </c>
      <c r="I45" s="81">
        <f>F45*$L$8+G45*$L$7+H45*$L$9</f>
        <v>161917.54488</v>
      </c>
      <c r="L45" s="150"/>
      <c r="M45" s="150"/>
      <c r="N45" s="150"/>
      <c r="O45" s="71">
        <f t="shared" si="0"/>
        <v>11388</v>
      </c>
    </row>
    <row r="46" spans="1:15" ht="26.5" customHeight="1" x14ac:dyDescent="0.3">
      <c r="A46" s="114" t="s">
        <v>176</v>
      </c>
      <c r="B46" s="73">
        <v>0.1</v>
      </c>
      <c r="C46" s="74">
        <v>4</v>
      </c>
      <c r="D46" s="73">
        <f t="shared" si="14"/>
        <v>0.4</v>
      </c>
      <c r="E46" s="88">
        <f>E43</f>
        <v>2847</v>
      </c>
      <c r="F46" s="89">
        <f t="shared" si="15"/>
        <v>1138.8</v>
      </c>
      <c r="G46" s="73">
        <f t="shared" si="16"/>
        <v>56.94</v>
      </c>
      <c r="H46" s="73">
        <f t="shared" si="17"/>
        <v>113.88</v>
      </c>
      <c r="I46" s="81">
        <f>F46*$L$8+G46*$L$7+H46*$L$9</f>
        <v>161917.54488</v>
      </c>
      <c r="O46" s="71">
        <f t="shared" si="0"/>
        <v>11388</v>
      </c>
    </row>
    <row r="47" spans="1:15" ht="26.5" customHeight="1" x14ac:dyDescent="0.3">
      <c r="A47" s="87" t="s">
        <v>177</v>
      </c>
      <c r="B47" s="73"/>
      <c r="C47" s="74"/>
      <c r="D47" s="73"/>
      <c r="E47" s="88"/>
      <c r="F47" s="89"/>
      <c r="G47" s="73"/>
      <c r="H47" s="73"/>
      <c r="I47" s="84"/>
      <c r="O47" s="71">
        <f t="shared" si="0"/>
        <v>0</v>
      </c>
    </row>
    <row r="48" spans="1:15" ht="26.5" customHeight="1" x14ac:dyDescent="0.3">
      <c r="A48" s="114" t="s">
        <v>178</v>
      </c>
      <c r="B48" s="73">
        <v>0</v>
      </c>
      <c r="C48" s="74">
        <v>0</v>
      </c>
      <c r="D48" s="73">
        <f t="shared" ref="D48:D49" si="18">B48*C48</f>
        <v>0</v>
      </c>
      <c r="E48" s="88">
        <v>0</v>
      </c>
      <c r="F48" s="89">
        <f t="shared" ref="F48:F49" si="19">D48*E48</f>
        <v>0</v>
      </c>
      <c r="G48" s="73">
        <f t="shared" ref="G48:G49" si="20">F48*0.05</f>
        <v>0</v>
      </c>
      <c r="H48" s="73">
        <f t="shared" ref="H48:H49" si="21">F48*0.1</f>
        <v>0</v>
      </c>
      <c r="I48" s="84">
        <f>F48*$L$8+G48*$L$7+H48*$L$9</f>
        <v>0</v>
      </c>
      <c r="O48" s="71">
        <f t="shared" si="0"/>
        <v>0</v>
      </c>
    </row>
    <row r="49" spans="1:16" ht="26.5" customHeight="1" x14ac:dyDescent="0.3">
      <c r="A49" s="114" t="s">
        <v>179</v>
      </c>
      <c r="B49" s="73">
        <v>0</v>
      </c>
      <c r="C49" s="74">
        <v>0</v>
      </c>
      <c r="D49" s="73">
        <f t="shared" si="18"/>
        <v>0</v>
      </c>
      <c r="E49" s="88">
        <v>0</v>
      </c>
      <c r="F49" s="89">
        <f t="shared" si="19"/>
        <v>0</v>
      </c>
      <c r="G49" s="73">
        <f t="shared" si="20"/>
        <v>0</v>
      </c>
      <c r="H49" s="73">
        <f t="shared" si="21"/>
        <v>0</v>
      </c>
      <c r="I49" s="84">
        <f>F49*$L$8+G49*$L$7+H49*$L$9</f>
        <v>0</v>
      </c>
      <c r="K49" s="125"/>
      <c r="O49" s="71">
        <f t="shared" si="0"/>
        <v>0</v>
      </c>
    </row>
    <row r="50" spans="1:16" ht="26.5" customHeight="1" x14ac:dyDescent="0.3">
      <c r="A50" s="87" t="s">
        <v>180</v>
      </c>
      <c r="B50" s="73"/>
      <c r="C50" s="74"/>
      <c r="D50" s="73"/>
      <c r="E50" s="88"/>
      <c r="F50" s="89"/>
      <c r="G50" s="73"/>
      <c r="H50" s="73"/>
      <c r="I50" s="84"/>
      <c r="K50" s="125"/>
      <c r="O50" s="71">
        <f t="shared" si="0"/>
        <v>0</v>
      </c>
    </row>
    <row r="51" spans="1:16" ht="26.5" customHeight="1" x14ac:dyDescent="0.3">
      <c r="A51" s="114" t="s">
        <v>181</v>
      </c>
      <c r="B51" s="73">
        <v>12</v>
      </c>
      <c r="C51" s="74">
        <v>1</v>
      </c>
      <c r="D51" s="73">
        <f t="shared" ref="D51:D53" si="22">B51*C51</f>
        <v>12</v>
      </c>
      <c r="E51" s="322">
        <f>$L$18*0.25</f>
        <v>226.25</v>
      </c>
      <c r="F51" s="89">
        <f t="shared" ref="F51:F53" si="23">D51*E51</f>
        <v>2715</v>
      </c>
      <c r="G51" s="73">
        <f t="shared" ref="G51:G53" si="24">F51*0.05</f>
        <v>135.75</v>
      </c>
      <c r="H51" s="73">
        <f t="shared" ref="H51:H53" si="25">F51*0.1</f>
        <v>271.5</v>
      </c>
      <c r="I51" s="81">
        <f>F51*$L$8+G51*$L$7+H51*$L$9</f>
        <v>386025.7589999999</v>
      </c>
      <c r="O51" s="71">
        <f t="shared" si="0"/>
        <v>226.25</v>
      </c>
    </row>
    <row r="52" spans="1:16" ht="26" x14ac:dyDescent="0.3">
      <c r="A52" s="114" t="s">
        <v>182</v>
      </c>
      <c r="B52" s="73">
        <v>1</v>
      </c>
      <c r="C52" s="74">
        <v>1</v>
      </c>
      <c r="D52" s="73">
        <f t="shared" si="22"/>
        <v>1</v>
      </c>
      <c r="E52" s="322">
        <f>$L$18*0.25</f>
        <v>226.25</v>
      </c>
      <c r="F52" s="89">
        <f t="shared" si="23"/>
        <v>226.25</v>
      </c>
      <c r="G52" s="73">
        <f t="shared" si="24"/>
        <v>11.3125</v>
      </c>
      <c r="H52" s="73">
        <f t="shared" si="25"/>
        <v>22.625</v>
      </c>
      <c r="I52" s="81">
        <f>F52*$L$8+G52*$L$7+H52*$L$9</f>
        <v>32168.813249999999</v>
      </c>
      <c r="O52" s="71">
        <f t="shared" si="0"/>
        <v>226.25</v>
      </c>
    </row>
    <row r="53" spans="1:16" ht="26" x14ac:dyDescent="0.3">
      <c r="A53" s="114" t="s">
        <v>183</v>
      </c>
      <c r="B53" s="73">
        <v>0.5</v>
      </c>
      <c r="C53" s="74">
        <v>1</v>
      </c>
      <c r="D53" s="73">
        <f t="shared" si="22"/>
        <v>0.5</v>
      </c>
      <c r="E53" s="322">
        <f>$L$18*0.25</f>
        <v>226.25</v>
      </c>
      <c r="F53" s="89">
        <f t="shared" si="23"/>
        <v>113.125</v>
      </c>
      <c r="G53" s="73">
        <f t="shared" si="24"/>
        <v>5.65625</v>
      </c>
      <c r="H53" s="73">
        <f t="shared" si="25"/>
        <v>11.3125</v>
      </c>
      <c r="I53" s="81">
        <f>F53*$L$8+G53*$L$7+H53*$L$9</f>
        <v>16084.406625</v>
      </c>
      <c r="O53" s="71">
        <f t="shared" si="0"/>
        <v>226.25</v>
      </c>
    </row>
    <row r="54" spans="1:16" x14ac:dyDescent="0.3">
      <c r="A54" s="96" t="s">
        <v>158</v>
      </c>
      <c r="B54" s="73"/>
      <c r="C54" s="74"/>
      <c r="D54" s="73"/>
      <c r="E54" s="88"/>
      <c r="F54" s="89"/>
      <c r="G54" s="73"/>
      <c r="H54" s="73"/>
      <c r="I54" s="84"/>
      <c r="O54" s="71">
        <f t="shared" si="0"/>
        <v>0</v>
      </c>
    </row>
    <row r="55" spans="1:16" x14ac:dyDescent="0.3">
      <c r="A55" s="91" t="s">
        <v>173</v>
      </c>
      <c r="B55" s="73">
        <v>0</v>
      </c>
      <c r="C55" s="74">
        <v>0</v>
      </c>
      <c r="D55" s="73">
        <f>B55*C55</f>
        <v>0</v>
      </c>
      <c r="E55" s="88">
        <f>$L$12</f>
        <v>23.9148</v>
      </c>
      <c r="F55" s="89">
        <f t="shared" ref="F55:F56" si="26">D55*E55</f>
        <v>0</v>
      </c>
      <c r="G55" s="73">
        <f t="shared" ref="G55:G56" si="27">F55*0.05</f>
        <v>0</v>
      </c>
      <c r="H55" s="73">
        <f t="shared" ref="H55:H56" si="28">F55*0.1</f>
        <v>0</v>
      </c>
      <c r="I55" s="81">
        <f>F55*$L$8+G55*$L$7+H55*$L$9</f>
        <v>0</v>
      </c>
      <c r="O55" s="71">
        <f t="shared" si="0"/>
        <v>0</v>
      </c>
    </row>
    <row r="56" spans="1:16" x14ac:dyDescent="0.3">
      <c r="A56" s="91" t="s">
        <v>184</v>
      </c>
      <c r="B56" s="73">
        <v>0</v>
      </c>
      <c r="C56" s="74">
        <v>0</v>
      </c>
      <c r="D56" s="73">
        <f t="shared" ref="D56" si="29">B56*C56</f>
        <v>0</v>
      </c>
      <c r="E56" s="88">
        <f>$L$12</f>
        <v>23.9148</v>
      </c>
      <c r="F56" s="89">
        <f t="shared" si="26"/>
        <v>0</v>
      </c>
      <c r="G56" s="73">
        <f t="shared" si="27"/>
        <v>0</v>
      </c>
      <c r="H56" s="73">
        <f t="shared" si="28"/>
        <v>0</v>
      </c>
      <c r="I56" s="81">
        <f>F56*$L$8+G56*$L$7+H56*$L$9</f>
        <v>0</v>
      </c>
      <c r="O56" s="71">
        <f t="shared" si="0"/>
        <v>0</v>
      </c>
    </row>
    <row r="57" spans="1:16" ht="33" customHeight="1" x14ac:dyDescent="0.3">
      <c r="A57" s="113" t="s">
        <v>214</v>
      </c>
      <c r="B57" s="73">
        <v>16</v>
      </c>
      <c r="C57" s="74">
        <v>1</v>
      </c>
      <c r="D57" s="73">
        <f t="shared" si="14"/>
        <v>16</v>
      </c>
      <c r="E57" s="88">
        <f>$L$18*0.25</f>
        <v>226.25</v>
      </c>
      <c r="F57" s="89">
        <f t="shared" si="15"/>
        <v>3620</v>
      </c>
      <c r="G57" s="73">
        <f t="shared" si="16"/>
        <v>181</v>
      </c>
      <c r="H57" s="73">
        <f t="shared" si="17"/>
        <v>362</v>
      </c>
      <c r="I57" s="81">
        <f>F57*$L$8+G57*$L$7+H57*$L$9</f>
        <v>514701.01199999999</v>
      </c>
      <c r="O57" s="71">
        <f t="shared" si="0"/>
        <v>226.25</v>
      </c>
    </row>
    <row r="58" spans="1:16" x14ac:dyDescent="0.3">
      <c r="A58" s="83" t="s">
        <v>186</v>
      </c>
      <c r="B58" s="73" t="s">
        <v>122</v>
      </c>
      <c r="C58" s="77"/>
      <c r="D58" s="78"/>
      <c r="E58" s="77"/>
      <c r="F58" s="78"/>
      <c r="G58" s="78"/>
      <c r="H58" s="78"/>
      <c r="I58" s="78"/>
      <c r="O58" s="71">
        <f>SUM(O8:O57)</f>
        <v>70697.060599999997</v>
      </c>
      <c r="P58" s="71" t="s">
        <v>187</v>
      </c>
    </row>
    <row r="59" spans="1:16" ht="13.5" x14ac:dyDescent="0.3">
      <c r="A59" s="98" t="s">
        <v>188</v>
      </c>
      <c r="B59" s="103"/>
      <c r="C59" s="104"/>
      <c r="D59" s="103"/>
      <c r="E59" s="105"/>
      <c r="F59" s="142">
        <f>SUM(F43:H57)</f>
        <v>15533.251250000001</v>
      </c>
      <c r="G59" s="142"/>
      <c r="H59" s="142"/>
      <c r="I59" s="102">
        <f>SUM(I43:I58)</f>
        <v>1920485.2601549998</v>
      </c>
    </row>
    <row r="60" spans="1:16" ht="15" x14ac:dyDescent="0.3">
      <c r="A60" s="106" t="s">
        <v>189</v>
      </c>
      <c r="B60" s="107"/>
      <c r="C60" s="108"/>
      <c r="D60" s="107"/>
      <c r="E60" s="109"/>
      <c r="F60" s="444">
        <f>ROUND(F59+F35, -2)</f>
        <v>38700</v>
      </c>
      <c r="G60" s="444"/>
      <c r="H60" s="444"/>
      <c r="I60" s="110">
        <f>ROUND(I59+I35, -4)</f>
        <v>4780000</v>
      </c>
      <c r="K60" s="111">
        <f>F60/212</f>
        <v>182.54716981132074</v>
      </c>
      <c r="L60" s="71" t="s">
        <v>190</v>
      </c>
    </row>
    <row r="61" spans="1:16" ht="15" x14ac:dyDescent="0.3">
      <c r="A61" s="112" t="s">
        <v>191</v>
      </c>
      <c r="B61" s="78"/>
      <c r="C61" s="77"/>
      <c r="D61" s="78"/>
      <c r="E61" s="77"/>
      <c r="F61" s="78"/>
      <c r="G61" s="78"/>
      <c r="H61" s="78"/>
      <c r="I61" s="110">
        <v>0</v>
      </c>
    </row>
    <row r="62" spans="1:16" ht="15" x14ac:dyDescent="0.3">
      <c r="A62" s="112" t="s">
        <v>192</v>
      </c>
      <c r="B62" s="78"/>
      <c r="C62" s="77"/>
      <c r="D62" s="78"/>
      <c r="E62" s="77"/>
      <c r="F62" s="78"/>
      <c r="G62" s="78"/>
      <c r="H62" s="78"/>
      <c r="I62" s="110">
        <f>ROUND(I60+I61, -5)</f>
        <v>4800000</v>
      </c>
    </row>
    <row r="63" spans="1:16" ht="15.65" customHeight="1" x14ac:dyDescent="0.3"/>
    <row r="64" spans="1:16" ht="20.5" customHeight="1" x14ac:dyDescent="0.3">
      <c r="A64" s="445" t="s">
        <v>193</v>
      </c>
      <c r="B64" s="445"/>
      <c r="C64" s="445"/>
      <c r="D64" s="445"/>
      <c r="E64" s="445"/>
      <c r="F64" s="445"/>
      <c r="G64" s="445"/>
      <c r="H64" s="445"/>
      <c r="I64" s="445"/>
    </row>
    <row r="65" spans="1:9" ht="77.5" customHeight="1" x14ac:dyDescent="0.3">
      <c r="A65" s="446" t="s">
        <v>194</v>
      </c>
      <c r="B65" s="446"/>
      <c r="C65" s="446"/>
      <c r="D65" s="446"/>
      <c r="E65" s="446"/>
      <c r="F65" s="446"/>
      <c r="G65" s="446"/>
      <c r="H65" s="446"/>
      <c r="I65" s="446"/>
    </row>
    <row r="66" spans="1:9" ht="15.5" x14ac:dyDescent="0.3">
      <c r="A66" s="445" t="s">
        <v>195</v>
      </c>
      <c r="B66" s="445"/>
      <c r="C66" s="445"/>
      <c r="D66" s="445"/>
      <c r="E66" s="445"/>
      <c r="F66" s="445"/>
      <c r="G66" s="445"/>
      <c r="H66" s="445"/>
      <c r="I66" s="445"/>
    </row>
    <row r="67" spans="1:9" ht="18.75" customHeight="1" x14ac:dyDescent="0.3">
      <c r="A67" s="447" t="s">
        <v>196</v>
      </c>
      <c r="B67" s="447"/>
      <c r="C67" s="447"/>
      <c r="D67" s="447"/>
      <c r="E67" s="447"/>
      <c r="F67" s="447"/>
      <c r="G67" s="447"/>
      <c r="H67" s="447"/>
      <c r="I67" s="447"/>
    </row>
    <row r="68" spans="1:9" ht="15.5" x14ac:dyDescent="0.3">
      <c r="A68" s="448" t="s">
        <v>197</v>
      </c>
      <c r="B68" s="448"/>
      <c r="C68" s="448"/>
      <c r="D68" s="448"/>
      <c r="E68" s="448"/>
      <c r="F68" s="448"/>
      <c r="G68" s="448"/>
      <c r="H68" s="448"/>
      <c r="I68" s="448"/>
    </row>
    <row r="69" spans="1:9" ht="24.65" customHeight="1" x14ac:dyDescent="0.3">
      <c r="A69" s="440" t="s">
        <v>198</v>
      </c>
      <c r="B69" s="440"/>
      <c r="C69" s="440"/>
      <c r="D69" s="440"/>
      <c r="E69" s="440"/>
      <c r="F69" s="440"/>
      <c r="G69" s="440"/>
      <c r="H69" s="440"/>
      <c r="I69" s="440"/>
    </row>
    <row r="70" spans="1:9" ht="26.15" customHeight="1" x14ac:dyDescent="0.3">
      <c r="A70" s="440" t="s">
        <v>199</v>
      </c>
      <c r="B70" s="440"/>
      <c r="C70" s="440"/>
      <c r="D70" s="440"/>
      <c r="E70" s="440"/>
      <c r="F70" s="440"/>
      <c r="G70" s="440"/>
      <c r="H70" s="440"/>
      <c r="I70" s="440"/>
    </row>
    <row r="71" spans="1:9" ht="88" customHeight="1" x14ac:dyDescent="0.3">
      <c r="A71" s="440" t="s">
        <v>200</v>
      </c>
      <c r="B71" s="440"/>
      <c r="C71" s="440"/>
      <c r="D71" s="440"/>
      <c r="E71" s="440"/>
      <c r="F71" s="440"/>
      <c r="G71" s="440"/>
      <c r="H71" s="440"/>
      <c r="I71" s="440"/>
    </row>
  </sheetData>
  <mergeCells count="11">
    <mergeCell ref="A3:H3"/>
    <mergeCell ref="A71:I71"/>
    <mergeCell ref="K6:L6"/>
    <mergeCell ref="F60:H60"/>
    <mergeCell ref="A64:I64"/>
    <mergeCell ref="A65:I65"/>
    <mergeCell ref="A66:I66"/>
    <mergeCell ref="A70:I70"/>
    <mergeCell ref="A67:I67"/>
    <mergeCell ref="A68:I68"/>
    <mergeCell ref="A69:I69"/>
  </mergeCells>
  <pageMargins left="0.7" right="0.7" top="0.75" bottom="0.75" header="0.3" footer="0.3"/>
  <pageSetup scale="33"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D42B3-FEB6-42E8-8944-4E6CCC19E1EE}">
  <sheetPr>
    <pageSetUpPr fitToPage="1"/>
  </sheetPr>
  <dimension ref="A1:P60"/>
  <sheetViews>
    <sheetView zoomScale="80" zoomScaleNormal="80" workbookViewId="0">
      <pane xSplit="13" ySplit="5" topLeftCell="N30" activePane="bottomRight" state="frozen"/>
      <selection activeCell="A60" sqref="A5:I60"/>
      <selection pane="topRight" activeCell="A60" sqref="A5:I60"/>
      <selection pane="bottomLeft" activeCell="A60" sqref="A5:I60"/>
      <selection pane="bottomRight" activeCell="I42" sqref="I42"/>
    </sheetView>
  </sheetViews>
  <sheetFormatPr defaultColWidth="9.1796875" defaultRowHeight="13" x14ac:dyDescent="0.3"/>
  <cols>
    <col min="1" max="1" width="29.1796875" style="150" customWidth="1"/>
    <col min="2" max="2" width="10.1796875" style="150" customWidth="1"/>
    <col min="3" max="3" width="12" style="223" customWidth="1"/>
    <col min="4" max="4" width="11.1796875" style="150" customWidth="1"/>
    <col min="5" max="5" width="12.1796875" style="223" customWidth="1"/>
    <col min="6" max="6" width="10.453125" style="150" customWidth="1"/>
    <col min="7" max="7" width="11.54296875" style="150" customWidth="1"/>
    <col min="8" max="8" width="11.453125" style="150" customWidth="1"/>
    <col min="9" max="9" width="14.453125" style="150" customWidth="1"/>
    <col min="10" max="10" width="7.1796875" style="150" customWidth="1"/>
    <col min="11" max="11" width="19.453125" style="150" customWidth="1"/>
    <col min="12" max="12" width="14.453125" style="150" customWidth="1"/>
    <col min="13" max="13" width="52.1796875" style="150" customWidth="1"/>
    <col min="14" max="14" width="16" style="150" customWidth="1"/>
    <col min="15" max="15" width="20.453125" style="150" customWidth="1"/>
    <col min="16" max="16" width="14.1796875" style="150" customWidth="1"/>
    <col min="17" max="16384" width="9.1796875" style="150"/>
  </cols>
  <sheetData>
    <row r="1" spans="1:15" s="188" customFormat="1" ht="22.5" customHeight="1" x14ac:dyDescent="0.3">
      <c r="A1" s="462" t="s">
        <v>442</v>
      </c>
      <c r="B1" s="462"/>
      <c r="C1" s="462"/>
      <c r="D1" s="462"/>
      <c r="E1" s="462"/>
      <c r="F1" s="462"/>
      <c r="G1" s="462"/>
      <c r="H1" s="462"/>
      <c r="I1" s="462"/>
    </row>
    <row r="2" spans="1:15" s="188" customFormat="1" ht="15" x14ac:dyDescent="0.3">
      <c r="A2" s="423" t="s">
        <v>91</v>
      </c>
      <c r="B2" s="423"/>
      <c r="C2" s="423"/>
      <c r="D2" s="423"/>
      <c r="E2" s="423"/>
      <c r="F2" s="423"/>
      <c r="G2" s="423"/>
      <c r="H2" s="423"/>
      <c r="I2" s="423"/>
    </row>
    <row r="3" spans="1:15" s="188" customFormat="1" ht="33" customHeight="1" x14ac:dyDescent="0.3">
      <c r="A3" s="462" t="s">
        <v>463</v>
      </c>
      <c r="B3" s="462"/>
      <c r="C3" s="462"/>
      <c r="D3" s="462"/>
      <c r="E3" s="462"/>
      <c r="F3" s="462"/>
      <c r="G3" s="462"/>
      <c r="H3" s="462"/>
      <c r="I3" s="462"/>
    </row>
    <row r="5" spans="1:15" ht="65" x14ac:dyDescent="0.3">
      <c r="A5" s="189" t="s">
        <v>111</v>
      </c>
      <c r="B5" s="190" t="s">
        <v>112</v>
      </c>
      <c r="C5" s="115" t="s">
        <v>113</v>
      </c>
      <c r="D5" s="190" t="s">
        <v>114</v>
      </c>
      <c r="E5" s="115" t="s">
        <v>115</v>
      </c>
      <c r="F5" s="190" t="s">
        <v>116</v>
      </c>
      <c r="G5" s="190" t="s">
        <v>117</v>
      </c>
      <c r="H5" s="190" t="s">
        <v>118</v>
      </c>
      <c r="I5" s="190" t="s">
        <v>119</v>
      </c>
      <c r="J5" s="191"/>
      <c r="O5" s="150" t="s">
        <v>120</v>
      </c>
    </row>
    <row r="6" spans="1:15" x14ac:dyDescent="0.3">
      <c r="A6" s="182" t="s">
        <v>121</v>
      </c>
      <c r="B6" s="190" t="s">
        <v>122</v>
      </c>
      <c r="C6" s="192"/>
      <c r="D6" s="193"/>
      <c r="E6" s="192"/>
      <c r="F6" s="193"/>
      <c r="G6" s="193"/>
      <c r="H6" s="193"/>
      <c r="I6" s="193"/>
      <c r="K6" s="480" t="s">
        <v>123</v>
      </c>
      <c r="L6" s="480"/>
      <c r="O6" s="150">
        <f>C6*E6</f>
        <v>0</v>
      </c>
    </row>
    <row r="7" spans="1:15" ht="41.5" customHeight="1" x14ac:dyDescent="0.3">
      <c r="A7" s="182" t="s">
        <v>124</v>
      </c>
      <c r="B7" s="190" t="s">
        <v>122</v>
      </c>
      <c r="C7" s="192"/>
      <c r="D7" s="193"/>
      <c r="E7" s="192"/>
      <c r="F7" s="193"/>
      <c r="G7" s="193"/>
      <c r="H7" s="193"/>
      <c r="I7" s="193"/>
      <c r="K7" s="194" t="s">
        <v>125</v>
      </c>
      <c r="L7" s="195">
        <f>76.96*2.1</f>
        <v>161.61599999999999</v>
      </c>
      <c r="M7" s="196" t="s">
        <v>126</v>
      </c>
      <c r="N7" s="196"/>
      <c r="O7" s="150">
        <f t="shared" ref="O7:O47" si="0">C7*E7</f>
        <v>0</v>
      </c>
    </row>
    <row r="8" spans="1:15" ht="55" customHeight="1" x14ac:dyDescent="0.3">
      <c r="A8" s="182" t="s">
        <v>127</v>
      </c>
      <c r="B8" s="190">
        <v>0</v>
      </c>
      <c r="C8" s="115">
        <v>0</v>
      </c>
      <c r="D8" s="190">
        <f>B8*C8</f>
        <v>0</v>
      </c>
      <c r="E8" s="115">
        <f>L12</f>
        <v>0</v>
      </c>
      <c r="F8" s="190">
        <f>D8*E8</f>
        <v>0</v>
      </c>
      <c r="G8" s="190">
        <f>F8*0.05</f>
        <v>0</v>
      </c>
      <c r="H8" s="190">
        <f>F8*0.1</f>
        <v>0</v>
      </c>
      <c r="I8" s="197">
        <f>F8*$L$8+G8*$L$7+H8*$L$9</f>
        <v>0</v>
      </c>
      <c r="K8" s="194" t="s">
        <v>128</v>
      </c>
      <c r="L8" s="195">
        <f>60.8*2.1</f>
        <v>127.67999999999999</v>
      </c>
      <c r="M8" s="198"/>
      <c r="N8" s="198"/>
      <c r="O8" s="150">
        <f t="shared" si="0"/>
        <v>0</v>
      </c>
    </row>
    <row r="9" spans="1:15" x14ac:dyDescent="0.3">
      <c r="A9" s="182" t="s">
        <v>129</v>
      </c>
      <c r="B9" s="190"/>
      <c r="C9" s="115"/>
      <c r="D9" s="190"/>
      <c r="E9" s="115"/>
      <c r="F9" s="190"/>
      <c r="G9" s="190"/>
      <c r="H9" s="190"/>
      <c r="I9" s="193"/>
      <c r="K9" s="194" t="s">
        <v>130</v>
      </c>
      <c r="L9" s="195">
        <f>30.58*2.1</f>
        <v>64.218000000000004</v>
      </c>
      <c r="M9" s="198"/>
      <c r="N9" s="198"/>
      <c r="O9" s="150">
        <f t="shared" si="0"/>
        <v>0</v>
      </c>
    </row>
    <row r="10" spans="1:15" ht="26" x14ac:dyDescent="0.3">
      <c r="A10" s="301" t="s">
        <v>132</v>
      </c>
      <c r="B10" s="190">
        <v>0</v>
      </c>
      <c r="C10" s="115">
        <v>0</v>
      </c>
      <c r="D10" s="190">
        <f>B10*C10</f>
        <v>0</v>
      </c>
      <c r="E10" s="115">
        <v>0</v>
      </c>
      <c r="F10" s="190">
        <f>D10*E10</f>
        <v>0</v>
      </c>
      <c r="G10" s="190">
        <f>F10*0.05</f>
        <v>0</v>
      </c>
      <c r="H10" s="190">
        <f>F10*0.1</f>
        <v>0</v>
      </c>
      <c r="I10" s="199">
        <f>F10*$L$8+G10*$L$7+H10*$L$9</f>
        <v>0</v>
      </c>
      <c r="K10" s="420"/>
      <c r="O10" s="150">
        <f t="shared" si="0"/>
        <v>0</v>
      </c>
    </row>
    <row r="11" spans="1:15" ht="15.75" customHeight="1" x14ac:dyDescent="0.3">
      <c r="A11" s="301" t="s">
        <v>133</v>
      </c>
      <c r="B11" s="190"/>
      <c r="C11" s="115"/>
      <c r="D11" s="190"/>
      <c r="E11" s="115"/>
      <c r="F11" s="190"/>
      <c r="G11" s="190"/>
      <c r="H11" s="190"/>
      <c r="I11" s="199"/>
      <c r="K11" s="200"/>
      <c r="L11" s="200" t="s">
        <v>444</v>
      </c>
      <c r="O11" s="150">
        <f t="shared" si="0"/>
        <v>0</v>
      </c>
    </row>
    <row r="12" spans="1:15" ht="15.5" x14ac:dyDescent="0.3">
      <c r="A12" s="306" t="s">
        <v>290</v>
      </c>
      <c r="B12" s="190"/>
      <c r="C12" s="115"/>
      <c r="D12" s="190"/>
      <c r="E12" s="201"/>
      <c r="F12" s="202"/>
      <c r="G12" s="190"/>
      <c r="H12" s="190"/>
      <c r="I12" s="199"/>
      <c r="K12" s="200"/>
      <c r="L12" s="200">
        <v>0</v>
      </c>
      <c r="O12" s="150">
        <f t="shared" si="0"/>
        <v>0</v>
      </c>
    </row>
    <row r="13" spans="1:15" ht="52" customHeight="1" x14ac:dyDescent="0.3">
      <c r="A13" s="116" t="s">
        <v>445</v>
      </c>
      <c r="B13" s="190">
        <v>0</v>
      </c>
      <c r="C13" s="115">
        <v>0</v>
      </c>
      <c r="D13" s="190">
        <f>B13*C13</f>
        <v>0</v>
      </c>
      <c r="E13" s="201">
        <f t="shared" ref="E13" si="1">L$13</f>
        <v>0</v>
      </c>
      <c r="F13" s="202">
        <f>D13*E13</f>
        <v>0</v>
      </c>
      <c r="G13" s="190">
        <f>F13*0.05</f>
        <v>0</v>
      </c>
      <c r="H13" s="190">
        <f>F13*0.1</f>
        <v>0</v>
      </c>
      <c r="I13" s="199">
        <f>F13*$L$8+G13*$L$7+H13*$L$9</f>
        <v>0</v>
      </c>
      <c r="K13" s="200" t="s">
        <v>136</v>
      </c>
      <c r="L13" s="200">
        <v>0</v>
      </c>
      <c r="M13" s="264" t="s">
        <v>446</v>
      </c>
      <c r="N13" s="264"/>
      <c r="O13" s="150">
        <f t="shared" si="0"/>
        <v>0</v>
      </c>
    </row>
    <row r="14" spans="1:15" x14ac:dyDescent="0.3">
      <c r="A14" s="116" t="s">
        <v>293</v>
      </c>
      <c r="B14" s="190">
        <v>0</v>
      </c>
      <c r="C14" s="115">
        <v>0</v>
      </c>
      <c r="D14" s="190">
        <f t="shared" ref="D14" si="2">B14*C14</f>
        <v>0</v>
      </c>
      <c r="E14" s="201">
        <f>E13*0.05</f>
        <v>0</v>
      </c>
      <c r="F14" s="202">
        <f t="shared" ref="F14:F19" si="3">D14*E14</f>
        <v>0</v>
      </c>
      <c r="G14" s="190">
        <f t="shared" ref="G14:G19" si="4">F14*0.05</f>
        <v>0</v>
      </c>
      <c r="H14" s="190">
        <f t="shared" ref="H14:H19" si="5">F14*0.1</f>
        <v>0</v>
      </c>
      <c r="I14" s="199">
        <f t="shared" ref="I14:I19" si="6">F14*$L$8+G14*$L$7+H14*$L$9</f>
        <v>0</v>
      </c>
      <c r="J14" s="420"/>
      <c r="K14" s="200" t="s">
        <v>141</v>
      </c>
      <c r="L14" s="200">
        <v>80</v>
      </c>
      <c r="M14" s="420" t="s">
        <v>447</v>
      </c>
      <c r="N14" s="420"/>
      <c r="O14" s="150">
        <f t="shared" si="0"/>
        <v>0</v>
      </c>
    </row>
    <row r="15" spans="1:15" ht="50.5" customHeight="1" x14ac:dyDescent="0.3">
      <c r="A15" s="306" t="s">
        <v>297</v>
      </c>
      <c r="B15" s="190"/>
      <c r="C15" s="115"/>
      <c r="D15" s="190"/>
      <c r="E15" s="115"/>
      <c r="F15" s="202"/>
      <c r="G15" s="190"/>
      <c r="H15" s="190"/>
      <c r="I15" s="199"/>
      <c r="K15" s="420" t="s">
        <v>448</v>
      </c>
      <c r="L15" s="420">
        <v>74</v>
      </c>
      <c r="M15" s="420" t="s">
        <v>449</v>
      </c>
      <c r="N15" s="420"/>
      <c r="O15" s="150">
        <f t="shared" si="0"/>
        <v>0</v>
      </c>
    </row>
    <row r="16" spans="1:15" ht="40.5" customHeight="1" x14ac:dyDescent="0.3">
      <c r="A16" s="116" t="s">
        <v>445</v>
      </c>
      <c r="B16" s="190">
        <v>0</v>
      </c>
      <c r="C16" s="115">
        <v>0</v>
      </c>
      <c r="D16" s="190">
        <f>B16*C16</f>
        <v>0</v>
      </c>
      <c r="E16" s="201">
        <v>0</v>
      </c>
      <c r="F16" s="202">
        <f t="shared" si="3"/>
        <v>0</v>
      </c>
      <c r="G16" s="190">
        <f t="shared" si="4"/>
        <v>0</v>
      </c>
      <c r="H16" s="190">
        <f t="shared" si="5"/>
        <v>0</v>
      </c>
      <c r="I16" s="199">
        <f t="shared" si="6"/>
        <v>0</v>
      </c>
      <c r="J16" s="203"/>
      <c r="K16" s="420" t="s">
        <v>450</v>
      </c>
      <c r="L16" s="150">
        <v>6</v>
      </c>
      <c r="M16" s="420" t="s">
        <v>451</v>
      </c>
      <c r="O16" s="150">
        <f t="shared" si="0"/>
        <v>0</v>
      </c>
    </row>
    <row r="17" spans="1:15" x14ac:dyDescent="0.3">
      <c r="A17" s="301" t="s">
        <v>300</v>
      </c>
      <c r="B17" s="190">
        <v>0</v>
      </c>
      <c r="C17" s="115">
        <v>0</v>
      </c>
      <c r="D17" s="190">
        <f t="shared" ref="D17" si="7">B17*C17</f>
        <v>0</v>
      </c>
      <c r="E17" s="201">
        <f>E16*0.05</f>
        <v>0</v>
      </c>
      <c r="F17" s="202">
        <f t="shared" si="3"/>
        <v>0</v>
      </c>
      <c r="G17" s="190">
        <f t="shared" si="4"/>
        <v>0</v>
      </c>
      <c r="H17" s="190">
        <f t="shared" si="5"/>
        <v>0</v>
      </c>
      <c r="I17" s="199">
        <f t="shared" si="6"/>
        <v>0</v>
      </c>
      <c r="J17" s="203"/>
      <c r="O17" s="150">
        <f t="shared" si="0"/>
        <v>0</v>
      </c>
    </row>
    <row r="18" spans="1:15" ht="25.5" customHeight="1" x14ac:dyDescent="0.3">
      <c r="A18" s="306" t="s">
        <v>151</v>
      </c>
      <c r="B18" s="204"/>
      <c r="C18" s="205"/>
      <c r="D18" s="204"/>
      <c r="E18" s="206"/>
      <c r="F18" s="202"/>
      <c r="G18" s="190"/>
      <c r="H18" s="190"/>
      <c r="I18" s="199"/>
      <c r="O18" s="150">
        <f t="shared" si="0"/>
        <v>0</v>
      </c>
    </row>
    <row r="19" spans="1:15" ht="29" x14ac:dyDescent="0.3">
      <c r="A19" s="301" t="s">
        <v>464</v>
      </c>
      <c r="B19" s="190">
        <v>0.3</v>
      </c>
      <c r="C19" s="115">
        <v>330</v>
      </c>
      <c r="D19" s="190">
        <f>B19*C19</f>
        <v>99</v>
      </c>
      <c r="E19" s="201">
        <f>L13+L16</f>
        <v>6</v>
      </c>
      <c r="F19" s="202">
        <f t="shared" si="3"/>
        <v>594</v>
      </c>
      <c r="G19" s="190">
        <f t="shared" si="4"/>
        <v>29.700000000000003</v>
      </c>
      <c r="H19" s="190">
        <f t="shared" si="5"/>
        <v>59.400000000000006</v>
      </c>
      <c r="I19" s="262">
        <f t="shared" si="6"/>
        <v>84456.464399999997</v>
      </c>
      <c r="O19" s="150">
        <f t="shared" si="0"/>
        <v>1980</v>
      </c>
    </row>
    <row r="20" spans="1:15" x14ac:dyDescent="0.3">
      <c r="A20" s="301" t="s">
        <v>155</v>
      </c>
      <c r="B20" s="190"/>
      <c r="C20" s="192"/>
      <c r="D20" s="193"/>
      <c r="E20" s="207"/>
      <c r="F20" s="193"/>
      <c r="G20" s="193"/>
      <c r="H20" s="193"/>
      <c r="I20" s="193"/>
      <c r="O20" s="150">
        <f t="shared" si="0"/>
        <v>0</v>
      </c>
    </row>
    <row r="21" spans="1:15" ht="26" x14ac:dyDescent="0.3">
      <c r="A21" s="301" t="s">
        <v>156</v>
      </c>
      <c r="B21" s="190"/>
      <c r="C21" s="192"/>
      <c r="D21" s="193"/>
      <c r="E21" s="207"/>
      <c r="F21" s="193"/>
      <c r="G21" s="193"/>
      <c r="H21" s="193"/>
      <c r="I21" s="193"/>
      <c r="O21" s="150">
        <f t="shared" si="0"/>
        <v>0</v>
      </c>
    </row>
    <row r="22" spans="1:15" x14ac:dyDescent="0.3">
      <c r="A22" s="301" t="s">
        <v>157</v>
      </c>
      <c r="B22" s="193"/>
      <c r="C22" s="192"/>
      <c r="D22" s="193"/>
      <c r="E22" s="207"/>
      <c r="F22" s="193"/>
      <c r="G22" s="193"/>
      <c r="H22" s="193"/>
      <c r="I22" s="193"/>
      <c r="O22" s="150">
        <f t="shared" si="0"/>
        <v>0</v>
      </c>
    </row>
    <row r="23" spans="1:15" x14ac:dyDescent="0.3">
      <c r="A23" s="307" t="s">
        <v>158</v>
      </c>
      <c r="B23" s="190"/>
      <c r="C23" s="115"/>
      <c r="D23" s="190"/>
      <c r="E23" s="201"/>
      <c r="F23" s="190"/>
      <c r="G23" s="190"/>
      <c r="H23" s="190"/>
      <c r="I23" s="199"/>
      <c r="O23" s="150">
        <f t="shared" si="0"/>
        <v>0</v>
      </c>
    </row>
    <row r="24" spans="1:15" ht="26" x14ac:dyDescent="0.3">
      <c r="A24" s="301" t="s">
        <v>159</v>
      </c>
      <c r="B24" s="190">
        <v>0</v>
      </c>
      <c r="C24" s="115">
        <v>0</v>
      </c>
      <c r="D24" s="190">
        <v>2</v>
      </c>
      <c r="E24" s="201">
        <f>L13</f>
        <v>0</v>
      </c>
      <c r="F24" s="190">
        <f t="shared" ref="F24:F27" si="8">D24*E24</f>
        <v>0</v>
      </c>
      <c r="G24" s="190">
        <f t="shared" ref="G24:G27" si="9">F24*0.05</f>
        <v>0</v>
      </c>
      <c r="H24" s="190">
        <f t="shared" ref="H24:H27" si="10">F24*0.1</f>
        <v>0</v>
      </c>
      <c r="I24" s="199">
        <f>F24*$L$8+G24*$L$7+H24*$L$9</f>
        <v>0</v>
      </c>
      <c r="O24" s="150">
        <f t="shared" si="0"/>
        <v>0</v>
      </c>
    </row>
    <row r="25" spans="1:15" ht="25.5" customHeight="1" x14ac:dyDescent="0.3">
      <c r="A25" s="301" t="s">
        <v>160</v>
      </c>
      <c r="B25" s="190">
        <v>0</v>
      </c>
      <c r="C25" s="115">
        <v>0</v>
      </c>
      <c r="D25" s="190">
        <v>2</v>
      </c>
      <c r="E25" s="201">
        <f>L13</f>
        <v>0</v>
      </c>
      <c r="F25" s="190">
        <f t="shared" si="8"/>
        <v>0</v>
      </c>
      <c r="G25" s="190">
        <f t="shared" si="9"/>
        <v>0</v>
      </c>
      <c r="H25" s="190">
        <f t="shared" si="10"/>
        <v>0</v>
      </c>
      <c r="I25" s="199">
        <f>F25*$L$8+G25*$L$7+H25*$L$9</f>
        <v>0</v>
      </c>
      <c r="O25" s="150">
        <f t="shared" si="0"/>
        <v>0</v>
      </c>
    </row>
    <row r="26" spans="1:15" ht="39" x14ac:dyDescent="0.3">
      <c r="A26" s="301" t="s">
        <v>400</v>
      </c>
      <c r="B26" s="190">
        <v>0</v>
      </c>
      <c r="C26" s="115">
        <v>0</v>
      </c>
      <c r="D26" s="190">
        <v>2</v>
      </c>
      <c r="E26" s="201">
        <f>L13</f>
        <v>0</v>
      </c>
      <c r="F26" s="190">
        <f t="shared" si="8"/>
        <v>0</v>
      </c>
      <c r="G26" s="190">
        <f t="shared" si="9"/>
        <v>0</v>
      </c>
      <c r="H26" s="190">
        <f t="shared" si="10"/>
        <v>0</v>
      </c>
      <c r="I26" s="199">
        <f>F26*$L$8+G26*$L$7+H26*$L$9</f>
        <v>0</v>
      </c>
      <c r="O26" s="150">
        <f t="shared" si="0"/>
        <v>0</v>
      </c>
    </row>
    <row r="27" spans="1:15" ht="74.150000000000006" customHeight="1" x14ac:dyDescent="0.3">
      <c r="A27" s="301" t="s">
        <v>454</v>
      </c>
      <c r="B27" s="190">
        <v>0</v>
      </c>
      <c r="C27" s="115">
        <v>0</v>
      </c>
      <c r="D27" s="190">
        <f t="shared" ref="D27" si="11">B27*C27</f>
        <v>0</v>
      </c>
      <c r="E27" s="201">
        <f>L13</f>
        <v>0</v>
      </c>
      <c r="F27" s="190">
        <f t="shared" si="8"/>
        <v>0</v>
      </c>
      <c r="G27" s="190">
        <f t="shared" si="9"/>
        <v>0</v>
      </c>
      <c r="H27" s="190">
        <f t="shared" si="10"/>
        <v>0</v>
      </c>
      <c r="I27" s="197">
        <f>F27*$L$8+G27*$L$7+H27*$L$9</f>
        <v>0</v>
      </c>
      <c r="O27" s="150">
        <f t="shared" si="0"/>
        <v>0</v>
      </c>
    </row>
    <row r="28" spans="1:15" x14ac:dyDescent="0.3">
      <c r="A28" s="307" t="s">
        <v>163</v>
      </c>
      <c r="B28" s="193"/>
      <c r="C28" s="192"/>
      <c r="D28" s="193"/>
      <c r="E28" s="207"/>
      <c r="F28" s="193"/>
      <c r="G28" s="193"/>
      <c r="H28" s="193"/>
      <c r="I28" s="193"/>
      <c r="O28" s="150">
        <f t="shared" si="0"/>
        <v>0</v>
      </c>
    </row>
    <row r="29" spans="1:15" ht="26" x14ac:dyDescent="0.3">
      <c r="A29" s="301" t="s">
        <v>159</v>
      </c>
      <c r="B29" s="190">
        <v>2</v>
      </c>
      <c r="C29" s="115">
        <v>1</v>
      </c>
      <c r="D29" s="190">
        <v>2</v>
      </c>
      <c r="E29" s="201">
        <f>L16</f>
        <v>6</v>
      </c>
      <c r="F29" s="190">
        <f>D29*E29</f>
        <v>12</v>
      </c>
      <c r="G29" s="190">
        <f>F29*0.05</f>
        <v>0.60000000000000009</v>
      </c>
      <c r="H29" s="190">
        <f>F29*0.1</f>
        <v>1.2000000000000002</v>
      </c>
      <c r="I29" s="262">
        <f>F29*$L$8+G29*$L$7+H29*$L$9</f>
        <v>1706.1911999999998</v>
      </c>
      <c r="O29" s="150">
        <f t="shared" si="0"/>
        <v>6</v>
      </c>
    </row>
    <row r="30" spans="1:15" ht="26" x14ac:dyDescent="0.3">
      <c r="A30" s="301" t="s">
        <v>160</v>
      </c>
      <c r="B30" s="190">
        <v>2</v>
      </c>
      <c r="C30" s="115">
        <v>1</v>
      </c>
      <c r="D30" s="190">
        <v>2</v>
      </c>
      <c r="E30" s="201">
        <f>E29</f>
        <v>6</v>
      </c>
      <c r="F30" s="190">
        <f>D30*E30</f>
        <v>12</v>
      </c>
      <c r="G30" s="190">
        <f>F30*0.05</f>
        <v>0.60000000000000009</v>
      </c>
      <c r="H30" s="190">
        <f>F30*0.1</f>
        <v>1.2000000000000002</v>
      </c>
      <c r="I30" s="262">
        <f>F30*$L$8+G30*$L$7+H30*$L$9</f>
        <v>1706.1911999999998</v>
      </c>
      <c r="O30" s="150">
        <f t="shared" si="0"/>
        <v>6</v>
      </c>
    </row>
    <row r="31" spans="1:15" ht="39" x14ac:dyDescent="0.3">
      <c r="A31" s="301" t="s">
        <v>465</v>
      </c>
      <c r="B31" s="190">
        <v>2</v>
      </c>
      <c r="C31" s="115">
        <v>1</v>
      </c>
      <c r="D31" s="190">
        <v>2</v>
      </c>
      <c r="E31" s="201">
        <f>L16</f>
        <v>6</v>
      </c>
      <c r="F31" s="190">
        <f>D31*E31</f>
        <v>12</v>
      </c>
      <c r="G31" s="190">
        <f>F31*0.05</f>
        <v>0.60000000000000009</v>
      </c>
      <c r="H31" s="190">
        <f>F31*0.1</f>
        <v>1.2000000000000002</v>
      </c>
      <c r="I31" s="262">
        <f>F31*$L$8+G31*$L$7+H31*$L$9</f>
        <v>1706.1911999999998</v>
      </c>
      <c r="O31" s="150">
        <f t="shared" si="0"/>
        <v>6</v>
      </c>
    </row>
    <row r="32" spans="1:15" ht="100" customHeight="1" x14ac:dyDescent="0.3">
      <c r="A32" s="301" t="s">
        <v>454</v>
      </c>
      <c r="B32" s="190">
        <v>2</v>
      </c>
      <c r="C32" s="115">
        <v>1</v>
      </c>
      <c r="D32" s="190">
        <f t="shared" ref="D32" si="12">B32*C32</f>
        <v>2</v>
      </c>
      <c r="E32" s="201">
        <f>L14</f>
        <v>80</v>
      </c>
      <c r="F32" s="190">
        <f t="shared" ref="F32" si="13">D32*E32</f>
        <v>160</v>
      </c>
      <c r="G32" s="190">
        <f t="shared" ref="G32" si="14">F32*0.05</f>
        <v>8</v>
      </c>
      <c r="H32" s="190">
        <f t="shared" ref="H32" si="15">F32*0.1</f>
        <v>16</v>
      </c>
      <c r="I32" s="262">
        <f>F32*$L$8+G32*$L$7+H32*$L$9</f>
        <v>22749.216</v>
      </c>
      <c r="O32" s="150">
        <f t="shared" si="0"/>
        <v>80</v>
      </c>
    </row>
    <row r="33" spans="1:15" ht="23.5" customHeight="1" x14ac:dyDescent="0.3">
      <c r="A33" s="208" t="s">
        <v>167</v>
      </c>
      <c r="B33" s="209"/>
      <c r="C33" s="210"/>
      <c r="D33" s="209"/>
      <c r="E33" s="211"/>
      <c r="F33" s="212">
        <f>SUM(F8:H32)</f>
        <v>908.50000000000023</v>
      </c>
      <c r="G33" s="212"/>
      <c r="H33" s="212"/>
      <c r="I33" s="213">
        <f>SUM(I8:I32)</f>
        <v>112324.254</v>
      </c>
      <c r="O33" s="150">
        <f t="shared" si="0"/>
        <v>0</v>
      </c>
    </row>
    <row r="34" spans="1:15" ht="26" x14ac:dyDescent="0.3">
      <c r="A34" s="182" t="s">
        <v>168</v>
      </c>
      <c r="B34" s="193"/>
      <c r="C34" s="192"/>
      <c r="D34" s="193"/>
      <c r="E34" s="207"/>
      <c r="F34" s="193"/>
      <c r="G34" s="193"/>
      <c r="H34" s="193"/>
      <c r="I34" s="193"/>
      <c r="O34" s="150">
        <f t="shared" si="0"/>
        <v>0</v>
      </c>
    </row>
    <row r="35" spans="1:15" ht="26" x14ac:dyDescent="0.3">
      <c r="A35" s="301" t="s">
        <v>132</v>
      </c>
      <c r="B35" s="190"/>
      <c r="C35" s="192"/>
      <c r="D35" s="193"/>
      <c r="E35" s="192"/>
      <c r="F35" s="193"/>
      <c r="G35" s="193"/>
      <c r="H35" s="193"/>
      <c r="I35" s="193"/>
      <c r="O35" s="150">
        <f t="shared" si="0"/>
        <v>0</v>
      </c>
    </row>
    <row r="36" spans="1:15" x14ac:dyDescent="0.3">
      <c r="A36" s="301" t="s">
        <v>169</v>
      </c>
      <c r="B36" s="190"/>
      <c r="C36" s="192"/>
      <c r="D36" s="193"/>
      <c r="E36" s="192"/>
      <c r="F36" s="193"/>
      <c r="G36" s="193"/>
      <c r="H36" s="193"/>
      <c r="I36" s="193"/>
      <c r="O36" s="150">
        <f t="shared" si="0"/>
        <v>0</v>
      </c>
    </row>
    <row r="37" spans="1:15" x14ac:dyDescent="0.3">
      <c r="A37" s="301" t="s">
        <v>170</v>
      </c>
      <c r="B37" s="190"/>
      <c r="C37" s="192"/>
      <c r="D37" s="193"/>
      <c r="E37" s="192"/>
      <c r="F37" s="193"/>
      <c r="G37" s="193"/>
      <c r="H37" s="193"/>
      <c r="I37" s="193"/>
      <c r="O37" s="150">
        <f t="shared" si="0"/>
        <v>0</v>
      </c>
    </row>
    <row r="38" spans="1:15" x14ac:dyDescent="0.3">
      <c r="A38" s="301" t="s">
        <v>171</v>
      </c>
      <c r="B38" s="190" t="s">
        <v>122</v>
      </c>
      <c r="C38" s="192"/>
      <c r="D38" s="193"/>
      <c r="E38" s="192"/>
      <c r="F38" s="193"/>
      <c r="G38" s="193"/>
      <c r="H38" s="193"/>
      <c r="I38" s="193"/>
      <c r="O38" s="150">
        <f t="shared" si="0"/>
        <v>0</v>
      </c>
    </row>
    <row r="39" spans="1:15" ht="26" x14ac:dyDescent="0.3">
      <c r="A39" s="301" t="s">
        <v>172</v>
      </c>
      <c r="B39" s="193"/>
      <c r="C39" s="192"/>
      <c r="D39" s="193"/>
      <c r="E39" s="192"/>
      <c r="F39" s="193"/>
      <c r="G39" s="193"/>
      <c r="H39" s="193"/>
      <c r="I39" s="193"/>
      <c r="O39" s="150">
        <f t="shared" si="0"/>
        <v>0</v>
      </c>
    </row>
    <row r="40" spans="1:15" x14ac:dyDescent="0.3">
      <c r="A40" s="307" t="s">
        <v>163</v>
      </c>
      <c r="B40" s="193"/>
      <c r="C40" s="192"/>
      <c r="D40" s="193"/>
      <c r="E40" s="192"/>
      <c r="F40" s="193"/>
      <c r="G40" s="193"/>
      <c r="H40" s="193"/>
      <c r="I40" s="193"/>
      <c r="O40" s="150">
        <f t="shared" si="0"/>
        <v>0</v>
      </c>
    </row>
    <row r="41" spans="1:15" ht="15.65" customHeight="1" x14ac:dyDescent="0.3">
      <c r="A41" s="301" t="s">
        <v>173</v>
      </c>
      <c r="B41" s="190">
        <v>0.1</v>
      </c>
      <c r="C41" s="115">
        <v>1</v>
      </c>
      <c r="D41" s="190">
        <f t="shared" ref="D41:D46" si="16">B41*C41</f>
        <v>0.1</v>
      </c>
      <c r="E41" s="201">
        <f>$L$14</f>
        <v>80</v>
      </c>
      <c r="F41" s="202">
        <f t="shared" ref="F41:F46" si="17">D41*E41</f>
        <v>8</v>
      </c>
      <c r="G41" s="190">
        <f t="shared" ref="G41:G46" si="18">F41*0.05</f>
        <v>0.4</v>
      </c>
      <c r="H41" s="190">
        <f t="shared" ref="H41:H46" si="19">F41*0.1</f>
        <v>0.8</v>
      </c>
      <c r="I41" s="262">
        <f>F41*$L$8+G41*$L$7+H41*$L$9</f>
        <v>1137.4607999999998</v>
      </c>
      <c r="O41" s="150">
        <f t="shared" si="0"/>
        <v>80</v>
      </c>
    </row>
    <row r="42" spans="1:15" ht="91.5" customHeight="1" x14ac:dyDescent="0.3">
      <c r="A42" s="301" t="s">
        <v>456</v>
      </c>
      <c r="B42" s="190">
        <v>0.1</v>
      </c>
      <c r="C42" s="115">
        <v>330</v>
      </c>
      <c r="D42" s="190">
        <f t="shared" si="16"/>
        <v>33</v>
      </c>
      <c r="E42" s="201">
        <f>E41</f>
        <v>80</v>
      </c>
      <c r="F42" s="202">
        <f t="shared" si="17"/>
        <v>2640</v>
      </c>
      <c r="G42" s="190">
        <f t="shared" si="18"/>
        <v>132</v>
      </c>
      <c r="H42" s="190">
        <f t="shared" si="19"/>
        <v>264</v>
      </c>
      <c r="I42" s="262">
        <f>F42*$L$8+G42*$L$7+H42*$L$9</f>
        <v>375362.06399999995</v>
      </c>
      <c r="O42" s="150">
        <f t="shared" si="0"/>
        <v>26400</v>
      </c>
    </row>
    <row r="43" spans="1:15" x14ac:dyDescent="0.3">
      <c r="A43" s="307" t="s">
        <v>158</v>
      </c>
      <c r="B43" s="190"/>
      <c r="C43" s="115"/>
      <c r="D43" s="190"/>
      <c r="E43" s="201"/>
      <c r="F43" s="202"/>
      <c r="G43" s="190"/>
      <c r="H43" s="190"/>
      <c r="I43" s="199"/>
      <c r="O43" s="150">
        <f t="shared" si="0"/>
        <v>0</v>
      </c>
    </row>
    <row r="44" spans="1:15" x14ac:dyDescent="0.3">
      <c r="A44" s="301" t="s">
        <v>173</v>
      </c>
      <c r="B44" s="190">
        <v>0</v>
      </c>
      <c r="C44" s="115">
        <v>0</v>
      </c>
      <c r="D44" s="190">
        <f>B44*C44</f>
        <v>0</v>
      </c>
      <c r="E44" s="201">
        <f>L13</f>
        <v>0</v>
      </c>
      <c r="F44" s="202">
        <f t="shared" ref="F44:F45" si="20">D44*E44</f>
        <v>0</v>
      </c>
      <c r="G44" s="190">
        <f t="shared" ref="G44:G45" si="21">F44*0.05</f>
        <v>0</v>
      </c>
      <c r="H44" s="190">
        <f t="shared" ref="H44:H45" si="22">F44*0.1</f>
        <v>0</v>
      </c>
      <c r="I44" s="197">
        <f>F44*$L$8+G44*$L$7+H44*$L$9</f>
        <v>0</v>
      </c>
      <c r="O44" s="150">
        <f t="shared" si="0"/>
        <v>0</v>
      </c>
    </row>
    <row r="45" spans="1:15" ht="97" customHeight="1" x14ac:dyDescent="0.3">
      <c r="A45" s="301" t="s">
        <v>456</v>
      </c>
      <c r="B45" s="190">
        <v>0</v>
      </c>
      <c r="C45" s="115">
        <v>0</v>
      </c>
      <c r="D45" s="190">
        <f t="shared" ref="D45" si="23">B45*C45</f>
        <v>0</v>
      </c>
      <c r="E45" s="201">
        <f>L13</f>
        <v>0</v>
      </c>
      <c r="F45" s="202">
        <f t="shared" si="20"/>
        <v>0</v>
      </c>
      <c r="G45" s="190">
        <f t="shared" si="21"/>
        <v>0</v>
      </c>
      <c r="H45" s="190">
        <f t="shared" si="22"/>
        <v>0</v>
      </c>
      <c r="I45" s="197">
        <f>F45*$L$8+G45*$L$7+H45*$L$9</f>
        <v>0</v>
      </c>
      <c r="O45" s="150">
        <f t="shared" si="0"/>
        <v>0</v>
      </c>
    </row>
    <row r="46" spans="1:15" ht="20.5" customHeight="1" x14ac:dyDescent="0.3">
      <c r="A46" s="301" t="s">
        <v>313</v>
      </c>
      <c r="B46" s="190">
        <v>0</v>
      </c>
      <c r="C46" s="115">
        <v>0</v>
      </c>
      <c r="D46" s="190">
        <f t="shared" si="16"/>
        <v>0</v>
      </c>
      <c r="E46" s="201">
        <f>$L$12</f>
        <v>0</v>
      </c>
      <c r="F46" s="202">
        <f t="shared" si="17"/>
        <v>0</v>
      </c>
      <c r="G46" s="190">
        <f t="shared" si="18"/>
        <v>0</v>
      </c>
      <c r="H46" s="190">
        <f t="shared" si="19"/>
        <v>0</v>
      </c>
      <c r="I46" s="197">
        <f>F46*$L$8+G46*$L$7+H46*$L$9</f>
        <v>0</v>
      </c>
      <c r="O46" s="150">
        <f t="shared" si="0"/>
        <v>0</v>
      </c>
    </row>
    <row r="47" spans="1:15" x14ac:dyDescent="0.3">
      <c r="A47" s="301" t="s">
        <v>186</v>
      </c>
      <c r="B47" s="190" t="s">
        <v>122</v>
      </c>
      <c r="C47" s="192"/>
      <c r="D47" s="193"/>
      <c r="E47" s="192"/>
      <c r="F47" s="193"/>
      <c r="G47" s="193"/>
      <c r="H47" s="193"/>
      <c r="I47" s="193"/>
      <c r="O47" s="150">
        <f t="shared" si="0"/>
        <v>0</v>
      </c>
    </row>
    <row r="48" spans="1:15" ht="27" x14ac:dyDescent="0.3">
      <c r="A48" s="208" t="s">
        <v>188</v>
      </c>
      <c r="B48" s="214"/>
      <c r="C48" s="215"/>
      <c r="D48" s="214"/>
      <c r="E48" s="216"/>
      <c r="F48" s="212">
        <f>SUM(F41:H46)</f>
        <v>3045.2</v>
      </c>
      <c r="G48" s="212"/>
      <c r="H48" s="212"/>
      <c r="I48" s="213">
        <f>SUM(I41:I47)</f>
        <v>376499.52479999996</v>
      </c>
      <c r="O48" s="150">
        <f>SUM(O6:O47)</f>
        <v>28558</v>
      </c>
    </row>
    <row r="49" spans="1:16" ht="28.5" customHeight="1" x14ac:dyDescent="0.3">
      <c r="A49" s="184" t="s">
        <v>189</v>
      </c>
      <c r="B49" s="217"/>
      <c r="C49" s="218"/>
      <c r="D49" s="217"/>
      <c r="E49" s="219"/>
      <c r="F49" s="481">
        <f>ROUND(F48+F33, -2)</f>
        <v>4000</v>
      </c>
      <c r="G49" s="481"/>
      <c r="H49" s="481"/>
      <c r="I49" s="220">
        <f>ROUND(I48+I33, -4)</f>
        <v>490000</v>
      </c>
      <c r="K49" s="221">
        <f>F49/212</f>
        <v>18.867924528301888</v>
      </c>
      <c r="L49" s="150" t="s">
        <v>190</v>
      </c>
      <c r="O49" s="150">
        <f>O48-O19</f>
        <v>26578</v>
      </c>
      <c r="P49" s="150" t="s">
        <v>248</v>
      </c>
    </row>
    <row r="50" spans="1:16" ht="28" x14ac:dyDescent="0.3">
      <c r="A50" s="222" t="s">
        <v>191</v>
      </c>
      <c r="B50" s="193"/>
      <c r="C50" s="192"/>
      <c r="D50" s="193"/>
      <c r="E50" s="192"/>
      <c r="F50" s="193"/>
      <c r="G50" s="193"/>
      <c r="H50" s="193"/>
      <c r="I50" s="220"/>
      <c r="P50" s="150" t="s">
        <v>357</v>
      </c>
    </row>
    <row r="51" spans="1:16" ht="15" x14ac:dyDescent="0.3">
      <c r="A51" s="222" t="s">
        <v>192</v>
      </c>
      <c r="B51" s="193"/>
      <c r="C51" s="192"/>
      <c r="D51" s="193"/>
      <c r="E51" s="192"/>
      <c r="F51" s="193"/>
      <c r="G51" s="193"/>
      <c r="H51" s="193"/>
      <c r="I51" s="220">
        <f>ROUND(I49+I50, -5)</f>
        <v>500000</v>
      </c>
    </row>
    <row r="53" spans="1:16" ht="22" customHeight="1" x14ac:dyDescent="0.3">
      <c r="A53" s="482" t="s">
        <v>457</v>
      </c>
      <c r="B53" s="482"/>
      <c r="C53" s="482"/>
      <c r="D53" s="482"/>
      <c r="E53" s="482"/>
      <c r="F53" s="482"/>
      <c r="G53" s="482"/>
      <c r="H53" s="482"/>
      <c r="I53" s="482"/>
    </row>
    <row r="54" spans="1:16" ht="81" customHeight="1" x14ac:dyDescent="0.3">
      <c r="A54" s="503" t="s">
        <v>194</v>
      </c>
      <c r="B54" s="503"/>
      <c r="C54" s="503"/>
      <c r="D54" s="503"/>
      <c r="E54" s="503"/>
      <c r="F54" s="503"/>
      <c r="G54" s="503"/>
      <c r="H54" s="503"/>
      <c r="I54" s="503"/>
    </row>
    <row r="55" spans="1:16" ht="24" customHeight="1" x14ac:dyDescent="0.3">
      <c r="A55" s="482" t="s">
        <v>458</v>
      </c>
      <c r="B55" s="482"/>
      <c r="C55" s="482"/>
      <c r="D55" s="482"/>
      <c r="E55" s="482"/>
      <c r="F55" s="482"/>
      <c r="G55" s="482"/>
      <c r="H55" s="482"/>
      <c r="I55" s="482"/>
    </row>
    <row r="56" spans="1:16" ht="30" customHeight="1" x14ac:dyDescent="0.3">
      <c r="A56" s="483" t="s">
        <v>459</v>
      </c>
      <c r="B56" s="483"/>
      <c r="C56" s="483"/>
      <c r="D56" s="483"/>
      <c r="E56" s="483"/>
      <c r="F56" s="483"/>
      <c r="G56" s="483"/>
      <c r="H56" s="483"/>
      <c r="I56" s="483"/>
    </row>
    <row r="57" spans="1:16" ht="17.149999999999999" customHeight="1" x14ac:dyDescent="0.3">
      <c r="A57" s="500" t="s">
        <v>197</v>
      </c>
      <c r="B57" s="500"/>
      <c r="C57" s="500"/>
      <c r="D57" s="500"/>
      <c r="E57" s="500"/>
      <c r="F57" s="500"/>
      <c r="G57" s="500"/>
      <c r="H57" s="500"/>
      <c r="I57" s="500"/>
    </row>
    <row r="58" spans="1:16" ht="19" customHeight="1" x14ac:dyDescent="0.3">
      <c r="A58" s="479" t="s">
        <v>466</v>
      </c>
      <c r="B58" s="479"/>
      <c r="C58" s="479"/>
      <c r="D58" s="479"/>
      <c r="E58" s="479"/>
      <c r="F58" s="479"/>
      <c r="G58" s="479"/>
      <c r="H58" s="479"/>
      <c r="I58" s="479"/>
    </row>
    <row r="59" spans="1:16" ht="18.75" customHeight="1" x14ac:dyDescent="0.3">
      <c r="A59" s="479" t="s">
        <v>361</v>
      </c>
      <c r="B59" s="479"/>
      <c r="C59" s="479"/>
      <c r="D59" s="479"/>
      <c r="E59" s="479"/>
      <c r="F59" s="479"/>
      <c r="G59" s="479"/>
      <c r="H59" s="479"/>
      <c r="I59" s="479"/>
    </row>
    <row r="60" spans="1:16" ht="48.65" customHeight="1" x14ac:dyDescent="0.3">
      <c r="A60" s="479" t="s">
        <v>517</v>
      </c>
      <c r="B60" s="479"/>
      <c r="C60" s="479"/>
      <c r="D60" s="479"/>
      <c r="E60" s="479"/>
      <c r="F60" s="479"/>
      <c r="G60" s="479"/>
      <c r="H60" s="479"/>
      <c r="I60" s="479"/>
    </row>
  </sheetData>
  <mergeCells count="12">
    <mergeCell ref="A60:I60"/>
    <mergeCell ref="A54:I54"/>
    <mergeCell ref="A1:I1"/>
    <mergeCell ref="A3:I3"/>
    <mergeCell ref="K6:L6"/>
    <mergeCell ref="F49:H49"/>
    <mergeCell ref="A53:I53"/>
    <mergeCell ref="A55:I55"/>
    <mergeCell ref="A56:I56"/>
    <mergeCell ref="A57:I57"/>
    <mergeCell ref="A58:I58"/>
    <mergeCell ref="A59:I59"/>
  </mergeCells>
  <pageMargins left="0.7" right="0.7" top="0.75" bottom="0.75" header="0.3" footer="0.3"/>
  <pageSetup scale="3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D978-8091-4EA3-8342-C7F5D3E52B68}">
  <dimension ref="A1:P28"/>
  <sheetViews>
    <sheetView zoomScale="80" zoomScaleNormal="80" workbookViewId="0">
      <pane xSplit="12" ySplit="5" topLeftCell="M6" activePane="bottomRight" state="frozen"/>
      <selection activeCell="A60" sqref="A5:I60"/>
      <selection pane="topRight" activeCell="A60" sqref="A5:I60"/>
      <selection pane="bottomLeft" activeCell="A60" sqref="A5:I60"/>
      <selection pane="bottomRight" activeCell="A17" sqref="A17"/>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22.81640625" style="224" customWidth="1"/>
    <col min="14" max="16384" width="9.1796875" style="224"/>
  </cols>
  <sheetData>
    <row r="1" spans="1:16" ht="20.149999999999999" customHeight="1" x14ac:dyDescent="0.35">
      <c r="A1" s="462" t="s">
        <v>467</v>
      </c>
      <c r="B1" s="462"/>
      <c r="C1" s="462"/>
      <c r="D1" s="462"/>
      <c r="E1" s="462"/>
      <c r="F1" s="462"/>
      <c r="G1" s="462"/>
      <c r="H1" s="462"/>
      <c r="I1" s="462"/>
    </row>
    <row r="2" spans="1:16" ht="18.649999999999999" customHeight="1" x14ac:dyDescent="0.35">
      <c r="A2" s="423" t="s">
        <v>86</v>
      </c>
      <c r="B2" s="423"/>
      <c r="C2" s="423"/>
      <c r="D2" s="423"/>
      <c r="E2" s="423"/>
      <c r="F2" s="423"/>
      <c r="G2" s="423"/>
      <c r="H2" s="423"/>
      <c r="I2" s="423"/>
    </row>
    <row r="3" spans="1:16" ht="15" x14ac:dyDescent="0.35">
      <c r="A3" s="491" t="s">
        <v>468</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85.5"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30"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'MWCI-Y1'!E26</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4" si="0">C9*E9</f>
        <v>0</v>
      </c>
    </row>
    <row r="10" spans="1:16" ht="15.5" x14ac:dyDescent="0.35">
      <c r="A10" s="392" t="s">
        <v>243</v>
      </c>
      <c r="B10" s="370"/>
      <c r="C10" s="370"/>
      <c r="D10" s="370"/>
      <c r="E10" s="370"/>
      <c r="F10" s="389"/>
      <c r="G10" s="389"/>
      <c r="H10" s="389"/>
      <c r="I10" s="400"/>
      <c r="O10" s="224">
        <f t="shared" si="0"/>
        <v>0</v>
      </c>
    </row>
    <row r="11" spans="1:16" ht="39" x14ac:dyDescent="0.35">
      <c r="A11" s="371" t="s">
        <v>244</v>
      </c>
      <c r="B11" s="401">
        <v>8</v>
      </c>
      <c r="C11" s="401">
        <v>1</v>
      </c>
      <c r="D11" s="401">
        <f>B11*C11</f>
        <v>8</v>
      </c>
      <c r="E11" s="370">
        <f>'MWCI-Y1'!$L$15*0.01</f>
        <v>0.8</v>
      </c>
      <c r="F11" s="389">
        <f t="shared" ref="F11" si="1">D11*E11</f>
        <v>6.4</v>
      </c>
      <c r="G11" s="389">
        <f t="shared" ref="G11" si="2">F11*0.05</f>
        <v>0.32000000000000006</v>
      </c>
      <c r="H11" s="389">
        <f t="shared" ref="H11" si="3">F11*0.1</f>
        <v>0.64000000000000012</v>
      </c>
      <c r="I11" s="402">
        <f t="shared" ref="I11" si="4">(F11*$L$8)+(G11*$L$7)+(H11*$L$9)</f>
        <v>367.71200000000005</v>
      </c>
    </row>
    <row r="12" spans="1:16" ht="15.5" x14ac:dyDescent="0.35">
      <c r="A12" s="372" t="s">
        <v>337</v>
      </c>
      <c r="B12" s="370">
        <v>0</v>
      </c>
      <c r="C12" s="370">
        <v>0</v>
      </c>
      <c r="D12" s="370">
        <f t="shared" ref="D12:D14" si="5">B12*C12</f>
        <v>0</v>
      </c>
      <c r="E12" s="370">
        <v>0</v>
      </c>
      <c r="F12" s="389">
        <f t="shared" ref="F12:F14" si="6">D12*E12</f>
        <v>0</v>
      </c>
      <c r="G12" s="389">
        <f t="shared" ref="G12:G14" si="7">F12*0.05</f>
        <v>0</v>
      </c>
      <c r="H12" s="389">
        <f t="shared" ref="H12:H14" si="8">F12*0.1</f>
        <v>0</v>
      </c>
      <c r="I12" s="402">
        <f t="shared" ref="I12:I14" si="9">(F12*$L$8)+(G12*$L$7)+(H12*$L$9)</f>
        <v>0</v>
      </c>
      <c r="O12" s="224">
        <f t="shared" si="0"/>
        <v>0</v>
      </c>
    </row>
    <row r="13" spans="1:16" ht="15.5" x14ac:dyDescent="0.35">
      <c r="A13" s="372" t="s">
        <v>469</v>
      </c>
      <c r="B13" s="370">
        <v>0</v>
      </c>
      <c r="C13" s="370">
        <v>0</v>
      </c>
      <c r="D13" s="370">
        <f t="shared" si="5"/>
        <v>0</v>
      </c>
      <c r="E13" s="370">
        <v>0</v>
      </c>
      <c r="F13" s="389">
        <f t="shared" si="6"/>
        <v>0</v>
      </c>
      <c r="G13" s="393">
        <f t="shared" si="7"/>
        <v>0</v>
      </c>
      <c r="H13" s="393">
        <f t="shared" si="8"/>
        <v>0</v>
      </c>
      <c r="I13" s="402">
        <f t="shared" si="9"/>
        <v>0</v>
      </c>
      <c r="O13" s="224">
        <f t="shared" si="0"/>
        <v>0</v>
      </c>
    </row>
    <row r="14" spans="1:16" ht="36" customHeight="1" x14ac:dyDescent="0.35">
      <c r="A14" s="372" t="s">
        <v>470</v>
      </c>
      <c r="B14" s="370">
        <v>0</v>
      </c>
      <c r="C14" s="370">
        <v>0</v>
      </c>
      <c r="D14" s="370">
        <f t="shared" si="5"/>
        <v>0</v>
      </c>
      <c r="E14" s="370">
        <f>'MWCI-Y1'!E33</f>
        <v>0</v>
      </c>
      <c r="F14" s="391">
        <f t="shared" si="6"/>
        <v>0</v>
      </c>
      <c r="G14" s="389">
        <f t="shared" si="7"/>
        <v>0</v>
      </c>
      <c r="H14" s="389">
        <f t="shared" si="8"/>
        <v>0</v>
      </c>
      <c r="I14" s="402">
        <f t="shared" si="9"/>
        <v>0</v>
      </c>
      <c r="O14" s="224">
        <f t="shared" si="0"/>
        <v>0</v>
      </c>
    </row>
    <row r="15" spans="1:16" ht="15" x14ac:dyDescent="0.35">
      <c r="A15" s="394" t="s">
        <v>247</v>
      </c>
      <c r="B15" s="394"/>
      <c r="C15" s="394"/>
      <c r="D15" s="394"/>
      <c r="E15" s="394"/>
      <c r="F15" s="395">
        <f>ROUND(SUM(F8:H14), -1)</f>
        <v>10</v>
      </c>
      <c r="G15" s="396"/>
      <c r="H15" s="396"/>
      <c r="I15" s="397">
        <f>ROUND(SUM(I8:I14), -2)</f>
        <v>400</v>
      </c>
      <c r="O15" s="224">
        <f>SUM(O8:O14)</f>
        <v>0</v>
      </c>
      <c r="P15" s="224" t="s">
        <v>248</v>
      </c>
    </row>
    <row r="16" spans="1:16" ht="7.5" customHeight="1" x14ac:dyDescent="0.35">
      <c r="A16" s="398"/>
      <c r="B16" s="386"/>
      <c r="C16" s="386"/>
      <c r="D16" s="386"/>
      <c r="E16" s="386"/>
      <c r="F16" s="386"/>
      <c r="G16" s="399"/>
      <c r="H16" s="386"/>
      <c r="I16" s="386"/>
    </row>
    <row r="17" spans="1:9" ht="18.649999999999999" customHeight="1" x14ac:dyDescent="0.35">
      <c r="A17" s="398" t="s">
        <v>249</v>
      </c>
      <c r="B17" s="386"/>
      <c r="C17" s="386"/>
      <c r="D17" s="386"/>
      <c r="E17" s="386"/>
      <c r="F17" s="386"/>
      <c r="G17" s="386"/>
      <c r="H17" s="386"/>
      <c r="I17" s="386"/>
    </row>
    <row r="18" spans="1:9" ht="16" customHeight="1" x14ac:dyDescent="0.35">
      <c r="A18" s="482" t="s">
        <v>457</v>
      </c>
      <c r="B18" s="482"/>
      <c r="C18" s="482"/>
      <c r="D18" s="482"/>
      <c r="E18" s="482"/>
      <c r="F18" s="482"/>
      <c r="G18" s="482"/>
      <c r="H18" s="482"/>
      <c r="I18" s="482"/>
    </row>
    <row r="19" spans="1:9" ht="41.5" customHeight="1" x14ac:dyDescent="0.35">
      <c r="A19" s="505" t="s">
        <v>251</v>
      </c>
      <c r="B19" s="505"/>
      <c r="C19" s="505"/>
      <c r="D19" s="505"/>
      <c r="E19" s="505"/>
      <c r="F19" s="505"/>
      <c r="G19" s="505"/>
      <c r="H19" s="505"/>
      <c r="I19" s="505"/>
    </row>
    <row r="20" spans="1:9" ht="24.5" customHeight="1" x14ac:dyDescent="0.35">
      <c r="A20" s="487" t="s">
        <v>383</v>
      </c>
      <c r="B20" s="487"/>
      <c r="C20" s="487"/>
      <c r="D20" s="487"/>
      <c r="E20" s="487"/>
      <c r="F20" s="487"/>
      <c r="G20" s="487"/>
      <c r="H20" s="487"/>
      <c r="I20" s="487"/>
    </row>
    <row r="21" spans="1:9" ht="21" customHeight="1" x14ac:dyDescent="0.35">
      <c r="A21" s="487" t="s">
        <v>253</v>
      </c>
      <c r="B21" s="487"/>
      <c r="C21" s="487"/>
      <c r="D21" s="487"/>
      <c r="E21" s="487"/>
      <c r="F21" s="487"/>
      <c r="G21" s="487"/>
      <c r="H21" s="487"/>
      <c r="I21" s="487"/>
    </row>
    <row r="22" spans="1:9" ht="15.5" x14ac:dyDescent="0.35">
      <c r="A22" s="489" t="s">
        <v>384</v>
      </c>
      <c r="B22" s="489"/>
      <c r="C22" s="489"/>
      <c r="D22" s="489"/>
      <c r="E22" s="489"/>
      <c r="F22" s="489"/>
      <c r="G22" s="489"/>
      <c r="H22" s="489"/>
      <c r="I22" s="489"/>
    </row>
    <row r="23" spans="1:9" ht="15.5" x14ac:dyDescent="0.35">
      <c r="A23" s="489" t="s">
        <v>255</v>
      </c>
      <c r="B23" s="489"/>
      <c r="C23" s="489"/>
      <c r="D23" s="489"/>
      <c r="E23" s="489"/>
      <c r="F23" s="489"/>
      <c r="G23" s="489"/>
      <c r="H23" s="489"/>
      <c r="I23" s="489"/>
    </row>
    <row r="25" spans="1:9" x14ac:dyDescent="0.35">
      <c r="A25" s="240"/>
    </row>
    <row r="26" spans="1:9" x14ac:dyDescent="0.35">
      <c r="A26" s="240"/>
    </row>
    <row r="27" spans="1:9" x14ac:dyDescent="0.35">
      <c r="A27" s="240"/>
    </row>
    <row r="28" spans="1:9" x14ac:dyDescent="0.35">
      <c r="A28" s="240"/>
    </row>
  </sheetData>
  <mergeCells count="11">
    <mergeCell ref="K6:L6"/>
    <mergeCell ref="A19:I19"/>
    <mergeCell ref="A20:I20"/>
    <mergeCell ref="A21:I21"/>
    <mergeCell ref="A22:I22"/>
    <mergeCell ref="A18:I18"/>
    <mergeCell ref="A1:I1"/>
    <mergeCell ref="A3:I3"/>
    <mergeCell ref="A4:I4"/>
    <mergeCell ref="A5:A7"/>
    <mergeCell ref="A23:I23"/>
  </mergeCell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19CF-168D-4138-BF53-5D178431FD4D}">
  <dimension ref="A1:P27"/>
  <sheetViews>
    <sheetView zoomScale="80" zoomScaleNormal="80" workbookViewId="0">
      <pane xSplit="12" ySplit="5" topLeftCell="M14" activePane="bottomRight" state="frozen"/>
      <selection activeCell="A60" sqref="A5:I60"/>
      <selection pane="topRight" activeCell="A60" sqref="A5:I60"/>
      <selection pane="bottomLeft" activeCell="A60" sqref="A5:I60"/>
      <selection pane="bottomRight" activeCell="A60" sqref="A60"/>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7.453125" style="224" customWidth="1"/>
    <col min="14" max="16384" width="9.1796875" style="224"/>
  </cols>
  <sheetData>
    <row r="1" spans="1:16" ht="19" customHeight="1" x14ac:dyDescent="0.35">
      <c r="A1" s="462" t="s">
        <v>467</v>
      </c>
      <c r="B1" s="462"/>
      <c r="C1" s="462"/>
      <c r="D1" s="462"/>
      <c r="E1" s="462"/>
      <c r="F1" s="462"/>
      <c r="G1" s="462"/>
      <c r="H1" s="462"/>
      <c r="I1" s="462"/>
    </row>
    <row r="2" spans="1:16" ht="18.649999999999999" customHeight="1" x14ac:dyDescent="0.35">
      <c r="A2" s="423" t="s">
        <v>87</v>
      </c>
      <c r="B2" s="423"/>
      <c r="C2" s="423"/>
      <c r="D2" s="423"/>
      <c r="E2" s="423"/>
      <c r="F2" s="423"/>
      <c r="G2" s="423"/>
      <c r="H2" s="423"/>
      <c r="I2" s="423"/>
    </row>
    <row r="3" spans="1:16" ht="15" x14ac:dyDescent="0.35">
      <c r="A3" s="491" t="s">
        <v>471</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90"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49"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'MWCI-Y1'!E26</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3" si="0">C9*E9</f>
        <v>0</v>
      </c>
    </row>
    <row r="10" spans="1:16" x14ac:dyDescent="0.35">
      <c r="A10" s="388" t="s">
        <v>243</v>
      </c>
      <c r="B10" s="370"/>
      <c r="C10" s="370"/>
      <c r="D10" s="370"/>
      <c r="E10" s="370"/>
      <c r="F10" s="389"/>
      <c r="G10" s="389"/>
      <c r="H10" s="389"/>
      <c r="I10" s="400"/>
      <c r="O10" s="224">
        <f t="shared" si="0"/>
        <v>0</v>
      </c>
    </row>
    <row r="11" spans="1:16" ht="15.5" x14ac:dyDescent="0.35">
      <c r="A11" s="372" t="s">
        <v>337</v>
      </c>
      <c r="B11" s="370">
        <v>0</v>
      </c>
      <c r="C11" s="370">
        <v>0</v>
      </c>
      <c r="D11" s="370">
        <f t="shared" ref="D11:D13" si="1">B11*C11</f>
        <v>0</v>
      </c>
      <c r="E11" s="370">
        <v>0</v>
      </c>
      <c r="F11" s="389">
        <f t="shared" ref="F11:F13" si="2">D11*E11</f>
        <v>0</v>
      </c>
      <c r="G11" s="389">
        <f t="shared" ref="G11:G13" si="3">F11*0.05</f>
        <v>0</v>
      </c>
      <c r="H11" s="389">
        <f t="shared" ref="H11:H13" si="4">F11*0.1</f>
        <v>0</v>
      </c>
      <c r="I11" s="402">
        <f t="shared" ref="I11:I13" si="5">(F11*$L$8)+(G11*$L$7)+(H11*$L$9)</f>
        <v>0</v>
      </c>
      <c r="O11" s="224">
        <f t="shared" si="0"/>
        <v>0</v>
      </c>
    </row>
    <row r="12" spans="1:16" ht="15.5" x14ac:dyDescent="0.35">
      <c r="A12" s="372" t="s">
        <v>469</v>
      </c>
      <c r="B12" s="370">
        <v>0</v>
      </c>
      <c r="C12" s="370">
        <v>0</v>
      </c>
      <c r="D12" s="370">
        <f t="shared" si="1"/>
        <v>0</v>
      </c>
      <c r="E12" s="370">
        <v>0</v>
      </c>
      <c r="F12" s="389">
        <f t="shared" si="2"/>
        <v>0</v>
      </c>
      <c r="G12" s="393">
        <f t="shared" si="3"/>
        <v>0</v>
      </c>
      <c r="H12" s="393">
        <f t="shared" si="4"/>
        <v>0</v>
      </c>
      <c r="I12" s="402">
        <f t="shared" si="5"/>
        <v>0</v>
      </c>
      <c r="O12" s="224">
        <f t="shared" si="0"/>
        <v>0</v>
      </c>
    </row>
    <row r="13" spans="1:16" ht="57.65" customHeight="1" x14ac:dyDescent="0.35">
      <c r="A13" s="372" t="s">
        <v>470</v>
      </c>
      <c r="B13" s="370">
        <v>0</v>
      </c>
      <c r="C13" s="370">
        <v>0</v>
      </c>
      <c r="D13" s="370">
        <f t="shared" si="1"/>
        <v>0</v>
      </c>
      <c r="E13" s="370">
        <f>'MWCI-Y1'!E33</f>
        <v>0</v>
      </c>
      <c r="F13" s="391">
        <f t="shared" si="2"/>
        <v>0</v>
      </c>
      <c r="G13" s="389">
        <f t="shared" si="3"/>
        <v>0</v>
      </c>
      <c r="H13" s="389">
        <f t="shared" si="4"/>
        <v>0</v>
      </c>
      <c r="I13" s="402">
        <f t="shared" si="5"/>
        <v>0</v>
      </c>
      <c r="O13" s="224">
        <f t="shared" si="0"/>
        <v>0</v>
      </c>
    </row>
    <row r="14" spans="1:16" ht="15" x14ac:dyDescent="0.35">
      <c r="A14" s="394" t="s">
        <v>247</v>
      </c>
      <c r="B14" s="394"/>
      <c r="C14" s="394"/>
      <c r="D14" s="394"/>
      <c r="E14" s="394"/>
      <c r="F14" s="395">
        <f>ROUND(SUM(F8:H13), -1)</f>
        <v>0</v>
      </c>
      <c r="G14" s="396"/>
      <c r="H14" s="396"/>
      <c r="I14" s="397">
        <f>ROUND(SUM(I8:I13), -2)</f>
        <v>0</v>
      </c>
      <c r="O14" s="224">
        <f>SUM(O8:O13)</f>
        <v>0</v>
      </c>
      <c r="P14" s="224" t="s">
        <v>248</v>
      </c>
    </row>
    <row r="15" spans="1:16" ht="7.5" customHeight="1" x14ac:dyDescent="0.35">
      <c r="A15" s="398"/>
      <c r="B15" s="386"/>
      <c r="C15" s="386"/>
      <c r="D15" s="386"/>
      <c r="E15" s="386"/>
      <c r="F15" s="386"/>
      <c r="G15" s="399"/>
      <c r="H15" s="386"/>
      <c r="I15" s="386"/>
    </row>
    <row r="16" spans="1:16" ht="12" customHeight="1" x14ac:dyDescent="0.35">
      <c r="A16" s="398" t="s">
        <v>249</v>
      </c>
      <c r="B16" s="386"/>
      <c r="C16" s="386"/>
      <c r="D16" s="386"/>
      <c r="E16" s="386"/>
      <c r="F16" s="386"/>
      <c r="G16" s="386"/>
      <c r="H16" s="386"/>
      <c r="I16" s="386"/>
    </row>
    <row r="17" spans="1:9" ht="14.5" customHeight="1" x14ac:dyDescent="0.35">
      <c r="A17" s="482" t="s">
        <v>457</v>
      </c>
      <c r="B17" s="482"/>
      <c r="C17" s="482"/>
      <c r="D17" s="482"/>
      <c r="E17" s="482"/>
      <c r="F17" s="482"/>
      <c r="G17" s="482"/>
      <c r="H17" s="482"/>
      <c r="I17" s="482"/>
    </row>
    <row r="18" spans="1:9" ht="49" customHeight="1" x14ac:dyDescent="0.35">
      <c r="A18" s="505" t="s">
        <v>251</v>
      </c>
      <c r="B18" s="505"/>
      <c r="C18" s="505"/>
      <c r="D18" s="505"/>
      <c r="E18" s="505"/>
      <c r="F18" s="505"/>
      <c r="G18" s="505"/>
      <c r="H18" s="505"/>
      <c r="I18" s="505"/>
    </row>
    <row r="19" spans="1:9" ht="22.5" customHeight="1" x14ac:dyDescent="0.35">
      <c r="A19" s="506" t="s">
        <v>383</v>
      </c>
      <c r="B19" s="506"/>
      <c r="C19" s="506"/>
      <c r="D19" s="506"/>
      <c r="E19" s="506"/>
      <c r="F19" s="506"/>
      <c r="G19" s="506"/>
      <c r="H19" s="506"/>
      <c r="I19" s="506"/>
    </row>
    <row r="20" spans="1:9" ht="20" customHeight="1" x14ac:dyDescent="0.35">
      <c r="A20" s="487" t="s">
        <v>253</v>
      </c>
      <c r="B20" s="487"/>
      <c r="C20" s="487"/>
      <c r="D20" s="487"/>
      <c r="E20" s="487"/>
      <c r="F20" s="487"/>
      <c r="G20" s="487"/>
      <c r="H20" s="487"/>
      <c r="I20" s="487"/>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K6:L6"/>
    <mergeCell ref="A18:I18"/>
    <mergeCell ref="A19:I19"/>
    <mergeCell ref="A20:I20"/>
    <mergeCell ref="A21:I21"/>
    <mergeCell ref="A17:I17"/>
    <mergeCell ref="A1:I1"/>
    <mergeCell ref="A3:I3"/>
    <mergeCell ref="A4:I4"/>
    <mergeCell ref="A5:A7"/>
    <mergeCell ref="A22:I22"/>
  </mergeCells>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4FF-EE42-424F-BC02-06EA259DA23D}">
  <dimension ref="A1:P28"/>
  <sheetViews>
    <sheetView zoomScale="80" zoomScaleNormal="80" workbookViewId="0">
      <pane xSplit="12" ySplit="5" topLeftCell="M15" activePane="bottomRight" state="frozen"/>
      <selection activeCell="A60" sqref="A5:I60"/>
      <selection pane="topRight" activeCell="A60" sqref="A5:I60"/>
      <selection pane="bottomLeft" activeCell="A60" sqref="A5:I60"/>
      <selection pane="bottomRight" activeCell="A25" sqref="A25"/>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22" customHeight="1" x14ac:dyDescent="0.35">
      <c r="A1" s="462" t="s">
        <v>467</v>
      </c>
      <c r="B1" s="462"/>
      <c r="C1" s="462"/>
      <c r="D1" s="462"/>
      <c r="E1" s="462"/>
      <c r="F1" s="462"/>
      <c r="G1" s="462"/>
      <c r="H1" s="462"/>
      <c r="I1" s="462"/>
    </row>
    <row r="2" spans="1:16" ht="18.649999999999999" customHeight="1" x14ac:dyDescent="0.35">
      <c r="A2" s="423" t="s">
        <v>88</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87"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38.5"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'MWCI-Y1'!E26</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4" si="0">C9*E9</f>
        <v>0</v>
      </c>
    </row>
    <row r="10" spans="1:16" ht="15.5" x14ac:dyDescent="0.35">
      <c r="A10" s="392" t="s">
        <v>243</v>
      </c>
      <c r="B10" s="370"/>
      <c r="C10" s="370"/>
      <c r="D10" s="370"/>
      <c r="E10" s="370"/>
      <c r="F10" s="389"/>
      <c r="G10" s="389"/>
      <c r="H10" s="389"/>
      <c r="I10" s="400"/>
      <c r="O10" s="224">
        <f t="shared" si="0"/>
        <v>0</v>
      </c>
    </row>
    <row r="11" spans="1:16" ht="39" x14ac:dyDescent="0.35">
      <c r="A11" s="371" t="s">
        <v>261</v>
      </c>
      <c r="B11" s="401">
        <v>8</v>
      </c>
      <c r="C11" s="401">
        <v>1</v>
      </c>
      <c r="D11" s="401">
        <f>B11*C11</f>
        <v>8</v>
      </c>
      <c r="E11" s="370">
        <f>'MWCI-Y1'!$L$15*0.01</f>
        <v>0.8</v>
      </c>
      <c r="F11" s="389">
        <f t="shared" ref="F11" si="1">D11*E11</f>
        <v>6.4</v>
      </c>
      <c r="G11" s="389">
        <f t="shared" ref="G11" si="2">F11*0.05</f>
        <v>0.32000000000000006</v>
      </c>
      <c r="H11" s="389">
        <f t="shared" ref="H11" si="3">F11*0.1</f>
        <v>0.64000000000000012</v>
      </c>
      <c r="I11" s="402">
        <f t="shared" ref="I11" si="4">(F11*$L$8)+(G11*$L$7)+(H11*$L$9)</f>
        <v>367.71200000000005</v>
      </c>
    </row>
    <row r="12" spans="1:16" ht="15.5" x14ac:dyDescent="0.35">
      <c r="A12" s="372" t="s">
        <v>337</v>
      </c>
      <c r="B12" s="370">
        <v>0.5</v>
      </c>
      <c r="C12" s="370">
        <v>1.1000000000000001</v>
      </c>
      <c r="D12" s="370">
        <f t="shared" ref="D12:D14" si="5">B12*C12</f>
        <v>0.55000000000000004</v>
      </c>
      <c r="E12" s="370">
        <f>'MWCI-Y1'!$L$14+'MWCI-Y1'!$L$17</f>
        <v>6</v>
      </c>
      <c r="F12" s="389">
        <f t="shared" ref="F12:F14" si="6">D12*E12</f>
        <v>3.3000000000000003</v>
      </c>
      <c r="G12" s="389">
        <f t="shared" ref="G12:G14" si="7">F12*0.05</f>
        <v>0.16500000000000004</v>
      </c>
      <c r="H12" s="389">
        <f t="shared" ref="H12:H14" si="8">F12*0.1</f>
        <v>0.33000000000000007</v>
      </c>
      <c r="I12" s="402">
        <f t="shared" ref="I12:I14" si="9">(F12*$L$8)+(G12*$L$7)+(H12*$L$9)</f>
        <v>189.60150000000002</v>
      </c>
      <c r="O12" s="224">
        <f t="shared" si="0"/>
        <v>6.6000000000000005</v>
      </c>
    </row>
    <row r="13" spans="1:16" ht="15.5" x14ac:dyDescent="0.35">
      <c r="A13" s="372" t="s">
        <v>469</v>
      </c>
      <c r="B13" s="370">
        <v>8</v>
      </c>
      <c r="C13" s="370">
        <v>1</v>
      </c>
      <c r="D13" s="370">
        <f t="shared" si="5"/>
        <v>8</v>
      </c>
      <c r="E13" s="370">
        <f>'MWCI-Y1'!$L$14+'MWCI-Y1'!$L$17</f>
        <v>6</v>
      </c>
      <c r="F13" s="389">
        <f t="shared" si="6"/>
        <v>48</v>
      </c>
      <c r="G13" s="393">
        <f t="shared" si="7"/>
        <v>2.4000000000000004</v>
      </c>
      <c r="H13" s="393">
        <f t="shared" si="8"/>
        <v>4.8000000000000007</v>
      </c>
      <c r="I13" s="402">
        <f t="shared" si="9"/>
        <v>2757.8399999999997</v>
      </c>
      <c r="O13" s="224">
        <f t="shared" si="0"/>
        <v>6</v>
      </c>
    </row>
    <row r="14" spans="1:16" ht="66.650000000000006" customHeight="1" x14ac:dyDescent="0.35">
      <c r="A14" s="372" t="s">
        <v>470</v>
      </c>
      <c r="B14" s="370">
        <v>2</v>
      </c>
      <c r="C14" s="370">
        <v>1</v>
      </c>
      <c r="D14" s="370">
        <f t="shared" si="5"/>
        <v>2</v>
      </c>
      <c r="E14" s="370">
        <f>'MWCI-Y1'!$L$14+'MWCI-Y1'!$L$15</f>
        <v>80</v>
      </c>
      <c r="F14" s="391">
        <f t="shared" si="6"/>
        <v>160</v>
      </c>
      <c r="G14" s="389">
        <f t="shared" si="7"/>
        <v>8</v>
      </c>
      <c r="H14" s="389">
        <f t="shared" si="8"/>
        <v>16</v>
      </c>
      <c r="I14" s="402">
        <f t="shared" si="9"/>
        <v>9192.7999999999993</v>
      </c>
      <c r="O14" s="224">
        <f t="shared" si="0"/>
        <v>80</v>
      </c>
    </row>
    <row r="15" spans="1:16" ht="15" x14ac:dyDescent="0.35">
      <c r="A15" s="394" t="s">
        <v>247</v>
      </c>
      <c r="B15" s="394"/>
      <c r="C15" s="394"/>
      <c r="D15" s="394"/>
      <c r="E15" s="394"/>
      <c r="F15" s="395">
        <f>ROUND(SUM(F8:H14), -1)</f>
        <v>250</v>
      </c>
      <c r="G15" s="396"/>
      <c r="H15" s="396"/>
      <c r="I15" s="397">
        <f>ROUND(SUM(I8:I14), -2)</f>
        <v>12500</v>
      </c>
      <c r="O15" s="224">
        <f>SUM(O8:O14)</f>
        <v>92.6</v>
      </c>
      <c r="P15" s="224" t="s">
        <v>248</v>
      </c>
    </row>
    <row r="16" spans="1:16" ht="4" customHeight="1" x14ac:dyDescent="0.35">
      <c r="A16" s="398"/>
      <c r="B16" s="386"/>
      <c r="C16" s="386"/>
      <c r="D16" s="386"/>
      <c r="E16" s="386"/>
      <c r="F16" s="386"/>
      <c r="G16" s="399"/>
      <c r="H16" s="386"/>
      <c r="I16" s="386"/>
    </row>
    <row r="17" spans="1:9" ht="10.5" customHeight="1" x14ac:dyDescent="0.35">
      <c r="A17" s="398" t="s">
        <v>249</v>
      </c>
      <c r="B17" s="386"/>
      <c r="C17" s="386"/>
      <c r="D17" s="386"/>
      <c r="E17" s="386"/>
      <c r="F17" s="386"/>
      <c r="G17" s="386"/>
      <c r="H17" s="386"/>
      <c r="I17" s="386"/>
    </row>
    <row r="18" spans="1:9" ht="15.5" customHeight="1" x14ac:dyDescent="0.35">
      <c r="A18" s="482" t="s">
        <v>457</v>
      </c>
      <c r="B18" s="482"/>
      <c r="C18" s="482"/>
      <c r="D18" s="482"/>
      <c r="E18" s="482"/>
      <c r="F18" s="482"/>
      <c r="G18" s="482"/>
      <c r="H18" s="482"/>
      <c r="I18" s="482"/>
    </row>
    <row r="19" spans="1:9" ht="48" customHeight="1" x14ac:dyDescent="0.35">
      <c r="A19" s="505" t="s">
        <v>251</v>
      </c>
      <c r="B19" s="505"/>
      <c r="C19" s="505"/>
      <c r="D19" s="505"/>
      <c r="E19" s="505"/>
      <c r="F19" s="505"/>
      <c r="G19" s="505"/>
      <c r="H19" s="505"/>
      <c r="I19" s="505"/>
    </row>
    <row r="20" spans="1:9" ht="24" customHeight="1" x14ac:dyDescent="0.35">
      <c r="A20" s="487" t="s">
        <v>383</v>
      </c>
      <c r="B20" s="487"/>
      <c r="C20" s="487"/>
      <c r="D20" s="487"/>
      <c r="E20" s="487"/>
      <c r="F20" s="487"/>
      <c r="G20" s="487"/>
      <c r="H20" s="487"/>
      <c r="I20" s="487"/>
    </row>
    <row r="21" spans="1:9" ht="20" customHeight="1" x14ac:dyDescent="0.35">
      <c r="A21" s="487" t="s">
        <v>253</v>
      </c>
      <c r="B21" s="487"/>
      <c r="C21" s="487"/>
      <c r="D21" s="487"/>
      <c r="E21" s="487"/>
      <c r="F21" s="487"/>
      <c r="G21" s="487"/>
      <c r="H21" s="487"/>
      <c r="I21" s="487"/>
    </row>
    <row r="22" spans="1:9" ht="15.5" x14ac:dyDescent="0.35">
      <c r="A22" s="489" t="s">
        <v>384</v>
      </c>
      <c r="B22" s="489"/>
      <c r="C22" s="489"/>
      <c r="D22" s="489"/>
      <c r="E22" s="489"/>
      <c r="F22" s="489"/>
      <c r="G22" s="489"/>
      <c r="H22" s="489"/>
      <c r="I22" s="489"/>
    </row>
    <row r="23" spans="1:9" ht="15.5" x14ac:dyDescent="0.35">
      <c r="A23" s="489" t="s">
        <v>255</v>
      </c>
      <c r="B23" s="489"/>
      <c r="C23" s="489"/>
      <c r="D23" s="489"/>
      <c r="E23" s="489"/>
      <c r="F23" s="489"/>
      <c r="G23" s="489"/>
      <c r="H23" s="489"/>
      <c r="I23" s="489"/>
    </row>
    <row r="25" spans="1:9" x14ac:dyDescent="0.35">
      <c r="A25" s="240"/>
    </row>
    <row r="26" spans="1:9" x14ac:dyDescent="0.35">
      <c r="A26" s="240"/>
    </row>
    <row r="27" spans="1:9" x14ac:dyDescent="0.35">
      <c r="A27" s="240"/>
    </row>
    <row r="28" spans="1:9" x14ac:dyDescent="0.35">
      <c r="A28" s="240"/>
    </row>
  </sheetData>
  <mergeCells count="11">
    <mergeCell ref="K6:L6"/>
    <mergeCell ref="A19:I19"/>
    <mergeCell ref="A20:I20"/>
    <mergeCell ref="A21:I21"/>
    <mergeCell ref="A22:I22"/>
    <mergeCell ref="A18:I18"/>
    <mergeCell ref="A1:I1"/>
    <mergeCell ref="A3:I3"/>
    <mergeCell ref="A4:I4"/>
    <mergeCell ref="A5:A7"/>
    <mergeCell ref="A23:I23"/>
  </mergeCell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ABD29-7422-49EF-AEA5-6061A737B6F8}">
  <dimension ref="A1:P27"/>
  <sheetViews>
    <sheetView zoomScale="80" zoomScaleNormal="80" workbookViewId="0">
      <pane xSplit="12" ySplit="5" topLeftCell="M6" activePane="bottomRight" state="frozen"/>
      <selection activeCell="A60" sqref="A5:I60"/>
      <selection pane="topRight" activeCell="A60" sqref="A5:I60"/>
      <selection pane="bottomLeft" activeCell="A60" sqref="A5:I60"/>
      <selection pane="bottomRight" activeCell="A60" sqref="A5:I60"/>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22.81640625" style="224" customWidth="1"/>
    <col min="14" max="16384" width="9.1796875" style="224"/>
  </cols>
  <sheetData>
    <row r="1" spans="1:16" ht="24.65" customHeight="1" x14ac:dyDescent="0.35">
      <c r="A1" s="462" t="s">
        <v>467</v>
      </c>
      <c r="B1" s="462"/>
      <c r="C1" s="462"/>
      <c r="D1" s="462"/>
      <c r="E1" s="462"/>
      <c r="F1" s="462"/>
      <c r="G1" s="462"/>
      <c r="H1" s="462"/>
      <c r="I1" s="462"/>
    </row>
    <row r="2" spans="1:16" ht="18.649999999999999" customHeight="1" x14ac:dyDescent="0.35">
      <c r="A2" s="423" t="s">
        <v>89</v>
      </c>
      <c r="B2" s="423"/>
      <c r="C2" s="423"/>
      <c r="D2" s="423"/>
      <c r="E2" s="423"/>
      <c r="F2" s="423"/>
      <c r="G2" s="423"/>
      <c r="H2" s="423"/>
      <c r="I2" s="423"/>
    </row>
    <row r="3" spans="1:16" ht="15" x14ac:dyDescent="0.35">
      <c r="A3" s="491" t="s">
        <v>468</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85.5"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51"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'MWCI-Y4'!E25</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3" si="0">C9*E9</f>
        <v>0</v>
      </c>
    </row>
    <row r="10" spans="1:16" x14ac:dyDescent="0.35">
      <c r="A10" s="388" t="s">
        <v>243</v>
      </c>
      <c r="B10" s="370"/>
      <c r="C10" s="370"/>
      <c r="D10" s="370"/>
      <c r="E10" s="370"/>
      <c r="F10" s="389"/>
      <c r="G10" s="389"/>
      <c r="H10" s="389"/>
      <c r="I10" s="400"/>
      <c r="O10" s="224">
        <f t="shared" si="0"/>
        <v>0</v>
      </c>
    </row>
    <row r="11" spans="1:16" ht="15.5" x14ac:dyDescent="0.35">
      <c r="A11" s="372" t="s">
        <v>337</v>
      </c>
      <c r="B11" s="370">
        <v>0.5</v>
      </c>
      <c r="C11" s="370">
        <v>1.1000000000000001</v>
      </c>
      <c r="D11" s="370">
        <f t="shared" ref="D11:D13" si="1">B11*C11</f>
        <v>0.55000000000000004</v>
      </c>
      <c r="E11" s="370">
        <f>'MWCI-Y1'!$L$14+'MWCI-Y1'!$L$17</f>
        <v>6</v>
      </c>
      <c r="F11" s="389">
        <f t="shared" ref="F11:F13" si="2">D11*E11</f>
        <v>3.3000000000000003</v>
      </c>
      <c r="G11" s="389">
        <f t="shared" ref="G11:G13" si="3">F11*0.05</f>
        <v>0.16500000000000004</v>
      </c>
      <c r="H11" s="389">
        <f t="shared" ref="H11:H13" si="4">F11*0.1</f>
        <v>0.33000000000000007</v>
      </c>
      <c r="I11" s="402">
        <f t="shared" ref="I11:I13" si="5">(F11*$L$8)+(G11*$L$7)+(H11*$L$9)</f>
        <v>189.60150000000002</v>
      </c>
      <c r="O11" s="224">
        <f t="shared" si="0"/>
        <v>6.6000000000000005</v>
      </c>
    </row>
    <row r="12" spans="1:16" ht="15.5" x14ac:dyDescent="0.35">
      <c r="A12" s="372" t="s">
        <v>469</v>
      </c>
      <c r="B12" s="370">
        <v>8</v>
      </c>
      <c r="C12" s="370">
        <v>1</v>
      </c>
      <c r="D12" s="370">
        <f t="shared" si="1"/>
        <v>8</v>
      </c>
      <c r="E12" s="370">
        <f>'MWCI-Y1'!$L$14+'MWCI-Y1'!$L$17</f>
        <v>6</v>
      </c>
      <c r="F12" s="389">
        <f t="shared" si="2"/>
        <v>48</v>
      </c>
      <c r="G12" s="393">
        <f t="shared" si="3"/>
        <v>2.4000000000000004</v>
      </c>
      <c r="H12" s="393">
        <f t="shared" si="4"/>
        <v>4.8000000000000007</v>
      </c>
      <c r="I12" s="402">
        <f t="shared" si="5"/>
        <v>2757.8399999999997</v>
      </c>
      <c r="O12" s="224">
        <f t="shared" si="0"/>
        <v>6</v>
      </c>
    </row>
    <row r="13" spans="1:16" ht="36" customHeight="1" x14ac:dyDescent="0.35">
      <c r="A13" s="372" t="s">
        <v>470</v>
      </c>
      <c r="B13" s="370">
        <v>2</v>
      </c>
      <c r="C13" s="370">
        <v>1</v>
      </c>
      <c r="D13" s="370">
        <f t="shared" si="1"/>
        <v>2</v>
      </c>
      <c r="E13" s="370">
        <f>'MWCI-Y1'!$L$14+'MWCI-Y1'!$L$15</f>
        <v>80</v>
      </c>
      <c r="F13" s="391">
        <f t="shared" si="2"/>
        <v>160</v>
      </c>
      <c r="G13" s="389">
        <f t="shared" si="3"/>
        <v>8</v>
      </c>
      <c r="H13" s="389">
        <f t="shared" si="4"/>
        <v>16</v>
      </c>
      <c r="I13" s="402">
        <f t="shared" si="5"/>
        <v>9192.7999999999993</v>
      </c>
      <c r="O13" s="224">
        <f t="shared" si="0"/>
        <v>80</v>
      </c>
    </row>
    <row r="14" spans="1:16" ht="15" x14ac:dyDescent="0.35">
      <c r="A14" s="394" t="s">
        <v>247</v>
      </c>
      <c r="B14" s="394"/>
      <c r="C14" s="394"/>
      <c r="D14" s="394"/>
      <c r="E14" s="394"/>
      <c r="F14" s="395">
        <f>ROUND(SUM(F8:H13), -1)</f>
        <v>240</v>
      </c>
      <c r="G14" s="396"/>
      <c r="H14" s="396"/>
      <c r="I14" s="397">
        <f>ROUND(SUM(I8:I13), -2)</f>
        <v>12100</v>
      </c>
      <c r="O14" s="224">
        <f>SUM(O8:O13)</f>
        <v>92.6</v>
      </c>
      <c r="P14" s="224" t="s">
        <v>248</v>
      </c>
    </row>
    <row r="15" spans="1:16" x14ac:dyDescent="0.35">
      <c r="A15" s="398"/>
      <c r="B15" s="386"/>
      <c r="C15" s="386"/>
      <c r="D15" s="386"/>
      <c r="E15" s="386"/>
      <c r="F15" s="386"/>
      <c r="G15" s="399"/>
      <c r="H15" s="386"/>
      <c r="I15" s="386"/>
    </row>
    <row r="16" spans="1:16" ht="18.649999999999999" customHeight="1" x14ac:dyDescent="0.35">
      <c r="A16" s="398" t="s">
        <v>249</v>
      </c>
      <c r="B16" s="386"/>
      <c r="C16" s="386"/>
      <c r="D16" s="386"/>
      <c r="E16" s="386"/>
      <c r="F16" s="386"/>
      <c r="G16" s="386"/>
      <c r="H16" s="386"/>
      <c r="I16" s="386"/>
    </row>
    <row r="17" spans="1:9" ht="21.65" customHeight="1" x14ac:dyDescent="0.35">
      <c r="A17" s="482" t="s">
        <v>457</v>
      </c>
      <c r="B17" s="482"/>
      <c r="C17" s="482"/>
      <c r="D17" s="482"/>
      <c r="E17" s="482"/>
      <c r="F17" s="482"/>
      <c r="G17" s="482"/>
      <c r="H17" s="482"/>
      <c r="I17" s="482"/>
    </row>
    <row r="18" spans="1:9" ht="63" customHeight="1" x14ac:dyDescent="0.35">
      <c r="A18" s="505" t="s">
        <v>251</v>
      </c>
      <c r="B18" s="505"/>
      <c r="C18" s="505"/>
      <c r="D18" s="505"/>
      <c r="E18" s="505"/>
      <c r="F18" s="505"/>
      <c r="G18" s="505"/>
      <c r="H18" s="505"/>
      <c r="I18" s="505"/>
    </row>
    <row r="19" spans="1:9" ht="37.5" customHeight="1" x14ac:dyDescent="0.35">
      <c r="A19" s="506" t="s">
        <v>383</v>
      </c>
      <c r="B19" s="506"/>
      <c r="C19" s="506"/>
      <c r="D19" s="506"/>
      <c r="E19" s="506"/>
      <c r="F19" s="506"/>
      <c r="G19" s="506"/>
      <c r="H19" s="506"/>
      <c r="I19" s="506"/>
    </row>
    <row r="20" spans="1:9" ht="36" customHeight="1" x14ac:dyDescent="0.35">
      <c r="A20" s="487" t="s">
        <v>253</v>
      </c>
      <c r="B20" s="487"/>
      <c r="C20" s="487"/>
      <c r="D20" s="487"/>
      <c r="E20" s="487"/>
      <c r="F20" s="487"/>
      <c r="G20" s="487"/>
      <c r="H20" s="487"/>
      <c r="I20" s="487"/>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4998-AA8A-433A-9FA0-11C9C8DA2962}">
  <dimension ref="A1:P27"/>
  <sheetViews>
    <sheetView zoomScale="80" zoomScaleNormal="80" workbookViewId="0">
      <pane xSplit="12" ySplit="5" topLeftCell="M6" activePane="bottomRight" state="frozen"/>
      <selection activeCell="A60" sqref="A5:I60"/>
      <selection pane="topRight" activeCell="A60" sqref="A5:I60"/>
      <selection pane="bottomLeft" activeCell="A60" sqref="A5:I60"/>
      <selection pane="bottomRight" activeCell="A60" sqref="A5:I60"/>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26" style="224" customWidth="1"/>
    <col min="14" max="16384" width="9.1796875" style="224"/>
  </cols>
  <sheetData>
    <row r="1" spans="1:16" ht="33.65" customHeight="1" x14ac:dyDescent="0.35">
      <c r="A1" s="462" t="s">
        <v>467</v>
      </c>
      <c r="B1" s="462"/>
      <c r="C1" s="462"/>
      <c r="D1" s="462"/>
      <c r="E1" s="462"/>
      <c r="F1" s="462"/>
      <c r="G1" s="462"/>
      <c r="H1" s="462"/>
      <c r="I1" s="462"/>
    </row>
    <row r="2" spans="1:16" ht="18.649999999999999" customHeight="1" x14ac:dyDescent="0.35">
      <c r="A2" s="423" t="s">
        <v>90</v>
      </c>
      <c r="B2" s="423"/>
      <c r="C2" s="423"/>
      <c r="D2" s="423"/>
      <c r="E2" s="423"/>
      <c r="F2" s="423"/>
      <c r="G2" s="423"/>
      <c r="H2" s="423"/>
      <c r="I2" s="423"/>
    </row>
    <row r="3" spans="1:16" ht="15" x14ac:dyDescent="0.35">
      <c r="A3" s="491" t="s">
        <v>471</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90"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45"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'MWCI-Y4'!E25</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3" si="0">C9*E9</f>
        <v>0</v>
      </c>
    </row>
    <row r="10" spans="1:16" x14ac:dyDescent="0.35">
      <c r="A10" s="388" t="s">
        <v>243</v>
      </c>
      <c r="B10" s="370"/>
      <c r="C10" s="370"/>
      <c r="D10" s="370"/>
      <c r="E10" s="370"/>
      <c r="F10" s="389"/>
      <c r="G10" s="389"/>
      <c r="H10" s="389"/>
      <c r="I10" s="400"/>
      <c r="O10" s="224">
        <f t="shared" si="0"/>
        <v>0</v>
      </c>
    </row>
    <row r="11" spans="1:16" ht="15.5" x14ac:dyDescent="0.35">
      <c r="A11" s="372" t="s">
        <v>337</v>
      </c>
      <c r="B11" s="370">
        <v>0.5</v>
      </c>
      <c r="C11" s="370">
        <v>1.1000000000000001</v>
      </c>
      <c r="D11" s="370">
        <f t="shared" ref="D11:D13" si="1">B11*C11</f>
        <v>0.55000000000000004</v>
      </c>
      <c r="E11" s="370">
        <f>'MWCI-Y1'!$L$14+'MWCI-Y1'!$L$17</f>
        <v>6</v>
      </c>
      <c r="F11" s="389">
        <f t="shared" ref="F11:F13" si="2">D11*E11</f>
        <v>3.3000000000000003</v>
      </c>
      <c r="G11" s="389">
        <f t="shared" ref="G11:G13" si="3">F11*0.05</f>
        <v>0.16500000000000004</v>
      </c>
      <c r="H11" s="389">
        <f t="shared" ref="H11:H13" si="4">F11*0.1</f>
        <v>0.33000000000000007</v>
      </c>
      <c r="I11" s="402">
        <f t="shared" ref="I11:I13" si="5">(F11*$L$8)+(G11*$L$7)+(H11*$L$9)</f>
        <v>189.60150000000002</v>
      </c>
      <c r="O11" s="224">
        <f t="shared" si="0"/>
        <v>6.6000000000000005</v>
      </c>
    </row>
    <row r="12" spans="1:16" ht="15.5" x14ac:dyDescent="0.35">
      <c r="A12" s="372" t="s">
        <v>469</v>
      </c>
      <c r="B12" s="370">
        <v>8</v>
      </c>
      <c r="C12" s="370">
        <v>1</v>
      </c>
      <c r="D12" s="370">
        <f t="shared" si="1"/>
        <v>8</v>
      </c>
      <c r="E12" s="370">
        <f>'MWCI-Y1'!$L$14+'MWCI-Y1'!$L$17</f>
        <v>6</v>
      </c>
      <c r="F12" s="389">
        <f t="shared" si="2"/>
        <v>48</v>
      </c>
      <c r="G12" s="393">
        <f t="shared" si="3"/>
        <v>2.4000000000000004</v>
      </c>
      <c r="H12" s="393">
        <f t="shared" si="4"/>
        <v>4.8000000000000007</v>
      </c>
      <c r="I12" s="402">
        <f t="shared" si="5"/>
        <v>2757.8399999999997</v>
      </c>
      <c r="O12" s="224">
        <f t="shared" si="0"/>
        <v>6</v>
      </c>
    </row>
    <row r="13" spans="1:16" ht="57.65" customHeight="1" x14ac:dyDescent="0.35">
      <c r="A13" s="372" t="s">
        <v>470</v>
      </c>
      <c r="B13" s="370">
        <v>2</v>
      </c>
      <c r="C13" s="370">
        <v>1</v>
      </c>
      <c r="D13" s="370">
        <f t="shared" si="1"/>
        <v>2</v>
      </c>
      <c r="E13" s="370">
        <f>'MWCI-Y1'!$L$14+'MWCI-Y1'!$L$15</f>
        <v>80</v>
      </c>
      <c r="F13" s="391">
        <f t="shared" si="2"/>
        <v>160</v>
      </c>
      <c r="G13" s="389">
        <f t="shared" si="3"/>
        <v>8</v>
      </c>
      <c r="H13" s="389">
        <f t="shared" si="4"/>
        <v>16</v>
      </c>
      <c r="I13" s="402">
        <f t="shared" si="5"/>
        <v>9192.7999999999993</v>
      </c>
      <c r="O13" s="224">
        <f t="shared" si="0"/>
        <v>80</v>
      </c>
    </row>
    <row r="14" spans="1:16" ht="15" x14ac:dyDescent="0.35">
      <c r="A14" s="394" t="s">
        <v>247</v>
      </c>
      <c r="B14" s="394"/>
      <c r="C14" s="394"/>
      <c r="D14" s="394"/>
      <c r="E14" s="394"/>
      <c r="F14" s="395">
        <f>ROUND(SUM(F8:H13), -1)</f>
        <v>240</v>
      </c>
      <c r="G14" s="396"/>
      <c r="H14" s="396"/>
      <c r="I14" s="397">
        <f>ROUND(SUM(I8:I13), -2)</f>
        <v>12100</v>
      </c>
      <c r="O14" s="224">
        <f>SUM(O8:O13)</f>
        <v>92.6</v>
      </c>
      <c r="P14" s="224" t="s">
        <v>248</v>
      </c>
    </row>
    <row r="15" spans="1:16" x14ac:dyDescent="0.35">
      <c r="A15" s="398"/>
      <c r="B15" s="386"/>
      <c r="C15" s="386"/>
      <c r="D15" s="386"/>
      <c r="E15" s="386"/>
      <c r="F15" s="386"/>
      <c r="G15" s="399"/>
      <c r="H15" s="386"/>
      <c r="I15" s="386"/>
    </row>
    <row r="16" spans="1:16" ht="20.149999999999999" customHeight="1" x14ac:dyDescent="0.35">
      <c r="A16" s="398" t="s">
        <v>249</v>
      </c>
      <c r="B16" s="386"/>
      <c r="C16" s="386"/>
      <c r="D16" s="386"/>
      <c r="E16" s="386"/>
      <c r="F16" s="386"/>
      <c r="G16" s="386"/>
      <c r="H16" s="386"/>
      <c r="I16" s="386"/>
    </row>
    <row r="17" spans="1:9" ht="21.65" customHeight="1" x14ac:dyDescent="0.35">
      <c r="A17" s="482" t="s">
        <v>457</v>
      </c>
      <c r="B17" s="482"/>
      <c r="C17" s="482"/>
      <c r="D17" s="482"/>
      <c r="E17" s="482"/>
      <c r="F17" s="482"/>
      <c r="G17" s="482"/>
      <c r="H17" s="482"/>
      <c r="I17" s="482"/>
    </row>
    <row r="18" spans="1:9" ht="63" customHeight="1" x14ac:dyDescent="0.35">
      <c r="A18" s="505" t="s">
        <v>251</v>
      </c>
      <c r="B18" s="505"/>
      <c r="C18" s="505"/>
      <c r="D18" s="505"/>
      <c r="E18" s="505"/>
      <c r="F18" s="505"/>
      <c r="G18" s="505"/>
      <c r="H18" s="505"/>
      <c r="I18" s="505"/>
    </row>
    <row r="19" spans="1:9" ht="35.15" customHeight="1" x14ac:dyDescent="0.35">
      <c r="A19" s="506" t="s">
        <v>383</v>
      </c>
      <c r="B19" s="506"/>
      <c r="C19" s="506"/>
      <c r="D19" s="506"/>
      <c r="E19" s="506"/>
      <c r="F19" s="506"/>
      <c r="G19" s="506"/>
      <c r="H19" s="506"/>
      <c r="I19" s="506"/>
    </row>
    <row r="20" spans="1:9" ht="30" customHeight="1" x14ac:dyDescent="0.35">
      <c r="A20" s="487" t="s">
        <v>253</v>
      </c>
      <c r="B20" s="487"/>
      <c r="C20" s="487"/>
      <c r="D20" s="487"/>
      <c r="E20" s="487"/>
      <c r="F20" s="487"/>
      <c r="G20" s="487"/>
      <c r="H20" s="487"/>
      <c r="I20" s="487"/>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ECBB-5063-4876-B3E5-7BB6752B0559}">
  <dimension ref="A1:P27"/>
  <sheetViews>
    <sheetView zoomScale="80" zoomScaleNormal="80" workbookViewId="0">
      <pane xSplit="12" ySplit="5" topLeftCell="M6" activePane="bottomRight" state="frozen"/>
      <selection activeCell="A60" sqref="A5:I60"/>
      <selection pane="topRight" activeCell="A60" sqref="A5:I60"/>
      <selection pane="bottomLeft" activeCell="A60" sqref="A5:I60"/>
      <selection pane="bottomRight" activeCell="A60" sqref="A5:I60"/>
    </sheetView>
  </sheetViews>
  <sheetFormatPr defaultColWidth="9.1796875" defaultRowHeight="14.5" x14ac:dyDescent="0.35"/>
  <cols>
    <col min="1" max="1" width="39.1796875" style="224" customWidth="1"/>
    <col min="2" max="2" width="9.81640625" style="224" customWidth="1"/>
    <col min="3" max="8" width="9.1796875" style="224"/>
    <col min="9" max="9" width="13.81640625" style="224" customWidth="1"/>
    <col min="10" max="10" width="9.1796875" style="224"/>
    <col min="11" max="11" width="13.1796875" style="225" customWidth="1"/>
    <col min="12" max="12" width="9.1796875" style="224"/>
    <col min="13" max="13" width="19.1796875" style="224" customWidth="1"/>
    <col min="14" max="16384" width="9.1796875" style="224"/>
  </cols>
  <sheetData>
    <row r="1" spans="1:16" ht="34" customHeight="1" x14ac:dyDescent="0.35">
      <c r="A1" s="462" t="s">
        <v>467</v>
      </c>
      <c r="B1" s="462"/>
      <c r="C1" s="462"/>
      <c r="D1" s="462"/>
      <c r="E1" s="462"/>
      <c r="F1" s="462"/>
      <c r="G1" s="462"/>
      <c r="H1" s="462"/>
      <c r="I1" s="462"/>
    </row>
    <row r="2" spans="1:16" ht="18.649999999999999" customHeight="1" x14ac:dyDescent="0.35">
      <c r="A2" s="423" t="s">
        <v>91</v>
      </c>
      <c r="B2" s="423"/>
      <c r="C2" s="423"/>
      <c r="D2" s="423"/>
      <c r="E2" s="423"/>
      <c r="F2" s="423"/>
      <c r="G2" s="423"/>
      <c r="H2" s="423"/>
      <c r="I2" s="423"/>
    </row>
    <row r="3" spans="1:16" ht="15" x14ac:dyDescent="0.35">
      <c r="A3" s="491" t="s">
        <v>472</v>
      </c>
      <c r="B3" s="491"/>
      <c r="C3" s="491"/>
      <c r="D3" s="491"/>
      <c r="E3" s="491"/>
      <c r="F3" s="491"/>
      <c r="G3" s="491"/>
      <c r="H3" s="491"/>
      <c r="I3" s="491"/>
    </row>
    <row r="4" spans="1:16" ht="15" x14ac:dyDescent="0.35">
      <c r="A4" s="492"/>
      <c r="B4" s="492"/>
      <c r="C4" s="492"/>
      <c r="D4" s="492"/>
      <c r="E4" s="492"/>
      <c r="F4" s="492"/>
      <c r="G4" s="492"/>
      <c r="H4" s="492"/>
      <c r="I4" s="492"/>
    </row>
    <row r="5" spans="1:16" x14ac:dyDescent="0.35">
      <c r="A5" s="504" t="s">
        <v>219</v>
      </c>
      <c r="B5" s="427" t="s">
        <v>220</v>
      </c>
      <c r="C5" s="427" t="s">
        <v>221</v>
      </c>
      <c r="D5" s="427" t="s">
        <v>222</v>
      </c>
      <c r="E5" s="427" t="s">
        <v>223</v>
      </c>
      <c r="F5" s="427" t="s">
        <v>224</v>
      </c>
      <c r="G5" s="427" t="s">
        <v>225</v>
      </c>
      <c r="H5" s="427" t="s">
        <v>226</v>
      </c>
      <c r="I5" s="427" t="s">
        <v>227</v>
      </c>
    </row>
    <row r="6" spans="1:16" ht="87" customHeight="1" x14ac:dyDescent="0.35">
      <c r="A6" s="504"/>
      <c r="B6" s="427" t="s">
        <v>228</v>
      </c>
      <c r="C6" s="427" t="s">
        <v>229</v>
      </c>
      <c r="D6" s="427" t="s">
        <v>230</v>
      </c>
      <c r="E6" s="427" t="s">
        <v>231</v>
      </c>
      <c r="F6" s="427" t="s">
        <v>232</v>
      </c>
      <c r="G6" s="427" t="s">
        <v>233</v>
      </c>
      <c r="H6" s="427" t="s">
        <v>234</v>
      </c>
      <c r="I6" s="427" t="s">
        <v>235</v>
      </c>
      <c r="K6" s="480" t="s">
        <v>123</v>
      </c>
      <c r="L6" s="480"/>
      <c r="M6" s="226"/>
    </row>
    <row r="7" spans="1:16" ht="38.5" customHeight="1" x14ac:dyDescent="0.35">
      <c r="A7" s="504"/>
      <c r="B7" s="387"/>
      <c r="C7" s="387"/>
      <c r="D7" s="427" t="s">
        <v>236</v>
      </c>
      <c r="E7" s="387"/>
      <c r="F7" s="427" t="s">
        <v>237</v>
      </c>
      <c r="G7" s="427" t="s">
        <v>238</v>
      </c>
      <c r="H7" s="427" t="s">
        <v>239</v>
      </c>
      <c r="I7" s="387"/>
      <c r="K7" s="194" t="s">
        <v>125</v>
      </c>
      <c r="L7" s="158">
        <v>69.040000000000006</v>
      </c>
      <c r="M7" s="196" t="s">
        <v>240</v>
      </c>
      <c r="O7" s="224" t="s">
        <v>120</v>
      </c>
    </row>
    <row r="8" spans="1:16" ht="15.5" x14ac:dyDescent="0.35">
      <c r="A8" s="388" t="s">
        <v>333</v>
      </c>
      <c r="B8" s="370">
        <v>0</v>
      </c>
      <c r="C8" s="370">
        <v>0</v>
      </c>
      <c r="D8" s="370">
        <f>B8*C8</f>
        <v>0</v>
      </c>
      <c r="E8" s="370">
        <f>'MWCI-Y4'!E25</f>
        <v>0</v>
      </c>
      <c r="F8" s="389">
        <f>D8*E8</f>
        <v>0</v>
      </c>
      <c r="G8" s="389">
        <f>F8*0.05</f>
        <v>0</v>
      </c>
      <c r="H8" s="389">
        <f>F8*0.1</f>
        <v>0</v>
      </c>
      <c r="I8" s="402">
        <f>(F8*$L$8)+(G8*$L$7)+(H8*$L$9)</f>
        <v>0</v>
      </c>
      <c r="K8" s="194" t="s">
        <v>128</v>
      </c>
      <c r="L8" s="162">
        <v>51.23</v>
      </c>
      <c r="M8" s="231"/>
      <c r="O8" s="224">
        <f>C8*E8</f>
        <v>0</v>
      </c>
    </row>
    <row r="9" spans="1:16" ht="15.5" x14ac:dyDescent="0.35">
      <c r="A9" s="388" t="s">
        <v>334</v>
      </c>
      <c r="B9" s="370">
        <v>0</v>
      </c>
      <c r="C9" s="370">
        <v>0</v>
      </c>
      <c r="D9" s="370">
        <f>B9*C9</f>
        <v>0</v>
      </c>
      <c r="E9" s="370">
        <v>0</v>
      </c>
      <c r="F9" s="391">
        <f>D9*E9</f>
        <v>0</v>
      </c>
      <c r="G9" s="391">
        <f>F9*0.05</f>
        <v>0</v>
      </c>
      <c r="H9" s="391">
        <f>F9*0.1</f>
        <v>0</v>
      </c>
      <c r="I9" s="390">
        <f>(F9*$L$8)+(G9*$L$7)+(H9*$L$9)</f>
        <v>0</v>
      </c>
      <c r="K9" s="194" t="s">
        <v>130</v>
      </c>
      <c r="L9" s="162">
        <v>27.73</v>
      </c>
      <c r="M9" s="231"/>
      <c r="O9" s="224">
        <f t="shared" ref="O9:O13" si="0">C9*E9</f>
        <v>0</v>
      </c>
    </row>
    <row r="10" spans="1:16" x14ac:dyDescent="0.35">
      <c r="A10" s="388" t="s">
        <v>243</v>
      </c>
      <c r="B10" s="370"/>
      <c r="C10" s="370"/>
      <c r="D10" s="370"/>
      <c r="E10" s="370"/>
      <c r="F10" s="389"/>
      <c r="G10" s="389"/>
      <c r="H10" s="389"/>
      <c r="I10" s="400"/>
      <c r="O10" s="224">
        <f t="shared" si="0"/>
        <v>0</v>
      </c>
    </row>
    <row r="11" spans="1:16" ht="15.5" x14ac:dyDescent="0.35">
      <c r="A11" s="372" t="s">
        <v>337</v>
      </c>
      <c r="B11" s="370">
        <v>0.5</v>
      </c>
      <c r="C11" s="370">
        <v>1.1000000000000001</v>
      </c>
      <c r="D11" s="370">
        <f t="shared" ref="D11:D13" si="1">B11*C11</f>
        <v>0.55000000000000004</v>
      </c>
      <c r="E11" s="370">
        <f>'MWCI-Y1'!$L$14+'MWCI-Y1'!$L$17</f>
        <v>6</v>
      </c>
      <c r="F11" s="389">
        <f t="shared" ref="F11:F13" si="2">D11*E11</f>
        <v>3.3000000000000003</v>
      </c>
      <c r="G11" s="389">
        <f t="shared" ref="G11:G13" si="3">F11*0.05</f>
        <v>0.16500000000000004</v>
      </c>
      <c r="H11" s="389">
        <f t="shared" ref="H11:H13" si="4">F11*0.1</f>
        <v>0.33000000000000007</v>
      </c>
      <c r="I11" s="402">
        <f t="shared" ref="I11:I13" si="5">(F11*$L$8)+(G11*$L$7)+(H11*$L$9)</f>
        <v>189.60150000000002</v>
      </c>
      <c r="O11" s="224">
        <f t="shared" si="0"/>
        <v>6.6000000000000005</v>
      </c>
    </row>
    <row r="12" spans="1:16" ht="15.5" x14ac:dyDescent="0.35">
      <c r="A12" s="372" t="s">
        <v>469</v>
      </c>
      <c r="B12" s="370">
        <v>8</v>
      </c>
      <c r="C12" s="370">
        <v>1</v>
      </c>
      <c r="D12" s="370">
        <f t="shared" si="1"/>
        <v>8</v>
      </c>
      <c r="E12" s="370">
        <f>'MWCI-Y1'!$L$14+'MWCI-Y1'!$L$17</f>
        <v>6</v>
      </c>
      <c r="F12" s="389">
        <f t="shared" si="2"/>
        <v>48</v>
      </c>
      <c r="G12" s="393">
        <f t="shared" si="3"/>
        <v>2.4000000000000004</v>
      </c>
      <c r="H12" s="393">
        <f t="shared" si="4"/>
        <v>4.8000000000000007</v>
      </c>
      <c r="I12" s="402">
        <f t="shared" si="5"/>
        <v>2757.8399999999997</v>
      </c>
      <c r="O12" s="224">
        <f t="shared" si="0"/>
        <v>6</v>
      </c>
    </row>
    <row r="13" spans="1:16" ht="66.650000000000006" customHeight="1" x14ac:dyDescent="0.35">
      <c r="A13" s="372" t="s">
        <v>470</v>
      </c>
      <c r="B13" s="370">
        <v>2</v>
      </c>
      <c r="C13" s="370">
        <v>1</v>
      </c>
      <c r="D13" s="370">
        <f t="shared" si="1"/>
        <v>2</v>
      </c>
      <c r="E13" s="370">
        <f>'MWCI-Y1'!$L$14+'MWCI-Y1'!$L$15</f>
        <v>80</v>
      </c>
      <c r="F13" s="391">
        <f t="shared" si="2"/>
        <v>160</v>
      </c>
      <c r="G13" s="389">
        <f t="shared" si="3"/>
        <v>8</v>
      </c>
      <c r="H13" s="389">
        <f t="shared" si="4"/>
        <v>16</v>
      </c>
      <c r="I13" s="402">
        <f t="shared" si="5"/>
        <v>9192.7999999999993</v>
      </c>
      <c r="O13" s="224">
        <f t="shared" si="0"/>
        <v>80</v>
      </c>
    </row>
    <row r="14" spans="1:16" ht="15" x14ac:dyDescent="0.35">
      <c r="A14" s="394" t="s">
        <v>247</v>
      </c>
      <c r="B14" s="394"/>
      <c r="C14" s="394"/>
      <c r="D14" s="394"/>
      <c r="E14" s="394"/>
      <c r="F14" s="395">
        <f>ROUND(SUM(F8:H13), -1)</f>
        <v>240</v>
      </c>
      <c r="G14" s="396"/>
      <c r="H14" s="396"/>
      <c r="I14" s="397">
        <f>ROUND(SUM(I8:I13), -2)</f>
        <v>12100</v>
      </c>
      <c r="O14" s="224">
        <f>SUM(O8:O13)</f>
        <v>92.6</v>
      </c>
      <c r="P14" s="224" t="s">
        <v>248</v>
      </c>
    </row>
    <row r="15" spans="1:16" x14ac:dyDescent="0.35">
      <c r="A15" s="398"/>
      <c r="B15" s="386"/>
      <c r="C15" s="386"/>
      <c r="D15" s="386"/>
      <c r="E15" s="386"/>
      <c r="F15" s="386"/>
      <c r="G15" s="399"/>
      <c r="H15" s="386"/>
      <c r="I15" s="386"/>
    </row>
    <row r="16" spans="1:16" ht="17.5" customHeight="1" x14ac:dyDescent="0.35">
      <c r="A16" s="398" t="s">
        <v>249</v>
      </c>
      <c r="B16" s="386"/>
      <c r="C16" s="386"/>
      <c r="D16" s="386"/>
      <c r="E16" s="386"/>
      <c r="F16" s="386"/>
      <c r="G16" s="386"/>
      <c r="H16" s="386"/>
      <c r="I16" s="386"/>
    </row>
    <row r="17" spans="1:9" ht="27" customHeight="1" x14ac:dyDescent="0.35">
      <c r="A17" s="482" t="s">
        <v>457</v>
      </c>
      <c r="B17" s="482"/>
      <c r="C17" s="482"/>
      <c r="D17" s="482"/>
      <c r="E17" s="482"/>
      <c r="F17" s="482"/>
      <c r="G17" s="482"/>
      <c r="H17" s="482"/>
      <c r="I17" s="482"/>
    </row>
    <row r="18" spans="1:9" ht="66" customHeight="1" x14ac:dyDescent="0.35">
      <c r="A18" s="505" t="s">
        <v>251</v>
      </c>
      <c r="B18" s="505"/>
      <c r="C18" s="505"/>
      <c r="D18" s="505"/>
      <c r="E18" s="505"/>
      <c r="F18" s="505"/>
      <c r="G18" s="505"/>
      <c r="H18" s="505"/>
      <c r="I18" s="505"/>
    </row>
    <row r="19" spans="1:9" ht="36" customHeight="1" x14ac:dyDescent="0.35">
      <c r="A19" s="506" t="s">
        <v>383</v>
      </c>
      <c r="B19" s="506"/>
      <c r="C19" s="506"/>
      <c r="D19" s="506"/>
      <c r="E19" s="506"/>
      <c r="F19" s="506"/>
      <c r="G19" s="506"/>
      <c r="H19" s="506"/>
      <c r="I19" s="506"/>
    </row>
    <row r="20" spans="1:9" ht="30.65" customHeight="1" x14ac:dyDescent="0.35">
      <c r="A20" s="487" t="s">
        <v>253</v>
      </c>
      <c r="B20" s="487"/>
      <c r="C20" s="487"/>
      <c r="D20" s="487"/>
      <c r="E20" s="487"/>
      <c r="F20" s="487"/>
      <c r="G20" s="487"/>
      <c r="H20" s="487"/>
      <c r="I20" s="487"/>
    </row>
    <row r="21" spans="1:9" ht="15.5" x14ac:dyDescent="0.35">
      <c r="A21" s="489" t="s">
        <v>384</v>
      </c>
      <c r="B21" s="489"/>
      <c r="C21" s="489"/>
      <c r="D21" s="489"/>
      <c r="E21" s="489"/>
      <c r="F21" s="489"/>
      <c r="G21" s="489"/>
      <c r="H21" s="489"/>
      <c r="I21" s="489"/>
    </row>
    <row r="22" spans="1:9" ht="15.5" x14ac:dyDescent="0.35">
      <c r="A22" s="489" t="s">
        <v>255</v>
      </c>
      <c r="B22" s="489"/>
      <c r="C22" s="489"/>
      <c r="D22" s="489"/>
      <c r="E22" s="489"/>
      <c r="F22" s="489"/>
      <c r="G22" s="489"/>
      <c r="H22" s="489"/>
      <c r="I22" s="489"/>
    </row>
    <row r="24" spans="1:9" x14ac:dyDescent="0.35">
      <c r="A24" s="240"/>
    </row>
    <row r="25" spans="1:9" x14ac:dyDescent="0.35">
      <c r="A25" s="240"/>
    </row>
    <row r="26" spans="1:9" x14ac:dyDescent="0.35">
      <c r="A26" s="240"/>
    </row>
    <row r="27" spans="1:9" x14ac:dyDescent="0.35">
      <c r="A27" s="240"/>
    </row>
  </sheetData>
  <mergeCells count="11">
    <mergeCell ref="A1:I1"/>
    <mergeCell ref="A3:I3"/>
    <mergeCell ref="A4:I4"/>
    <mergeCell ref="A5:A7"/>
    <mergeCell ref="A22:I22"/>
    <mergeCell ref="K6:L6"/>
    <mergeCell ref="A18:I18"/>
    <mergeCell ref="A19:I19"/>
    <mergeCell ref="A20:I20"/>
    <mergeCell ref="A21:I21"/>
    <mergeCell ref="A17:I17"/>
  </mergeCells>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54830-729D-439F-A07E-26743F204BFA}">
  <dimension ref="A1:I22"/>
  <sheetViews>
    <sheetView zoomScale="80" zoomScaleNormal="80" workbookViewId="0">
      <selection activeCell="A60" sqref="A5:I60"/>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23.5" customHeight="1" x14ac:dyDescent="0.35">
      <c r="A1" s="462" t="s">
        <v>62</v>
      </c>
      <c r="B1" s="462"/>
      <c r="C1" s="462"/>
      <c r="D1" s="462"/>
      <c r="E1" s="462"/>
      <c r="F1" s="462"/>
      <c r="G1" s="462"/>
      <c r="H1" s="462"/>
      <c r="I1" s="462"/>
    </row>
    <row r="2" spans="1:9" ht="15" x14ac:dyDescent="0.35">
      <c r="A2" s="423"/>
      <c r="B2" s="423"/>
      <c r="C2" s="423"/>
      <c r="D2" s="423"/>
      <c r="E2" s="423"/>
      <c r="F2" s="423"/>
      <c r="G2" s="423"/>
    </row>
    <row r="3" spans="1:9" ht="15.5" thickBot="1" x14ac:dyDescent="0.4">
      <c r="A3" s="501" t="s">
        <v>473</v>
      </c>
      <c r="B3" s="502"/>
      <c r="C3" s="502"/>
      <c r="D3" s="502"/>
      <c r="E3" s="502"/>
      <c r="F3" s="502"/>
      <c r="G3" s="502"/>
      <c r="H3" s="291"/>
    </row>
    <row r="4" spans="1:9" ht="15" x14ac:dyDescent="0.35">
      <c r="A4" s="175"/>
      <c r="B4" s="176"/>
      <c r="C4" s="176"/>
      <c r="D4" s="176"/>
      <c r="E4" s="176"/>
      <c r="F4" s="176"/>
      <c r="G4" s="289"/>
      <c r="H4" s="291"/>
    </row>
    <row r="5" spans="1:9" x14ac:dyDescent="0.35">
      <c r="B5" s="178" t="s">
        <v>220</v>
      </c>
      <c r="C5" s="179" t="s">
        <v>221</v>
      </c>
      <c r="D5" s="179" t="s">
        <v>222</v>
      </c>
      <c r="E5" s="179" t="s">
        <v>223</v>
      </c>
      <c r="F5" s="179" t="s">
        <v>224</v>
      </c>
      <c r="G5" s="179" t="s">
        <v>225</v>
      </c>
      <c r="H5" s="292" t="s">
        <v>226</v>
      </c>
      <c r="I5" s="291"/>
    </row>
    <row r="6" spans="1:9" ht="52" x14ac:dyDescent="0.35">
      <c r="A6" s="181" t="s">
        <v>264</v>
      </c>
      <c r="B6" s="181" t="s">
        <v>265</v>
      </c>
      <c r="C6" s="181" t="s">
        <v>266</v>
      </c>
      <c r="D6" s="181" t="s">
        <v>347</v>
      </c>
      <c r="E6" s="181" t="s">
        <v>268</v>
      </c>
      <c r="F6" s="181" t="s">
        <v>269</v>
      </c>
      <c r="G6" s="181" t="s">
        <v>348</v>
      </c>
      <c r="H6" s="181" t="s">
        <v>271</v>
      </c>
    </row>
    <row r="7" spans="1:9" ht="39" x14ac:dyDescent="0.35">
      <c r="A7" s="379" t="s">
        <v>86</v>
      </c>
      <c r="B7" s="371" t="s">
        <v>474</v>
      </c>
      <c r="C7" s="380">
        <v>0</v>
      </c>
      <c r="D7" s="379">
        <v>0</v>
      </c>
      <c r="E7" s="380">
        <f>C7*D7</f>
        <v>0</v>
      </c>
      <c r="F7" s="380">
        <v>0</v>
      </c>
      <c r="G7" s="379"/>
      <c r="H7" s="380">
        <f>F7*G7</f>
        <v>0</v>
      </c>
    </row>
    <row r="8" spans="1:9" ht="26" x14ac:dyDescent="0.35">
      <c r="A8" s="379" t="s">
        <v>86</v>
      </c>
      <c r="B8" s="379" t="s">
        <v>475</v>
      </c>
      <c r="C8" s="380">
        <v>0</v>
      </c>
      <c r="D8" s="379">
        <v>0</v>
      </c>
      <c r="E8" s="380">
        <f>C8*D8</f>
        <v>0</v>
      </c>
      <c r="F8" s="380"/>
      <c r="G8" s="379"/>
      <c r="H8" s="380"/>
    </row>
    <row r="9" spans="1:9" ht="39" x14ac:dyDescent="0.35">
      <c r="A9" s="379" t="s">
        <v>87</v>
      </c>
      <c r="B9" s="371" t="s">
        <v>474</v>
      </c>
      <c r="C9" s="380">
        <v>0</v>
      </c>
      <c r="D9" s="379">
        <v>0</v>
      </c>
      <c r="E9" s="380">
        <f>C9*D9</f>
        <v>0</v>
      </c>
      <c r="F9" s="380">
        <v>0</v>
      </c>
      <c r="G9" s="379"/>
      <c r="H9" s="379"/>
    </row>
    <row r="10" spans="1:9" ht="26" x14ac:dyDescent="0.35">
      <c r="A10" s="379" t="s">
        <v>87</v>
      </c>
      <c r="B10" s="379" t="s">
        <v>475</v>
      </c>
      <c r="C10" s="380">
        <v>0</v>
      </c>
      <c r="D10" s="379">
        <v>0</v>
      </c>
      <c r="E10" s="380">
        <f>C10*D10</f>
        <v>0</v>
      </c>
      <c r="F10" s="380"/>
      <c r="G10" s="379"/>
      <c r="H10" s="379"/>
    </row>
    <row r="11" spans="1:9" ht="41.5" x14ac:dyDescent="0.35">
      <c r="A11" s="379" t="s">
        <v>88</v>
      </c>
      <c r="B11" s="371" t="s">
        <v>476</v>
      </c>
      <c r="C11" s="380">
        <v>153700</v>
      </c>
      <c r="D11" s="379">
        <v>0</v>
      </c>
      <c r="E11" s="380">
        <f>C11*D11</f>
        <v>0</v>
      </c>
      <c r="F11" s="380"/>
      <c r="G11" s="379"/>
      <c r="H11" s="380">
        <f>F11*G11</f>
        <v>0</v>
      </c>
    </row>
    <row r="12" spans="1:9" ht="16" x14ac:dyDescent="0.35">
      <c r="A12" s="379" t="s">
        <v>88</v>
      </c>
      <c r="B12" s="371" t="s">
        <v>432</v>
      </c>
      <c r="C12" s="380">
        <v>131222</v>
      </c>
      <c r="D12" s="379"/>
      <c r="E12" s="380"/>
      <c r="F12" s="380">
        <v>137881</v>
      </c>
      <c r="G12" s="379">
        <f>('MWCI-Y1'!$L$14+'MWCI-Y1'!$L$17)</f>
        <v>6</v>
      </c>
      <c r="H12" s="380">
        <f>F12*G12</f>
        <v>827286</v>
      </c>
    </row>
    <row r="13" spans="1:9" ht="15.5" x14ac:dyDescent="0.35">
      <c r="A13" s="379" t="s">
        <v>88</v>
      </c>
      <c r="B13" s="371" t="s">
        <v>433</v>
      </c>
      <c r="C13" s="380"/>
      <c r="D13" s="379"/>
      <c r="E13" s="380"/>
      <c r="F13" s="380">
        <v>50436</v>
      </c>
      <c r="G13" s="379">
        <f>('MWCI-Y1'!$L$14+'MWCI-Y1'!$L$17)</f>
        <v>6</v>
      </c>
      <c r="H13" s="380">
        <f>F13*G13</f>
        <v>302616</v>
      </c>
    </row>
    <row r="14" spans="1:9" ht="28.5" x14ac:dyDescent="0.35">
      <c r="A14" s="379" t="s">
        <v>88</v>
      </c>
      <c r="B14" s="371" t="s">
        <v>477</v>
      </c>
      <c r="C14" s="380"/>
      <c r="D14" s="379"/>
      <c r="E14" s="380"/>
      <c r="F14" s="380"/>
      <c r="G14" s="379"/>
      <c r="H14" s="380"/>
    </row>
    <row r="15" spans="1:9" x14ac:dyDescent="0.35">
      <c r="A15" s="379" t="s">
        <v>88</v>
      </c>
      <c r="B15" s="371" t="s">
        <v>283</v>
      </c>
      <c r="C15" s="380"/>
      <c r="D15" s="379"/>
      <c r="E15" s="380"/>
      <c r="F15" s="381">
        <f>Monitors!$F$32</f>
        <v>8523</v>
      </c>
      <c r="G15" s="379">
        <f>('MWCI-Y1'!$L$14+'MWCI-Y1'!$L$17)</f>
        <v>6</v>
      </c>
      <c r="H15" s="380">
        <f t="shared" ref="H15:H16" si="0">F15*G15</f>
        <v>51138</v>
      </c>
    </row>
    <row r="16" spans="1:9" x14ac:dyDescent="0.35">
      <c r="A16" s="379" t="s">
        <v>88</v>
      </c>
      <c r="B16" s="371" t="s">
        <v>284</v>
      </c>
      <c r="C16" s="380"/>
      <c r="D16" s="379"/>
      <c r="E16" s="380"/>
      <c r="F16" s="381">
        <f>Monitors!$G$32</f>
        <v>1436</v>
      </c>
      <c r="G16" s="379">
        <f>('MWCI-Y1'!$L$14+'MWCI-Y1'!$L$17)</f>
        <v>6</v>
      </c>
      <c r="H16" s="380">
        <f t="shared" si="0"/>
        <v>8616</v>
      </c>
    </row>
    <row r="17" spans="1:8" x14ac:dyDescent="0.35">
      <c r="A17" s="382"/>
      <c r="B17" s="383" t="s">
        <v>276</v>
      </c>
      <c r="C17" s="380"/>
      <c r="D17" s="379"/>
      <c r="E17" s="380">
        <f>ROUND(SUM(E11:E13), -4)</f>
        <v>0</v>
      </c>
      <c r="F17" s="380"/>
      <c r="G17" s="379"/>
      <c r="H17" s="380">
        <f>ROUND(SUM(H7:H16), -4)</f>
        <v>1190000</v>
      </c>
    </row>
    <row r="18" spans="1:8" x14ac:dyDescent="0.35">
      <c r="A18" s="378"/>
      <c r="B18" s="384"/>
      <c r="C18" s="378"/>
      <c r="D18" s="384"/>
      <c r="E18" s="384"/>
      <c r="F18" s="378"/>
      <c r="G18" s="384"/>
      <c r="H18" s="378"/>
    </row>
    <row r="19" spans="1:8" x14ac:dyDescent="0.35">
      <c r="A19" s="378"/>
      <c r="B19" s="384"/>
      <c r="C19" s="378"/>
      <c r="D19" s="384"/>
      <c r="E19" s="378"/>
      <c r="F19" s="384"/>
      <c r="G19" s="385" t="s">
        <v>277</v>
      </c>
      <c r="H19" s="384">
        <f>ROUND(SUM(E7:E16,H7:H16), -4)</f>
        <v>1190000</v>
      </c>
    </row>
    <row r="20" spans="1:8" ht="16.5" x14ac:dyDescent="0.35">
      <c r="A20" s="430" t="s">
        <v>478</v>
      </c>
      <c r="B20" s="384"/>
      <c r="C20" s="378"/>
      <c r="D20" s="378"/>
      <c r="E20" s="384"/>
      <c r="F20" s="378"/>
      <c r="G20" s="378"/>
      <c r="H20" s="378"/>
    </row>
    <row r="21" spans="1:8" x14ac:dyDescent="0.35">
      <c r="A21" s="430" t="s">
        <v>479</v>
      </c>
      <c r="B21" s="378"/>
      <c r="C21" s="378"/>
      <c r="D21" s="378"/>
      <c r="E21" s="378"/>
      <c r="F21" s="378"/>
      <c r="G21" s="378"/>
      <c r="H21" s="378"/>
    </row>
    <row r="22" spans="1:8" x14ac:dyDescent="0.35">
      <c r="A22" s="430" t="s">
        <v>480</v>
      </c>
      <c r="B22" s="378"/>
      <c r="C22" s="378"/>
      <c r="D22" s="378"/>
      <c r="E22" s="378"/>
      <c r="F22" s="378"/>
      <c r="G22" s="378"/>
      <c r="H22" s="378"/>
    </row>
  </sheetData>
  <mergeCells count="2">
    <mergeCell ref="A1:I1"/>
    <mergeCell ref="A3:G3"/>
  </mergeCells>
  <pageMargins left="0.7" right="0.7" top="0.75" bottom="0.75" header="0.3" footer="0.3"/>
  <pageSetup orientation="portrait" horizontalDpi="0"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87811-6E0B-4EB1-83E5-6C2F1482B531}">
  <dimension ref="A1:I30"/>
  <sheetViews>
    <sheetView zoomScale="80" zoomScaleNormal="80" workbookViewId="0">
      <selection activeCell="A60" sqref="A5:I60"/>
    </sheetView>
  </sheetViews>
  <sheetFormatPr defaultColWidth="8.54296875" defaultRowHeight="14.5" x14ac:dyDescent="0.35"/>
  <cols>
    <col min="1" max="1" width="17.54296875" style="173" customWidth="1"/>
    <col min="2" max="2" width="14" style="173" customWidth="1"/>
    <col min="3" max="3" width="13.1796875" style="173" customWidth="1"/>
    <col min="4" max="4" width="12.81640625" style="173" customWidth="1"/>
    <col min="5" max="6" width="11.453125" style="173" customWidth="1"/>
    <col min="7" max="8" width="16.54296875" style="173" customWidth="1"/>
    <col min="9" max="16384" width="8.54296875" style="173"/>
  </cols>
  <sheetData>
    <row r="1" spans="1:9" ht="23.5" customHeight="1" x14ac:dyDescent="0.35">
      <c r="A1" s="462" t="s">
        <v>62</v>
      </c>
      <c r="B1" s="462"/>
      <c r="C1" s="462"/>
      <c r="D1" s="462"/>
      <c r="E1" s="462"/>
      <c r="F1" s="462"/>
      <c r="G1" s="462"/>
      <c r="H1" s="462"/>
      <c r="I1" s="462"/>
    </row>
    <row r="2" spans="1:9" ht="15" x14ac:dyDescent="0.35">
      <c r="A2" s="423"/>
      <c r="B2" s="423"/>
      <c r="C2" s="423"/>
      <c r="D2" s="423"/>
      <c r="E2" s="423"/>
      <c r="F2" s="423"/>
      <c r="G2" s="423"/>
    </row>
    <row r="3" spans="1:9" ht="15.5" thickBot="1" x14ac:dyDescent="0.4">
      <c r="A3" s="501" t="s">
        <v>473</v>
      </c>
      <c r="B3" s="502"/>
      <c r="C3" s="502"/>
      <c r="D3" s="502"/>
      <c r="E3" s="502"/>
      <c r="F3" s="502"/>
      <c r="G3" s="502"/>
      <c r="H3" s="291"/>
    </row>
    <row r="4" spans="1:9" ht="15" x14ac:dyDescent="0.35">
      <c r="A4" s="175"/>
      <c r="B4" s="176"/>
      <c r="C4" s="176"/>
      <c r="D4" s="176"/>
      <c r="E4" s="176"/>
      <c r="F4" s="176"/>
      <c r="G4" s="289"/>
      <c r="H4" s="291"/>
    </row>
    <row r="5" spans="1:9" x14ac:dyDescent="0.35">
      <c r="B5" s="178" t="s">
        <v>220</v>
      </c>
      <c r="C5" s="179" t="s">
        <v>221</v>
      </c>
      <c r="D5" s="179" t="s">
        <v>222</v>
      </c>
      <c r="E5" s="179" t="s">
        <v>223</v>
      </c>
      <c r="F5" s="179" t="s">
        <v>224</v>
      </c>
      <c r="G5" s="179" t="s">
        <v>225</v>
      </c>
      <c r="H5" s="292" t="s">
        <v>226</v>
      </c>
      <c r="I5" s="291"/>
    </row>
    <row r="6" spans="1:9" ht="52" x14ac:dyDescent="0.35">
      <c r="A6" s="181" t="s">
        <v>264</v>
      </c>
      <c r="B6" s="181" t="s">
        <v>265</v>
      </c>
      <c r="C6" s="181" t="s">
        <v>266</v>
      </c>
      <c r="D6" s="181" t="s">
        <v>347</v>
      </c>
      <c r="E6" s="181" t="s">
        <v>268</v>
      </c>
      <c r="F6" s="181" t="s">
        <v>269</v>
      </c>
      <c r="G6" s="181" t="s">
        <v>348</v>
      </c>
      <c r="H6" s="181" t="s">
        <v>271</v>
      </c>
    </row>
    <row r="7" spans="1:9" ht="41.5" x14ac:dyDescent="0.35">
      <c r="A7" s="379" t="s">
        <v>89</v>
      </c>
      <c r="B7" s="371" t="s">
        <v>476</v>
      </c>
      <c r="C7" s="380">
        <v>153700</v>
      </c>
      <c r="D7" s="379">
        <v>0</v>
      </c>
      <c r="E7" s="380">
        <f>C7*D7</f>
        <v>0</v>
      </c>
      <c r="F7" s="380"/>
      <c r="G7" s="379"/>
      <c r="H7" s="380">
        <f>F7*G7</f>
        <v>0</v>
      </c>
    </row>
    <row r="8" spans="1:9" ht="16" x14ac:dyDescent="0.35">
      <c r="A8" s="379" t="s">
        <v>89</v>
      </c>
      <c r="B8" s="371" t="s">
        <v>432</v>
      </c>
      <c r="C8" s="380">
        <v>131222</v>
      </c>
      <c r="D8" s="379"/>
      <c r="E8" s="380"/>
      <c r="F8" s="380">
        <v>137881</v>
      </c>
      <c r="G8" s="379">
        <f>('MWCI-Y1'!$L$14)</f>
        <v>0</v>
      </c>
      <c r="H8" s="380">
        <f>F8*G8</f>
        <v>0</v>
      </c>
    </row>
    <row r="9" spans="1:9" ht="15.5" x14ac:dyDescent="0.35">
      <c r="A9" s="379" t="s">
        <v>89</v>
      </c>
      <c r="B9" s="371" t="s">
        <v>433</v>
      </c>
      <c r="C9" s="380"/>
      <c r="D9" s="379"/>
      <c r="E9" s="380"/>
      <c r="F9" s="380">
        <v>50436</v>
      </c>
      <c r="G9" s="379">
        <f>('MWCI-Y1'!$L$14+'MWCI-Y1'!$L$17)</f>
        <v>6</v>
      </c>
      <c r="H9" s="380">
        <f>F9*G9</f>
        <v>302616</v>
      </c>
    </row>
    <row r="10" spans="1:9" ht="28.5" x14ac:dyDescent="0.35">
      <c r="A10" s="379" t="s">
        <v>89</v>
      </c>
      <c r="B10" s="371" t="s">
        <v>477</v>
      </c>
      <c r="C10" s="380"/>
      <c r="D10" s="379"/>
      <c r="E10" s="380"/>
      <c r="F10" s="380"/>
      <c r="G10" s="379"/>
      <c r="H10" s="380"/>
    </row>
    <row r="11" spans="1:9" x14ac:dyDescent="0.35">
      <c r="A11" s="379" t="s">
        <v>89</v>
      </c>
      <c r="B11" s="371" t="s">
        <v>283</v>
      </c>
      <c r="C11" s="380"/>
      <c r="D11" s="379"/>
      <c r="E11" s="380"/>
      <c r="F11" s="381">
        <f>Monitors!$F$32</f>
        <v>8523</v>
      </c>
      <c r="G11" s="379">
        <f>('MWCI-Y1'!$L$14)</f>
        <v>0</v>
      </c>
      <c r="H11" s="380">
        <f t="shared" ref="H11:H12" si="0">F11*G11</f>
        <v>0</v>
      </c>
    </row>
    <row r="12" spans="1:9" x14ac:dyDescent="0.35">
      <c r="A12" s="379" t="s">
        <v>89</v>
      </c>
      <c r="B12" s="371" t="s">
        <v>284</v>
      </c>
      <c r="C12" s="380"/>
      <c r="D12" s="379"/>
      <c r="E12" s="380"/>
      <c r="F12" s="381">
        <f>Monitors!$G$32</f>
        <v>1436</v>
      </c>
      <c r="G12" s="379">
        <f>('MWCI-Y1'!$L$14+'MWCI-Y1'!$L$17)</f>
        <v>6</v>
      </c>
      <c r="H12" s="380">
        <f t="shared" si="0"/>
        <v>8616</v>
      </c>
    </row>
    <row r="13" spans="1:9" ht="41.5" x14ac:dyDescent="0.35">
      <c r="A13" s="379" t="s">
        <v>90</v>
      </c>
      <c r="B13" s="371" t="s">
        <v>476</v>
      </c>
      <c r="C13" s="380">
        <v>153700</v>
      </c>
      <c r="D13" s="379">
        <v>0</v>
      </c>
      <c r="E13" s="380">
        <f>C13*D13</f>
        <v>0</v>
      </c>
      <c r="F13" s="380"/>
      <c r="G13" s="379"/>
      <c r="H13" s="380">
        <f>F13*G13</f>
        <v>0</v>
      </c>
    </row>
    <row r="14" spans="1:9" ht="16" x14ac:dyDescent="0.35">
      <c r="A14" s="379" t="s">
        <v>90</v>
      </c>
      <c r="B14" s="371" t="s">
        <v>432</v>
      </c>
      <c r="C14" s="380">
        <v>131222</v>
      </c>
      <c r="D14" s="379"/>
      <c r="E14" s="380"/>
      <c r="F14" s="380">
        <v>137881</v>
      </c>
      <c r="G14" s="379">
        <f>('MWCI-Y1'!$L$14)</f>
        <v>0</v>
      </c>
      <c r="H14" s="380">
        <f>F14*G14</f>
        <v>0</v>
      </c>
    </row>
    <row r="15" spans="1:9" ht="15.5" x14ac:dyDescent="0.35">
      <c r="A15" s="379" t="s">
        <v>90</v>
      </c>
      <c r="B15" s="371" t="s">
        <v>433</v>
      </c>
      <c r="C15" s="380"/>
      <c r="D15" s="379"/>
      <c r="E15" s="380"/>
      <c r="F15" s="380">
        <v>50436</v>
      </c>
      <c r="G15" s="379">
        <f>('MWCI-Y1'!$L$14+'MWCI-Y1'!$L$17)</f>
        <v>6</v>
      </c>
      <c r="H15" s="380">
        <f>F15*G15</f>
        <v>302616</v>
      </c>
    </row>
    <row r="16" spans="1:9" ht="28.5" x14ac:dyDescent="0.35">
      <c r="A16" s="379" t="s">
        <v>90</v>
      </c>
      <c r="B16" s="371" t="s">
        <v>477</v>
      </c>
      <c r="C16" s="380"/>
      <c r="D16" s="379"/>
      <c r="E16" s="380"/>
      <c r="F16" s="380"/>
      <c r="G16" s="379"/>
      <c r="H16" s="380"/>
    </row>
    <row r="17" spans="1:8" x14ac:dyDescent="0.35">
      <c r="A17" s="379" t="s">
        <v>90</v>
      </c>
      <c r="B17" s="371" t="s">
        <v>283</v>
      </c>
      <c r="C17" s="380"/>
      <c r="D17" s="379"/>
      <c r="E17" s="380"/>
      <c r="F17" s="381">
        <f>Monitors!$F$32</f>
        <v>8523</v>
      </c>
      <c r="G17" s="379">
        <f>('MWCI-Y1'!$L$14)</f>
        <v>0</v>
      </c>
      <c r="H17" s="380">
        <f t="shared" ref="H17:H18" si="1">F17*G17</f>
        <v>0</v>
      </c>
    </row>
    <row r="18" spans="1:8" x14ac:dyDescent="0.35">
      <c r="A18" s="379" t="s">
        <v>90</v>
      </c>
      <c r="B18" s="371" t="s">
        <v>284</v>
      </c>
      <c r="C18" s="380"/>
      <c r="D18" s="379"/>
      <c r="E18" s="380"/>
      <c r="F18" s="381">
        <f>Monitors!$G$32</f>
        <v>1436</v>
      </c>
      <c r="G18" s="379">
        <f>('MWCI-Y1'!$L$14+'MWCI-Y1'!$L$17)</f>
        <v>6</v>
      </c>
      <c r="H18" s="380">
        <f t="shared" si="1"/>
        <v>8616</v>
      </c>
    </row>
    <row r="19" spans="1:8" ht="41.5" x14ac:dyDescent="0.35">
      <c r="A19" s="379" t="s">
        <v>91</v>
      </c>
      <c r="B19" s="371" t="s">
        <v>476</v>
      </c>
      <c r="C19" s="380">
        <v>153700</v>
      </c>
      <c r="D19" s="379">
        <v>0</v>
      </c>
      <c r="E19" s="380">
        <f>C19*D19</f>
        <v>0</v>
      </c>
      <c r="F19" s="380"/>
      <c r="G19" s="379"/>
      <c r="H19" s="380">
        <f>F19*G19</f>
        <v>0</v>
      </c>
    </row>
    <row r="20" spans="1:8" ht="16" x14ac:dyDescent="0.35">
      <c r="A20" s="379" t="s">
        <v>91</v>
      </c>
      <c r="B20" s="371" t="s">
        <v>432</v>
      </c>
      <c r="C20" s="380">
        <v>131222</v>
      </c>
      <c r="D20" s="379"/>
      <c r="E20" s="380"/>
      <c r="F20" s="380">
        <v>137881</v>
      </c>
      <c r="G20" s="379">
        <f>('MWCI-Y1'!$L$14)</f>
        <v>0</v>
      </c>
      <c r="H20" s="380">
        <f>F20*G20</f>
        <v>0</v>
      </c>
    </row>
    <row r="21" spans="1:8" ht="15.5" x14ac:dyDescent="0.35">
      <c r="A21" s="379" t="s">
        <v>91</v>
      </c>
      <c r="B21" s="371" t="s">
        <v>433</v>
      </c>
      <c r="C21" s="380"/>
      <c r="D21" s="379"/>
      <c r="E21" s="380"/>
      <c r="F21" s="380">
        <v>50436</v>
      </c>
      <c r="G21" s="379">
        <f>('MWCI-Y1'!$L$14+'MWCI-Y1'!$L$17)</f>
        <v>6</v>
      </c>
      <c r="H21" s="380">
        <f>F21*G21</f>
        <v>302616</v>
      </c>
    </row>
    <row r="22" spans="1:8" ht="28.5" x14ac:dyDescent="0.35">
      <c r="A22" s="379" t="s">
        <v>91</v>
      </c>
      <c r="B22" s="371" t="s">
        <v>477</v>
      </c>
      <c r="C22" s="380"/>
      <c r="D22" s="379"/>
      <c r="E22" s="380"/>
      <c r="F22" s="118"/>
      <c r="G22" s="379"/>
      <c r="H22" s="380"/>
    </row>
    <row r="23" spans="1:8" x14ac:dyDescent="0.35">
      <c r="A23" s="181" t="s">
        <v>91</v>
      </c>
      <c r="B23" s="182" t="s">
        <v>283</v>
      </c>
      <c r="C23" s="118"/>
      <c r="D23" s="181"/>
      <c r="E23" s="118"/>
      <c r="F23" s="143">
        <f>Monitors!$F$32</f>
        <v>8523</v>
      </c>
      <c r="G23" s="181">
        <f>('MWCI-Y1'!$L$14)</f>
        <v>0</v>
      </c>
      <c r="H23" s="118">
        <f t="shared" ref="H23:H24" si="2">F23*G23</f>
        <v>0</v>
      </c>
    </row>
    <row r="24" spans="1:8" x14ac:dyDescent="0.35">
      <c r="A24" s="181" t="s">
        <v>91</v>
      </c>
      <c r="B24" s="182" t="s">
        <v>284</v>
      </c>
      <c r="C24" s="118"/>
      <c r="D24" s="181"/>
      <c r="E24" s="118"/>
      <c r="F24" s="143">
        <f>Monitors!$G$32</f>
        <v>1436</v>
      </c>
      <c r="G24" s="181">
        <f>('MWCI-Y1'!$L$14+'MWCI-Y1'!$L$17)</f>
        <v>6</v>
      </c>
      <c r="H24" s="118">
        <f t="shared" si="2"/>
        <v>8616</v>
      </c>
    </row>
    <row r="25" spans="1:8" x14ac:dyDescent="0.35">
      <c r="A25" s="183"/>
      <c r="B25" s="184" t="s">
        <v>276</v>
      </c>
      <c r="C25" s="118"/>
      <c r="D25" s="181"/>
      <c r="E25" s="118">
        <f>ROUND(SUM(E19:E21), -4)</f>
        <v>0</v>
      </c>
      <c r="F25" s="118"/>
      <c r="G25" s="181"/>
      <c r="H25" s="118">
        <f>ROUND(SUM(H7:H24), -4)</f>
        <v>930000</v>
      </c>
    </row>
    <row r="26" spans="1:8" x14ac:dyDescent="0.35">
      <c r="B26" s="185"/>
      <c r="D26" s="185"/>
      <c r="E26" s="185"/>
      <c r="G26" s="185"/>
    </row>
    <row r="27" spans="1:8" x14ac:dyDescent="0.35">
      <c r="B27" s="185"/>
      <c r="D27" s="185"/>
      <c r="F27" s="185"/>
      <c r="G27" s="310" t="s">
        <v>277</v>
      </c>
      <c r="H27" s="185">
        <f>ROUND(SUM(E7:E24,H7:H24), -4)</f>
        <v>930000</v>
      </c>
    </row>
    <row r="28" spans="1:8" ht="16.5" x14ac:dyDescent="0.35">
      <c r="A28" s="430" t="s">
        <v>478</v>
      </c>
      <c r="B28" s="185"/>
      <c r="E28" s="185"/>
    </row>
    <row r="29" spans="1:8" x14ac:dyDescent="0.35">
      <c r="A29" s="428" t="s">
        <v>479</v>
      </c>
    </row>
    <row r="30" spans="1:8" x14ac:dyDescent="0.35">
      <c r="A30" s="429" t="s">
        <v>480</v>
      </c>
    </row>
  </sheetData>
  <mergeCells count="2">
    <mergeCell ref="A1:I1"/>
    <mergeCell ref="A3:G3"/>
  </mergeCells>
  <phoneticPr fontId="50" type="noConversion"/>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7FA6-572A-4F2C-9F79-899CF70CE456}">
  <sheetPr>
    <pageSetUpPr fitToPage="1"/>
  </sheetPr>
  <dimension ref="A1:P71"/>
  <sheetViews>
    <sheetView zoomScale="60" zoomScaleNormal="60" workbookViewId="0">
      <pane xSplit="13" ySplit="5" topLeftCell="N57" activePane="bottomRight" state="frozen"/>
      <selection activeCell="A25" sqref="A25:I25"/>
      <selection pane="topRight" activeCell="A25" sqref="A25:I25"/>
      <selection pane="bottomLeft" activeCell="A25" sqref="A25:I25"/>
      <selection pane="bottomRight" activeCell="I53" sqref="I53"/>
    </sheetView>
  </sheetViews>
  <sheetFormatPr defaultColWidth="9.1796875" defaultRowHeight="13" x14ac:dyDescent="0.3"/>
  <cols>
    <col min="1" max="1" width="30.1796875" style="71" customWidth="1"/>
    <col min="2" max="2" width="10.1796875" style="71" customWidth="1"/>
    <col min="3" max="3" width="12" style="80" customWidth="1"/>
    <col min="4" max="4" width="11.1796875" style="71" customWidth="1"/>
    <col min="5" max="5" width="12.1796875" style="80" customWidth="1"/>
    <col min="6" max="6" width="10.453125" style="71" customWidth="1"/>
    <col min="7" max="7" width="11.54296875" style="71" customWidth="1"/>
    <col min="8" max="8" width="11.453125" style="71" customWidth="1"/>
    <col min="9" max="9" width="14.453125" style="71" customWidth="1"/>
    <col min="10" max="10" width="7.1796875" style="71" customWidth="1"/>
    <col min="11" max="11" width="37.81640625" style="71" customWidth="1"/>
    <col min="12" max="12" width="14.453125" style="71" customWidth="1"/>
    <col min="13" max="13" width="60.453125" style="85" customWidth="1"/>
    <col min="14" max="14" width="7.453125" style="71" customWidth="1"/>
    <col min="15" max="15" width="14.1796875" style="71" customWidth="1"/>
    <col min="16" max="16384" width="9.1796875" style="71"/>
  </cols>
  <sheetData>
    <row r="1" spans="1:15" s="54" customFormat="1" ht="15" x14ac:dyDescent="0.3">
      <c r="A1" s="57" t="s">
        <v>85</v>
      </c>
      <c r="J1" s="56"/>
      <c r="M1" s="146"/>
    </row>
    <row r="2" spans="1:15" s="54" customFormat="1" ht="15" x14ac:dyDescent="0.3">
      <c r="A2" s="55" t="s">
        <v>215</v>
      </c>
      <c r="J2" s="56"/>
      <c r="M2" s="146"/>
    </row>
    <row r="3" spans="1:15" s="54" customFormat="1" ht="33.65" customHeight="1" x14ac:dyDescent="0.3">
      <c r="A3" s="441" t="s">
        <v>203</v>
      </c>
      <c r="B3" s="442"/>
      <c r="C3" s="442"/>
      <c r="D3" s="442"/>
      <c r="E3" s="442"/>
      <c r="F3" s="442"/>
      <c r="G3" s="442"/>
      <c r="H3" s="442"/>
      <c r="I3" s="153"/>
      <c r="J3" s="56"/>
      <c r="M3" s="146"/>
    </row>
    <row r="5" spans="1:15" ht="65" x14ac:dyDescent="0.3">
      <c r="A5" s="72" t="s">
        <v>111</v>
      </c>
      <c r="B5" s="73" t="s">
        <v>112</v>
      </c>
      <c r="C5" s="74" t="s">
        <v>113</v>
      </c>
      <c r="D5" s="73" t="s">
        <v>114</v>
      </c>
      <c r="E5" s="74" t="s">
        <v>115</v>
      </c>
      <c r="F5" s="73" t="s">
        <v>116</v>
      </c>
      <c r="G5" s="73" t="s">
        <v>117</v>
      </c>
      <c r="H5" s="73" t="s">
        <v>118</v>
      </c>
      <c r="I5" s="73" t="s">
        <v>119</v>
      </c>
      <c r="J5" s="75"/>
      <c r="O5" s="71" t="s">
        <v>204</v>
      </c>
    </row>
    <row r="6" spans="1:15" x14ac:dyDescent="0.3">
      <c r="A6" s="76" t="s">
        <v>121</v>
      </c>
      <c r="B6" s="73" t="s">
        <v>122</v>
      </c>
      <c r="C6" s="77"/>
      <c r="D6" s="78"/>
      <c r="E6" s="77"/>
      <c r="F6" s="78"/>
      <c r="G6" s="78"/>
      <c r="H6" s="78"/>
      <c r="I6" s="78"/>
      <c r="K6" s="443" t="s">
        <v>123</v>
      </c>
      <c r="L6" s="443"/>
      <c r="O6" s="71">
        <f>C6*E6</f>
        <v>0</v>
      </c>
    </row>
    <row r="7" spans="1:15" ht="26.5" customHeight="1" x14ac:dyDescent="0.3">
      <c r="A7" s="76" t="s">
        <v>124</v>
      </c>
      <c r="B7" s="73" t="s">
        <v>122</v>
      </c>
      <c r="C7" s="77"/>
      <c r="D7" s="78"/>
      <c r="E7" s="77"/>
      <c r="F7" s="78"/>
      <c r="G7" s="78"/>
      <c r="H7" s="78"/>
      <c r="I7" s="78"/>
      <c r="K7" s="79" t="s">
        <v>125</v>
      </c>
      <c r="L7" s="195">
        <f>76.96*2.1</f>
        <v>161.61599999999999</v>
      </c>
      <c r="M7" s="144" t="s">
        <v>126</v>
      </c>
      <c r="O7" s="71">
        <f t="shared" ref="O7:O57" si="0">C7*E7</f>
        <v>0</v>
      </c>
    </row>
    <row r="8" spans="1:15" ht="58" customHeight="1" x14ac:dyDescent="0.3">
      <c r="A8" s="76" t="s">
        <v>127</v>
      </c>
      <c r="B8" s="73">
        <v>24</v>
      </c>
      <c r="C8" s="74">
        <v>1</v>
      </c>
      <c r="D8" s="73">
        <f>B8*C8</f>
        <v>24</v>
      </c>
      <c r="E8" s="296">
        <f>L12</f>
        <v>23.9148</v>
      </c>
      <c r="F8" s="295">
        <f>D8*E8</f>
        <v>573.95519999999999</v>
      </c>
      <c r="G8" s="295">
        <f>F8*0.05</f>
        <v>28.697760000000002</v>
      </c>
      <c r="H8" s="295">
        <f>F8*0.1</f>
        <v>57.395520000000005</v>
      </c>
      <c r="I8" s="81">
        <f>F8*$L$8+G8*$L$7+H8*$L$9</f>
        <v>81606.442619519992</v>
      </c>
      <c r="K8" s="79" t="s">
        <v>128</v>
      </c>
      <c r="L8" s="195">
        <f>60.8*2.1</f>
        <v>127.67999999999999</v>
      </c>
      <c r="M8" s="145"/>
      <c r="O8" s="71">
        <f t="shared" si="0"/>
        <v>23.9148</v>
      </c>
    </row>
    <row r="9" spans="1:15" x14ac:dyDescent="0.3">
      <c r="A9" s="76" t="s">
        <v>129</v>
      </c>
      <c r="B9" s="73"/>
      <c r="C9" s="74"/>
      <c r="D9" s="73"/>
      <c r="E9" s="74"/>
      <c r="F9" s="73"/>
      <c r="G9" s="73"/>
      <c r="H9" s="73"/>
      <c r="I9" s="78"/>
      <c r="K9" s="79" t="s">
        <v>130</v>
      </c>
      <c r="L9" s="195">
        <f>30.58*2.1</f>
        <v>64.218000000000004</v>
      </c>
      <c r="M9" s="145"/>
      <c r="O9" s="71">
        <f t="shared" si="0"/>
        <v>0</v>
      </c>
    </row>
    <row r="10" spans="1:15" ht="29.5" customHeight="1" x14ac:dyDescent="0.3">
      <c r="A10" s="297" t="s">
        <v>132</v>
      </c>
      <c r="B10" s="73">
        <v>0</v>
      </c>
      <c r="C10" s="74">
        <v>0</v>
      </c>
      <c r="D10" s="73">
        <f>B10*C10</f>
        <v>0</v>
      </c>
      <c r="E10" s="74">
        <v>0</v>
      </c>
      <c r="F10" s="73">
        <f>D10*E10</f>
        <v>0</v>
      </c>
      <c r="G10" s="73">
        <f>F10*0.05</f>
        <v>0</v>
      </c>
      <c r="H10" s="73">
        <f>F10*0.1</f>
        <v>0</v>
      </c>
      <c r="I10" s="84">
        <f>F10*$L$8+G10*$L$7+H10*$L$9</f>
        <v>0</v>
      </c>
      <c r="K10" s="85"/>
      <c r="O10" s="71">
        <f t="shared" si="0"/>
        <v>0</v>
      </c>
    </row>
    <row r="11" spans="1:15" ht="15.75" customHeight="1" x14ac:dyDescent="0.3">
      <c r="A11" s="297" t="s">
        <v>133</v>
      </c>
      <c r="B11" s="73"/>
      <c r="C11" s="74"/>
      <c r="D11" s="73"/>
      <c r="E11" s="74"/>
      <c r="F11" s="73"/>
      <c r="G11" s="73"/>
      <c r="H11" s="73"/>
      <c r="I11" s="84"/>
      <c r="K11" s="86"/>
      <c r="L11" s="86" t="s">
        <v>134</v>
      </c>
      <c r="O11" s="71">
        <f t="shared" si="0"/>
        <v>0</v>
      </c>
    </row>
    <row r="12" spans="1:15" ht="28.5" x14ac:dyDescent="0.3">
      <c r="A12" s="298" t="s">
        <v>135</v>
      </c>
      <c r="B12" s="73"/>
      <c r="C12" s="74"/>
      <c r="D12" s="73"/>
      <c r="E12" s="88"/>
      <c r="F12" s="89"/>
      <c r="G12" s="73"/>
      <c r="H12" s="73"/>
      <c r="I12" s="84"/>
      <c r="K12" s="86" t="s">
        <v>136</v>
      </c>
      <c r="L12" s="86">
        <f>L14*0.0084</f>
        <v>23.9148</v>
      </c>
      <c r="M12" s="85" t="s">
        <v>137</v>
      </c>
      <c r="O12" s="71">
        <f t="shared" si="0"/>
        <v>0</v>
      </c>
    </row>
    <row r="13" spans="1:15" ht="29.5" customHeight="1" x14ac:dyDescent="0.3">
      <c r="A13" s="299" t="s">
        <v>138</v>
      </c>
      <c r="B13" s="74">
        <v>8</v>
      </c>
      <c r="C13" s="74">
        <v>1</v>
      </c>
      <c r="D13" s="73">
        <f>B13*C13</f>
        <v>8</v>
      </c>
      <c r="E13" s="294">
        <f>L16</f>
        <v>7.6019999999999994</v>
      </c>
      <c r="F13" s="89">
        <f>D13*E13</f>
        <v>60.815999999999995</v>
      </c>
      <c r="G13" s="295">
        <f>F13*0.05</f>
        <v>3.0407999999999999</v>
      </c>
      <c r="H13" s="295">
        <f>F13*0.1</f>
        <v>6.0815999999999999</v>
      </c>
      <c r="I13" s="81">
        <f>F13*$L$8+G13*$L$7+H13*$L$9</f>
        <v>8646.9770015999984</v>
      </c>
      <c r="K13" s="86" t="s">
        <v>139</v>
      </c>
      <c r="L13" s="86">
        <v>0</v>
      </c>
      <c r="O13" s="71">
        <f t="shared" si="0"/>
        <v>7.6019999999999994</v>
      </c>
    </row>
    <row r="14" spans="1:15" ht="26" x14ac:dyDescent="0.3">
      <c r="A14" s="299" t="s">
        <v>140</v>
      </c>
      <c r="B14" s="74">
        <v>8</v>
      </c>
      <c r="C14" s="74">
        <v>1</v>
      </c>
      <c r="D14" s="73">
        <f t="shared" ref="D14" si="1">B14*C14</f>
        <v>8</v>
      </c>
      <c r="E14" s="294">
        <f>E13*0.05</f>
        <v>0.38009999999999999</v>
      </c>
      <c r="F14" s="89">
        <f t="shared" ref="F14:F21" si="2">D14*E14</f>
        <v>3.0407999999999999</v>
      </c>
      <c r="G14" s="295">
        <f t="shared" ref="G14:G21" si="3">F14*0.05</f>
        <v>0.15204000000000001</v>
      </c>
      <c r="H14" s="295">
        <f t="shared" ref="H14:H21" si="4">F14*0.1</f>
        <v>0.30408000000000002</v>
      </c>
      <c r="I14" s="84">
        <f t="shared" ref="I14:I21" si="5">F14*$L$8+G14*$L$7+H14*$L$9</f>
        <v>432.34885007999992</v>
      </c>
      <c r="J14" s="85"/>
      <c r="K14" s="86" t="s">
        <v>141</v>
      </c>
      <c r="L14" s="86">
        <v>2847</v>
      </c>
      <c r="O14" s="71">
        <f t="shared" si="0"/>
        <v>0.38009999999999999</v>
      </c>
    </row>
    <row r="15" spans="1:15" ht="28.5" x14ac:dyDescent="0.3">
      <c r="A15" s="298" t="s">
        <v>205</v>
      </c>
      <c r="B15" s="73"/>
      <c r="C15" s="74"/>
      <c r="D15" s="73"/>
      <c r="E15" s="74"/>
      <c r="F15" s="89"/>
      <c r="G15" s="73"/>
      <c r="H15" s="73"/>
      <c r="I15" s="84"/>
      <c r="K15" s="86" t="s">
        <v>143</v>
      </c>
      <c r="L15" s="86">
        <f>L17*0.0084</f>
        <v>12.316121999999998</v>
      </c>
      <c r="M15" s="85" t="s">
        <v>137</v>
      </c>
      <c r="O15" s="71">
        <f t="shared" si="0"/>
        <v>0</v>
      </c>
    </row>
    <row r="16" spans="1:15" ht="31.5" x14ac:dyDescent="0.3">
      <c r="A16" s="97" t="s">
        <v>216</v>
      </c>
      <c r="B16" s="73">
        <v>8</v>
      </c>
      <c r="C16" s="74">
        <v>1</v>
      </c>
      <c r="D16" s="73">
        <f>B16*C16</f>
        <v>8</v>
      </c>
      <c r="E16" s="88">
        <f>L18*0.25</f>
        <v>226.25</v>
      </c>
      <c r="F16" s="89">
        <f t="shared" si="2"/>
        <v>1810</v>
      </c>
      <c r="G16" s="73">
        <f t="shared" si="3"/>
        <v>90.5</v>
      </c>
      <c r="H16" s="73">
        <f t="shared" si="4"/>
        <v>181</v>
      </c>
      <c r="I16" s="81">
        <f t="shared" si="5"/>
        <v>257350.50599999999</v>
      </c>
      <c r="J16" s="82"/>
      <c r="K16" s="86" t="s">
        <v>144</v>
      </c>
      <c r="L16" s="86">
        <f>L18*0.0084</f>
        <v>7.6019999999999994</v>
      </c>
      <c r="M16" s="85" t="s">
        <v>137</v>
      </c>
      <c r="N16" s="85"/>
      <c r="O16" s="71">
        <f t="shared" si="0"/>
        <v>226.25</v>
      </c>
    </row>
    <row r="17" spans="1:15" ht="26" x14ac:dyDescent="0.3">
      <c r="A17" s="299" t="s">
        <v>140</v>
      </c>
      <c r="B17" s="74">
        <v>8</v>
      </c>
      <c r="C17" s="74">
        <v>1</v>
      </c>
      <c r="D17" s="73">
        <f t="shared" ref="D17:D19" si="6">B17*C17</f>
        <v>8</v>
      </c>
      <c r="E17" s="88">
        <f>E16*0.05</f>
        <v>11.3125</v>
      </c>
      <c r="F17" s="89">
        <f t="shared" si="2"/>
        <v>90.5</v>
      </c>
      <c r="G17" s="73">
        <f t="shared" si="3"/>
        <v>4.5250000000000004</v>
      </c>
      <c r="H17" s="73">
        <f t="shared" si="4"/>
        <v>9.0500000000000007</v>
      </c>
      <c r="I17" s="81">
        <f t="shared" si="5"/>
        <v>12867.525299999999</v>
      </c>
      <c r="J17" s="82"/>
      <c r="K17" s="86" t="s">
        <v>145</v>
      </c>
      <c r="L17" s="320">
        <f>0.515*L14</f>
        <v>1466.2049999999999</v>
      </c>
      <c r="O17" s="71">
        <f t="shared" si="0"/>
        <v>11.3125</v>
      </c>
    </row>
    <row r="18" spans="1:15" ht="29" x14ac:dyDescent="0.3">
      <c r="A18" s="97" t="s">
        <v>146</v>
      </c>
      <c r="B18" s="93">
        <v>6</v>
      </c>
      <c r="C18" s="93">
        <v>1</v>
      </c>
      <c r="D18" s="92">
        <f t="shared" si="6"/>
        <v>6</v>
      </c>
      <c r="E18" s="94">
        <f>L20</f>
        <v>1252.68</v>
      </c>
      <c r="F18" s="89">
        <f t="shared" si="2"/>
        <v>7516.08</v>
      </c>
      <c r="G18" s="73">
        <f t="shared" si="3"/>
        <v>375.80400000000003</v>
      </c>
      <c r="H18" s="73">
        <f t="shared" si="4"/>
        <v>751.60800000000006</v>
      </c>
      <c r="I18" s="81">
        <f t="shared" si="5"/>
        <v>1068655.796208</v>
      </c>
      <c r="K18" s="414" t="s">
        <v>147</v>
      </c>
      <c r="L18" s="321">
        <v>905</v>
      </c>
      <c r="O18" s="71">
        <f t="shared" si="0"/>
        <v>1252.68</v>
      </c>
    </row>
    <row r="19" spans="1:15" ht="45.65" customHeight="1" x14ac:dyDescent="0.3">
      <c r="A19" s="97" t="s">
        <v>148</v>
      </c>
      <c r="B19" s="93">
        <v>6</v>
      </c>
      <c r="C19" s="93">
        <v>1</v>
      </c>
      <c r="D19" s="92">
        <f t="shared" si="6"/>
        <v>6</v>
      </c>
      <c r="E19" s="302">
        <f>E18*0.05</f>
        <v>62.634000000000007</v>
      </c>
      <c r="F19" s="89">
        <f t="shared" si="2"/>
        <v>375.80400000000003</v>
      </c>
      <c r="G19" s="73">
        <f t="shared" si="3"/>
        <v>18.790200000000002</v>
      </c>
      <c r="H19" s="73">
        <f t="shared" si="4"/>
        <v>37.580400000000004</v>
      </c>
      <c r="I19" s="81">
        <f t="shared" si="5"/>
        <v>53432.789810400005</v>
      </c>
      <c r="K19" s="71" t="s">
        <v>149</v>
      </c>
      <c r="L19" s="71">
        <f>L14*0.56</f>
        <v>1594.3200000000002</v>
      </c>
      <c r="M19" s="85" t="s">
        <v>150</v>
      </c>
      <c r="N19" s="82"/>
      <c r="O19" s="71">
        <f t="shared" si="0"/>
        <v>62.634000000000007</v>
      </c>
    </row>
    <row r="20" spans="1:15" ht="40.5" customHeight="1" x14ac:dyDescent="0.3">
      <c r="A20" s="298" t="s">
        <v>151</v>
      </c>
      <c r="B20" s="92"/>
      <c r="C20" s="93"/>
      <c r="D20" s="92"/>
      <c r="E20" s="94"/>
      <c r="F20" s="89"/>
      <c r="G20" s="73"/>
      <c r="H20" s="73"/>
      <c r="I20" s="84"/>
      <c r="K20" s="71" t="s">
        <v>152</v>
      </c>
      <c r="L20" s="71">
        <f>L14*0.44</f>
        <v>1252.68</v>
      </c>
      <c r="M20" s="85" t="s">
        <v>153</v>
      </c>
      <c r="N20" s="82"/>
      <c r="O20" s="71">
        <f t="shared" si="0"/>
        <v>0</v>
      </c>
    </row>
    <row r="21" spans="1:15" ht="26" x14ac:dyDescent="0.3">
      <c r="A21" s="297" t="s">
        <v>154</v>
      </c>
      <c r="B21" s="73">
        <v>0</v>
      </c>
      <c r="C21" s="74">
        <v>0</v>
      </c>
      <c r="D21" s="73">
        <f>B21*C21</f>
        <v>0</v>
      </c>
      <c r="E21" s="88"/>
      <c r="F21" s="89">
        <f t="shared" si="2"/>
        <v>0</v>
      </c>
      <c r="G21" s="73">
        <f t="shared" si="3"/>
        <v>0</v>
      </c>
      <c r="H21" s="73">
        <f t="shared" si="4"/>
        <v>0</v>
      </c>
      <c r="I21" s="84">
        <f t="shared" si="5"/>
        <v>0</v>
      </c>
      <c r="N21" s="82"/>
      <c r="O21" s="71">
        <f t="shared" si="0"/>
        <v>0</v>
      </c>
    </row>
    <row r="22" spans="1:15" x14ac:dyDescent="0.3">
      <c r="A22" s="297" t="s">
        <v>155</v>
      </c>
      <c r="B22" s="73"/>
      <c r="C22" s="77"/>
      <c r="D22" s="78"/>
      <c r="E22" s="95"/>
      <c r="F22" s="78"/>
      <c r="G22" s="78"/>
      <c r="H22" s="78"/>
      <c r="I22" s="78"/>
      <c r="O22" s="71">
        <f t="shared" si="0"/>
        <v>0</v>
      </c>
    </row>
    <row r="23" spans="1:15" ht="26" x14ac:dyDescent="0.3">
      <c r="A23" s="297" t="s">
        <v>156</v>
      </c>
      <c r="B23" s="73"/>
      <c r="C23" s="77"/>
      <c r="D23" s="78"/>
      <c r="E23" s="95"/>
      <c r="F23" s="78"/>
      <c r="G23" s="78"/>
      <c r="H23" s="78"/>
      <c r="I23" s="78"/>
      <c r="O23" s="71">
        <f t="shared" si="0"/>
        <v>0</v>
      </c>
    </row>
    <row r="24" spans="1:15" x14ac:dyDescent="0.3">
      <c r="A24" s="297" t="s">
        <v>157</v>
      </c>
      <c r="B24" s="78"/>
      <c r="C24" s="77"/>
      <c r="D24" s="78"/>
      <c r="E24" s="95"/>
      <c r="F24" s="78"/>
      <c r="G24" s="78"/>
      <c r="H24" s="78"/>
      <c r="I24" s="78"/>
      <c r="O24" s="71">
        <f t="shared" si="0"/>
        <v>0</v>
      </c>
    </row>
    <row r="25" spans="1:15" ht="27.65" customHeight="1" x14ac:dyDescent="0.3">
      <c r="A25" s="300" t="s">
        <v>158</v>
      </c>
      <c r="B25" s="73"/>
      <c r="C25" s="74"/>
      <c r="D25" s="73"/>
      <c r="E25" s="88"/>
      <c r="F25" s="73"/>
      <c r="G25" s="73"/>
      <c r="H25" s="73"/>
      <c r="I25" s="84"/>
      <c r="O25" s="71">
        <f t="shared" si="0"/>
        <v>0</v>
      </c>
    </row>
    <row r="26" spans="1:15" ht="25" customHeight="1" x14ac:dyDescent="0.3">
      <c r="A26" s="297" t="s">
        <v>212</v>
      </c>
      <c r="B26" s="73">
        <v>2</v>
      </c>
      <c r="C26" s="74">
        <v>1</v>
      </c>
      <c r="D26" s="73">
        <v>2</v>
      </c>
      <c r="E26" s="294">
        <f t="shared" ref="E26:E28" si="7">$L$12</f>
        <v>23.9148</v>
      </c>
      <c r="F26" s="73">
        <f t="shared" ref="F26:F29" si="8">D26*E26</f>
        <v>47.829599999999999</v>
      </c>
      <c r="G26" s="73">
        <f t="shared" ref="G26:G29" si="9">F26*0.05</f>
        <v>2.3914800000000001</v>
      </c>
      <c r="H26" s="73">
        <f t="shared" ref="H26:H29" si="10">F26*0.1</f>
        <v>4.7829600000000001</v>
      </c>
      <c r="I26" s="81">
        <f>F26*$L$8+G26*$L$7+H26*$L$9</f>
        <v>6800.53688496</v>
      </c>
      <c r="O26" s="71">
        <f t="shared" si="0"/>
        <v>23.9148</v>
      </c>
    </row>
    <row r="27" spans="1:15" ht="26.5" customHeight="1" x14ac:dyDescent="0.3">
      <c r="A27" s="297" t="s">
        <v>160</v>
      </c>
      <c r="B27" s="73">
        <v>2</v>
      </c>
      <c r="C27" s="74">
        <v>1</v>
      </c>
      <c r="D27" s="73">
        <v>2</v>
      </c>
      <c r="E27" s="294">
        <f t="shared" si="7"/>
        <v>23.9148</v>
      </c>
      <c r="F27" s="73">
        <f t="shared" si="8"/>
        <v>47.829599999999999</v>
      </c>
      <c r="G27" s="73">
        <f t="shared" si="9"/>
        <v>2.3914800000000001</v>
      </c>
      <c r="H27" s="73">
        <f t="shared" si="10"/>
        <v>4.7829600000000001</v>
      </c>
      <c r="I27" s="81">
        <f>F27*$L$8+G27*$L$7+H27*$L$9</f>
        <v>6800.53688496</v>
      </c>
      <c r="O27" s="71">
        <f t="shared" si="0"/>
        <v>23.9148</v>
      </c>
    </row>
    <row r="28" spans="1:15" ht="20.5" customHeight="1" x14ac:dyDescent="0.3">
      <c r="A28" s="297" t="s">
        <v>161</v>
      </c>
      <c r="B28" s="73">
        <v>2</v>
      </c>
      <c r="C28" s="74">
        <v>1</v>
      </c>
      <c r="D28" s="73">
        <v>2</v>
      </c>
      <c r="E28" s="294">
        <f t="shared" si="7"/>
        <v>23.9148</v>
      </c>
      <c r="F28" s="73">
        <f t="shared" si="8"/>
        <v>47.829599999999999</v>
      </c>
      <c r="G28" s="73">
        <f t="shared" si="9"/>
        <v>2.3914800000000001</v>
      </c>
      <c r="H28" s="73">
        <f t="shared" si="10"/>
        <v>4.7829600000000001</v>
      </c>
      <c r="I28" s="81">
        <f>F28*$L$8+G28*$L$7+H28*$L$9</f>
        <v>6800.53688496</v>
      </c>
      <c r="O28" s="71">
        <f t="shared" si="0"/>
        <v>23.9148</v>
      </c>
    </row>
    <row r="29" spans="1:15" ht="52" x14ac:dyDescent="0.3">
      <c r="A29" s="301" t="s">
        <v>162</v>
      </c>
      <c r="B29" s="73">
        <v>1</v>
      </c>
      <c r="C29" s="115">
        <v>1</v>
      </c>
      <c r="D29" s="73">
        <f>B29*C29</f>
        <v>1</v>
      </c>
      <c r="E29" s="294">
        <f>$L$12</f>
        <v>23.9148</v>
      </c>
      <c r="F29" s="295">
        <f t="shared" si="8"/>
        <v>23.9148</v>
      </c>
      <c r="G29" s="295">
        <f t="shared" si="9"/>
        <v>1.19574</v>
      </c>
      <c r="H29" s="295">
        <f t="shared" si="10"/>
        <v>2.3914800000000001</v>
      </c>
      <c r="I29" s="81">
        <f>F29*$L$8+G29*$L$7+H29*$L$9</f>
        <v>3400.26844248</v>
      </c>
      <c r="O29" s="71">
        <f t="shared" si="0"/>
        <v>23.9148</v>
      </c>
    </row>
    <row r="30" spans="1:15" x14ac:dyDescent="0.3">
      <c r="A30" s="300" t="s">
        <v>163</v>
      </c>
      <c r="B30" s="78"/>
      <c r="C30" s="77"/>
      <c r="D30" s="78"/>
      <c r="E30" s="95"/>
      <c r="F30" s="78"/>
      <c r="G30" s="78"/>
      <c r="H30" s="78"/>
      <c r="I30" s="78"/>
      <c r="O30" s="71">
        <f t="shared" si="0"/>
        <v>0</v>
      </c>
    </row>
    <row r="31" spans="1:15" ht="27.65" customHeight="1" x14ac:dyDescent="0.3">
      <c r="A31" s="297" t="s">
        <v>212</v>
      </c>
      <c r="B31" s="73">
        <v>0</v>
      </c>
      <c r="C31" s="74">
        <v>0</v>
      </c>
      <c r="D31" s="73">
        <v>2</v>
      </c>
      <c r="E31" s="88">
        <v>0</v>
      </c>
      <c r="F31" s="73">
        <f>D31*E31</f>
        <v>0</v>
      </c>
      <c r="G31" s="73">
        <f>F31*0.05</f>
        <v>0</v>
      </c>
      <c r="H31" s="73">
        <f>F31*0.1</f>
        <v>0</v>
      </c>
      <c r="I31" s="84">
        <f>F31*$L$8+G31*$L$7+H31*$L$9</f>
        <v>0</v>
      </c>
      <c r="O31" s="71">
        <f t="shared" si="0"/>
        <v>0</v>
      </c>
    </row>
    <row r="32" spans="1:15" ht="26" x14ac:dyDescent="0.3">
      <c r="A32" s="297" t="s">
        <v>164</v>
      </c>
      <c r="B32" s="73">
        <v>2</v>
      </c>
      <c r="C32" s="74">
        <v>1</v>
      </c>
      <c r="D32" s="73">
        <v>2</v>
      </c>
      <c r="E32" s="302">
        <f>SUM(E18:E19)</f>
        <v>1315.3140000000001</v>
      </c>
      <c r="F32" s="295">
        <f>D32*E32</f>
        <v>2630.6280000000002</v>
      </c>
      <c r="G32" s="295">
        <f>F32*0.05</f>
        <v>131.53140000000002</v>
      </c>
      <c r="H32" s="295">
        <f>F32*0.1</f>
        <v>263.06280000000004</v>
      </c>
      <c r="I32" s="81">
        <f>F32*$L$8+G32*$L$7+H32*$L$9</f>
        <v>374029.52867279999</v>
      </c>
      <c r="O32" s="71">
        <f t="shared" si="0"/>
        <v>1315.3140000000001</v>
      </c>
    </row>
    <row r="33" spans="1:15" ht="46.5" customHeight="1" x14ac:dyDescent="0.3">
      <c r="A33" s="297" t="s">
        <v>165</v>
      </c>
      <c r="B33" s="73">
        <v>2</v>
      </c>
      <c r="C33" s="74">
        <v>1</v>
      </c>
      <c r="D33" s="73">
        <v>2</v>
      </c>
      <c r="E33" s="294">
        <f>SUM(E18:E19)</f>
        <v>1315.3140000000001</v>
      </c>
      <c r="F33" s="295">
        <f>D33*E33</f>
        <v>2630.6280000000002</v>
      </c>
      <c r="G33" s="295">
        <f>F33*0.05</f>
        <v>131.53140000000002</v>
      </c>
      <c r="H33" s="295">
        <f>F33*0.1</f>
        <v>263.06280000000004</v>
      </c>
      <c r="I33" s="81">
        <f>F33*$L$8+G33*$L$7+H33*$L$9</f>
        <v>374029.52867279999</v>
      </c>
      <c r="O33" s="71">
        <f t="shared" si="0"/>
        <v>1315.3140000000001</v>
      </c>
    </row>
    <row r="34" spans="1:15" ht="36" customHeight="1" x14ac:dyDescent="0.3">
      <c r="A34" s="301" t="s">
        <v>166</v>
      </c>
      <c r="B34" s="73">
        <v>1</v>
      </c>
      <c r="C34" s="115">
        <v>1</v>
      </c>
      <c r="D34" s="73">
        <f>B34*C34</f>
        <v>1</v>
      </c>
      <c r="E34" s="88">
        <f>L14</f>
        <v>2847</v>
      </c>
      <c r="F34" s="73">
        <f t="shared" ref="F34" si="11">D34*E34</f>
        <v>2847</v>
      </c>
      <c r="G34" s="73">
        <f t="shared" ref="G34" si="12">F34*0.05</f>
        <v>142.35</v>
      </c>
      <c r="H34" s="73">
        <f t="shared" ref="H34" si="13">F34*0.1</f>
        <v>284.7</v>
      </c>
      <c r="I34" s="81">
        <f>F34*$L$8+G34*$L$7+H34*$L$9</f>
        <v>404793.86219999997</v>
      </c>
      <c r="O34" s="71">
        <f t="shared" si="0"/>
        <v>2847</v>
      </c>
    </row>
    <row r="35" spans="1:15" ht="13.5" x14ac:dyDescent="0.3">
      <c r="A35" s="98" t="s">
        <v>167</v>
      </c>
      <c r="B35" s="99"/>
      <c r="C35" s="100"/>
      <c r="D35" s="99"/>
      <c r="E35" s="101"/>
      <c r="F35" s="142">
        <f>SUM(F8:H34)</f>
        <v>21511.733939999998</v>
      </c>
      <c r="G35" s="142"/>
      <c r="H35" s="142"/>
      <c r="I35" s="102">
        <f>SUM(I8:I34)</f>
        <v>2659647.1844325596</v>
      </c>
      <c r="O35" s="71">
        <f t="shared" si="0"/>
        <v>0</v>
      </c>
    </row>
    <row r="36" spans="1:15" ht="26" x14ac:dyDescent="0.3">
      <c r="A36" s="76" t="s">
        <v>168</v>
      </c>
      <c r="B36" s="78"/>
      <c r="C36" s="77"/>
      <c r="D36" s="78"/>
      <c r="E36" s="95"/>
      <c r="F36" s="78"/>
      <c r="G36" s="78"/>
      <c r="H36" s="78"/>
      <c r="I36" s="78"/>
      <c r="O36" s="71">
        <f t="shared" si="0"/>
        <v>0</v>
      </c>
    </row>
    <row r="37" spans="1:15" ht="26" x14ac:dyDescent="0.3">
      <c r="A37" s="297" t="s">
        <v>132</v>
      </c>
      <c r="B37" s="73"/>
      <c r="C37" s="77"/>
      <c r="D37" s="78"/>
      <c r="E37" s="77"/>
      <c r="F37" s="78"/>
      <c r="G37" s="78"/>
      <c r="H37" s="78"/>
      <c r="I37" s="78"/>
      <c r="O37" s="71">
        <f t="shared" si="0"/>
        <v>0</v>
      </c>
    </row>
    <row r="38" spans="1:15" x14ac:dyDescent="0.3">
      <c r="A38" s="297" t="s">
        <v>169</v>
      </c>
      <c r="B38" s="73"/>
      <c r="C38" s="77"/>
      <c r="D38" s="78"/>
      <c r="E38" s="77"/>
      <c r="F38" s="78"/>
      <c r="G38" s="78"/>
      <c r="H38" s="78"/>
      <c r="I38" s="78"/>
      <c r="O38" s="71">
        <f t="shared" si="0"/>
        <v>0</v>
      </c>
    </row>
    <row r="39" spans="1:15" x14ac:dyDescent="0.3">
      <c r="A39" s="297" t="s">
        <v>170</v>
      </c>
      <c r="B39" s="73"/>
      <c r="C39" s="77"/>
      <c r="D39" s="78"/>
      <c r="E39" s="77"/>
      <c r="F39" s="78"/>
      <c r="G39" s="78"/>
      <c r="H39" s="78"/>
      <c r="I39" s="78"/>
      <c r="O39" s="71">
        <f t="shared" si="0"/>
        <v>0</v>
      </c>
    </row>
    <row r="40" spans="1:15" x14ac:dyDescent="0.3">
      <c r="A40" s="297" t="s">
        <v>171</v>
      </c>
      <c r="B40" s="73" t="s">
        <v>122</v>
      </c>
      <c r="C40" s="77"/>
      <c r="D40" s="78"/>
      <c r="E40" s="77"/>
      <c r="F40" s="78"/>
      <c r="G40" s="78"/>
      <c r="H40" s="78"/>
      <c r="I40" s="78"/>
      <c r="K40" s="150"/>
      <c r="L40" s="150"/>
      <c r="M40" s="420"/>
      <c r="O40" s="71">
        <f t="shared" si="0"/>
        <v>0</v>
      </c>
    </row>
    <row r="41" spans="1:15" ht="26" x14ac:dyDescent="0.3">
      <c r="A41" s="297" t="s">
        <v>172</v>
      </c>
      <c r="B41" s="78"/>
      <c r="C41" s="77"/>
      <c r="D41" s="78"/>
      <c r="E41" s="77"/>
      <c r="F41" s="78"/>
      <c r="G41" s="78"/>
      <c r="H41" s="78"/>
      <c r="I41" s="78"/>
      <c r="K41" s="150"/>
      <c r="L41" s="150"/>
      <c r="M41" s="420"/>
      <c r="O41" s="71">
        <f t="shared" si="0"/>
        <v>0</v>
      </c>
    </row>
    <row r="42" spans="1:15" x14ac:dyDescent="0.3">
      <c r="A42" s="300" t="s">
        <v>163</v>
      </c>
      <c r="B42" s="78"/>
      <c r="C42" s="77"/>
      <c r="D42" s="78"/>
      <c r="E42" s="77"/>
      <c r="F42" s="78"/>
      <c r="G42" s="78"/>
      <c r="H42" s="78"/>
      <c r="I42" s="81"/>
      <c r="K42" s="150"/>
      <c r="L42" s="150"/>
      <c r="M42" s="420"/>
      <c r="O42" s="71">
        <f t="shared" si="0"/>
        <v>0</v>
      </c>
    </row>
    <row r="43" spans="1:15" x14ac:dyDescent="0.3">
      <c r="A43" s="297" t="s">
        <v>173</v>
      </c>
      <c r="B43" s="73">
        <v>0.1</v>
      </c>
      <c r="C43" s="74">
        <v>12</v>
      </c>
      <c r="D43" s="73">
        <f t="shared" ref="D43:D57" si="14">B43*C43</f>
        <v>1.2000000000000002</v>
      </c>
      <c r="E43" s="88">
        <f>$L$14</f>
        <v>2847</v>
      </c>
      <c r="F43" s="89">
        <f t="shared" ref="F43:F57" si="15">D43*E43</f>
        <v>3416.4000000000005</v>
      </c>
      <c r="G43" s="73">
        <f t="shared" ref="G43:G57" si="16">F43*0.05</f>
        <v>170.82000000000005</v>
      </c>
      <c r="H43" s="73">
        <f t="shared" ref="H43:H57" si="17">F43*0.1</f>
        <v>341.6400000000001</v>
      </c>
      <c r="I43" s="81">
        <f>F43*$L$8+G43*$L$7+H43*$L$9</f>
        <v>485752.63464000006</v>
      </c>
      <c r="K43" s="150"/>
      <c r="L43" s="150"/>
      <c r="M43" s="420"/>
      <c r="O43" s="71">
        <f t="shared" si="0"/>
        <v>34164</v>
      </c>
    </row>
    <row r="44" spans="1:15" ht="29.5" customHeight="1" x14ac:dyDescent="0.3">
      <c r="A44" s="297" t="s">
        <v>174</v>
      </c>
      <c r="B44" s="73">
        <v>0.4</v>
      </c>
      <c r="C44" s="74">
        <v>1</v>
      </c>
      <c r="D44" s="73">
        <f t="shared" si="14"/>
        <v>0.4</v>
      </c>
      <c r="E44" s="88">
        <f>$L$14</f>
        <v>2847</v>
      </c>
      <c r="F44" s="89">
        <f t="shared" si="15"/>
        <v>1138.8</v>
      </c>
      <c r="G44" s="73">
        <f t="shared" si="16"/>
        <v>56.94</v>
      </c>
      <c r="H44" s="73">
        <f t="shared" si="17"/>
        <v>113.88</v>
      </c>
      <c r="I44" s="81">
        <f>F44*$L$8+G44*$L$7+H44*$L$9</f>
        <v>161917.54488</v>
      </c>
      <c r="K44" s="150"/>
      <c r="L44" s="150"/>
      <c r="M44" s="420"/>
      <c r="O44" s="71">
        <f t="shared" si="0"/>
        <v>2847</v>
      </c>
    </row>
    <row r="45" spans="1:15" ht="17.5" customHeight="1" x14ac:dyDescent="0.3">
      <c r="A45" s="297" t="s">
        <v>175</v>
      </c>
      <c r="B45" s="73">
        <v>0.1</v>
      </c>
      <c r="C45" s="115">
        <v>4</v>
      </c>
      <c r="D45" s="73">
        <f t="shared" si="14"/>
        <v>0.4</v>
      </c>
      <c r="E45" s="88">
        <f>$L$14</f>
        <v>2847</v>
      </c>
      <c r="F45" s="89">
        <f t="shared" si="15"/>
        <v>1138.8</v>
      </c>
      <c r="G45" s="73">
        <f t="shared" si="16"/>
        <v>56.94</v>
      </c>
      <c r="H45" s="73">
        <f t="shared" si="17"/>
        <v>113.88</v>
      </c>
      <c r="I45" s="81">
        <f>F45*$L$8+G45*$L$7+H45*$L$9</f>
        <v>161917.54488</v>
      </c>
      <c r="K45" s="150"/>
      <c r="L45" s="150"/>
      <c r="M45" s="420"/>
      <c r="O45" s="71">
        <f t="shared" si="0"/>
        <v>11388</v>
      </c>
    </row>
    <row r="46" spans="1:15" ht="26.5" customHeight="1" x14ac:dyDescent="0.3">
      <c r="A46" s="301" t="s">
        <v>176</v>
      </c>
      <c r="B46" s="73">
        <v>0.1</v>
      </c>
      <c r="C46" s="74">
        <v>4</v>
      </c>
      <c r="D46" s="73">
        <f t="shared" si="14"/>
        <v>0.4</v>
      </c>
      <c r="E46" s="88">
        <f>E43</f>
        <v>2847</v>
      </c>
      <c r="F46" s="89">
        <f t="shared" si="15"/>
        <v>1138.8</v>
      </c>
      <c r="G46" s="73">
        <f t="shared" si="16"/>
        <v>56.94</v>
      </c>
      <c r="H46" s="73">
        <f t="shared" si="17"/>
        <v>113.88</v>
      </c>
      <c r="I46" s="81">
        <f>F46*$L$8+G46*$L$7+H46*$L$9</f>
        <v>161917.54488</v>
      </c>
      <c r="K46" s="150"/>
      <c r="L46" s="150"/>
      <c r="M46" s="420"/>
      <c r="O46" s="71">
        <f t="shared" si="0"/>
        <v>11388</v>
      </c>
    </row>
    <row r="47" spans="1:15" ht="26.5" customHeight="1" x14ac:dyDescent="0.3">
      <c r="A47" s="298" t="s">
        <v>177</v>
      </c>
      <c r="B47" s="73"/>
      <c r="C47" s="74"/>
      <c r="D47" s="73"/>
      <c r="E47" s="88"/>
      <c r="F47" s="89"/>
      <c r="G47" s="73"/>
      <c r="H47" s="73"/>
      <c r="I47" s="84"/>
      <c r="O47" s="71">
        <f t="shared" si="0"/>
        <v>0</v>
      </c>
    </row>
    <row r="48" spans="1:15" ht="26.5" customHeight="1" x14ac:dyDescent="0.3">
      <c r="A48" s="301" t="s">
        <v>178</v>
      </c>
      <c r="B48" s="73">
        <v>0</v>
      </c>
      <c r="C48" s="74">
        <v>0</v>
      </c>
      <c r="D48" s="73">
        <f t="shared" ref="D48:D49" si="18">B48*C48</f>
        <v>0</v>
      </c>
      <c r="E48" s="88">
        <v>0</v>
      </c>
      <c r="F48" s="89">
        <f t="shared" ref="F48:F49" si="19">D48*E48</f>
        <v>0</v>
      </c>
      <c r="G48" s="73">
        <f t="shared" ref="G48:G49" si="20">F48*0.05</f>
        <v>0</v>
      </c>
      <c r="H48" s="73">
        <f t="shared" ref="H48:H49" si="21">F48*0.1</f>
        <v>0</v>
      </c>
      <c r="I48" s="84">
        <f>F48*$L$8+G48*$L$7+H48*$L$9</f>
        <v>0</v>
      </c>
      <c r="O48" s="71">
        <f t="shared" si="0"/>
        <v>0</v>
      </c>
    </row>
    <row r="49" spans="1:16" ht="26.5" customHeight="1" x14ac:dyDescent="0.3">
      <c r="A49" s="301" t="s">
        <v>179</v>
      </c>
      <c r="B49" s="73">
        <v>0</v>
      </c>
      <c r="C49" s="74">
        <v>0</v>
      </c>
      <c r="D49" s="73">
        <f t="shared" si="18"/>
        <v>0</v>
      </c>
      <c r="E49" s="88">
        <v>0</v>
      </c>
      <c r="F49" s="89">
        <f t="shared" si="19"/>
        <v>0</v>
      </c>
      <c r="G49" s="73">
        <f t="shared" si="20"/>
        <v>0</v>
      </c>
      <c r="H49" s="73">
        <f t="shared" si="21"/>
        <v>0</v>
      </c>
      <c r="I49" s="84">
        <f>F49*$L$8+G49*$L$7+H49*$L$9</f>
        <v>0</v>
      </c>
      <c r="O49" s="71">
        <f t="shared" si="0"/>
        <v>0</v>
      </c>
    </row>
    <row r="50" spans="1:16" ht="26.5" customHeight="1" x14ac:dyDescent="0.3">
      <c r="A50" s="298" t="s">
        <v>180</v>
      </c>
      <c r="B50" s="73"/>
      <c r="C50" s="74"/>
      <c r="D50" s="73"/>
      <c r="E50" s="88"/>
      <c r="F50" s="89"/>
      <c r="G50" s="73"/>
      <c r="H50" s="73"/>
      <c r="I50" s="84"/>
      <c r="O50" s="71">
        <f t="shared" si="0"/>
        <v>0</v>
      </c>
    </row>
    <row r="51" spans="1:16" ht="54.65" customHeight="1" x14ac:dyDescent="0.3">
      <c r="A51" s="301" t="s">
        <v>181</v>
      </c>
      <c r="B51" s="73">
        <v>0</v>
      </c>
      <c r="C51" s="74">
        <v>0</v>
      </c>
      <c r="D51" s="73">
        <f t="shared" ref="D51:D53" si="22">B51*C51</f>
        <v>0</v>
      </c>
      <c r="E51" s="322">
        <v>0</v>
      </c>
      <c r="F51" s="89">
        <f t="shared" ref="F51:F53" si="23">D51*E51</f>
        <v>0</v>
      </c>
      <c r="G51" s="73">
        <f t="shared" ref="G51:G53" si="24">F51*0.05</f>
        <v>0</v>
      </c>
      <c r="H51" s="73">
        <f t="shared" ref="H51:H53" si="25">F51*0.1</f>
        <v>0</v>
      </c>
      <c r="I51" s="84">
        <f>F51*$L$8+G51*$L$7+H51*$L$9</f>
        <v>0</v>
      </c>
      <c r="O51" s="71">
        <f t="shared" si="0"/>
        <v>0</v>
      </c>
    </row>
    <row r="52" spans="1:16" ht="26" x14ac:dyDescent="0.3">
      <c r="A52" s="301" t="s">
        <v>182</v>
      </c>
      <c r="B52" s="73">
        <v>1</v>
      </c>
      <c r="C52" s="74">
        <v>1</v>
      </c>
      <c r="D52" s="73">
        <f t="shared" si="22"/>
        <v>1</v>
      </c>
      <c r="E52" s="322">
        <f>$L$18</f>
        <v>905</v>
      </c>
      <c r="F52" s="89">
        <f t="shared" si="23"/>
        <v>905</v>
      </c>
      <c r="G52" s="73">
        <f t="shared" si="24"/>
        <v>45.25</v>
      </c>
      <c r="H52" s="73">
        <f t="shared" si="25"/>
        <v>90.5</v>
      </c>
      <c r="I52" s="81">
        <f>F52*$L$8+G52*$L$7+H52*$L$9</f>
        <v>128675.253</v>
      </c>
      <c r="O52" s="71">
        <f t="shared" si="0"/>
        <v>905</v>
      </c>
    </row>
    <row r="53" spans="1:16" ht="26" x14ac:dyDescent="0.3">
      <c r="A53" s="301" t="s">
        <v>206</v>
      </c>
      <c r="B53" s="73">
        <v>0.5</v>
      </c>
      <c r="C53" s="74">
        <v>1</v>
      </c>
      <c r="D53" s="73">
        <f t="shared" si="22"/>
        <v>0.5</v>
      </c>
      <c r="E53" s="322">
        <f>$L$18</f>
        <v>905</v>
      </c>
      <c r="F53" s="89">
        <f t="shared" si="23"/>
        <v>452.5</v>
      </c>
      <c r="G53" s="73">
        <f t="shared" si="24"/>
        <v>22.625</v>
      </c>
      <c r="H53" s="73">
        <f t="shared" si="25"/>
        <v>45.25</v>
      </c>
      <c r="I53" s="81">
        <f>F53*$L$8+G53*$L$7+H53*$L$9</f>
        <v>64337.626499999998</v>
      </c>
      <c r="O53" s="71">
        <f t="shared" si="0"/>
        <v>905</v>
      </c>
    </row>
    <row r="54" spans="1:16" x14ac:dyDescent="0.3">
      <c r="A54" s="300" t="s">
        <v>158</v>
      </c>
      <c r="B54" s="73"/>
      <c r="C54" s="74"/>
      <c r="D54" s="73"/>
      <c r="E54" s="88"/>
      <c r="F54" s="89"/>
      <c r="G54" s="73"/>
      <c r="H54" s="73"/>
      <c r="I54" s="84"/>
      <c r="O54" s="71">
        <f t="shared" si="0"/>
        <v>0</v>
      </c>
    </row>
    <row r="55" spans="1:16" x14ac:dyDescent="0.3">
      <c r="A55" s="297" t="s">
        <v>173</v>
      </c>
      <c r="B55" s="73">
        <v>0</v>
      </c>
      <c r="C55" s="74">
        <v>0</v>
      </c>
      <c r="D55" s="73">
        <f>B55*C55</f>
        <v>0</v>
      </c>
      <c r="E55" s="294">
        <f>$L$12</f>
        <v>23.9148</v>
      </c>
      <c r="F55" s="89">
        <f t="shared" ref="F55:F56" si="26">D55*E55</f>
        <v>0</v>
      </c>
      <c r="G55" s="73">
        <f t="shared" ref="G55:G56" si="27">F55*0.05</f>
        <v>0</v>
      </c>
      <c r="H55" s="73">
        <f t="shared" ref="H55:H56" si="28">F55*0.1</f>
        <v>0</v>
      </c>
      <c r="I55" s="81">
        <f>F55*$L$8+G55*$L$7+H55*$L$9</f>
        <v>0</v>
      </c>
      <c r="O55" s="71">
        <f t="shared" si="0"/>
        <v>0</v>
      </c>
    </row>
    <row r="56" spans="1:16" ht="17.149999999999999" customHeight="1" x14ac:dyDescent="0.3">
      <c r="A56" s="297" t="s">
        <v>184</v>
      </c>
      <c r="B56" s="73">
        <v>0</v>
      </c>
      <c r="C56" s="74">
        <v>0</v>
      </c>
      <c r="D56" s="73">
        <f t="shared" ref="D56" si="29">B56*C56</f>
        <v>0</v>
      </c>
      <c r="E56" s="294">
        <f>$L$12</f>
        <v>23.9148</v>
      </c>
      <c r="F56" s="89">
        <f t="shared" si="26"/>
        <v>0</v>
      </c>
      <c r="G56" s="73">
        <f t="shared" si="27"/>
        <v>0</v>
      </c>
      <c r="H56" s="73">
        <f t="shared" si="28"/>
        <v>0</v>
      </c>
      <c r="I56" s="81">
        <f>F56*$L$8+G56*$L$7+H56*$L$9</f>
        <v>0</v>
      </c>
      <c r="O56" s="71">
        <f t="shared" si="0"/>
        <v>0</v>
      </c>
    </row>
    <row r="57" spans="1:16" ht="24" customHeight="1" x14ac:dyDescent="0.3">
      <c r="A57" s="297" t="s">
        <v>207</v>
      </c>
      <c r="B57" s="73">
        <v>16</v>
      </c>
      <c r="C57" s="74">
        <v>1</v>
      </c>
      <c r="D57" s="73">
        <f t="shared" si="14"/>
        <v>16</v>
      </c>
      <c r="E57" s="294">
        <f>L12</f>
        <v>23.9148</v>
      </c>
      <c r="F57" s="89">
        <f t="shared" si="15"/>
        <v>382.63679999999999</v>
      </c>
      <c r="G57" s="293">
        <f t="shared" si="16"/>
        <v>19.13184</v>
      </c>
      <c r="H57" s="293">
        <f t="shared" si="17"/>
        <v>38.263680000000001</v>
      </c>
      <c r="I57" s="81">
        <f>F57*$L$8+G57*$L$7+H57*$L$9</f>
        <v>54404.29507968</v>
      </c>
      <c r="O57" s="71">
        <f t="shared" si="0"/>
        <v>23.9148</v>
      </c>
    </row>
    <row r="58" spans="1:16" ht="20.5" customHeight="1" x14ac:dyDescent="0.3">
      <c r="A58" s="297" t="s">
        <v>186</v>
      </c>
      <c r="B58" s="73" t="s">
        <v>122</v>
      </c>
      <c r="C58" s="77"/>
      <c r="D58" s="78"/>
      <c r="E58" s="77"/>
      <c r="F58" s="78"/>
      <c r="G58" s="78"/>
      <c r="H58" s="78"/>
      <c r="I58" s="78"/>
      <c r="O58" s="71">
        <f>SUM(O6:O57)</f>
        <v>68778.975399999996</v>
      </c>
      <c r="P58" s="71" t="s">
        <v>187</v>
      </c>
    </row>
    <row r="59" spans="1:16" ht="27" x14ac:dyDescent="0.3">
      <c r="A59" s="98" t="s">
        <v>188</v>
      </c>
      <c r="B59" s="103"/>
      <c r="C59" s="104"/>
      <c r="D59" s="103"/>
      <c r="E59" s="105"/>
      <c r="F59" s="142">
        <f>SUM(F43:H57)</f>
        <v>9858.8773200000014</v>
      </c>
      <c r="G59" s="142"/>
      <c r="H59" s="142"/>
      <c r="I59" s="102">
        <f>SUM(I43:I58)</f>
        <v>1218922.4438596799</v>
      </c>
    </row>
    <row r="60" spans="1:16" ht="28" x14ac:dyDescent="0.3">
      <c r="A60" s="106" t="s">
        <v>189</v>
      </c>
      <c r="B60" s="107"/>
      <c r="C60" s="108"/>
      <c r="D60" s="107"/>
      <c r="E60" s="109"/>
      <c r="F60" s="444">
        <f>ROUND(F59+F35, -2)</f>
        <v>31400</v>
      </c>
      <c r="G60" s="444"/>
      <c r="H60" s="444"/>
      <c r="I60" s="110">
        <f>ROUND(I59+I35, -4)</f>
        <v>3880000</v>
      </c>
      <c r="K60" s="111">
        <f>F60/212</f>
        <v>148.11320754716982</v>
      </c>
      <c r="L60" s="71" t="s">
        <v>190</v>
      </c>
    </row>
    <row r="61" spans="1:16" ht="28" x14ac:dyDescent="0.3">
      <c r="A61" s="112" t="s">
        <v>191</v>
      </c>
      <c r="B61" s="78"/>
      <c r="C61" s="77"/>
      <c r="D61" s="78"/>
      <c r="E61" s="77"/>
      <c r="F61" s="78"/>
      <c r="G61" s="78"/>
      <c r="H61" s="78"/>
      <c r="I61" s="110">
        <v>0</v>
      </c>
    </row>
    <row r="62" spans="1:16" ht="15" x14ac:dyDescent="0.3">
      <c r="A62" s="112" t="s">
        <v>192</v>
      </c>
      <c r="B62" s="78"/>
      <c r="C62" s="77"/>
      <c r="D62" s="78"/>
      <c r="E62" s="77"/>
      <c r="F62" s="78"/>
      <c r="G62" s="78"/>
      <c r="H62" s="78"/>
      <c r="I62" s="110">
        <f>ROUND(I60+I61, -5)</f>
        <v>3900000</v>
      </c>
    </row>
    <row r="63" spans="1:16" ht="9" customHeight="1" x14ac:dyDescent="0.3"/>
    <row r="64" spans="1:16" ht="21.65" customHeight="1" x14ac:dyDescent="0.3">
      <c r="A64" s="445" t="s">
        <v>193</v>
      </c>
      <c r="B64" s="445"/>
      <c r="C64" s="445"/>
      <c r="D64" s="445"/>
      <c r="E64" s="445"/>
      <c r="F64" s="445"/>
      <c r="G64" s="445"/>
      <c r="H64" s="445"/>
      <c r="I64" s="445"/>
    </row>
    <row r="65" spans="1:9" ht="87" customHeight="1" x14ac:dyDescent="0.3">
      <c r="A65" s="446" t="s">
        <v>194</v>
      </c>
      <c r="B65" s="446"/>
      <c r="C65" s="446"/>
      <c r="D65" s="446"/>
      <c r="E65" s="446"/>
      <c r="F65" s="446"/>
      <c r="G65" s="446"/>
      <c r="H65" s="446"/>
      <c r="I65" s="446"/>
    </row>
    <row r="66" spans="1:9" ht="15.5" x14ac:dyDescent="0.3">
      <c r="A66" s="445" t="s">
        <v>195</v>
      </c>
      <c r="B66" s="445"/>
      <c r="C66" s="445"/>
      <c r="D66" s="445"/>
      <c r="E66" s="445"/>
      <c r="F66" s="445"/>
      <c r="G66" s="445"/>
      <c r="H66" s="445"/>
      <c r="I66" s="445"/>
    </row>
    <row r="67" spans="1:9" ht="18.75" customHeight="1" x14ac:dyDescent="0.3">
      <c r="A67" s="447" t="s">
        <v>196</v>
      </c>
      <c r="B67" s="447"/>
      <c r="C67" s="447"/>
      <c r="D67" s="447"/>
      <c r="E67" s="447"/>
      <c r="F67" s="447"/>
      <c r="G67" s="447"/>
      <c r="H67" s="447"/>
      <c r="I67" s="447"/>
    </row>
    <row r="68" spans="1:9" ht="15.5" x14ac:dyDescent="0.3">
      <c r="A68" s="448" t="s">
        <v>197</v>
      </c>
      <c r="B68" s="448"/>
      <c r="C68" s="448"/>
      <c r="D68" s="448"/>
      <c r="E68" s="448"/>
      <c r="F68" s="448"/>
      <c r="G68" s="448"/>
      <c r="H68" s="448"/>
      <c r="I68" s="448"/>
    </row>
    <row r="69" spans="1:9" ht="17.149999999999999" customHeight="1" x14ac:dyDescent="0.3">
      <c r="A69" s="440" t="s">
        <v>198</v>
      </c>
      <c r="B69" s="440"/>
      <c r="C69" s="440"/>
      <c r="D69" s="440"/>
      <c r="E69" s="440"/>
      <c r="F69" s="440"/>
      <c r="G69" s="440"/>
      <c r="H69" s="440"/>
      <c r="I69" s="440"/>
    </row>
    <row r="70" spans="1:9" ht="20.5" customHeight="1" x14ac:dyDescent="0.3">
      <c r="A70" s="440" t="s">
        <v>199</v>
      </c>
      <c r="B70" s="440"/>
      <c r="C70" s="440"/>
      <c r="D70" s="440"/>
      <c r="E70" s="440"/>
      <c r="F70" s="440"/>
      <c r="G70" s="440"/>
      <c r="H70" s="440"/>
      <c r="I70" s="440"/>
    </row>
    <row r="71" spans="1:9" ht="96" customHeight="1" x14ac:dyDescent="0.3">
      <c r="A71" s="440" t="s">
        <v>200</v>
      </c>
      <c r="B71" s="440"/>
      <c r="C71" s="440"/>
      <c r="D71" s="440"/>
      <c r="E71" s="440"/>
      <c r="F71" s="440"/>
      <c r="G71" s="440"/>
      <c r="H71" s="440"/>
      <c r="I71" s="440"/>
    </row>
  </sheetData>
  <mergeCells count="11">
    <mergeCell ref="A3:H3"/>
    <mergeCell ref="A71:I71"/>
    <mergeCell ref="K6:L6"/>
    <mergeCell ref="F60:H60"/>
    <mergeCell ref="A64:I64"/>
    <mergeCell ref="A65:I65"/>
    <mergeCell ref="A66:I66"/>
    <mergeCell ref="A70:I70"/>
    <mergeCell ref="A67:I67"/>
    <mergeCell ref="A68:I68"/>
    <mergeCell ref="A69:I69"/>
  </mergeCells>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B3E1D90CD87B499809509BB7768083" ma:contentTypeVersion="16" ma:contentTypeDescription="Create a new document." ma:contentTypeScope="" ma:versionID="cf86c8762df2c40032d7b28fbf7ea82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f18460c-2240-46e5-ba3d-eef37852eef2" xmlns:ns6="7de3dc8c-1afc-4bef-a91f-3b271714f862" targetNamespace="http://schemas.microsoft.com/office/2006/metadata/properties" ma:root="true" ma:fieldsID="47fe69cd27464baeeff120c8ed1a4ccd" ns1:_="" ns2:_="" ns3:_="" ns4:_="" ns5:_="" ns6:_="">
    <xsd:import namespace="http://schemas.microsoft.com/sharepoint/v3"/>
    <xsd:import namespace="4ffa91fb-a0ff-4ac5-b2db-65c790d184a4"/>
    <xsd:import namespace="http://schemas.microsoft.com/sharepoint.v3"/>
    <xsd:import namespace="http://schemas.microsoft.com/sharepoint/v3/fields"/>
    <xsd:import namespace="ef18460c-2240-46e5-ba3d-eef37852eef2"/>
    <xsd:import namespace="7de3dc8c-1afc-4bef-a91f-3b271714f86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d809c9e0-8779-4aac-a518-0f06a83c84d1}" ma:internalName="TaxCatchAllLabel" ma:readOnly="true" ma:showField="CatchAllDataLabel" ma:web="7de3dc8c-1afc-4bef-a91f-3b271714f86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d809c9e0-8779-4aac-a518-0f06a83c84d1}" ma:internalName="TaxCatchAll" ma:showField="CatchAllData" ma:web="7de3dc8c-1afc-4bef-a91f-3b271714f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8460c-2240-46e5-ba3d-eef37852ee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3dc8c-1afc-4bef-a91f-3b271714f86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lcf76f155ced4ddcb4097134ff3c332f xmlns="ef18460c-2240-46e5-ba3d-eef37852eef2">
      <Terms xmlns="http://schemas.microsoft.com/office/infopath/2007/PartnerControls"/>
    </lcf76f155ced4ddcb4097134ff3c332f>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2023-02-14T19:48:36+00:00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438988C9-87E4-4A75-84C2-AB5A615872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f18460c-2240-46e5-ba3d-eef37852eef2"/>
    <ds:schemaRef ds:uri="7de3dc8c-1afc-4bef-a91f-3b271714f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FB19B4-C25B-40C7-AB25-1760EF7D40A6}">
  <ds:schemaRefs>
    <ds:schemaRef ds:uri="Microsoft.SharePoint.Taxonomy.ContentTypeSync"/>
  </ds:schemaRefs>
</ds:datastoreItem>
</file>

<file path=customXml/itemProps3.xml><?xml version="1.0" encoding="utf-8"?>
<ds:datastoreItem xmlns:ds="http://schemas.openxmlformats.org/officeDocument/2006/customXml" ds:itemID="{D5A0E265-EFF1-4B63-8E62-26F42AD0753A}">
  <ds:schemaRefs>
    <ds:schemaRef ds:uri="http://schemas.microsoft.com/sharepoint/v3/contenttype/forms"/>
  </ds:schemaRefs>
</ds:datastoreItem>
</file>

<file path=customXml/itemProps4.xml><?xml version="1.0" encoding="utf-8"?>
<ds:datastoreItem xmlns:ds="http://schemas.openxmlformats.org/officeDocument/2006/customXml" ds:itemID="{2E250045-8EAF-4537-8413-0FC71E981382}">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 ds:uri="http://schemas.microsoft.com/sharepoint.v3"/>
    <ds:schemaRef ds:uri="7de3dc8c-1afc-4bef-a91f-3b271714f862"/>
    <ds:schemaRef ds:uri="ef18460c-2240-46e5-ba3d-eef37852eef2"/>
    <ds:schemaRef ds:uri="http://schemas.microsoft.com/sharepoint/v3/fields"/>
    <ds:schemaRef ds:uri="http://www.w3.org/XML/1998/namespace"/>
    <ds:schemaRef ds:uri="4ffa91fb-a0ff-4ac5-b2db-65c790d184a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Monitors</vt:lpstr>
      <vt:lpstr>ICR Summary</vt:lpstr>
      <vt:lpstr>RespondentBurdenSUMbySector</vt:lpstr>
      <vt:lpstr>AgencyBurdenSUMbySector</vt:lpstr>
      <vt:lpstr>RI-Y1</vt:lpstr>
      <vt:lpstr>RI-Y2</vt:lpstr>
      <vt:lpstr>RI-Y3</vt:lpstr>
      <vt:lpstr>RI-Y4</vt:lpstr>
      <vt:lpstr>RI-Y5</vt:lpstr>
      <vt:lpstr>RI-Y6</vt:lpstr>
      <vt:lpstr>RA-Y1</vt:lpstr>
      <vt:lpstr>RA-Y2</vt:lpstr>
      <vt:lpstr>RA-Y3</vt:lpstr>
      <vt:lpstr>RA-Y4</vt:lpstr>
      <vt:lpstr>RA-Y5</vt:lpstr>
      <vt:lpstr>RA-Y6</vt:lpstr>
      <vt:lpstr>RCOM1-3</vt:lpstr>
      <vt:lpstr>RCOM4-6</vt:lpstr>
      <vt:lpstr>CI-Y1</vt:lpstr>
      <vt:lpstr>CI-Y2</vt:lpstr>
      <vt:lpstr>CI-Y3</vt:lpstr>
      <vt:lpstr>CI-Y4</vt:lpstr>
      <vt:lpstr>CI-Y5</vt:lpstr>
      <vt:lpstr>CI-Y6</vt:lpstr>
      <vt:lpstr>CA-Y1</vt:lpstr>
      <vt:lpstr>CA-Y2</vt:lpstr>
      <vt:lpstr>CA-Y3</vt:lpstr>
      <vt:lpstr>CA-Y4</vt:lpstr>
      <vt:lpstr>CA-Y5</vt:lpstr>
      <vt:lpstr>CA-Y6</vt:lpstr>
      <vt:lpstr>CCOM1-3</vt:lpstr>
      <vt:lpstr>CCOM4-6</vt:lpstr>
      <vt:lpstr>II-Y1</vt:lpstr>
      <vt:lpstr>II-Y2</vt:lpstr>
      <vt:lpstr>II-Y3</vt:lpstr>
      <vt:lpstr>II-Y4</vt:lpstr>
      <vt:lpstr>II-Y5</vt:lpstr>
      <vt:lpstr>II-Y6</vt:lpstr>
      <vt:lpstr>IA-Y1</vt:lpstr>
      <vt:lpstr>IA-Y2</vt:lpstr>
      <vt:lpstr>IA-Y3</vt:lpstr>
      <vt:lpstr>IA-Y4</vt:lpstr>
      <vt:lpstr>IA-Y5</vt:lpstr>
      <vt:lpstr>IA-Y6</vt:lpstr>
      <vt:lpstr>ICOM1-3</vt:lpstr>
      <vt:lpstr>ICOM4-6</vt:lpstr>
      <vt:lpstr>SI-Y1</vt:lpstr>
      <vt:lpstr>SI-Y2</vt:lpstr>
      <vt:lpstr>SI-Y3</vt:lpstr>
      <vt:lpstr>SI-Y4</vt:lpstr>
      <vt:lpstr>SI-Y5</vt:lpstr>
      <vt:lpstr>SI-Y6</vt:lpstr>
      <vt:lpstr>SA-1</vt:lpstr>
      <vt:lpstr>SA-2</vt:lpstr>
      <vt:lpstr>SA-3</vt:lpstr>
      <vt:lpstr>SA-4</vt:lpstr>
      <vt:lpstr>SA-5</vt:lpstr>
      <vt:lpstr>SA-6</vt:lpstr>
      <vt:lpstr>SS1-3</vt:lpstr>
      <vt:lpstr>SS4-6</vt:lpstr>
      <vt:lpstr>BPPI-Y1</vt:lpstr>
      <vt:lpstr>BPPI-Y2</vt:lpstr>
      <vt:lpstr>BPPI-Y3</vt:lpstr>
      <vt:lpstr>BPPI-Y4</vt:lpstr>
      <vt:lpstr>BPPI-Y5</vt:lpstr>
      <vt:lpstr>BPPI-Y6</vt:lpstr>
      <vt:lpstr>BPPA-Y1</vt:lpstr>
      <vt:lpstr>BPPA-Y2</vt:lpstr>
      <vt:lpstr>BPPA-Y3</vt:lpstr>
      <vt:lpstr>BPPA-Y4</vt:lpstr>
      <vt:lpstr>BPPA-Y5</vt:lpstr>
      <vt:lpstr>BPPA-Y6</vt:lpstr>
      <vt:lpstr>BPPCOM1-3</vt:lpstr>
      <vt:lpstr>BPPCOM4-6</vt:lpstr>
      <vt:lpstr>MWCI-Y1</vt:lpstr>
      <vt:lpstr>MWCI-Y2</vt:lpstr>
      <vt:lpstr>MWCI-Y3</vt:lpstr>
      <vt:lpstr>MWCI-Y4</vt:lpstr>
      <vt:lpstr>MWCI-Y5</vt:lpstr>
      <vt:lpstr>MWCI-Y6</vt:lpstr>
      <vt:lpstr>MWCA-Y1</vt:lpstr>
      <vt:lpstr>MWCA-Y2</vt:lpstr>
      <vt:lpstr>MWCA-Y3</vt:lpstr>
      <vt:lpstr>MWCA-Y4</vt:lpstr>
      <vt:lpstr>MWCA-Y5</vt:lpstr>
      <vt:lpstr>MWCA-Y6</vt:lpstr>
      <vt:lpstr>MWCCOM1-3</vt:lpstr>
      <vt:lpstr>MWCCOM4-6</vt:lpstr>
    </vt:vector>
  </TitlesOfParts>
  <Manager/>
  <Company>Eastern Research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ERG - Morrisville</dc:creator>
  <cp:keywords/>
  <dc:description/>
  <cp:lastModifiedBy>Mahler, Matthew</cp:lastModifiedBy>
  <cp:revision/>
  <dcterms:created xsi:type="dcterms:W3CDTF">2000-08-03T19:32:28Z</dcterms:created>
  <dcterms:modified xsi:type="dcterms:W3CDTF">2023-02-28T02:42:14Z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0x010100B3B3E1D90CD87B499809509BB7768083</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