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Aapmdrd3fpmr\info\Maryland\Riverdale\ITD\IMC\ICS - VS\VS CEAH\XXXX 2024 Sheep Study\IMB\"/>
    </mc:Choice>
  </mc:AlternateContent>
  <xr:revisionPtr revIDLastSave="0" documentId="13_ncr:1_{DADA247B-6DD9-4E95-AF1A-FDD52F965C1E}" xr6:coauthVersionLast="47" xr6:coauthVersionMax="47" xr10:uidLastSave="{00000000-0000-0000-0000-000000000000}"/>
  <bookViews>
    <workbookView xWindow="28680" yWindow="-135" windowWidth="29040" windowHeight="16440" tabRatio="996" xr2:uid="{F38D79EA-36B0-400D-84E7-32D0B3AB86E3}"/>
  </bookViews>
  <sheets>
    <sheet name="APHIS 71" sheetId="1" r:id="rId1"/>
    <sheet name="ESRI_MAPINFO_SHEET" sheetId="9" state="very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 l="1"/>
  <c r="L6" i="1"/>
  <c r="I14" i="1" l="1"/>
  <c r="J28" i="1"/>
  <c r="I16" i="1" l="1"/>
  <c r="I18" i="1" s="1"/>
  <c r="L28" i="1"/>
  <c r="I17" i="1"/>
  <c r="J17" i="1" s="1"/>
  <c r="J14" i="1"/>
  <c r="I15" i="1"/>
  <c r="L5" i="1" s="1"/>
  <c r="J16" i="1" l="1"/>
  <c r="J15" i="1"/>
  <c r="J18" i="1"/>
  <c r="I21" i="1"/>
  <c r="J21" i="1" s="1"/>
  <c r="I19" i="1"/>
  <c r="I20" i="1"/>
  <c r="J19" i="1" l="1"/>
  <c r="L19" i="1" s="1"/>
  <c r="I30" i="1"/>
  <c r="J30" i="1" s="1"/>
  <c r="L30" i="1" s="1"/>
  <c r="I25" i="1"/>
  <c r="I24" i="1"/>
  <c r="I23" i="1"/>
  <c r="J23" i="1" s="1"/>
  <c r="L23" i="1" s="1"/>
  <c r="I22" i="1"/>
  <c r="J22" i="1" s="1"/>
  <c r="I27" i="1"/>
  <c r="J27" i="1" s="1"/>
  <c r="L27" i="1" s="1"/>
  <c r="I26" i="1"/>
  <c r="L21" i="1"/>
  <c r="J25" i="1"/>
  <c r="L31" i="1"/>
  <c r="I29" i="1"/>
  <c r="J29" i="1" s="1"/>
  <c r="J26" i="1"/>
  <c r="J20" i="1"/>
  <c r="L18" i="1"/>
  <c r="L25" i="1" l="1"/>
  <c r="J24" i="1"/>
  <c r="L20" i="1"/>
  <c r="L26" i="1"/>
  <c r="L29" i="1"/>
  <c r="L22" i="1"/>
  <c r="L8" i="1" l="1"/>
  <c r="L24" i="1"/>
  <c r="L16" i="1" l="1"/>
  <c r="L17" i="1"/>
  <c r="L15" i="1"/>
  <c r="L14" i="1" l="1"/>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2A61DC7C-C785-4431-8D02-E09013EC86C8}">
      <text>
        <r>
          <rPr>
            <sz val="9"/>
            <color indexed="81"/>
            <rFont val="Tahoma"/>
            <family val="2"/>
          </rPr>
          <t>Enter one:
-Proposed rule
-Final rule
-New ICR
-Renewal
-Reinstatement</t>
        </r>
      </text>
    </comment>
    <comment ref="K5" authorId="0" shapeId="0" xr:uid="{6E9E85E4-2B31-4B74-881E-CCC4444E4F5F}">
      <text>
        <r>
          <rPr>
            <sz val="9"/>
            <color indexed="81"/>
            <rFont val="Tahoma"/>
            <family val="2"/>
          </rPr>
          <t>This is the sum of Activities, Column , filtered to capture only first occurences as marked in Activitiy Description, Part II Column G.</t>
        </r>
      </text>
    </comment>
    <comment ref="K6" authorId="0" shapeId="0" xr:uid="{F9252917-D7E4-4429-80DD-5F41C5F57BC3}">
      <text>
        <r>
          <rPr>
            <sz val="9"/>
            <color indexed="81"/>
            <rFont val="Tahoma"/>
            <family val="2"/>
          </rPr>
          <t>This is the sum of all entries in Part II, Column J.</t>
        </r>
      </text>
    </comment>
    <comment ref="K7" authorId="0" shapeId="0" xr:uid="{F538326D-45A5-486B-879D-D65FA829711A}">
      <text>
        <r>
          <rPr>
            <sz val="9"/>
            <color indexed="81"/>
            <rFont val="Tahoma"/>
            <family val="2"/>
          </rPr>
          <t>Enter the estimated percentage of total responses that are submitted electronically.</t>
        </r>
      </text>
    </comment>
    <comment ref="K8" authorId="0" shapeId="0" xr:uid="{FC1F93A8-01BF-4CE0-AD65-5CB407DA8717}">
      <text>
        <r>
          <rPr>
            <sz val="9"/>
            <color indexed="81"/>
            <rFont val="Tahoma"/>
            <family val="2"/>
          </rPr>
          <t>Automatically calculates; Total Respondents X Total Annual Respondents</t>
        </r>
      </text>
    </comment>
    <comment ref="A9" authorId="0" shapeId="0" xr:uid="{49341B10-3130-401C-93D1-9A7E13A29EA9}">
      <text>
        <r>
          <rPr>
            <sz val="9"/>
            <color indexed="81"/>
            <rFont val="Tahoma"/>
            <family val="2"/>
          </rPr>
          <t>Docket number assigned by RAD for 60-day public comment period Federal Register notice</t>
        </r>
      </text>
    </comment>
    <comment ref="K9" authorId="0" shapeId="0" xr:uid="{07F3B43B-2D91-4B91-968F-3312A2BB896B}">
      <text>
        <r>
          <rPr>
            <sz val="9"/>
            <color indexed="81"/>
            <rFont val="Tahoma"/>
            <family val="2"/>
          </rPr>
          <t>This is the sum of all entries, Section II Column L</t>
        </r>
      </text>
    </comment>
    <comment ref="A10" authorId="0" shapeId="0" xr:uid="{BEB0F626-5BA3-4AD7-840D-F69008494438}">
      <text>
        <r>
          <rPr>
            <sz val="9"/>
            <color indexed="81"/>
            <rFont val="Tahoma"/>
            <family val="2"/>
          </rPr>
          <t>Citation for 60-day public comment period Federal Register notice (e.g., 84FR38333)</t>
        </r>
      </text>
    </comment>
    <comment ref="K10" authorId="0" shapeId="0" xr:uid="{329DA1F6-23BF-46E5-B46C-257DF2442DA3}">
      <text>
        <r>
          <rPr>
            <sz val="9"/>
            <color indexed="81"/>
            <rFont val="Tahoma"/>
            <family val="2"/>
          </rPr>
          <t>Automatically calculates; Total Burden Hours ÷ Total Annual Responses</t>
        </r>
      </text>
    </comment>
    <comment ref="K11" authorId="0" shapeId="0" xr:uid="{DCE3875D-4371-4FFE-9144-9265FC52B50F}">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<sst xmlns="http://schemas.openxmlformats.org/spreadsheetml/2006/main" count="151" uniqueCount="64">
  <si>
    <t>OMB CONTROL NO.</t>
  </si>
  <si>
    <t>0579-XXXX</t>
  </si>
  <si>
    <t>DATE PREPARED</t>
  </si>
  <si>
    <t>TITLE OF INFORMATION COLLECTION REQUEST (ICR)</t>
  </si>
  <si>
    <t xml:space="preserve">National Animal Health Monitoring System, Sheep 2024 Study </t>
  </si>
  <si>
    <t>Additional line for ICR Title if title is too long.</t>
  </si>
  <si>
    <t>PART I - ICR INFORMATION, POINT OF CONTACT, FEDERAL REGISTER NOTICE INFORMATION</t>
  </si>
  <si>
    <t>DATA SUMMARY</t>
  </si>
  <si>
    <t>TYPE OF REQUEST</t>
  </si>
  <si>
    <t>ICR</t>
  </si>
  <si>
    <t>TOTAL RESPONDENTS</t>
  </si>
  <si>
    <t>POINT OF CONTACT (POC)</t>
  </si>
  <si>
    <t>Nia Washington-Plaskett</t>
  </si>
  <si>
    <t>TOTAL ANNUAL RESPONSES</t>
  </si>
  <si>
    <t>POC TELEPHONE NO.</t>
  </si>
  <si>
    <t>(301) 851-3354</t>
  </si>
  <si>
    <t>% ELECTRONIC</t>
  </si>
  <si>
    <t>RESPONSES PER RESPONDENT</t>
  </si>
  <si>
    <t>PUBLIC COMMENT DOCKET NO.</t>
  </si>
  <si>
    <t>TOTAL BURDEN HOURS</t>
  </si>
  <si>
    <t>FEDERAL REGISTER NOTICE</t>
  </si>
  <si>
    <t>HOURS PER RESPONSE</t>
  </si>
  <si>
    <t>FEDERAL REGISTER DATE</t>
  </si>
  <si>
    <t>% SMALL ENTITIES</t>
  </si>
  <si>
    <t>PART II - SUMMARY OF ACTIVITIES</t>
  </si>
  <si>
    <t>ACTIVITY DESCRIPTION</t>
  </si>
  <si>
    <t>AUTHORITY (U.S.C., CFR, or MANUAL)</t>
  </si>
  <si>
    <t>FORM NO.</t>
  </si>
  <si>
    <t>FORMAT</t>
  </si>
  <si>
    <t>TYPE OF CHANGE</t>
  </si>
  <si>
    <t>TYPEOF RESPONDENT</t>
  </si>
  <si>
    <t>FIRST OCCURENCE</t>
  </si>
  <si>
    <t>TYPE OF RESPONSE</t>
  </si>
  <si>
    <t>ESTIMATED
ANNUAL NUMBER OF RESPONDENTS
OR
RECORDKEEPERS</t>
  </si>
  <si>
    <t>ESTIMATED 
TOTAL ANNUAL
RESPONSES</t>
  </si>
  <si>
    <t>ESTIMATED HOURS
PER RESPONSE
OR
ANNUAL HOURS PER RECORDKEEPER</t>
  </si>
  <si>
    <t>ESTIMATED
TOTAL ANNUAL
BURDEN HOURS</t>
  </si>
  <si>
    <t>General Sheep Management Questionnaire - Response</t>
  </si>
  <si>
    <t>7 U.S.C. 391; 7 U.S.C. 8308</t>
  </si>
  <si>
    <t>Paper, Info system</t>
  </si>
  <si>
    <t>D</t>
  </si>
  <si>
    <t>P1</t>
  </si>
  <si>
    <t>X</t>
  </si>
  <si>
    <t>I</t>
  </si>
  <si>
    <t>General Sheep Management Questionnaire - Nonresponse</t>
  </si>
  <si>
    <t>Producer Informed Consent - Response</t>
  </si>
  <si>
    <t>Producer Informed Consent - Nonresponse</t>
  </si>
  <si>
    <t>VS Initial Visit Questionnaire - Response</t>
  </si>
  <si>
    <t>VS Initial Visit Questionnaire - Nonresponse</t>
  </si>
  <si>
    <t>Fecal Parasite Composite Collection Record - Response</t>
  </si>
  <si>
    <t>Fecal Parasite Composite Collection Record - Nonresponse</t>
  </si>
  <si>
    <t>Blood and Swab Sample Collection Record - Response</t>
  </si>
  <si>
    <t>Blood and Swab Sample Collection Record - Nonresponse</t>
  </si>
  <si>
    <t>Enteric Microbe Individual Sample Collection Record - Response</t>
  </si>
  <si>
    <t>Enteric Microbe Individual Sample Collection Record - Nonresponse</t>
  </si>
  <si>
    <t>S1</t>
  </si>
  <si>
    <t>APHIS-2022-0077</t>
  </si>
  <si>
    <t>88 FR 2317</t>
  </si>
  <si>
    <t>Informed Consent Form - Response</t>
  </si>
  <si>
    <t>Informed Consent Form - Nonresponse</t>
  </si>
  <si>
    <t>Producer Evaluation Questionnaire  - Response</t>
  </si>
  <si>
    <t>Producer Evaluation Questionnaire - Nonresponse</t>
  </si>
  <si>
    <t>VS Field Staff Visits</t>
  </si>
  <si>
    <t>After Action Field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</si>
</sst>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8" formatCode="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Calibri"/>
      <family val="2"/>
      <scheme val="minor"/>
    </font>
    <font>
      <sz val="10"/>
      <name val="Arial"/>
      <family val="2"/>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right/>
      <top style="medium">
        <color rgb="FF000000"/>
      </top>
      <bottom/>
      <diagonal/>
    </border>
    <border>
      <left/>
      <right style="medium">
        <color rgb="FF000000"/>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9" fillId="0" borderId="0"/>
    <xf numFmtId="44" fontId="5" fillId="0" borderId="0" applyFont="0" applyFill="0" applyBorder="0" applyAlignment="0" applyProtection="0"/>
    <xf numFmtId="0" fontId="5" fillId="0" borderId="0"/>
  </cellStyleXfs>
  <cellXfs count="78">
    <xf numFmtId="0" fontId="0" fillId="0" borderId="0" xfId="0"/>
    <xf numFmtId="0" fontId="15" fillId="0" borderId="0" xfId="0" applyFont="1" applyAlignment="1">
      <alignment vertical="center"/>
    </xf>
    <xf numFmtId="0" fontId="11" fillId="0" borderId="8" xfId="0" applyFont="1" applyBorder="1" applyAlignment="1">
      <alignment horizontal="right" vertical="center"/>
    </xf>
    <xf numFmtId="0" fontId="10" fillId="0" borderId="3" xfId="0" applyFont="1" applyBorder="1"/>
    <xf numFmtId="0" fontId="11" fillId="0" borderId="9" xfId="0" applyFont="1" applyBorder="1" applyAlignment="1">
      <alignment horizontal="right" vertical="center"/>
    </xf>
    <xf numFmtId="0" fontId="13" fillId="0" borderId="0" xfId="0" applyFont="1"/>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14" fontId="12" fillId="0" borderId="15" xfId="0" applyNumberFormat="1" applyFont="1" applyBorder="1" applyAlignment="1">
      <alignment horizontal="left" vertical="center"/>
    </xf>
    <xf numFmtId="0" fontId="12" fillId="0" borderId="15" xfId="0" applyFont="1" applyBorder="1" applyAlignment="1">
      <alignment horizontal="left" vertical="center"/>
    </xf>
    <xf numFmtId="14" fontId="12" fillId="0" borderId="18" xfId="0" applyNumberFormat="1" applyFont="1" applyBorder="1" applyAlignment="1">
      <alignment horizontal="left" vertical="center"/>
    </xf>
    <xf numFmtId="14" fontId="10" fillId="0" borderId="23" xfId="0" applyNumberFormat="1"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vertical="center"/>
    </xf>
    <xf numFmtId="0" fontId="4" fillId="0" borderId="22" xfId="0" applyFont="1" applyBorder="1" applyAlignment="1">
      <alignment vertical="center"/>
    </xf>
    <xf numFmtId="0" fontId="10" fillId="0" borderId="9" xfId="0" applyFont="1" applyBorder="1" applyAlignment="1">
      <alignment horizontal="center" vertical="center"/>
    </xf>
    <xf numFmtId="0" fontId="0" fillId="0" borderId="0" xfId="0" applyAlignment="1">
      <alignment vertical="center"/>
    </xf>
    <xf numFmtId="0" fontId="11" fillId="0" borderId="2" xfId="0" applyFont="1" applyBorder="1" applyAlignment="1">
      <alignment horizontal="left" vertical="center" wrapText="1"/>
    </xf>
    <xf numFmtId="0" fontId="10" fillId="0" borderId="3" xfId="0" applyFont="1" applyBorder="1" applyAlignment="1">
      <alignment horizontal="left" vertical="center"/>
    </xf>
    <xf numFmtId="0" fontId="4" fillId="0" borderId="0" xfId="0" applyFont="1" applyAlignment="1">
      <alignment vertical="center"/>
    </xf>
    <xf numFmtId="0" fontId="10" fillId="0" borderId="3" xfId="0"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left" vertical="center"/>
    </xf>
    <xf numFmtId="0" fontId="14" fillId="0" borderId="5" xfId="0" applyFont="1" applyBorder="1" applyAlignment="1">
      <alignment horizontal="left" vertical="center" wrapText="1"/>
    </xf>
    <xf numFmtId="0" fontId="10" fillId="0" borderId="6" xfId="0" applyFont="1" applyBorder="1" applyAlignment="1">
      <alignment vertical="center"/>
    </xf>
    <xf numFmtId="0" fontId="11" fillId="0" borderId="6" xfId="0" applyFont="1" applyBorder="1" applyAlignment="1">
      <alignment horizontal="right" vertical="center"/>
    </xf>
    <xf numFmtId="0" fontId="10" fillId="0" borderId="6" xfId="0" applyFont="1" applyBorder="1" applyAlignment="1">
      <alignment horizontal="center" vertical="center"/>
    </xf>
    <xf numFmtId="14" fontId="10" fillId="0" borderId="7" xfId="0" applyNumberFormat="1"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vertical="center"/>
    </xf>
    <xf numFmtId="0" fontId="11" fillId="0" borderId="9" xfId="0" applyFont="1" applyBorder="1" applyAlignment="1">
      <alignment vertical="center"/>
    </xf>
    <xf numFmtId="0" fontId="10" fillId="0" borderId="8" xfId="0" applyFont="1" applyBorder="1" applyAlignment="1">
      <alignment horizontal="center" vertical="center"/>
    </xf>
    <xf numFmtId="0" fontId="11" fillId="0" borderId="9" xfId="0" applyFont="1" applyBorder="1" applyAlignment="1">
      <alignment horizontal="center" vertical="center"/>
    </xf>
    <xf numFmtId="0" fontId="10" fillId="0" borderId="10" xfId="0" applyFont="1" applyBorder="1" applyAlignment="1">
      <alignment horizontal="center" vertical="center"/>
    </xf>
    <xf numFmtId="0" fontId="2" fillId="0" borderId="11" xfId="0" applyFont="1" applyBorder="1" applyAlignment="1">
      <alignment horizontal="right" vertical="center"/>
    </xf>
    <xf numFmtId="0" fontId="10" fillId="0" borderId="12" xfId="0" applyFont="1" applyBorder="1" applyAlignment="1">
      <alignment horizontal="left" vertical="center"/>
    </xf>
    <xf numFmtId="0" fontId="0" fillId="0" borderId="1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horizontal="center" vertical="center"/>
    </xf>
    <xf numFmtId="0" fontId="2" fillId="0" borderId="12" xfId="0" applyFont="1" applyBorder="1" applyAlignment="1">
      <alignment horizontal="right" vertical="center"/>
    </xf>
    <xf numFmtId="3" fontId="0" fillId="0" borderId="13" xfId="0" applyNumberFormat="1" applyBorder="1" applyAlignment="1">
      <alignment horizontal="center" vertical="center"/>
    </xf>
    <xf numFmtId="0" fontId="2" fillId="0" borderId="0" xfId="0" applyFont="1" applyAlignment="1">
      <alignment vertical="center"/>
    </xf>
    <xf numFmtId="0" fontId="2" fillId="0" borderId="14" xfId="0" applyFont="1" applyBorder="1" applyAlignment="1">
      <alignment horizontal="right" vertical="center"/>
    </xf>
    <xf numFmtId="0" fontId="10" fillId="0" borderId="15" xfId="0" applyFont="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2" fillId="0" borderId="15" xfId="0" applyFont="1" applyBorder="1" applyAlignment="1">
      <alignment horizontal="right" vertical="center"/>
    </xf>
    <xf numFmtId="3" fontId="0" fillId="0" borderId="16" xfId="0" applyNumberFormat="1" applyBorder="1" applyAlignment="1">
      <alignment horizontal="center" vertical="center"/>
    </xf>
    <xf numFmtId="9" fontId="0" fillId="0" borderId="16" xfId="1" applyFont="1" applyFill="1" applyBorder="1" applyAlignment="1">
      <alignment horizontal="center" vertical="center"/>
    </xf>
    <xf numFmtId="1" fontId="0" fillId="0" borderId="16" xfId="0" applyNumberFormat="1" applyBorder="1" applyAlignment="1">
      <alignment horizontal="center" vertical="center"/>
    </xf>
    <xf numFmtId="168" fontId="0" fillId="0" borderId="16" xfId="0" applyNumberFormat="1" applyBorder="1" applyAlignment="1">
      <alignment horizontal="center" vertical="center"/>
    </xf>
    <xf numFmtId="0" fontId="2"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right" vertical="center"/>
    </xf>
    <xf numFmtId="9" fontId="0" fillId="0" borderId="19" xfId="1" applyFont="1" applyFill="1" applyBorder="1" applyAlignment="1">
      <alignment horizontal="center" vertical="center"/>
    </xf>
    <xf numFmtId="0" fontId="11" fillId="0" borderId="2" xfId="0" applyFont="1" applyBorder="1"/>
    <xf numFmtId="0" fontId="10" fillId="0" borderId="3" xfId="0" applyFont="1" applyBorder="1" applyAlignment="1">
      <alignment horizontal="center"/>
    </xf>
    <xf numFmtId="0" fontId="10" fillId="0" borderId="4"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textRotation="90" wrapText="1"/>
    </xf>
    <xf numFmtId="0" fontId="16" fillId="0" borderId="1" xfId="0" applyFont="1" applyBorder="1" applyAlignment="1">
      <alignment horizontal="center" wrapText="1"/>
    </xf>
    <xf numFmtId="0" fontId="2" fillId="0" borderId="0" xfId="0" applyFont="1" applyAlignment="1">
      <alignment horizontal="center" wrapText="1"/>
    </xf>
    <xf numFmtId="0" fontId="12"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0" xfId="0" applyFont="1" applyAlignment="1">
      <alignment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xf>
  </cellXfs>
  <cellStyles count="8">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Normal 3 2" xfId="7" xr:uid="{128E6377-B323-4C51-83DF-EFD7970110CD}"/>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2E64B42F-5787-479F-BFC1-2FB924815F5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31"/>
  <sheetViews>
    <sheetView tabSelected="1" zoomScale="90" zoomScaleNormal="90" zoomScaleSheetLayoutView="100" workbookViewId="0">
      <selection activeCell="B9" sqref="B9"/>
    </sheetView>
  </sheetViews>
  <sheetFormatPr defaultRowHeight="14.4" x14ac:dyDescent="0.3"/>
  <cols>
    <col min="1" max="1" width="65.109375" style="76" customWidth="1"/>
    <col min="2" max="2" width="59.6640625" style="76" bestFit="1" customWidth="1"/>
    <col min="3" max="3" width="9.5546875" style="71" bestFit="1" customWidth="1"/>
    <col min="4" max="4" width="22.33203125" style="71" customWidth="1"/>
    <col min="5" max="8" width="5.77734375" style="76" customWidth="1"/>
    <col min="9" max="9" width="15.5546875" style="77" bestFit="1" customWidth="1"/>
    <col min="10" max="10" width="13.6640625" style="77" bestFit="1" customWidth="1"/>
    <col min="11" max="11" width="26.109375" style="77" bestFit="1" customWidth="1"/>
    <col min="12" max="12" width="14.33203125" style="77" bestFit="1" customWidth="1"/>
  </cols>
  <sheetData>
    <row r="1" spans="1:14" s="19" customFormat="1" ht="19.95" customHeight="1" x14ac:dyDescent="0.3">
      <c r="A1" s="2" t="s">
        <v>0</v>
      </c>
      <c r="B1" s="15" t="s">
        <v>1</v>
      </c>
      <c r="C1" s="16"/>
      <c r="D1" s="16"/>
      <c r="E1" s="16"/>
      <c r="F1" s="16"/>
      <c r="G1" s="17"/>
      <c r="H1" s="17"/>
      <c r="I1" s="18"/>
      <c r="J1" s="18"/>
      <c r="K1" s="4" t="s">
        <v>2</v>
      </c>
      <c r="L1" s="14">
        <v>45117</v>
      </c>
    </row>
    <row r="2" spans="1:14" s="19" customFormat="1" ht="19.95" customHeight="1" x14ac:dyDescent="0.3">
      <c r="A2" s="20" t="s">
        <v>3</v>
      </c>
      <c r="B2" s="21" t="s">
        <v>4</v>
      </c>
      <c r="C2" s="22"/>
      <c r="D2" s="23"/>
      <c r="E2" s="23"/>
      <c r="F2" s="23"/>
      <c r="G2" s="23"/>
      <c r="H2" s="23"/>
      <c r="I2" s="24"/>
      <c r="J2" s="21"/>
      <c r="K2" s="24"/>
      <c r="L2" s="25"/>
      <c r="N2" s="1"/>
    </row>
    <row r="3" spans="1:14" s="19" customFormat="1" ht="19.95" customHeight="1" thickBot="1" x14ac:dyDescent="0.35">
      <c r="A3" s="26" t="s">
        <v>5</v>
      </c>
      <c r="B3" s="27"/>
      <c r="C3" s="27"/>
      <c r="D3" s="27"/>
      <c r="E3" s="27"/>
      <c r="F3" s="27"/>
      <c r="G3" s="27"/>
      <c r="H3" s="27"/>
      <c r="I3" s="28"/>
      <c r="J3" s="29"/>
      <c r="K3" s="28"/>
      <c r="L3" s="30"/>
    </row>
    <row r="4" spans="1:14" s="19" customFormat="1" ht="19.95" customHeight="1" thickBot="1" x14ac:dyDescent="0.35">
      <c r="A4" s="31" t="s">
        <v>6</v>
      </c>
      <c r="B4" s="32"/>
      <c r="C4" s="32"/>
      <c r="D4" s="32"/>
      <c r="E4" s="33"/>
      <c r="F4" s="33"/>
      <c r="G4" s="33"/>
      <c r="H4" s="33"/>
      <c r="I4" s="33"/>
      <c r="J4" s="34"/>
      <c r="K4" s="35" t="s">
        <v>7</v>
      </c>
      <c r="L4" s="36"/>
      <c r="N4" s="1"/>
    </row>
    <row r="5" spans="1:14" s="19" customFormat="1" ht="19.95" customHeight="1" x14ac:dyDescent="0.3">
      <c r="A5" s="37" t="s">
        <v>8</v>
      </c>
      <c r="B5" s="38" t="s">
        <v>9</v>
      </c>
      <c r="C5" s="39"/>
      <c r="D5" s="39"/>
      <c r="E5" s="39"/>
      <c r="F5" s="40"/>
      <c r="G5" s="40"/>
      <c r="H5" s="40"/>
      <c r="I5" s="41"/>
      <c r="J5" s="42"/>
      <c r="K5" s="43" t="s">
        <v>10</v>
      </c>
      <c r="L5" s="44">
        <f>SUM(I14:I15, I28)</f>
        <v>4970</v>
      </c>
      <c r="N5" s="45"/>
    </row>
    <row r="6" spans="1:14" s="19" customFormat="1" ht="19.95" customHeight="1" x14ac:dyDescent="0.3">
      <c r="A6" s="46" t="s">
        <v>11</v>
      </c>
      <c r="B6" s="47" t="s">
        <v>12</v>
      </c>
      <c r="C6" s="48"/>
      <c r="D6" s="48"/>
      <c r="E6" s="48"/>
      <c r="F6" s="48"/>
      <c r="G6" s="48"/>
      <c r="H6" s="48"/>
      <c r="I6" s="49"/>
      <c r="J6" s="50"/>
      <c r="K6" s="51" t="s">
        <v>13</v>
      </c>
      <c r="L6" s="52">
        <f>SUM(J14:J31)</f>
        <v>11578.207120000001</v>
      </c>
    </row>
    <row r="7" spans="1:14" s="19" customFormat="1" ht="19.95" customHeight="1" x14ac:dyDescent="0.3">
      <c r="A7" s="46" t="s">
        <v>14</v>
      </c>
      <c r="B7" s="47" t="s">
        <v>15</v>
      </c>
      <c r="C7" s="48"/>
      <c r="D7" s="48"/>
      <c r="E7" s="48"/>
      <c r="F7" s="48"/>
      <c r="G7" s="48"/>
      <c r="H7" s="48"/>
      <c r="I7" s="49"/>
      <c r="J7" s="50"/>
      <c r="K7" s="51" t="s">
        <v>16</v>
      </c>
      <c r="L7" s="53">
        <v>0.75</v>
      </c>
    </row>
    <row r="8" spans="1:14" s="19" customFormat="1" ht="19.95" customHeight="1" x14ac:dyDescent="0.3">
      <c r="A8" s="46" t="s">
        <v>2</v>
      </c>
      <c r="B8" s="11">
        <v>45117</v>
      </c>
      <c r="C8" s="48"/>
      <c r="D8" s="48"/>
      <c r="E8" s="48"/>
      <c r="F8" s="48"/>
      <c r="G8" s="48"/>
      <c r="H8" s="48"/>
      <c r="I8" s="49"/>
      <c r="J8" s="50"/>
      <c r="K8" s="51" t="s">
        <v>17</v>
      </c>
      <c r="L8" s="54">
        <f>ROUNDUP(L6/L5,0)</f>
        <v>3</v>
      </c>
    </row>
    <row r="9" spans="1:14" s="19" customFormat="1" ht="19.95" customHeight="1" x14ac:dyDescent="0.3">
      <c r="A9" s="46" t="s">
        <v>18</v>
      </c>
      <c r="B9" s="12" t="s">
        <v>56</v>
      </c>
      <c r="C9" s="48"/>
      <c r="D9" s="48"/>
      <c r="E9" s="48"/>
      <c r="F9" s="48"/>
      <c r="G9" s="48"/>
      <c r="H9" s="48"/>
      <c r="I9" s="49"/>
      <c r="J9" s="50"/>
      <c r="K9" s="51" t="s">
        <v>19</v>
      </c>
      <c r="L9" s="52">
        <f>SUM(L14:L31)</f>
        <v>8000</v>
      </c>
    </row>
    <row r="10" spans="1:14" s="19" customFormat="1" ht="19.95" customHeight="1" x14ac:dyDescent="0.3">
      <c r="A10" s="46" t="s">
        <v>20</v>
      </c>
      <c r="B10" s="12" t="s">
        <v>57</v>
      </c>
      <c r="C10" s="48"/>
      <c r="D10" s="48"/>
      <c r="E10" s="48"/>
      <c r="F10" s="48"/>
      <c r="G10" s="48"/>
      <c r="H10" s="48"/>
      <c r="I10" s="49"/>
      <c r="J10" s="50"/>
      <c r="K10" s="51" t="s">
        <v>21</v>
      </c>
      <c r="L10" s="55">
        <f>L9/L6</f>
        <v>0.69095326392813738</v>
      </c>
    </row>
    <row r="11" spans="1:14" s="19" customFormat="1" ht="19.95" customHeight="1" thickBot="1" x14ac:dyDescent="0.35">
      <c r="A11" s="56" t="s">
        <v>22</v>
      </c>
      <c r="B11" s="13">
        <v>44939</v>
      </c>
      <c r="C11" s="57"/>
      <c r="D11" s="57"/>
      <c r="E11" s="57"/>
      <c r="F11" s="57"/>
      <c r="G11" s="57"/>
      <c r="H11" s="57"/>
      <c r="I11" s="58"/>
      <c r="J11" s="59"/>
      <c r="K11" s="60" t="s">
        <v>23</v>
      </c>
      <c r="L11" s="61">
        <v>0.95</v>
      </c>
    </row>
    <row r="12" spans="1:14" ht="19.95" customHeight="1" x14ac:dyDescent="0.3">
      <c r="A12" s="62" t="s">
        <v>24</v>
      </c>
      <c r="B12" s="3"/>
      <c r="C12" s="3"/>
      <c r="D12" s="3"/>
      <c r="E12" s="3"/>
      <c r="F12" s="3"/>
      <c r="G12" s="3"/>
      <c r="H12" s="3"/>
      <c r="I12" s="63"/>
      <c r="J12" s="63"/>
      <c r="K12" s="63"/>
      <c r="L12" s="64"/>
    </row>
    <row r="13" spans="1:14" ht="103.8" x14ac:dyDescent="0.3">
      <c r="A13" s="65" t="s">
        <v>25</v>
      </c>
      <c r="B13" s="65" t="s">
        <v>26</v>
      </c>
      <c r="C13" s="65" t="s">
        <v>27</v>
      </c>
      <c r="D13" s="65" t="s">
        <v>28</v>
      </c>
      <c r="E13" s="66" t="s">
        <v>29</v>
      </c>
      <c r="F13" s="66" t="s">
        <v>30</v>
      </c>
      <c r="G13" s="66" t="s">
        <v>31</v>
      </c>
      <c r="H13" s="66" t="s">
        <v>32</v>
      </c>
      <c r="I13" s="67" t="s">
        <v>33</v>
      </c>
      <c r="J13" s="65" t="s">
        <v>34</v>
      </c>
      <c r="K13" s="67" t="s">
        <v>35</v>
      </c>
      <c r="L13" s="65" t="s">
        <v>36</v>
      </c>
      <c r="M13" s="68"/>
    </row>
    <row r="14" spans="1:14" ht="30" customHeight="1" x14ac:dyDescent="0.3">
      <c r="A14" s="69" t="s">
        <v>37</v>
      </c>
      <c r="B14" s="70" t="s">
        <v>38</v>
      </c>
      <c r="D14" s="72" t="s">
        <v>39</v>
      </c>
      <c r="E14" s="72" t="s">
        <v>40</v>
      </c>
      <c r="F14" s="72" t="s">
        <v>41</v>
      </c>
      <c r="G14" s="72" t="s">
        <v>42</v>
      </c>
      <c r="H14" s="72" t="s">
        <v>43</v>
      </c>
      <c r="I14" s="73">
        <f>4940*0.56</f>
        <v>2766.4</v>
      </c>
      <c r="J14" s="73">
        <f>I14</f>
        <v>2766.4</v>
      </c>
      <c r="K14" s="74">
        <v>1</v>
      </c>
      <c r="L14" s="73">
        <f>ROUNDUP(J14*K14,0)</f>
        <v>2767</v>
      </c>
    </row>
    <row r="15" spans="1:14" ht="30" customHeight="1" x14ac:dyDescent="0.3">
      <c r="A15" s="69" t="s">
        <v>44</v>
      </c>
      <c r="B15" s="70" t="s">
        <v>38</v>
      </c>
      <c r="C15" s="72"/>
      <c r="D15" s="72" t="s">
        <v>39</v>
      </c>
      <c r="E15" s="72" t="s">
        <v>40</v>
      </c>
      <c r="F15" s="72" t="s">
        <v>41</v>
      </c>
      <c r="G15" s="72" t="s">
        <v>42</v>
      </c>
      <c r="H15" s="72" t="s">
        <v>43</v>
      </c>
      <c r="I15" s="73">
        <f>4940*0.44</f>
        <v>2173.6</v>
      </c>
      <c r="J15" s="73">
        <f t="shared" ref="J15:J29" si="0">I15</f>
        <v>2173.6</v>
      </c>
      <c r="K15" s="74">
        <v>0.25</v>
      </c>
      <c r="L15" s="73">
        <f>ROUNDUP(J15*K15,0)</f>
        <v>544</v>
      </c>
    </row>
    <row r="16" spans="1:14" ht="30" customHeight="1" x14ac:dyDescent="0.3">
      <c r="A16" s="69" t="s">
        <v>58</v>
      </c>
      <c r="B16" s="70" t="s">
        <v>38</v>
      </c>
      <c r="C16" s="75"/>
      <c r="D16" s="72" t="s">
        <v>39</v>
      </c>
      <c r="E16" s="72" t="s">
        <v>40</v>
      </c>
      <c r="F16" s="72" t="s">
        <v>41</v>
      </c>
      <c r="G16" s="72"/>
      <c r="H16" s="72" t="s">
        <v>43</v>
      </c>
      <c r="I16" s="73">
        <f>I14*0.7*0.55</f>
        <v>1065.0640000000001</v>
      </c>
      <c r="J16" s="73">
        <f t="shared" si="0"/>
        <v>1065.0640000000001</v>
      </c>
      <c r="K16" s="74">
        <v>0.16700000000000001</v>
      </c>
      <c r="L16" s="73">
        <f t="shared" ref="L16" si="1">ROUNDUP(J16*K16,0)</f>
        <v>178</v>
      </c>
    </row>
    <row r="17" spans="1:12" ht="30" customHeight="1" x14ac:dyDescent="0.3">
      <c r="A17" s="69" t="s">
        <v>59</v>
      </c>
      <c r="B17" s="70" t="s">
        <v>38</v>
      </c>
      <c r="C17" s="75"/>
      <c r="D17" s="72" t="s">
        <v>39</v>
      </c>
      <c r="E17" s="72" t="s">
        <v>40</v>
      </c>
      <c r="F17" s="72" t="s">
        <v>41</v>
      </c>
      <c r="G17" s="72"/>
      <c r="H17" s="72" t="s">
        <v>43</v>
      </c>
      <c r="I17" s="73">
        <f>I14*0.7*0.45</f>
        <v>871.41600000000005</v>
      </c>
      <c r="J17" s="73">
        <f t="shared" si="0"/>
        <v>871.41600000000005</v>
      </c>
      <c r="K17" s="74">
        <v>3.3000000000000002E-2</v>
      </c>
      <c r="L17" s="73">
        <f t="shared" ref="L17:L31" si="2">ROUNDUP(J17*K17,0)</f>
        <v>29</v>
      </c>
    </row>
    <row r="18" spans="1:12" ht="30" customHeight="1" x14ac:dyDescent="0.3">
      <c r="A18" s="69" t="s">
        <v>47</v>
      </c>
      <c r="B18" s="70" t="s">
        <v>38</v>
      </c>
      <c r="C18" s="75"/>
      <c r="D18" s="72" t="s">
        <v>39</v>
      </c>
      <c r="E18" s="72" t="s">
        <v>40</v>
      </c>
      <c r="F18" s="72" t="s">
        <v>41</v>
      </c>
      <c r="G18" s="72"/>
      <c r="H18" s="72" t="s">
        <v>43</v>
      </c>
      <c r="I18" s="73">
        <f>I16*0.61</f>
        <v>649.68903999999998</v>
      </c>
      <c r="J18" s="73">
        <f t="shared" si="0"/>
        <v>649.68903999999998</v>
      </c>
      <c r="K18" s="74">
        <v>1.5</v>
      </c>
      <c r="L18" s="73">
        <f t="shared" si="2"/>
        <v>975</v>
      </c>
    </row>
    <row r="19" spans="1:12" ht="30" customHeight="1" x14ac:dyDescent="0.3">
      <c r="A19" s="69" t="s">
        <v>48</v>
      </c>
      <c r="B19" s="70" t="s">
        <v>38</v>
      </c>
      <c r="C19" s="75"/>
      <c r="D19" s="72" t="s">
        <v>39</v>
      </c>
      <c r="E19" s="72" t="s">
        <v>40</v>
      </c>
      <c r="F19" s="72" t="s">
        <v>41</v>
      </c>
      <c r="G19" s="72"/>
      <c r="H19" s="72" t="s">
        <v>43</v>
      </c>
      <c r="I19" s="73">
        <f>I16*0.39</f>
        <v>415.37496000000004</v>
      </c>
      <c r="J19" s="73">
        <f t="shared" si="0"/>
        <v>415.37496000000004</v>
      </c>
      <c r="K19" s="74">
        <v>3.3000000000000002E-2</v>
      </c>
      <c r="L19" s="73">
        <f t="shared" si="2"/>
        <v>14</v>
      </c>
    </row>
    <row r="20" spans="1:12" ht="30" customHeight="1" x14ac:dyDescent="0.3">
      <c r="A20" s="69" t="s">
        <v>45</v>
      </c>
      <c r="B20" s="70" t="s">
        <v>38</v>
      </c>
      <c r="C20" s="75"/>
      <c r="D20" s="72" t="s">
        <v>39</v>
      </c>
      <c r="E20" s="72" t="s">
        <v>40</v>
      </c>
      <c r="F20" s="72" t="s">
        <v>41</v>
      </c>
      <c r="G20" s="72"/>
      <c r="H20" s="72" t="s">
        <v>43</v>
      </c>
      <c r="I20" s="73">
        <f>I16*0.61</f>
        <v>649.68903999999998</v>
      </c>
      <c r="J20" s="73">
        <f>I20</f>
        <v>649.68903999999998</v>
      </c>
      <c r="K20" s="74">
        <v>0.16700000000000001</v>
      </c>
      <c r="L20" s="73">
        <f>ROUNDUP(J20*K20,0)</f>
        <v>109</v>
      </c>
    </row>
    <row r="21" spans="1:12" ht="30" customHeight="1" x14ac:dyDescent="0.3">
      <c r="A21" s="69" t="s">
        <v>46</v>
      </c>
      <c r="B21" s="70" t="s">
        <v>38</v>
      </c>
      <c r="C21" s="75"/>
      <c r="D21" s="72" t="s">
        <v>39</v>
      </c>
      <c r="E21" s="72" t="s">
        <v>40</v>
      </c>
      <c r="F21" s="72" t="s">
        <v>41</v>
      </c>
      <c r="G21" s="72"/>
      <c r="H21" s="72" t="s">
        <v>43</v>
      </c>
      <c r="I21" s="73">
        <f>I16*0.39</f>
        <v>415.37496000000004</v>
      </c>
      <c r="J21" s="73">
        <f>I21</f>
        <v>415.37496000000004</v>
      </c>
      <c r="K21" s="74">
        <v>3.3000000000000002E-2</v>
      </c>
      <c r="L21" s="73">
        <f>ROUNDUP(J21*K21,0)</f>
        <v>14</v>
      </c>
    </row>
    <row r="22" spans="1:12" ht="30" customHeight="1" x14ac:dyDescent="0.3">
      <c r="A22" s="69" t="s">
        <v>51</v>
      </c>
      <c r="B22" s="6" t="s">
        <v>38</v>
      </c>
      <c r="C22" s="7"/>
      <c r="D22" s="8" t="s">
        <v>39</v>
      </c>
      <c r="E22" s="8" t="s">
        <v>40</v>
      </c>
      <c r="F22" s="8" t="s">
        <v>41</v>
      </c>
      <c r="G22" s="8"/>
      <c r="H22" s="8" t="s">
        <v>43</v>
      </c>
      <c r="I22" s="9">
        <f>I20*0.75</f>
        <v>487.26677999999998</v>
      </c>
      <c r="J22" s="9">
        <f t="shared" si="0"/>
        <v>487.26677999999998</v>
      </c>
      <c r="K22" s="10">
        <v>3</v>
      </c>
      <c r="L22" s="9">
        <f t="shared" si="2"/>
        <v>1462</v>
      </c>
    </row>
    <row r="23" spans="1:12" ht="30" customHeight="1" x14ac:dyDescent="0.3">
      <c r="A23" s="69" t="s">
        <v>52</v>
      </c>
      <c r="B23" s="6" t="s">
        <v>38</v>
      </c>
      <c r="C23" s="7"/>
      <c r="D23" s="8" t="s">
        <v>39</v>
      </c>
      <c r="E23" s="8" t="s">
        <v>40</v>
      </c>
      <c r="F23" s="8" t="s">
        <v>41</v>
      </c>
      <c r="G23" s="8"/>
      <c r="H23" s="8" t="s">
        <v>43</v>
      </c>
      <c r="I23" s="9">
        <f>I20*0.25</f>
        <v>162.42225999999999</v>
      </c>
      <c r="J23" s="9">
        <f t="shared" si="0"/>
        <v>162.42225999999999</v>
      </c>
      <c r="K23" s="10">
        <v>3.3000000000000002E-2</v>
      </c>
      <c r="L23" s="9">
        <f t="shared" si="2"/>
        <v>6</v>
      </c>
    </row>
    <row r="24" spans="1:12" ht="30" customHeight="1" x14ac:dyDescent="0.3">
      <c r="A24" s="69" t="s">
        <v>49</v>
      </c>
      <c r="B24" s="6" t="s">
        <v>38</v>
      </c>
      <c r="C24" s="7"/>
      <c r="D24" s="8" t="s">
        <v>39</v>
      </c>
      <c r="E24" s="8" t="s">
        <v>40</v>
      </c>
      <c r="F24" s="8" t="s">
        <v>41</v>
      </c>
      <c r="G24" s="8"/>
      <c r="H24" s="8" t="s">
        <v>43</v>
      </c>
      <c r="I24" s="9">
        <f>I20*0.76</f>
        <v>493.76367039999997</v>
      </c>
      <c r="J24" s="9">
        <f>I24</f>
        <v>493.76367039999997</v>
      </c>
      <c r="K24" s="10">
        <v>2</v>
      </c>
      <c r="L24" s="9">
        <f>ROUNDUP(J24*K24,0)</f>
        <v>988</v>
      </c>
    </row>
    <row r="25" spans="1:12" ht="30" customHeight="1" x14ac:dyDescent="0.3">
      <c r="A25" s="69" t="s">
        <v>50</v>
      </c>
      <c r="B25" s="6" t="s">
        <v>38</v>
      </c>
      <c r="C25" s="7"/>
      <c r="D25" s="8" t="s">
        <v>39</v>
      </c>
      <c r="E25" s="8" t="s">
        <v>40</v>
      </c>
      <c r="F25" s="8" t="s">
        <v>41</v>
      </c>
      <c r="G25" s="8"/>
      <c r="H25" s="8" t="s">
        <v>43</v>
      </c>
      <c r="I25" s="9">
        <f>I20*0.24</f>
        <v>155.92536959999998</v>
      </c>
      <c r="J25" s="9">
        <f>I25</f>
        <v>155.92536959999998</v>
      </c>
      <c r="K25" s="10">
        <v>3.3000000000000002E-2</v>
      </c>
      <c r="L25" s="9">
        <f>ROUNDUP(J25*K25,0)</f>
        <v>6</v>
      </c>
    </row>
    <row r="26" spans="1:12" ht="30" customHeight="1" x14ac:dyDescent="0.3">
      <c r="A26" s="69" t="s">
        <v>53</v>
      </c>
      <c r="B26" s="6" t="s">
        <v>38</v>
      </c>
      <c r="C26" s="7"/>
      <c r="D26" s="8" t="s">
        <v>39</v>
      </c>
      <c r="E26" s="8" t="s">
        <v>40</v>
      </c>
      <c r="F26" s="8" t="s">
        <v>41</v>
      </c>
      <c r="G26" s="8"/>
      <c r="H26" s="8" t="s">
        <v>43</v>
      </c>
      <c r="I26" s="9">
        <f>I20*0.28</f>
        <v>181.9129312</v>
      </c>
      <c r="J26" s="9">
        <f t="shared" si="0"/>
        <v>181.9129312</v>
      </c>
      <c r="K26" s="10">
        <v>2.5</v>
      </c>
      <c r="L26" s="9">
        <f t="shared" si="2"/>
        <v>455</v>
      </c>
    </row>
    <row r="27" spans="1:12" ht="30" customHeight="1" x14ac:dyDescent="0.3">
      <c r="A27" s="69" t="s">
        <v>54</v>
      </c>
      <c r="B27" s="6" t="s">
        <v>38</v>
      </c>
      <c r="C27" s="7"/>
      <c r="D27" s="8" t="s">
        <v>39</v>
      </c>
      <c r="E27" s="8" t="s">
        <v>40</v>
      </c>
      <c r="F27" s="8" t="s">
        <v>41</v>
      </c>
      <c r="G27" s="8"/>
      <c r="H27" s="8" t="s">
        <v>43</v>
      </c>
      <c r="I27" s="9">
        <f>I20*0.72</f>
        <v>467.77610879999997</v>
      </c>
      <c r="J27" s="9">
        <f t="shared" si="0"/>
        <v>467.77610879999997</v>
      </c>
      <c r="K27" s="10">
        <v>3.3000000000000002E-2</v>
      </c>
      <c r="L27" s="9">
        <f t="shared" si="2"/>
        <v>16</v>
      </c>
    </row>
    <row r="28" spans="1:12" s="5" customFormat="1" ht="30" customHeight="1" x14ac:dyDescent="0.3">
      <c r="A28" s="69" t="s">
        <v>62</v>
      </c>
      <c r="B28" s="6" t="s">
        <v>38</v>
      </c>
      <c r="C28" s="7"/>
      <c r="D28" s="8" t="s">
        <v>39</v>
      </c>
      <c r="E28" s="8" t="s">
        <v>40</v>
      </c>
      <c r="F28" s="8" t="s">
        <v>55</v>
      </c>
      <c r="G28" s="8" t="s">
        <v>42</v>
      </c>
      <c r="H28" s="8" t="s">
        <v>43</v>
      </c>
      <c r="I28" s="9">
        <v>30</v>
      </c>
      <c r="J28" s="9">
        <f>I28*2</f>
        <v>60</v>
      </c>
      <c r="K28" s="10">
        <v>6</v>
      </c>
      <c r="L28" s="9">
        <f>ROUNDUP(J28*K28,0)</f>
        <v>360</v>
      </c>
    </row>
    <row r="29" spans="1:12" ht="30" customHeight="1" x14ac:dyDescent="0.3">
      <c r="A29" s="69" t="s">
        <v>60</v>
      </c>
      <c r="B29" s="6" t="s">
        <v>38</v>
      </c>
      <c r="C29" s="7"/>
      <c r="D29" s="8" t="s">
        <v>39</v>
      </c>
      <c r="E29" s="8" t="s">
        <v>40</v>
      </c>
      <c r="F29" s="8" t="s">
        <v>41</v>
      </c>
      <c r="G29" s="8"/>
      <c r="H29" s="8" t="s">
        <v>43</v>
      </c>
      <c r="I29" s="9">
        <f>I20*0.5</f>
        <v>324.84451999999999</v>
      </c>
      <c r="J29" s="9">
        <f t="shared" si="0"/>
        <v>324.84451999999999</v>
      </c>
      <c r="K29" s="10">
        <v>0.16700000000000001</v>
      </c>
      <c r="L29" s="9">
        <f t="shared" si="2"/>
        <v>55</v>
      </c>
    </row>
    <row r="30" spans="1:12" ht="30" customHeight="1" x14ac:dyDescent="0.3">
      <c r="A30" s="69" t="s">
        <v>61</v>
      </c>
      <c r="B30" s="6" t="s">
        <v>38</v>
      </c>
      <c r="C30" s="7"/>
      <c r="D30" s="8" t="s">
        <v>39</v>
      </c>
      <c r="E30" s="8" t="s">
        <v>40</v>
      </c>
      <c r="F30" s="8" t="s">
        <v>41</v>
      </c>
      <c r="G30" s="8"/>
      <c r="H30" s="8" t="s">
        <v>43</v>
      </c>
      <c r="I30" s="9">
        <f>I19*0.5</f>
        <v>207.68748000000002</v>
      </c>
      <c r="J30" s="9">
        <f t="shared" ref="J30" si="3">I30</f>
        <v>207.68748000000002</v>
      </c>
      <c r="K30" s="10">
        <v>3.3000000000000002E-2</v>
      </c>
      <c r="L30" s="9">
        <f t="shared" ref="L30" si="4">ROUNDUP(J30*K30,0)</f>
        <v>7</v>
      </c>
    </row>
    <row r="31" spans="1:12" ht="30" customHeight="1" x14ac:dyDescent="0.3">
      <c r="A31" s="69" t="s">
        <v>63</v>
      </c>
      <c r="B31" s="6" t="s">
        <v>38</v>
      </c>
      <c r="C31" s="7"/>
      <c r="D31" s="8" t="s">
        <v>39</v>
      </c>
      <c r="E31" s="8" t="s">
        <v>40</v>
      </c>
      <c r="F31" s="8" t="s">
        <v>55</v>
      </c>
      <c r="G31" s="8"/>
      <c r="H31" s="8" t="s">
        <v>43</v>
      </c>
      <c r="I31" s="9">
        <v>30</v>
      </c>
      <c r="J31" s="9">
        <v>30</v>
      </c>
      <c r="K31" s="10">
        <v>0.5</v>
      </c>
      <c r="L31" s="9">
        <f t="shared" si="2"/>
        <v>15</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C4B3E-22D0-4B1A-9AD2-7AD3D4072BDC}">
  <dimension ref="A1"/>
  <sheetViews>
    <sheetView workbookViewId="0"/>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 xmlns="bf16fb3d-d0d4-4082-b9e1-5e252a4ca607" xsi:nil="true"/>
    <lcf76f155ced4ddcb4097134ff3c332f xmlns="bf16fb3d-d0d4-4082-b9e1-5e252a4ca607">
      <Terms xmlns="http://schemas.microsoft.com/office/infopath/2007/PartnerControls"/>
    </lcf76f155ced4ddcb4097134ff3c332f>
    <TaxCatchAll xmlns="73fb875a-8af9-4255-b008-0995492d3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DA0D774ED8204789FBA44AA44E220C" ma:contentTypeVersion="15" ma:contentTypeDescription="Create a new document." ma:contentTypeScope="" ma:versionID="ede8fc3b194b693f032948152e0de39c">
  <xsd:schema xmlns:xsd="http://www.w3.org/2001/XMLSchema" xmlns:xs="http://www.w3.org/2001/XMLSchema" xmlns:p="http://schemas.microsoft.com/office/2006/metadata/properties" xmlns:ns2="bf16fb3d-d0d4-4082-b9e1-5e252a4ca607" xmlns:ns3="87e9aed0-1cfc-4d5c-8ce4-ea64804a7109" xmlns:ns4="73fb875a-8af9-4255-b008-0995492d31cd" targetNamespace="http://schemas.microsoft.com/office/2006/metadata/properties" ma:root="true" ma:fieldsID="a15ea61a8826aa703e90166f109306ed" ns2:_="" ns3:_="" ns4:_="">
    <xsd:import namespace="bf16fb3d-d0d4-4082-b9e1-5e252a4ca607"/>
    <xsd:import namespace="87e9aed0-1cfc-4d5c-8ce4-ea64804a7109"/>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ote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6fb3d-d0d4-4082-b9e1-5e252a4ca6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Notes" ma:index="18" nillable="true" ma:displayName="Notes" ma:format="Dropdown" ma:internalName="Notes">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e9aed0-1cfc-4d5c-8ce4-ea64804a710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8743845-13ac-4f4d-b4a4-17bd8d701275}" ma:internalName="TaxCatchAll" ma:showField="CatchAllData" ma:web="87e9aed0-1cfc-4d5c-8ce4-ea64804a71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8633DF-AFBE-4734-9186-B154E25A8D88}">
  <ds:schemaRefs>
    <ds:schemaRef ds:uri="http://schemas.microsoft.com/sharepoint/v3/contenttype/forms"/>
  </ds:schemaRefs>
</ds:datastoreItem>
</file>

<file path=customXml/itemProps2.xml><?xml version="1.0" encoding="utf-8"?>
<ds:datastoreItem xmlns:ds="http://schemas.openxmlformats.org/officeDocument/2006/customXml" ds:itemID="{370C7FBA-3532-4D39-8EAE-8C86272B7E31}">
  <ds:schemaRefs>
    <ds:schemaRef ds:uri="http://schemas.microsoft.com/office/2006/metadata/properties"/>
    <ds:schemaRef ds:uri="http://schemas.microsoft.com/office/infopath/2007/PartnerControls"/>
    <ds:schemaRef ds:uri="bf16fb3d-d0d4-4082-b9e1-5e252a4ca607"/>
    <ds:schemaRef ds:uri="73fb875a-8af9-4255-b008-0995492d31cd"/>
  </ds:schemaRefs>
</ds:datastoreItem>
</file>

<file path=customXml/itemProps3.xml><?xml version="1.0" encoding="utf-8"?>
<ds:datastoreItem xmlns:ds="http://schemas.openxmlformats.org/officeDocument/2006/customXml" ds:itemID="{5FAE3B0D-B851-4637-A2BD-8DD0ECFC7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16fb3d-d0d4-4082-b9e1-5e252a4ca607"/>
    <ds:schemaRef ds:uri="87e9aed0-1cfc-4d5c-8ce4-ea64804a7109"/>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Keegan, Regina - MRP-APHIS, Riverdale, MD</dc:creator>
  <cp:keywords/>
  <dc:description/>
  <cp:lastModifiedBy>Moxey, Joseph  - MRP-APHIS</cp:lastModifiedBy>
  <cp:revision/>
  <dcterms:created xsi:type="dcterms:W3CDTF">2021-07-01T18:06:57Z</dcterms:created>
  <dcterms:modified xsi:type="dcterms:W3CDTF">2023-07-10T13:43:05Z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0x01010063DA0D774ED8204789FBA44AA44E220C</vt:lpwstr>
  </property>
  <property fmtid="{D5CDD505-2E9C-101B-9397-08002B2CF9AE}" pid="3" name="MediaServiceImageTags">
    <vt:lpwstr/>
  </property>
  <property fmtid="{D5CDD505-2E9C-101B-9397-08002B2CF9AE}" pid="4" name="ESRI_WORKBOOK_ID">
    <vt:lpwstr>2a10be32b0df45639c48bea4e77b508e</vt:lpwstr>
  </property>
</Properties>
</file>