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0584-0026 Determining Eligibility for Free and Reduced Price Meals 2023 Renewal/ROCIS/"/>
    </mc:Choice>
  </mc:AlternateContent>
  <xr:revisionPtr revIDLastSave="42" documentId="8_{DD50420C-EF20-4BB2-8035-6CA09BB87A00}" xr6:coauthVersionLast="47" xr6:coauthVersionMax="47" xr10:uidLastSave="{623296ED-F722-4DB4-BCC9-FBB7E61FAACC}"/>
  <bookViews>
    <workbookView xWindow="-110" yWindow="-110" windowWidth="19420" windowHeight="10420" tabRatio="640" activeTab="2" xr2:uid="{00000000-000D-0000-FFFF-FFFF00000000}"/>
  </bookViews>
  <sheets>
    <sheet name="Reporting" sheetId="27" r:id="rId1"/>
    <sheet name="RecordKeeping" sheetId="8" r:id="rId2"/>
    <sheet name="PublicNotification" sheetId="31" r:id="rId3"/>
    <sheet name="Burden Summary" sheetId="4" r:id="rId4"/>
  </sheets>
  <definedNames>
    <definedName name="_xlnm._FilterDatabase" localSheetId="2" hidden="1">PublicNotification!$A$3:$L$14</definedName>
    <definedName name="_xlnm._FilterDatabase" localSheetId="1" hidden="1">RecordKeeping!$A$3:$L$16</definedName>
    <definedName name="_xlnm._FilterDatabase" localSheetId="0" hidden="1">Reporting!$A$4:$L$42</definedName>
    <definedName name="_xlnm.Print_Area" localSheetId="3">'Burden Summary'!$A$1:$F$20</definedName>
    <definedName name="_xlnm.Print_Area" localSheetId="2">PublicNotification!$A$1:$L$21</definedName>
    <definedName name="_xlnm.Print_Area" localSheetId="1">RecordKeeping!$A$1:$L$24</definedName>
    <definedName name="_xlnm.Print_Area" localSheetId="0">Reporting!$A$2:$L$50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31" l="1"/>
  <c r="K5" i="31"/>
  <c r="K8" i="8"/>
  <c r="K5" i="8"/>
  <c r="K37" i="27"/>
  <c r="K36" i="27"/>
  <c r="K24" i="27"/>
  <c r="K21" i="27"/>
  <c r="K17" i="27"/>
  <c r="K9" i="8"/>
  <c r="L9" i="8"/>
  <c r="L8" i="8"/>
  <c r="L7" i="8"/>
  <c r="L5" i="8"/>
  <c r="K12" i="8"/>
  <c r="L12" i="8"/>
  <c r="L16" i="27" l="1"/>
  <c r="D19" i="4"/>
  <c r="I36" i="27"/>
  <c r="I21" i="27"/>
  <c r="K19" i="27"/>
  <c r="I19" i="27"/>
  <c r="K11" i="27"/>
  <c r="J16" i="8"/>
  <c r="E16" i="8"/>
  <c r="G13" i="8"/>
  <c r="G40" i="27"/>
  <c r="G38" i="27"/>
  <c r="G37" i="27"/>
  <c r="E15" i="8" l="1"/>
  <c r="F8" i="27" l="1"/>
  <c r="I8" i="27" l="1"/>
  <c r="K8" i="27" l="1"/>
  <c r="G6" i="31"/>
  <c r="L8" i="27" l="1"/>
  <c r="I13" i="8"/>
  <c r="L13" i="8" s="1"/>
  <c r="F25" i="27" l="1"/>
  <c r="F23" i="27" l="1"/>
  <c r="F21" i="27" l="1"/>
  <c r="F20" i="27"/>
  <c r="F19" i="27"/>
  <c r="F17" i="27"/>
  <c r="F16" i="27"/>
  <c r="E41" i="27" l="1"/>
  <c r="E12" i="31" l="1"/>
  <c r="J12" i="31"/>
  <c r="G11" i="31"/>
  <c r="L11" i="31" l="1"/>
  <c r="B16" i="4" l="1"/>
  <c r="I12" i="27"/>
  <c r="I17" i="27"/>
  <c r="I33" i="27"/>
  <c r="I32" i="27"/>
  <c r="L12" i="27" l="1"/>
  <c r="L32" i="27"/>
  <c r="J41" i="27" l="1"/>
  <c r="J14" i="27"/>
  <c r="D16" i="31"/>
  <c r="E16" i="31"/>
  <c r="F16" i="31"/>
  <c r="G16" i="31"/>
  <c r="H16" i="31"/>
  <c r="I16" i="31"/>
  <c r="J16" i="31"/>
  <c r="K16" i="31"/>
  <c r="L16" i="31"/>
  <c r="D17" i="31"/>
  <c r="E17" i="31" s="1"/>
  <c r="D18" i="31"/>
  <c r="J18" i="31" s="1"/>
  <c r="D19" i="31"/>
  <c r="G19" i="31" s="1"/>
  <c r="H19" i="31" s="1"/>
  <c r="D20" i="31"/>
  <c r="E20" i="31" s="1"/>
  <c r="F20" i="31" s="1"/>
  <c r="D21" i="31"/>
  <c r="E21" i="31" s="1"/>
  <c r="F21" i="31" s="1"/>
  <c r="D22" i="31"/>
  <c r="J22" i="31" s="1"/>
  <c r="I39" i="27"/>
  <c r="L39" i="27" s="1"/>
  <c r="L36" i="27"/>
  <c r="L33" i="27"/>
  <c r="L21" i="27"/>
  <c r="L19" i="27"/>
  <c r="L17" i="27"/>
  <c r="I18" i="31" l="1"/>
  <c r="K22" i="31"/>
  <c r="K21" i="31"/>
  <c r="E22" i="31"/>
  <c r="F22" i="31" s="1"/>
  <c r="K18" i="31"/>
  <c r="E19" i="31"/>
  <c r="F19" i="31" s="1"/>
  <c r="E18" i="31"/>
  <c r="F18" i="31" s="1"/>
  <c r="G20" i="31"/>
  <c r="H20" i="31" s="1"/>
  <c r="L20" i="31"/>
  <c r="J20" i="31"/>
  <c r="L19" i="31"/>
  <c r="I22" i="31"/>
  <c r="K20" i="31"/>
  <c r="I20" i="31"/>
  <c r="K19" i="31"/>
  <c r="J19" i="31"/>
  <c r="I19" i="31"/>
  <c r="G21" i="31"/>
  <c r="H21" i="31" s="1"/>
  <c r="L21" i="31"/>
  <c r="G18" i="31"/>
  <c r="H18" i="31" s="1"/>
  <c r="J17" i="31"/>
  <c r="G22" i="31"/>
  <c r="H22" i="31" s="1"/>
  <c r="J21" i="31"/>
  <c r="L22" i="31"/>
  <c r="I21" i="31"/>
  <c r="L18" i="31"/>
  <c r="K17" i="31"/>
  <c r="G7" i="8" l="1"/>
  <c r="I29" i="27" l="1"/>
  <c r="J15" i="8"/>
  <c r="G14" i="8"/>
  <c r="I14" i="8" s="1"/>
  <c r="I28" i="27"/>
  <c r="I27" i="27"/>
  <c r="L28" i="27" l="1"/>
  <c r="K28" i="27"/>
  <c r="K29" i="27"/>
  <c r="L14" i="8"/>
  <c r="K14" i="8"/>
  <c r="L27" i="27"/>
  <c r="I11" i="27"/>
  <c r="L11" i="27" s="1"/>
  <c r="L30" i="27" l="1"/>
  <c r="K30" i="27" s="1"/>
  <c r="G9" i="27"/>
  <c r="I9" i="27" s="1"/>
  <c r="L9" i="27" s="1"/>
  <c r="G10" i="27"/>
  <c r="I10" i="27" s="1"/>
  <c r="L10" i="27" s="1"/>
  <c r="K9" i="27" l="1"/>
  <c r="K14" i="27" s="1"/>
  <c r="L14" i="27"/>
  <c r="I23" i="27"/>
  <c r="L23" i="27" s="1"/>
  <c r="D27" i="8" l="1"/>
  <c r="D26" i="8"/>
  <c r="D25" i="8"/>
  <c r="D24" i="8"/>
  <c r="D23" i="8"/>
  <c r="D22" i="8"/>
  <c r="D21" i="8"/>
  <c r="D51" i="27"/>
  <c r="G5" i="31"/>
  <c r="I5" i="31" s="1"/>
  <c r="F17" i="4" l="1"/>
  <c r="C17" i="4"/>
  <c r="B17" i="4"/>
  <c r="G10" i="31"/>
  <c r="I10" i="31" s="1"/>
  <c r="K10" i="31" s="1"/>
  <c r="L10" i="31" s="1"/>
  <c r="G9" i="31"/>
  <c r="J7" i="31"/>
  <c r="J14" i="31" s="1"/>
  <c r="E7" i="31"/>
  <c r="G12" i="31" l="1"/>
  <c r="F12" i="31" s="1"/>
  <c r="C16" i="4" s="1"/>
  <c r="B15" i="4"/>
  <c r="E14" i="31"/>
  <c r="B18" i="4"/>
  <c r="I9" i="31"/>
  <c r="G17" i="31"/>
  <c r="E17" i="4"/>
  <c r="D17" i="4"/>
  <c r="E10" i="8"/>
  <c r="E14" i="27"/>
  <c r="E34" i="27"/>
  <c r="J10" i="8"/>
  <c r="G9" i="8"/>
  <c r="D16" i="4" l="1"/>
  <c r="I12" i="31"/>
  <c r="F16" i="4" s="1"/>
  <c r="K9" i="31"/>
  <c r="B24" i="4"/>
  <c r="F17" i="31"/>
  <c r="I17" i="31"/>
  <c r="H17" i="31" s="1"/>
  <c r="E42" i="27"/>
  <c r="I9" i="8"/>
  <c r="D50" i="27"/>
  <c r="K23" i="8"/>
  <c r="K12" i="31" l="1"/>
  <c r="L9" i="31"/>
  <c r="L12" i="31" s="1"/>
  <c r="H12" i="31"/>
  <c r="E16" i="4" s="1"/>
  <c r="L17" i="31"/>
  <c r="K22" i="8"/>
  <c r="I16" i="27"/>
  <c r="K26" i="8"/>
  <c r="K27" i="8"/>
  <c r="K25" i="8"/>
  <c r="K24" i="8"/>
  <c r="G8" i="8"/>
  <c r="I8" i="8" s="1"/>
  <c r="J34" i="27" l="1"/>
  <c r="J42" i="27" s="1"/>
  <c r="K21" i="8"/>
  <c r="G5" i="8"/>
  <c r="I5" i="8" s="1"/>
  <c r="I38" i="27"/>
  <c r="L38" i="27" s="1"/>
  <c r="I40" i="27"/>
  <c r="L40" i="27" s="1"/>
  <c r="I20" i="27"/>
  <c r="L20" i="27" s="1"/>
  <c r="K20" i="27" s="1"/>
  <c r="K16" i="27" l="1"/>
  <c r="I37" i="27"/>
  <c r="G41" i="27"/>
  <c r="L37" i="27" l="1"/>
  <c r="I41" i="27"/>
  <c r="H41" i="27" s="1"/>
  <c r="G12" i="8"/>
  <c r="I31" i="27"/>
  <c r="G15" i="8" l="1"/>
  <c r="I12" i="8"/>
  <c r="K41" i="27"/>
  <c r="L41" i="27"/>
  <c r="E45" i="27"/>
  <c r="I7" i="8"/>
  <c r="G6" i="27"/>
  <c r="G7" i="27"/>
  <c r="I7" i="27" s="1"/>
  <c r="K7" i="8" l="1"/>
  <c r="L15" i="8"/>
  <c r="K15" i="8"/>
  <c r="I6" i="27"/>
  <c r="I14" i="27" s="1"/>
  <c r="G14" i="27"/>
  <c r="I15" i="8"/>
  <c r="F15" i="8"/>
  <c r="L7" i="27"/>
  <c r="K7" i="27" s="1"/>
  <c r="J51" i="27"/>
  <c r="J50" i="27"/>
  <c r="D49" i="27"/>
  <c r="J49" i="27" s="1"/>
  <c r="D48" i="27"/>
  <c r="J48" i="27" s="1"/>
  <c r="D47" i="27"/>
  <c r="D46" i="27"/>
  <c r="D45" i="27"/>
  <c r="L44" i="27"/>
  <c r="K44" i="27"/>
  <c r="J44" i="27"/>
  <c r="I44" i="27"/>
  <c r="H44" i="27"/>
  <c r="G44" i="27"/>
  <c r="F44" i="27"/>
  <c r="E44" i="27"/>
  <c r="D44" i="27"/>
  <c r="L31" i="27"/>
  <c r="D18" i="8"/>
  <c r="E18" i="8"/>
  <c r="E27" i="8"/>
  <c r="F27" i="8" s="1"/>
  <c r="E25" i="8"/>
  <c r="F25" i="8" s="1"/>
  <c r="E26" i="8"/>
  <c r="F26" i="8" s="1"/>
  <c r="H18" i="8"/>
  <c r="E24" i="8"/>
  <c r="D20" i="8"/>
  <c r="E22" i="8"/>
  <c r="D19" i="8"/>
  <c r="F18" i="8"/>
  <c r="G18" i="8"/>
  <c r="I18" i="8"/>
  <c r="J18" i="8"/>
  <c r="K18" i="8"/>
  <c r="L18" i="8"/>
  <c r="E19" i="8"/>
  <c r="E7" i="4"/>
  <c r="B6" i="4"/>
  <c r="B5" i="4"/>
  <c r="B8" i="4" l="1"/>
  <c r="L6" i="27"/>
  <c r="H14" i="27"/>
  <c r="H15" i="8"/>
  <c r="E6" i="4" s="1"/>
  <c r="F14" i="27"/>
  <c r="K31" i="27"/>
  <c r="C7" i="4"/>
  <c r="K20" i="8"/>
  <c r="J20" i="8"/>
  <c r="L20" i="8"/>
  <c r="J46" i="27"/>
  <c r="K19" i="8"/>
  <c r="B7" i="4"/>
  <c r="G45" i="27"/>
  <c r="F41" i="27"/>
  <c r="J47" i="27"/>
  <c r="E47" i="27"/>
  <c r="B11" i="4"/>
  <c r="C6" i="4"/>
  <c r="I26" i="8"/>
  <c r="J25" i="8"/>
  <c r="G19" i="8"/>
  <c r="G20" i="8"/>
  <c r="I19" i="8"/>
  <c r="I20" i="8"/>
  <c r="J21" i="8"/>
  <c r="G21" i="8"/>
  <c r="I21" i="8"/>
  <c r="J19" i="8"/>
  <c r="L21" i="8"/>
  <c r="L26" i="8"/>
  <c r="G26" i="8"/>
  <c r="H26" i="8" s="1"/>
  <c r="L25" i="8"/>
  <c r="J27" i="8"/>
  <c r="G24" i="8"/>
  <c r="I25" i="8"/>
  <c r="G25" i="8"/>
  <c r="H25" i="8" s="1"/>
  <c r="J26" i="8"/>
  <c r="I24" i="8"/>
  <c r="J24" i="8"/>
  <c r="L24" i="8"/>
  <c r="J23" i="8"/>
  <c r="G23" i="8"/>
  <c r="H23" i="8" s="1"/>
  <c r="I23" i="8"/>
  <c r="L23" i="8"/>
  <c r="G22" i="8"/>
  <c r="F22" i="8" s="1"/>
  <c r="I22" i="8"/>
  <c r="J22" i="8"/>
  <c r="L22" i="8"/>
  <c r="B10" i="4"/>
  <c r="J45" i="27"/>
  <c r="E46" i="27"/>
  <c r="G47" i="27"/>
  <c r="I47" i="27"/>
  <c r="L47" i="27"/>
  <c r="E48" i="27"/>
  <c r="G48" i="27"/>
  <c r="I48" i="27"/>
  <c r="L48" i="27"/>
  <c r="E49" i="27"/>
  <c r="G49" i="27"/>
  <c r="I49" i="27"/>
  <c r="L49" i="27"/>
  <c r="E50" i="27"/>
  <c r="F50" i="27" s="1"/>
  <c r="G50" i="27"/>
  <c r="H50" i="27" s="1"/>
  <c r="I50" i="27"/>
  <c r="L50" i="27"/>
  <c r="E51" i="27"/>
  <c r="F51" i="27" s="1"/>
  <c r="G51" i="27"/>
  <c r="H51" i="27" s="1"/>
  <c r="I51" i="27"/>
  <c r="L51" i="27"/>
  <c r="L27" i="8"/>
  <c r="I27" i="8"/>
  <c r="G27" i="8"/>
  <c r="H27" i="8" s="1"/>
  <c r="E23" i="8"/>
  <c r="F23" i="8" s="1"/>
  <c r="E21" i="8"/>
  <c r="F21" i="8" s="1"/>
  <c r="E20" i="8"/>
  <c r="F6" i="4"/>
  <c r="D6" i="4"/>
  <c r="D7" i="4"/>
  <c r="F7" i="4"/>
  <c r="K6" i="27" l="1"/>
  <c r="K28" i="8"/>
  <c r="F49" i="27"/>
  <c r="H49" i="27"/>
  <c r="H24" i="8"/>
  <c r="F24" i="8"/>
  <c r="H20" i="8"/>
  <c r="H19" i="8"/>
  <c r="F19" i="8"/>
  <c r="H22" i="8"/>
  <c r="H48" i="27"/>
  <c r="H47" i="27"/>
  <c r="F47" i="27"/>
  <c r="F48" i="27"/>
  <c r="H21" i="8"/>
  <c r="F45" i="27"/>
  <c r="F20" i="8"/>
  <c r="J52" i="27"/>
  <c r="C10" i="4"/>
  <c r="D10" i="4"/>
  <c r="L19" i="8"/>
  <c r="L28" i="8" s="1"/>
  <c r="I28" i="8"/>
  <c r="G28" i="8"/>
  <c r="J28" i="8"/>
  <c r="E28" i="8"/>
  <c r="E52" i="27"/>
  <c r="I45" i="27"/>
  <c r="H45" i="27" s="1"/>
  <c r="K45" i="27" l="1"/>
  <c r="F28" i="8"/>
  <c r="F52" i="27"/>
  <c r="H28" i="8"/>
  <c r="E10" i="4"/>
  <c r="F10" i="4"/>
  <c r="L45" i="27"/>
  <c r="E12" i="4" l="1"/>
  <c r="D12" i="4"/>
  <c r="D25" i="4" s="1"/>
  <c r="C12" i="4" l="1"/>
  <c r="F12" i="4"/>
  <c r="F25" i="4" s="1"/>
  <c r="B12" i="4"/>
  <c r="B19" i="4" l="1"/>
  <c r="B13" i="4"/>
  <c r="B25" i="4"/>
  <c r="B26" i="4" s="1"/>
  <c r="E25" i="4"/>
  <c r="C25" i="4" l="1"/>
  <c r="I22" i="27" l="1"/>
  <c r="L22" i="27" l="1"/>
  <c r="I26" i="27" l="1"/>
  <c r="L26" i="27" l="1"/>
  <c r="K26" i="27" l="1"/>
  <c r="G46" i="27" l="1"/>
  <c r="F46" i="27" s="1"/>
  <c r="I18" i="27"/>
  <c r="I46" i="27" s="1"/>
  <c r="I52" i="27" s="1"/>
  <c r="F18" i="27"/>
  <c r="H46" i="27" l="1"/>
  <c r="H52" i="27" s="1"/>
  <c r="L18" i="27"/>
  <c r="G52" i="27"/>
  <c r="K18" i="27" l="1"/>
  <c r="L46" i="27"/>
  <c r="L52" i="27" s="1"/>
  <c r="K46" i="27" l="1"/>
  <c r="K52" i="27" s="1"/>
  <c r="F24" i="27"/>
  <c r="I24" i="27"/>
  <c r="L24" i="27" l="1"/>
  <c r="K34" i="27" l="1"/>
  <c r="K42" i="27" s="1"/>
  <c r="G34" i="27"/>
  <c r="G42" i="27" s="1"/>
  <c r="F42" i="27" s="1"/>
  <c r="I25" i="27"/>
  <c r="L25" i="27" l="1"/>
  <c r="L34" i="27" s="1"/>
  <c r="L42" i="27" s="1"/>
  <c r="I34" i="27"/>
  <c r="D11" i="4"/>
  <c r="F34" i="27"/>
  <c r="C11" i="4" s="1"/>
  <c r="D13" i="4" l="1"/>
  <c r="F11" i="4"/>
  <c r="H34" i="27"/>
  <c r="E11" i="4" s="1"/>
  <c r="I42" i="27"/>
  <c r="H42" i="27" s="1"/>
  <c r="F13" i="4" l="1"/>
  <c r="C13" i="4"/>
  <c r="E13" i="4" l="1"/>
  <c r="I6" i="31"/>
  <c r="G7" i="31"/>
  <c r="D15" i="4" s="1"/>
  <c r="D18" i="4" s="1"/>
  <c r="I7" i="31" l="1"/>
  <c r="K6" i="31"/>
  <c r="C18" i="4"/>
  <c r="I14" i="31"/>
  <c r="F15" i="4"/>
  <c r="F18" i="4" s="1"/>
  <c r="H7" i="31"/>
  <c r="E15" i="4" s="1"/>
  <c r="G14" i="31"/>
  <c r="F14" i="31" s="1"/>
  <c r="F7" i="31"/>
  <c r="C15" i="4" s="1"/>
  <c r="L6" i="31" l="1"/>
  <c r="L7" i="31" s="1"/>
  <c r="L14" i="31" s="1"/>
  <c r="K7" i="31"/>
  <c r="K14" i="31" s="1"/>
  <c r="E18" i="4"/>
  <c r="H14" i="31"/>
  <c r="D5" i="4"/>
  <c r="D8" i="4" s="1"/>
  <c r="I10" i="8"/>
  <c r="I16" i="8" s="1"/>
  <c r="H16" i="8" s="1"/>
  <c r="H10" i="8"/>
  <c r="E5" i="4" s="1"/>
  <c r="L6" i="8"/>
  <c r="L10" i="8" s="1"/>
  <c r="L16" i="8" s="1"/>
  <c r="I6" i="8"/>
  <c r="K6" i="8"/>
  <c r="K10" i="8" s="1"/>
  <c r="K16" i="8" s="1"/>
  <c r="F10" i="8"/>
  <c r="C5" i="4" s="1"/>
  <c r="F6" i="8"/>
  <c r="G10" i="8"/>
  <c r="G16" i="8" s="1"/>
  <c r="F16" i="8" s="1"/>
  <c r="C8" i="4" l="1"/>
  <c r="D24" i="4"/>
  <c r="F5" i="4"/>
  <c r="F8" i="4" s="1"/>
  <c r="C19" i="4" l="1"/>
  <c r="B30" i="4"/>
  <c r="B31" i="4" s="1"/>
  <c r="C24" i="4"/>
  <c r="D26" i="4"/>
  <c r="C26" i="4" s="1"/>
  <c r="F24" i="4"/>
  <c r="E8" i="4"/>
  <c r="F19" i="4"/>
  <c r="E19" i="4" l="1"/>
  <c r="C30" i="4"/>
  <c r="C31" i="4" s="1"/>
  <c r="E24" i="4"/>
  <c r="F26" i="4"/>
  <c r="E26" i="4" s="1"/>
</calcChain>
</file>

<file path=xl/sharedStrings.xml><?xml version="1.0" encoding="utf-8"?>
<sst xmlns="http://schemas.openxmlformats.org/spreadsheetml/2006/main" count="260" uniqueCount="154">
  <si>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</si>
  <si>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</si>
  <si>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</si>
  <si>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</si>
  <si>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</si>
  <si>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</si>
  <si>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</si>
  <si>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</si>
  <si>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</si>
  <si>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</si>
  <si>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</si>
  <si>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</si>
  <si>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</si>
  <si>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</si>
  <si>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</si>
  <si>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</si>
  <si>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</si>
  <si>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</si>
  <si>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</si>
  <si>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</si>
  <si>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</si>
  <si>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</si>
  <si>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</si>
  <si>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</si>
  <si>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</si>
  <si>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</si>
  <si>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</si>
  <si>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</si>
  <si>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</si>
  <si>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</si>
  <si>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</si>
  <si>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</si>
  <si>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</si>
  <si>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</si>
  <si>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</si>
  <si>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 xml:space="preserve"> Total Reporting Burden</t>
  </si>
  <si>
    <t xml:space="preserve"> Total Recordkeeping Burden</t>
  </si>
  <si>
    <t>Current OMB Approved Burden Hrs</t>
  </si>
  <si>
    <t>245.6(j)</t>
  </si>
  <si>
    <t>245.9 (h)</t>
  </si>
  <si>
    <t>245.10 (a)</t>
  </si>
  <si>
    <t>School Level</t>
  </si>
  <si>
    <t xml:space="preserve">Household Level Total </t>
  </si>
  <si>
    <t>245.6a (a)(7)(i)</t>
  </si>
  <si>
    <t>245.6a (a)(7)(ii)</t>
  </si>
  <si>
    <t>Program Rule</t>
  </si>
  <si>
    <t>F/R Eligibility</t>
  </si>
  <si>
    <t>245.6a (f)</t>
  </si>
  <si>
    <t>245.9 (f)</t>
  </si>
  <si>
    <t>245.6 (c)(7)</t>
  </si>
  <si>
    <t>SFAs with schools under Provision 2 or Provision 3 submit to FNS upon request all data and documentation used in granting extensions.</t>
  </si>
  <si>
    <t xml:space="preserve">245.6(b)(1)(iv) </t>
  </si>
  <si>
    <t xml:space="preserve">ICR #0584-0026, 7 CFR Part 245, Free and Reduced Price Eligibility - Summary </t>
  </si>
  <si>
    <t>Direct Certification</t>
  </si>
  <si>
    <t>Households complete application form for free or reduced price meal benefits.</t>
  </si>
  <si>
    <t>TOTAL BURDEN</t>
  </si>
  <si>
    <t>LEAs notify households of selection for verification.</t>
  </si>
  <si>
    <t>SFAs with schools under Provisions 1, 2, or 3 must identify those schools in its free and reduced price policy statement and certify their eligibility for the first year of operation.</t>
  </si>
  <si>
    <t>LEAs submit to SA for approval a free and reduced price policy statement.</t>
  </si>
  <si>
    <t>Local Educational Agency / School Food Authority Level</t>
  </si>
  <si>
    <t>Local Educational Agency / School Food Authority Level Total</t>
  </si>
  <si>
    <t>LEAs must maintain documentation substantiating eligibility determinations for 3 years after the end of the fiscal year.</t>
  </si>
  <si>
    <t>State agencies that fail to meet the direct certification benchmark must maintain a Continuous Improvement Plan.</t>
  </si>
  <si>
    <t>CIP</t>
  </si>
  <si>
    <t>Ind. Review of Apps</t>
  </si>
  <si>
    <t>245.9(f)(4)(ii)</t>
  </si>
  <si>
    <t>CEP</t>
  </si>
  <si>
    <t>245.7(a)(2)(i)</t>
  </si>
  <si>
    <t>LEAs publicly announce method to make an oral or written request for a hearing.</t>
  </si>
  <si>
    <t>245.3(a) &amp; 245.12(a)(2)</t>
  </si>
  <si>
    <t>Public Notification</t>
  </si>
  <si>
    <t>245.12(g)</t>
  </si>
  <si>
    <t>245.12(h)(4)</t>
  </si>
  <si>
    <t>245.13(e)</t>
  </si>
  <si>
    <t>Public Notification Total</t>
  </si>
  <si>
    <t>245.5 &amp; 245.9 &amp; 245.3(b)</t>
  </si>
  <si>
    <t>245.6(e)</t>
  </si>
  <si>
    <t>245.12(i)</t>
  </si>
  <si>
    <t>245.9(f)(7)</t>
  </si>
  <si>
    <t>245.9(h)(3)</t>
  </si>
  <si>
    <t>245.9(f)(6)</t>
  </si>
  <si>
    <t>245.9(f)(4)(i)</t>
  </si>
  <si>
    <t>245.9(f)(5)</t>
  </si>
  <si>
    <t>245.6(c)(6)(i)</t>
  </si>
  <si>
    <t>245.6(c)(6)(ii)</t>
  </si>
  <si>
    <t>245.6a (j)</t>
  </si>
  <si>
    <t xml:space="preserve">Household Level </t>
  </si>
  <si>
    <t>State Agency (SA) Level</t>
  </si>
  <si>
    <t>Local Educational Agency (LEA) / School Food Authority Level (SFA)</t>
  </si>
  <si>
    <t>SA maintains annual verification data collected from SFAs (for FNS-742).</t>
  </si>
  <si>
    <t>Local Educational Agency Level</t>
  </si>
  <si>
    <t>SAs notify FNS when there is a change in the State’s TANF Program that would no longer make households automatically eligible for free meals.</t>
  </si>
  <si>
    <t>FNS-742, FNS-874</t>
  </si>
  <si>
    <t>245.6a (h) 245.11(b)(2) 245.11(c)(3) 245.11(i)</t>
  </si>
  <si>
    <t>LEAs publicly announce criteria for determining eligibility of children for free and reduced price meals (or free milk) or participation in Provision 1, 2, or 3 in an annual media release.</t>
  </si>
  <si>
    <t xml:space="preserve"> Total Public Notification Burden</t>
  </si>
  <si>
    <t>Community Eligibility</t>
  </si>
  <si>
    <t>LEA to submit to the State agency for publication a list of eligible and potentially eligible schools and their eligibility status; unless otherwise exempted by State agency</t>
  </si>
  <si>
    <t>LEAs to amend free and reduced policy statement and certify that schools meet eligibility criteria</t>
  </si>
  <si>
    <t>Community eligibility</t>
  </si>
  <si>
    <t>LEA to maintain documentation  related to methodology used to calculate the identified student percentage and determine eligibility</t>
  </si>
  <si>
    <t>245.9(g)</t>
  </si>
  <si>
    <t>SLT Subtotal</t>
  </si>
  <si>
    <t>I/H Subtotal</t>
  </si>
  <si>
    <t>Total</t>
  </si>
  <si>
    <t>Currently Approved Burden</t>
  </si>
  <si>
    <t>Responses</t>
  </si>
  <si>
    <t>Hours</t>
  </si>
  <si>
    <t>Requested</t>
  </si>
  <si>
    <t>Difference</t>
  </si>
  <si>
    <t>LEAs submit to  State agency documentation of acceptable identified student percentage of LEA/school electing the provision</t>
  </si>
  <si>
    <t>LEAs notify households of approval of meal benefit applications.</t>
  </si>
  <si>
    <t xml:space="preserve">LEAs must notify the household of the children's eligibility in the Special Milk Program after approving their application. </t>
  </si>
  <si>
    <t>LEAs provide written notice to each household of denied free milk benefits</t>
  </si>
  <si>
    <t>LEAs provide written notice to each household of denied free or reduced price benefits.</t>
  </si>
  <si>
    <t>LEAs must provide households that failed to confirm eligibility with 10 days notice for receiving a reduction or termination of free or reduced price meal benefits.</t>
  </si>
  <si>
    <t xml:space="preserve">LEAs must provide households that failed to confirm eligibility with 10 days notice for receiving a reduction or termination of free milk benefits. </t>
  </si>
  <si>
    <t>Institutions electing to provide free milk shall annually submit a written free milk policy statement for determining free milk eligibility of children under their jurisdiction.</t>
  </si>
  <si>
    <t>215.13a(c)</t>
  </si>
  <si>
    <t>215.13a(b)</t>
  </si>
  <si>
    <t>245.6(a)(1)</t>
  </si>
  <si>
    <t>245.6 (a)(1)</t>
  </si>
  <si>
    <t>Households complete application form for participation in the Special Milk Program.</t>
  </si>
  <si>
    <t>Households assemble written evidence for verification of eligibility for free and reduced price meals and send to LEA.</t>
  </si>
  <si>
    <t>215.13a(g)(2)(iv)</t>
  </si>
  <si>
    <t>Households respond to requests for verification of eligibility in the Special Milk Program.</t>
  </si>
  <si>
    <t xml:space="preserve">215.13a(e) </t>
  </si>
  <si>
    <t>215.7(7)</t>
  </si>
  <si>
    <t>LEAs must notify households in writing that children are eligible for free milk based on direct certification and that no application is required.</t>
  </si>
  <si>
    <t>215.7(d)</t>
  </si>
  <si>
    <t>Meals and Milk Eligibility</t>
  </si>
  <si>
    <t>Free Milk Eligibility</t>
  </si>
  <si>
    <t>Each school food authority approved to participate in the SMP shall enter into a written agreement with the State agency or FNSRO, as applicable, that may be amended as necessary.</t>
  </si>
  <si>
    <t xml:space="preserve"> Upon request, make all records pertaining to its milk program available to the State agency and to FNS; such records shall be retained for a period of three years after the end of the fiscal year to which they pertain. </t>
  </si>
  <si>
    <t>LEAs must notify households in writing that children are eligible for free meals based on direct certification and that no application is required.</t>
  </si>
  <si>
    <t>SAs and LEAs that plan to use or disclose information about children eligible for free or reduced price meals and/or free milk in ways not specified in this section must obtain written consent from the child's parent or guardian prior to the use or disclosure.</t>
  </si>
  <si>
    <r>
      <t>SAs enter into written agreement with the agency receiving children's free and reduced price meal</t>
    </r>
    <r>
      <rPr>
        <sz val="11"/>
        <color rgb="FFFFC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and/or free milk eligibility information.</t>
    </r>
  </si>
  <si>
    <r>
      <t xml:space="preserve">SAs submit to FNS </t>
    </r>
    <r>
      <rPr>
        <i/>
        <u/>
        <sz val="11"/>
        <rFont val="Calibri"/>
        <family val="2"/>
        <scheme val="minor"/>
      </rPr>
      <t>upon request</t>
    </r>
    <r>
      <rPr>
        <sz val="11"/>
        <rFont val="Calibri"/>
        <family val="2"/>
        <scheme val="minor"/>
      </rPr>
      <t>, the number of schools on Provision 1, Provision 2 or Provision 3 and extensions.</t>
    </r>
  </si>
  <si>
    <t>LEAs with schools offering free milk available under the Special Milk Program shall annually make a public announcement.</t>
  </si>
  <si>
    <t xml:space="preserve">State agency to  notify LEAs of their community eligibility status as applicable </t>
  </si>
  <si>
    <t>LEAs must have a written agreement with an agency to disclose children's free and reduced price meals and/or free milk eligibility information.</t>
  </si>
  <si>
    <t>245.6(i)</t>
  </si>
  <si>
    <t>State Agency to review and confirm LEAs eligibility to participate in CEP</t>
  </si>
  <si>
    <t>Household Level</t>
  </si>
  <si>
    <t xml:space="preserve">State agency to make publicly available the names of LEAs and schools receiving notifications </t>
  </si>
  <si>
    <r>
      <t xml:space="preserve">SAs that fail to meet the direct certification benchmark must develop and submit a </t>
    </r>
    <r>
      <rPr>
        <i/>
        <sz val="11"/>
        <color theme="1"/>
        <rFont val="Calibri"/>
        <family val="2"/>
        <scheme val="minor"/>
      </rPr>
      <t>Continuous Improvement Plan</t>
    </r>
    <r>
      <rPr>
        <sz val="11"/>
        <color theme="1"/>
        <rFont val="Calibri"/>
        <family val="2"/>
        <scheme val="minor"/>
      </rPr>
      <t xml:space="preserve"> within 90 days of notification.</t>
    </r>
  </si>
  <si>
    <t>Attachment B. Burden Chart for 0584-0026 –  7 CFR Part 245 - Determining Eligibility for Free and Reduced Price Meals and Free Milk in Schools</t>
  </si>
  <si>
    <t>SA reporting burden for electronic reports accounted  for in the Food Program Reporting System (FPRS) OMB#0584-0594.</t>
  </si>
  <si>
    <t>Households cooperate by providing collateral contacts for verification of eligibility.</t>
  </si>
  <si>
    <t>SA must maintain agreements with the SA conducting direct certification for SNAP.</t>
  </si>
  <si>
    <t>SA maintains annual October data on number of schools participating in Provisions 1, 2, or 3 and extensions granted.</t>
  </si>
  <si>
    <t>245.13(g)</t>
  </si>
  <si>
    <t>Each SA shall by July 1 publicly announce the annual family-size income standards to be used by LEAs in making eligibility determinations for free or reduced price meals and for free milk.</t>
  </si>
  <si>
    <t>Each State agency to provide LEAs with schools participating in the Special Milk Program with a prototype free milk policy statement and a copy of the State's family-size income standards for determining eligibility for free meals and milk.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</si>
</sst>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#,##0.0"/>
    <numFmt numFmtId="170" formatCode="#,##0.000_);\(#,##0.000\)"/>
    <numFmt numFmtId="171" formatCode="0.0"/>
    <numFmt numFmtId="172" formatCode="0.0000"/>
    <numFmt numFmtId="173" formatCode="0.00000"/>
    <numFmt numFmtId="174" formatCode="0.000000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20"/>
      <name val="Cambria"/>
      <family val="1"/>
      <scheme val="maj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FFC000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409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0" fontId="13" fillId="4" borderId="1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0" borderId="0" xfId="0" applyFont="1"/>
    <xf numFmtId="0" fontId="7" fillId="0" borderId="7" xfId="0" applyFont="1" applyBorder="1"/>
    <xf numFmtId="0" fontId="11" fillId="0" borderId="0" xfId="0" applyFont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43" fontId="6" fillId="10" borderId="11" xfId="3" applyFont="1" applyFill="1" applyBorder="1" applyAlignment="1" applyProtection="1">
      <alignment horizontal="center" vertical="center" wrapText="1"/>
      <protection locked="0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166" fontId="6" fillId="8" borderId="15" xfId="3" applyNumberFormat="1" applyFont="1" applyFill="1" applyBorder="1" applyProtection="1"/>
    <xf numFmtId="167" fontId="24" fillId="11" borderId="0" xfId="0" applyNumberFormat="1" applyFont="1" applyFill="1"/>
    <xf numFmtId="0" fontId="1" fillId="0" borderId="0" xfId="0" applyFont="1"/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6" fillId="11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3" fontId="27" fillId="0" borderId="1" xfId="0" applyNumberFormat="1" applyFont="1" applyBorder="1" applyAlignment="1">
      <alignment vertical="center"/>
    </xf>
    <xf numFmtId="0" fontId="28" fillId="0" borderId="31" xfId="1" applyFont="1" applyBorder="1" applyAlignment="1">
      <alignment vertical="center" wrapText="1"/>
    </xf>
    <xf numFmtId="0" fontId="28" fillId="0" borderId="31" xfId="1" applyFont="1" applyBorder="1" applyAlignment="1">
      <alignment vertical="center"/>
    </xf>
    <xf numFmtId="0" fontId="28" fillId="0" borderId="1" xfId="1" applyFont="1" applyBorder="1" applyAlignment="1">
      <alignment vertical="center" wrapText="1"/>
    </xf>
    <xf numFmtId="37" fontId="28" fillId="0" borderId="1" xfId="3" applyNumberFormat="1" applyFont="1" applyFill="1" applyBorder="1" applyAlignment="1" applyProtection="1">
      <alignment vertical="center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1" borderId="0" xfId="0" applyNumberFormat="1" applyFont="1" applyFill="1"/>
    <xf numFmtId="3" fontId="24" fillId="11" borderId="0" xfId="0" applyNumberFormat="1" applyFont="1" applyFill="1"/>
    <xf numFmtId="37" fontId="24" fillId="0" borderId="1" xfId="3" applyNumberFormat="1" applyFont="1" applyFill="1" applyBorder="1" applyAlignment="1" applyProtection="1">
      <alignment vertical="center"/>
      <protection locked="0"/>
    </xf>
    <xf numFmtId="37" fontId="24" fillId="0" borderId="1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2" fontId="5" fillId="10" borderId="1" xfId="3" applyNumberFormat="1" applyFont="1" applyFill="1" applyBorder="1" applyAlignment="1" applyProtection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0" fontId="6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9" fontId="24" fillId="11" borderId="0" xfId="0" applyNumberFormat="1" applyFont="1" applyFill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170" fontId="9" fillId="3" borderId="0" xfId="3" applyNumberFormat="1" applyFont="1" applyFill="1" applyBorder="1" applyAlignment="1">
      <alignment vertical="center"/>
    </xf>
    <xf numFmtId="4" fontId="5" fillId="10" borderId="1" xfId="3" applyNumberFormat="1" applyFont="1" applyFill="1" applyBorder="1" applyAlignment="1" applyProtection="1">
      <alignment vertical="center"/>
    </xf>
    <xf numFmtId="0" fontId="6" fillId="14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4" borderId="2" xfId="3" applyNumberFormat="1" applyFont="1" applyFill="1" applyBorder="1" applyAlignment="1" applyProtection="1">
      <alignment vertical="center" wrapText="1"/>
      <protection locked="0"/>
    </xf>
    <xf numFmtId="0" fontId="22" fillId="14" borderId="1" xfId="3" applyNumberFormat="1" applyFont="1" applyFill="1" applyBorder="1" applyAlignment="1" applyProtection="1">
      <alignment horizontal="right" vertical="center" wrapText="1"/>
      <protection locked="0"/>
    </xf>
    <xf numFmtId="1" fontId="6" fillId="14" borderId="1" xfId="3" applyNumberFormat="1" applyFont="1" applyFill="1" applyBorder="1" applyAlignment="1" applyProtection="1">
      <alignment horizontal="center" vertical="center"/>
      <protection locked="0"/>
    </xf>
    <xf numFmtId="1" fontId="24" fillId="14" borderId="1" xfId="3" applyNumberFormat="1" applyFont="1" applyFill="1" applyBorder="1" applyAlignment="1" applyProtection="1">
      <alignment vertical="center"/>
    </xf>
    <xf numFmtId="2" fontId="24" fillId="14" borderId="1" xfId="3" applyNumberFormat="1" applyFont="1" applyFill="1" applyBorder="1" applyAlignment="1" applyProtection="1">
      <alignment vertical="center"/>
    </xf>
    <xf numFmtId="0" fontId="13" fillId="16" borderId="11" xfId="1" applyFont="1" applyFill="1" applyBorder="1" applyAlignment="1">
      <alignment horizontal="center" vertical="center" wrapText="1"/>
    </xf>
    <xf numFmtId="0" fontId="13" fillId="16" borderId="1" xfId="1" applyFont="1" applyFill="1" applyBorder="1" applyAlignment="1">
      <alignment horizontal="center" vertical="center" wrapText="1"/>
    </xf>
    <xf numFmtId="0" fontId="25" fillId="16" borderId="27" xfId="0" applyFont="1" applyFill="1" applyBorder="1" applyAlignment="1">
      <alignment horizontal="center" vertical="center" wrapText="1"/>
    </xf>
    <xf numFmtId="0" fontId="25" fillId="16" borderId="28" xfId="0" applyFont="1" applyFill="1" applyBorder="1" applyAlignment="1">
      <alignment horizontal="center" vertical="center" wrapText="1"/>
    </xf>
    <xf numFmtId="0" fontId="6" fillId="14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14" borderId="1" xfId="3" applyNumberFormat="1" applyFont="1" applyFill="1" applyBorder="1" applyAlignment="1" applyProtection="1">
      <alignment vertical="center"/>
    </xf>
    <xf numFmtId="3" fontId="5" fillId="14" borderId="1" xfId="3" applyNumberFormat="1" applyFont="1" applyFill="1" applyBorder="1" applyAlignment="1" applyProtection="1">
      <alignment vertical="center"/>
      <protection locked="0"/>
    </xf>
    <xf numFmtId="166" fontId="11" fillId="5" borderId="0" xfId="3" applyNumberFormat="1" applyFont="1" applyFill="1" applyBorder="1" applyAlignment="1">
      <alignment vertical="center"/>
    </xf>
    <xf numFmtId="170" fontId="11" fillId="5" borderId="0" xfId="3" applyNumberFormat="1" applyFont="1" applyFill="1" applyBorder="1" applyAlignment="1">
      <alignment vertical="center"/>
    </xf>
    <xf numFmtId="166" fontId="11" fillId="14" borderId="0" xfId="3" applyNumberFormat="1" applyFont="1" applyFill="1" applyBorder="1" applyAlignment="1">
      <alignment vertical="center"/>
    </xf>
    <xf numFmtId="166" fontId="11" fillId="15" borderId="0" xfId="3" applyNumberFormat="1" applyFont="1" applyFill="1" applyBorder="1" applyAlignment="1">
      <alignment vertical="center"/>
    </xf>
    <xf numFmtId="170" fontId="11" fillId="15" borderId="0" xfId="3" applyNumberFormat="1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1" fillId="9" borderId="0" xfId="0" applyFont="1" applyFill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66" fontId="11" fillId="13" borderId="0" xfId="3" applyNumberFormat="1" applyFont="1" applyFill="1" applyBorder="1" applyAlignment="1">
      <alignment vertical="center"/>
    </xf>
    <xf numFmtId="0" fontId="11" fillId="13" borderId="0" xfId="0" applyFont="1" applyFill="1" applyAlignment="1">
      <alignment horizontal="left" vertical="center"/>
    </xf>
    <xf numFmtId="0" fontId="11" fillId="14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166" fontId="0" fillId="0" borderId="0" xfId="0" applyNumberFormat="1"/>
    <xf numFmtId="2" fontId="24" fillId="0" borderId="1" xfId="3" applyNumberFormat="1" applyFont="1" applyFill="1" applyBorder="1" applyAlignment="1" applyProtection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3" fontId="28" fillId="0" borderId="1" xfId="0" applyNumberFormat="1" applyFont="1" applyBorder="1" applyAlignment="1">
      <alignment vertical="center"/>
    </xf>
    <xf numFmtId="3" fontId="28" fillId="0" borderId="1" xfId="3" applyNumberFormat="1" applyFont="1" applyFill="1" applyBorder="1" applyAlignment="1" applyProtection="1">
      <alignment vertical="center"/>
      <protection locked="0"/>
    </xf>
    <xf numFmtId="39" fontId="11" fillId="0" borderId="0" xfId="3" applyNumberFormat="1" applyFont="1" applyFill="1" applyBorder="1" applyAlignment="1">
      <alignment vertical="center"/>
    </xf>
    <xf numFmtId="39" fontId="11" fillId="0" borderId="0" xfId="3" applyNumberFormat="1" applyFont="1" applyFill="1" applyBorder="1" applyAlignment="1">
      <alignment horizontal="right" vertical="center"/>
    </xf>
    <xf numFmtId="39" fontId="11" fillId="9" borderId="0" xfId="3" applyNumberFormat="1" applyFont="1" applyFill="1" applyBorder="1" applyAlignment="1">
      <alignment vertical="center"/>
    </xf>
    <xf numFmtId="39" fontId="11" fillId="5" borderId="0" xfId="3" applyNumberFormat="1" applyFont="1" applyFill="1" applyBorder="1" applyAlignment="1">
      <alignment vertical="center"/>
    </xf>
    <xf numFmtId="39" fontId="11" fillId="9" borderId="4" xfId="3" applyNumberFormat="1" applyFont="1" applyFill="1" applyBorder="1" applyAlignment="1">
      <alignment vertic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19" fillId="17" borderId="0" xfId="0" applyFont="1" applyFill="1" applyAlignment="1">
      <alignment horizontal="right" vertical="center"/>
    </xf>
    <xf numFmtId="166" fontId="11" fillId="17" borderId="0" xfId="3" applyNumberFormat="1" applyFont="1" applyFill="1" applyBorder="1" applyAlignment="1">
      <alignment vertical="center"/>
    </xf>
    <xf numFmtId="43" fontId="11" fillId="17" borderId="0" xfId="3" applyFont="1" applyFill="1" applyBorder="1" applyAlignment="1">
      <alignment vertical="center"/>
    </xf>
    <xf numFmtId="0" fontId="11" fillId="17" borderId="0" xfId="0" applyFont="1" applyFill="1" applyAlignment="1">
      <alignment horizontal="left" vertical="center"/>
    </xf>
    <xf numFmtId="0" fontId="36" fillId="0" borderId="0" xfId="0" applyFont="1"/>
    <xf numFmtId="44" fontId="0" fillId="0" borderId="0" xfId="27" applyFont="1"/>
    <xf numFmtId="0" fontId="0" fillId="0" borderId="0" xfId="0" applyAlignment="1">
      <alignment wrapText="1"/>
    </xf>
    <xf numFmtId="0" fontId="24" fillId="0" borderId="1" xfId="1" applyFont="1" applyBorder="1" applyAlignment="1">
      <alignment vertical="center"/>
    </xf>
    <xf numFmtId="0" fontId="1" fillId="8" borderId="21" xfId="0" applyFont="1" applyFill="1" applyBorder="1"/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171" fontId="24" fillId="0" borderId="5" xfId="3" applyNumberFormat="1" applyFont="1" applyFill="1" applyBorder="1" applyAlignment="1" applyProtection="1">
      <alignment vertical="center"/>
    </xf>
    <xf numFmtId="169" fontId="24" fillId="0" borderId="1" xfId="1" applyNumberFormat="1" applyFont="1" applyBorder="1" applyAlignment="1">
      <alignment vertical="center"/>
    </xf>
    <xf numFmtId="0" fontId="24" fillId="0" borderId="30" xfId="1" applyFont="1" applyBorder="1" applyAlignment="1">
      <alignment vertical="center"/>
    </xf>
    <xf numFmtId="0" fontId="24" fillId="0" borderId="30" xfId="1" applyFont="1" applyBorder="1" applyAlignment="1">
      <alignment vertical="center" wrapText="1"/>
    </xf>
    <xf numFmtId="169" fontId="24" fillId="0" borderId="5" xfId="3" applyNumberFormat="1" applyFont="1" applyFill="1" applyBorder="1" applyAlignment="1" applyProtection="1">
      <alignment vertical="center"/>
    </xf>
    <xf numFmtId="0" fontId="24" fillId="0" borderId="1" xfId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 wrapText="1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166" fontId="0" fillId="18" borderId="1" xfId="26" applyNumberFormat="1" applyFont="1" applyFill="1" applyBorder="1"/>
    <xf numFmtId="166" fontId="0" fillId="18" borderId="12" xfId="26" applyNumberFormat="1" applyFont="1" applyFill="1" applyBorder="1"/>
    <xf numFmtId="166" fontId="0" fillId="18" borderId="1" xfId="0" applyNumberFormat="1" applyFill="1" applyBorder="1"/>
    <xf numFmtId="3" fontId="0" fillId="18" borderId="15" xfId="0" applyNumberFormat="1" applyFill="1" applyBorder="1"/>
    <xf numFmtId="3" fontId="0" fillId="18" borderId="16" xfId="0" applyNumberFormat="1" applyFill="1" applyBorder="1"/>
    <xf numFmtId="0" fontId="0" fillId="18" borderId="0" xfId="0" applyFill="1"/>
    <xf numFmtId="0" fontId="0" fillId="18" borderId="27" xfId="0" applyFill="1" applyBorder="1"/>
    <xf numFmtId="0" fontId="1" fillId="18" borderId="28" xfId="0" applyFont="1" applyFill="1" applyBorder="1"/>
    <xf numFmtId="0" fontId="1" fillId="18" borderId="29" xfId="0" applyFont="1" applyFill="1" applyBorder="1"/>
    <xf numFmtId="0" fontId="1" fillId="18" borderId="11" xfId="0" applyFont="1" applyFill="1" applyBorder="1"/>
    <xf numFmtId="166" fontId="0" fillId="18" borderId="0" xfId="26" applyNumberFormat="1" applyFont="1" applyFill="1"/>
    <xf numFmtId="0" fontId="1" fillId="18" borderId="13" xfId="0" applyFont="1" applyFill="1" applyBorder="1"/>
    <xf numFmtId="0" fontId="1" fillId="18" borderId="27" xfId="0" applyFont="1" applyFill="1" applyBorder="1"/>
    <xf numFmtId="166" fontId="0" fillId="18" borderId="28" xfId="0" applyNumberFormat="1" applyFill="1" applyBorder="1"/>
    <xf numFmtId="0" fontId="0" fillId="18" borderId="28" xfId="0" applyFill="1" applyBorder="1"/>
    <xf numFmtId="166" fontId="0" fillId="18" borderId="29" xfId="0" applyNumberFormat="1" applyFill="1" applyBorder="1"/>
    <xf numFmtId="0" fontId="0" fillId="18" borderId="1" xfId="0" applyFill="1" applyBorder="1"/>
    <xf numFmtId="166" fontId="0" fillId="18" borderId="12" xfId="0" applyNumberFormat="1" applyFill="1" applyBorder="1"/>
    <xf numFmtId="166" fontId="0" fillId="18" borderId="15" xfId="0" applyNumberFormat="1" applyFill="1" applyBorder="1"/>
    <xf numFmtId="0" fontId="0" fillId="18" borderId="15" xfId="0" applyFill="1" applyBorder="1"/>
    <xf numFmtId="166" fontId="0" fillId="18" borderId="16" xfId="0" applyNumberFormat="1" applyFill="1" applyBorder="1"/>
    <xf numFmtId="0" fontId="0" fillId="18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left" vertical="center" wrapText="1"/>
    </xf>
    <xf numFmtId="0" fontId="28" fillId="18" borderId="1" xfId="1" applyFont="1" applyFill="1" applyBorder="1" applyAlignment="1">
      <alignment vertical="center"/>
    </xf>
    <xf numFmtId="0" fontId="0" fillId="18" borderId="1" xfId="0" applyFill="1" applyBorder="1" applyAlignment="1">
      <alignment horizontal="right" vertical="center"/>
    </xf>
    <xf numFmtId="1" fontId="0" fillId="18" borderId="1" xfId="0" applyNumberFormat="1" applyFill="1" applyBorder="1" applyAlignment="1">
      <alignment horizontal="right" vertical="center"/>
    </xf>
    <xf numFmtId="0" fontId="24" fillId="0" borderId="6" xfId="1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3" fontId="24" fillId="0" borderId="5" xfId="3" applyNumberFormat="1" applyFont="1" applyFill="1" applyBorder="1" applyAlignment="1" applyProtection="1">
      <alignment vertical="center"/>
    </xf>
    <xf numFmtId="3" fontId="24" fillId="0" borderId="1" xfId="1" applyNumberFormat="1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3" fontId="24" fillId="0" borderId="1" xfId="3" applyNumberFormat="1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21" xfId="0" applyBorder="1"/>
    <xf numFmtId="3" fontId="24" fillId="18" borderId="1" xfId="1" applyNumberFormat="1" applyFont="1" applyFill="1" applyBorder="1" applyAlignment="1">
      <alignment vertical="center"/>
    </xf>
    <xf numFmtId="0" fontId="13" fillId="0" borderId="11" xfId="1" applyFont="1" applyBorder="1" applyAlignment="1">
      <alignment horizontal="center" vertical="center" wrapText="1"/>
    </xf>
    <xf numFmtId="0" fontId="24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3" applyNumberFormat="1" applyFont="1" applyFill="1" applyBorder="1" applyAlignment="1" applyProtection="1">
      <alignment vertical="center" wrapText="1"/>
      <protection locked="0"/>
    </xf>
    <xf numFmtId="0" fontId="22" fillId="0" borderId="1" xfId="3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3" applyNumberFormat="1" applyFont="1" applyFill="1" applyBorder="1" applyAlignment="1" applyProtection="1">
      <alignment horizontal="center" vertical="center"/>
      <protection locked="0"/>
    </xf>
    <xf numFmtId="1" fontId="24" fillId="0" borderId="1" xfId="3" applyNumberFormat="1" applyFont="1" applyFill="1" applyBorder="1" applyAlignment="1" applyProtection="1">
      <alignment vertical="center"/>
    </xf>
    <xf numFmtId="172" fontId="24" fillId="0" borderId="1" xfId="3" applyNumberFormat="1" applyFont="1" applyFill="1" applyBorder="1" applyAlignment="1" applyProtection="1">
      <alignment vertical="center"/>
    </xf>
    <xf numFmtId="0" fontId="24" fillId="0" borderId="1" xfId="1" applyFont="1" applyBorder="1"/>
    <xf numFmtId="173" fontId="5" fillId="0" borderId="1" xfId="3" applyNumberFormat="1" applyFont="1" applyFill="1" applyBorder="1" applyAlignment="1" applyProtection="1">
      <alignment vertical="center"/>
      <protection locked="0"/>
    </xf>
    <xf numFmtId="169" fontId="5" fillId="0" borderId="1" xfId="3" applyNumberFormat="1" applyFont="1" applyFill="1" applyBorder="1" applyAlignment="1" applyProtection="1">
      <alignment vertical="center"/>
    </xf>
    <xf numFmtId="172" fontId="5" fillId="0" borderId="1" xfId="3" applyNumberFormat="1" applyFont="1" applyFill="1" applyBorder="1" applyAlignment="1" applyProtection="1">
      <alignment vertical="center"/>
      <protection locked="0"/>
    </xf>
    <xf numFmtId="3" fontId="37" fillId="0" borderId="1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</xf>
    <xf numFmtId="4" fontId="24" fillId="0" borderId="1" xfId="1" applyNumberFormat="1" applyFont="1" applyBorder="1" applyAlignment="1">
      <alignment vertical="center"/>
    </xf>
    <xf numFmtId="0" fontId="24" fillId="0" borderId="31" xfId="1" applyFont="1" applyBorder="1" applyAlignment="1">
      <alignment vertical="center"/>
    </xf>
    <xf numFmtId="0" fontId="1" fillId="0" borderId="21" xfId="0" applyFont="1" applyBorder="1"/>
    <xf numFmtId="168" fontId="5" fillId="0" borderId="1" xfId="3" applyNumberFormat="1" applyFont="1" applyFill="1" applyBorder="1" applyAlignment="1" applyProtection="1">
      <alignment vertical="center"/>
      <protection locked="0"/>
    </xf>
    <xf numFmtId="169" fontId="5" fillId="0" borderId="1" xfId="3" applyNumberFormat="1" applyFont="1" applyFill="1" applyBorder="1" applyAlignment="1" applyProtection="1">
      <alignment vertical="center"/>
      <protection locked="0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right" vertical="center"/>
    </xf>
    <xf numFmtId="4" fontId="29" fillId="0" borderId="1" xfId="0" applyNumberFormat="1" applyFont="1" applyBorder="1" applyAlignment="1">
      <alignment horizontal="right" vertical="center"/>
    </xf>
    <xf numFmtId="3" fontId="24" fillId="0" borderId="1" xfId="26" applyNumberFormat="1" applyFont="1" applyFill="1" applyBorder="1" applyAlignment="1">
      <alignment horizontal="right" vertical="center"/>
    </xf>
    <xf numFmtId="3" fontId="2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vertical="center" wrapText="1"/>
    </xf>
    <xf numFmtId="2" fontId="24" fillId="0" borderId="1" xfId="1" applyNumberFormat="1" applyFont="1" applyBorder="1" applyAlignment="1">
      <alignment vertical="center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68" fontId="5" fillId="0" borderId="1" xfId="3" applyNumberFormat="1" applyFont="1" applyFill="1" applyBorder="1" applyAlignment="1" applyProtection="1">
      <alignment vertical="center"/>
    </xf>
    <xf numFmtId="172" fontId="5" fillId="0" borderId="1" xfId="3" applyNumberFormat="1" applyFont="1" applyFill="1" applyBorder="1" applyAlignment="1" applyProtection="1">
      <alignment vertical="center"/>
    </xf>
    <xf numFmtId="3" fontId="5" fillId="0" borderId="1" xfId="1" applyNumberFormat="1" applyFont="1" applyBorder="1" applyAlignment="1">
      <alignment vertical="center"/>
    </xf>
    <xf numFmtId="3" fontId="6" fillId="0" borderId="1" xfId="3" applyNumberFormat="1" applyFont="1" applyFill="1" applyBorder="1" applyAlignment="1" applyProtection="1">
      <alignment vertical="center"/>
      <protection locked="0"/>
    </xf>
    <xf numFmtId="0" fontId="29" fillId="0" borderId="1" xfId="0" applyFont="1" applyBorder="1" applyAlignment="1">
      <alignment vertical="center"/>
    </xf>
    <xf numFmtId="3" fontId="2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2" fontId="5" fillId="0" borderId="1" xfId="3" applyNumberFormat="1" applyFont="1" applyFill="1" applyBorder="1" applyAlignment="1" applyProtection="1">
      <alignment vertical="center"/>
    </xf>
    <xf numFmtId="0" fontId="0" fillId="0" borderId="22" xfId="0" applyBorder="1"/>
    <xf numFmtId="0" fontId="6" fillId="0" borderId="14" xfId="3" applyNumberFormat="1" applyFont="1" applyFill="1" applyBorder="1" applyAlignment="1" applyProtection="1">
      <alignment vertical="center" wrapText="1"/>
    </xf>
    <xf numFmtId="0" fontId="22" fillId="0" borderId="15" xfId="3" applyNumberFormat="1" applyFont="1" applyFill="1" applyBorder="1" applyAlignment="1" applyProtection="1">
      <alignment horizontal="right" vertical="center"/>
    </xf>
    <xf numFmtId="0" fontId="6" fillId="0" borderId="15" xfId="3" applyNumberFormat="1" applyFont="1" applyFill="1" applyBorder="1" applyAlignment="1" applyProtection="1">
      <alignment horizontal="center" vertical="center"/>
    </xf>
    <xf numFmtId="37" fontId="6" fillId="0" borderId="15" xfId="3" applyNumberFormat="1" applyFont="1" applyFill="1" applyBorder="1" applyProtection="1"/>
    <xf numFmtId="2" fontId="6" fillId="0" borderId="15" xfId="3" applyNumberFormat="1" applyFont="1" applyFill="1" applyBorder="1" applyProtection="1"/>
    <xf numFmtId="166" fontId="6" fillId="0" borderId="15" xfId="3" applyNumberFormat="1" applyFont="1" applyFill="1" applyBorder="1" applyProtection="1"/>
    <xf numFmtId="3" fontId="6" fillId="0" borderId="16" xfId="3" applyNumberFormat="1" applyFont="1" applyFill="1" applyBorder="1" applyProtection="1"/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left"/>
    </xf>
    <xf numFmtId="37" fontId="24" fillId="0" borderId="0" xfId="0" applyNumberFormat="1" applyFont="1"/>
    <xf numFmtId="2" fontId="24" fillId="0" borderId="0" xfId="0" applyNumberFormat="1" applyFont="1"/>
    <xf numFmtId="3" fontId="24" fillId="0" borderId="0" xfId="0" applyNumberFormat="1" applyFont="1"/>
    <xf numFmtId="167" fontId="24" fillId="0" borderId="0" xfId="0" applyNumberFormat="1" applyFont="1"/>
    <xf numFmtId="37" fontId="1" fillId="0" borderId="1" xfId="0" applyNumberFormat="1" applyFont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" fontId="29" fillId="18" borderId="1" xfId="0" applyNumberFormat="1" applyFont="1" applyFill="1" applyBorder="1" applyAlignment="1">
      <alignment vertical="center"/>
    </xf>
    <xf numFmtId="1" fontId="29" fillId="0" borderId="1" xfId="0" applyNumberFormat="1" applyFont="1" applyBorder="1" applyAlignment="1">
      <alignment vertical="center"/>
    </xf>
    <xf numFmtId="3" fontId="5" fillId="0" borderId="1" xfId="15" applyNumberFormat="1" applyFont="1" applyFill="1" applyBorder="1" applyAlignment="1" applyProtection="1">
      <alignment vertical="center"/>
    </xf>
    <xf numFmtId="3" fontId="17" fillId="0" borderId="10" xfId="4" applyNumberFormat="1" applyFont="1" applyBorder="1" applyAlignment="1">
      <alignment horizontal="center"/>
    </xf>
    <xf numFmtId="3" fontId="13" fillId="0" borderId="12" xfId="1" applyNumberFormat="1" applyFont="1" applyBorder="1" applyAlignment="1">
      <alignment horizontal="center" vertical="center" wrapText="1"/>
    </xf>
    <xf numFmtId="3" fontId="24" fillId="0" borderId="12" xfId="3" applyNumberFormat="1" applyFont="1" applyFill="1" applyBorder="1" applyAlignment="1" applyProtection="1">
      <alignment vertical="center"/>
    </xf>
    <xf numFmtId="3" fontId="6" fillId="0" borderId="12" xfId="3" applyNumberFormat="1" applyFont="1" applyFill="1" applyBorder="1" applyAlignment="1" applyProtection="1">
      <alignment vertical="center"/>
    </xf>
    <xf numFmtId="3" fontId="0" fillId="0" borderId="0" xfId="0" applyNumberFormat="1"/>
    <xf numFmtId="3" fontId="25" fillId="0" borderId="29" xfId="0" applyNumberFormat="1" applyFont="1" applyBorder="1" applyAlignment="1">
      <alignment horizontal="center" vertical="center" wrapText="1"/>
    </xf>
    <xf numFmtId="3" fontId="24" fillId="0" borderId="24" xfId="0" applyNumberFormat="1" applyFont="1" applyBorder="1"/>
    <xf numFmtId="3" fontId="17" fillId="0" borderId="9" xfId="4" applyNumberFormat="1" applyFont="1" applyBorder="1" applyAlignment="1">
      <alignment horizontal="center"/>
    </xf>
    <xf numFmtId="3" fontId="13" fillId="4" borderId="1" xfId="1" applyNumberFormat="1" applyFont="1" applyFill="1" applyBorder="1" applyAlignment="1">
      <alignment horizontal="center" vertical="center" wrapText="1"/>
    </xf>
    <xf numFmtId="3" fontId="25" fillId="10" borderId="28" xfId="0" applyNumberFormat="1" applyFont="1" applyFill="1" applyBorder="1" applyAlignment="1">
      <alignment horizontal="center" vertical="center" wrapText="1"/>
    </xf>
    <xf numFmtId="3" fontId="32" fillId="0" borderId="0" xfId="0" applyNumberFormat="1" applyFont="1"/>
    <xf numFmtId="0" fontId="28" fillId="0" borderId="1" xfId="1" applyFont="1" applyBorder="1"/>
    <xf numFmtId="3" fontId="28" fillId="0" borderId="1" xfId="1" applyNumberFormat="1" applyFont="1" applyBorder="1" applyAlignment="1">
      <alignment vertical="center"/>
    </xf>
    <xf numFmtId="0" fontId="28" fillId="0" borderId="1" xfId="1" applyFont="1" applyBorder="1" applyAlignment="1">
      <alignment vertical="center"/>
    </xf>
    <xf numFmtId="0" fontId="38" fillId="0" borderId="2" xfId="0" applyFont="1" applyBorder="1" applyAlignment="1">
      <alignment vertical="center" wrapText="1"/>
    </xf>
    <xf numFmtId="0" fontId="16" fillId="0" borderId="8" xfId="4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3" xfId="3" applyNumberFormat="1" applyFont="1" applyFill="1" applyBorder="1" applyAlignment="1" applyProtection="1">
      <alignment horizontal="center" vertical="center"/>
    </xf>
    <xf numFmtId="174" fontId="5" fillId="0" borderId="1" xfId="3" applyNumberFormat="1" applyFont="1" applyFill="1" applyBorder="1" applyAlignment="1" applyProtection="1">
      <alignment vertical="center"/>
      <protection locked="0"/>
    </xf>
    <xf numFmtId="2" fontId="24" fillId="18" borderId="1" xfId="1" applyNumberFormat="1" applyFont="1" applyFill="1" applyBorder="1" applyAlignment="1">
      <alignment vertical="center"/>
    </xf>
    <xf numFmtId="37" fontId="5" fillId="18" borderId="1" xfId="15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/>
    </xf>
    <xf numFmtId="3" fontId="0" fillId="18" borderId="1" xfId="0" applyNumberFormat="1" applyFill="1" applyBorder="1" applyAlignment="1">
      <alignment vertical="center"/>
    </xf>
    <xf numFmtId="1" fontId="0" fillId="18" borderId="1" xfId="0" applyNumberFormat="1" applyFill="1" applyBorder="1" applyAlignment="1">
      <alignment vertical="center"/>
    </xf>
    <xf numFmtId="3" fontId="5" fillId="18" borderId="1" xfId="15" applyNumberFormat="1" applyFont="1" applyFill="1" applyBorder="1" applyAlignment="1" applyProtection="1">
      <alignment vertical="center"/>
    </xf>
    <xf numFmtId="3" fontId="0" fillId="0" borderId="1" xfId="0" applyNumberFormat="1" applyBorder="1" applyAlignment="1">
      <alignment vertical="center"/>
    </xf>
    <xf numFmtId="43" fontId="24" fillId="0" borderId="11" xfId="15" applyFont="1" applyFill="1" applyBorder="1" applyAlignment="1" applyProtection="1">
      <alignment horizontal="center" vertical="center" wrapText="1"/>
      <protection locked="0"/>
    </xf>
    <xf numFmtId="3" fontId="28" fillId="0" borderId="1" xfId="15" applyNumberFormat="1" applyFont="1" applyFill="1" applyBorder="1" applyAlignment="1" applyProtection="1">
      <alignment vertical="center"/>
      <protection locked="0"/>
    </xf>
    <xf numFmtId="0" fontId="29" fillId="0" borderId="0" xfId="0" applyFont="1"/>
    <xf numFmtId="0" fontId="29" fillId="0" borderId="21" xfId="0" applyFont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4" fontId="24" fillId="0" borderId="1" xfId="3" applyNumberFormat="1" applyFont="1" applyFill="1" applyBorder="1" applyAlignment="1" applyProtection="1">
      <alignment vertical="center"/>
    </xf>
    <xf numFmtId="43" fontId="5" fillId="0" borderId="11" xfId="15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0" fontId="4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3" fontId="25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169" fontId="17" fillId="0" borderId="9" xfId="4" applyNumberFormat="1" applyFont="1" applyBorder="1" applyAlignment="1">
      <alignment horizontal="center"/>
    </xf>
    <xf numFmtId="169" fontId="13" fillId="0" borderId="1" xfId="1" applyNumberFormat="1" applyFont="1" applyBorder="1" applyAlignment="1">
      <alignment horizontal="center" vertical="center" wrapText="1"/>
    </xf>
    <xf numFmtId="169" fontId="29" fillId="0" borderId="1" xfId="0" applyNumberFormat="1" applyFont="1" applyBorder="1" applyAlignment="1">
      <alignment vertical="center"/>
    </xf>
    <xf numFmtId="169" fontId="29" fillId="0" borderId="30" xfId="0" applyNumberFormat="1" applyFont="1" applyBorder="1" applyAlignment="1">
      <alignment vertical="center"/>
    </xf>
    <xf numFmtId="169" fontId="29" fillId="0" borderId="1" xfId="0" applyNumberFormat="1" applyFont="1" applyBorder="1" applyAlignment="1">
      <alignment horizontal="right" vertical="center"/>
    </xf>
    <xf numFmtId="169" fontId="24" fillId="0" borderId="1" xfId="3" applyNumberFormat="1" applyFont="1" applyFill="1" applyBorder="1" applyAlignment="1" applyProtection="1">
      <alignment vertical="center"/>
    </xf>
    <xf numFmtId="169" fontId="6" fillId="0" borderId="1" xfId="3" applyNumberFormat="1" applyFont="1" applyFill="1" applyBorder="1" applyAlignment="1" applyProtection="1">
      <alignment vertical="center"/>
      <protection locked="0"/>
    </xf>
    <xf numFmtId="169" fontId="6" fillId="0" borderId="15" xfId="3" applyNumberFormat="1" applyFont="1" applyFill="1" applyBorder="1" applyProtection="1"/>
    <xf numFmtId="169" fontId="25" fillId="0" borderId="28" xfId="0" applyNumberFormat="1" applyFont="1" applyBorder="1" applyAlignment="1">
      <alignment horizontal="center" vertical="center" wrapText="1"/>
    </xf>
    <xf numFmtId="169" fontId="24" fillId="0" borderId="0" xfId="0" applyNumberFormat="1" applyFont="1"/>
    <xf numFmtId="169" fontId="1" fillId="0" borderId="1" xfId="0" applyNumberFormat="1" applyFont="1" applyBorder="1"/>
    <xf numFmtId="169" fontId="0" fillId="0" borderId="0" xfId="0" applyNumberFormat="1"/>
    <xf numFmtId="169" fontId="6" fillId="8" borderId="15" xfId="3" applyNumberFormat="1" applyFont="1" applyFill="1" applyBorder="1" applyProtection="1"/>
    <xf numFmtId="172" fontId="17" fillId="0" borderId="9" xfId="4" applyNumberFormat="1" applyFont="1" applyBorder="1" applyAlignment="1">
      <alignment horizontal="center"/>
    </xf>
    <xf numFmtId="172" fontId="13" fillId="0" borderId="1" xfId="1" applyNumberFormat="1" applyFont="1" applyBorder="1" applyAlignment="1">
      <alignment horizontal="center" vertical="center" wrapText="1"/>
    </xf>
    <xf numFmtId="172" fontId="24" fillId="0" borderId="1" xfId="3" applyNumberFormat="1" applyFont="1" applyFill="1" applyBorder="1" applyAlignment="1" applyProtection="1">
      <alignment vertical="center"/>
      <protection locked="0"/>
    </xf>
    <xf numFmtId="172" fontId="29" fillId="0" borderId="1" xfId="0" applyNumberFormat="1" applyFont="1" applyBorder="1" applyAlignment="1">
      <alignment horizontal="right" vertical="center"/>
    </xf>
    <xf numFmtId="172" fontId="6" fillId="0" borderId="15" xfId="3" applyNumberFormat="1" applyFont="1" applyFill="1" applyBorder="1" applyProtection="1"/>
    <xf numFmtId="172" fontId="25" fillId="0" borderId="28" xfId="0" applyNumberFormat="1" applyFont="1" applyBorder="1" applyAlignment="1">
      <alignment horizontal="center" vertical="center" wrapText="1"/>
    </xf>
    <xf numFmtId="172" fontId="24" fillId="0" borderId="0" xfId="0" applyNumberFormat="1" applyFont="1"/>
    <xf numFmtId="172" fontId="1" fillId="0" borderId="1" xfId="0" applyNumberFormat="1" applyFont="1" applyBorder="1"/>
    <xf numFmtId="172" fontId="36" fillId="0" borderId="0" xfId="0" applyNumberFormat="1" applyFont="1"/>
    <xf numFmtId="172" fontId="0" fillId="0" borderId="0" xfId="0" applyNumberFormat="1"/>
    <xf numFmtId="172" fontId="13" fillId="4" borderId="1" xfId="1" applyNumberFormat="1" applyFont="1" applyFill="1" applyBorder="1" applyAlignment="1">
      <alignment horizontal="center" vertical="center" wrapText="1"/>
    </xf>
    <xf numFmtId="172" fontId="28" fillId="0" borderId="1" xfId="0" applyNumberFormat="1" applyFont="1" applyBorder="1" applyAlignment="1">
      <alignment vertical="center"/>
    </xf>
    <xf numFmtId="172" fontId="27" fillId="0" borderId="1" xfId="0" applyNumberFormat="1" applyFont="1" applyBorder="1" applyAlignment="1">
      <alignment vertical="center"/>
    </xf>
    <xf numFmtId="172" fontId="5" fillId="10" borderId="1" xfId="3" applyNumberFormat="1" applyFont="1" applyFill="1" applyBorder="1" applyAlignment="1" applyProtection="1">
      <alignment vertical="center"/>
    </xf>
    <xf numFmtId="172" fontId="0" fillId="0" borderId="1" xfId="0" applyNumberFormat="1" applyBorder="1" applyAlignment="1">
      <alignment vertical="center" wrapText="1"/>
    </xf>
    <xf numFmtId="172" fontId="25" fillId="0" borderId="1" xfId="0" applyNumberFormat="1" applyFont="1" applyBorder="1" applyAlignment="1">
      <alignment horizontal="right" vertical="center" wrapText="1"/>
    </xf>
    <xf numFmtId="172" fontId="6" fillId="8" borderId="15" xfId="3" applyNumberFormat="1" applyFont="1" applyFill="1" applyBorder="1" applyProtection="1"/>
    <xf numFmtId="172" fontId="25" fillId="10" borderId="28" xfId="0" applyNumberFormat="1" applyFont="1" applyFill="1" applyBorder="1" applyAlignment="1">
      <alignment horizontal="center" vertical="center" wrapText="1"/>
    </xf>
    <xf numFmtId="172" fontId="24" fillId="11" borderId="0" xfId="0" applyNumberFormat="1" applyFont="1" applyFill="1"/>
    <xf numFmtId="172" fontId="0" fillId="0" borderId="1" xfId="0" applyNumberFormat="1" applyBorder="1"/>
    <xf numFmtId="172" fontId="35" fillId="0" borderId="0" xfId="0" applyNumberFormat="1" applyFont="1"/>
    <xf numFmtId="172" fontId="13" fillId="16" borderId="1" xfId="1" applyNumberFormat="1" applyFont="1" applyFill="1" applyBorder="1" applyAlignment="1">
      <alignment horizontal="center" vertical="center" wrapText="1"/>
    </xf>
    <xf numFmtId="172" fontId="0" fillId="18" borderId="1" xfId="0" applyNumberFormat="1" applyFill="1" applyBorder="1" applyAlignment="1">
      <alignment horizontal="right" vertical="center"/>
    </xf>
    <xf numFmtId="172" fontId="24" fillId="14" borderId="1" xfId="3" applyNumberFormat="1" applyFont="1" applyFill="1" applyBorder="1" applyAlignment="1" applyProtection="1">
      <alignment vertical="center"/>
    </xf>
    <xf numFmtId="172" fontId="25" fillId="16" borderId="28" xfId="0" applyNumberFormat="1" applyFont="1" applyFill="1" applyBorder="1" applyAlignment="1">
      <alignment horizontal="center" vertical="center" wrapText="1"/>
    </xf>
    <xf numFmtId="1" fontId="17" fillId="0" borderId="10" xfId="4" applyNumberFormat="1" applyFont="1" applyBorder="1" applyAlignment="1">
      <alignment horizontal="center"/>
    </xf>
    <xf numFmtId="1" fontId="13" fillId="4" borderId="12" xfId="1" applyNumberFormat="1" applyFont="1" applyFill="1" applyBorder="1" applyAlignment="1">
      <alignment horizontal="center" vertical="center" wrapText="1"/>
    </xf>
    <xf numFmtId="1" fontId="28" fillId="0" borderId="12" xfId="3" applyNumberFormat="1" applyFont="1" applyFill="1" applyBorder="1" applyAlignment="1" applyProtection="1">
      <alignment vertical="center"/>
    </xf>
    <xf numFmtId="1" fontId="5" fillId="10" borderId="12" xfId="3" applyNumberFormat="1" applyFont="1" applyFill="1" applyBorder="1" applyAlignment="1" applyProtection="1">
      <alignment vertical="center"/>
    </xf>
    <xf numFmtId="1" fontId="6" fillId="8" borderId="16" xfId="3" applyNumberFormat="1" applyFont="1" applyFill="1" applyBorder="1" applyProtection="1"/>
    <xf numFmtId="1" fontId="25" fillId="10" borderId="29" xfId="0" applyNumberFormat="1" applyFont="1" applyFill="1" applyBorder="1" applyAlignment="1">
      <alignment horizontal="center" vertical="center" wrapText="1"/>
    </xf>
    <xf numFmtId="1" fontId="24" fillId="11" borderId="24" xfId="0" applyNumberFormat="1" applyFont="1" applyFill="1" applyBorder="1"/>
    <xf numFmtId="1" fontId="0" fillId="0" borderId="1" xfId="0" applyNumberFormat="1" applyBorder="1"/>
    <xf numFmtId="1" fontId="0" fillId="0" borderId="0" xfId="0" applyNumberFormat="1"/>
    <xf numFmtId="1" fontId="32" fillId="0" borderId="0" xfId="0" applyNumberFormat="1" applyFont="1"/>
    <xf numFmtId="1" fontId="13" fillId="16" borderId="12" xfId="1" applyNumberFormat="1" applyFont="1" applyFill="1" applyBorder="1" applyAlignment="1">
      <alignment horizontal="center" vertical="center" wrapText="1"/>
    </xf>
    <xf numFmtId="1" fontId="5" fillId="0" borderId="12" xfId="3" applyNumberFormat="1" applyFont="1" applyFill="1" applyBorder="1" applyAlignment="1" applyProtection="1">
      <alignment vertical="center"/>
    </xf>
    <xf numFmtId="1" fontId="6" fillId="0" borderId="12" xfId="3" applyNumberFormat="1" applyFont="1" applyFill="1" applyBorder="1" applyAlignment="1" applyProtection="1">
      <alignment vertical="center"/>
    </xf>
    <xf numFmtId="1" fontId="5" fillId="14" borderId="12" xfId="3" applyNumberFormat="1" applyFont="1" applyFill="1" applyBorder="1" applyAlignment="1" applyProtection="1">
      <alignment vertical="center"/>
    </xf>
    <xf numFmtId="1" fontId="25" fillId="16" borderId="29" xfId="0" applyNumberFormat="1" applyFont="1" applyFill="1" applyBorder="1" applyAlignment="1">
      <alignment horizontal="center" vertical="center" wrapText="1"/>
    </xf>
    <xf numFmtId="1" fontId="17" fillId="0" borderId="9" xfId="4" applyNumberFormat="1" applyFont="1" applyBorder="1" applyAlignment="1">
      <alignment horizontal="center"/>
    </xf>
    <xf numFmtId="1" fontId="13" fillId="16" borderId="1" xfId="1" applyNumberFormat="1" applyFont="1" applyFill="1" applyBorder="1" applyAlignment="1">
      <alignment horizontal="center" vertical="center" wrapText="1"/>
    </xf>
    <xf numFmtId="1" fontId="5" fillId="14" borderId="1" xfId="3" applyNumberFormat="1" applyFont="1" applyFill="1" applyBorder="1" applyAlignment="1" applyProtection="1">
      <alignment vertical="center"/>
    </xf>
    <xf numFmtId="1" fontId="6" fillId="8" borderId="15" xfId="3" applyNumberFormat="1" applyFont="1" applyFill="1" applyBorder="1" applyProtection="1"/>
    <xf numFmtId="1" fontId="25" fillId="16" borderId="28" xfId="0" applyNumberFormat="1" applyFont="1" applyFill="1" applyBorder="1" applyAlignment="1">
      <alignment horizontal="center" vertical="center" wrapText="1"/>
    </xf>
    <xf numFmtId="1" fontId="24" fillId="11" borderId="0" xfId="0" applyNumberFormat="1" applyFont="1" applyFill="1"/>
    <xf numFmtId="172" fontId="10" fillId="0" borderId="0" xfId="0" applyNumberFormat="1" applyFont="1"/>
    <xf numFmtId="172" fontId="11" fillId="2" borderId="4" xfId="0" applyNumberFormat="1" applyFont="1" applyFill="1" applyBorder="1" applyAlignment="1">
      <alignment horizontal="center" vertical="center" wrapText="1"/>
    </xf>
    <xf numFmtId="172" fontId="8" fillId="6" borderId="0" xfId="0" applyNumberFormat="1" applyFont="1" applyFill="1" applyAlignment="1">
      <alignment horizontal="center" vertical="center" wrapText="1"/>
    </xf>
    <xf numFmtId="172" fontId="11" fillId="0" borderId="0" xfId="3" applyNumberFormat="1" applyFont="1" applyBorder="1" applyAlignment="1">
      <alignment vertical="center"/>
    </xf>
    <xf numFmtId="172" fontId="11" fillId="0" borderId="4" xfId="3" applyNumberFormat="1" applyFont="1" applyBorder="1" applyAlignment="1">
      <alignment vertical="center"/>
    </xf>
    <xf numFmtId="172" fontId="11" fillId="0" borderId="0" xfId="3" applyNumberFormat="1" applyFont="1" applyFill="1" applyBorder="1" applyAlignment="1">
      <alignment vertical="center"/>
    </xf>
    <xf numFmtId="172" fontId="20" fillId="7" borderId="0" xfId="0" applyNumberFormat="1" applyFont="1" applyFill="1" applyAlignment="1">
      <alignment horizontal="center" vertical="center" wrapText="1"/>
    </xf>
    <xf numFmtId="172" fontId="11" fillId="9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72" fontId="11" fillId="9" borderId="4" xfId="3" applyNumberFormat="1" applyFont="1" applyFill="1" applyBorder="1" applyAlignment="1">
      <alignment vertical="center"/>
    </xf>
    <xf numFmtId="172" fontId="11" fillId="15" borderId="0" xfId="3" applyNumberFormat="1" applyFont="1" applyFill="1" applyBorder="1" applyAlignment="1">
      <alignment vertical="center"/>
    </xf>
    <xf numFmtId="172" fontId="11" fillId="17" borderId="0" xfId="3" applyNumberFormat="1" applyFont="1" applyFill="1" applyBorder="1" applyAlignment="1">
      <alignment vertical="center"/>
    </xf>
    <xf numFmtId="172" fontId="11" fillId="14" borderId="0" xfId="3" applyNumberFormat="1" applyFont="1" applyFill="1" applyBorder="1" applyAlignment="1">
      <alignment vertical="center"/>
    </xf>
    <xf numFmtId="172" fontId="11" fillId="13" borderId="0" xfId="3" applyNumberFormat="1" applyFont="1" applyFill="1" applyBorder="1" applyAlignment="1">
      <alignment vertical="center"/>
    </xf>
    <xf numFmtId="172" fontId="9" fillId="3" borderId="0" xfId="3" applyNumberFormat="1" applyFont="1" applyFill="1" applyBorder="1" applyAlignment="1">
      <alignment vertical="center"/>
    </xf>
    <xf numFmtId="172" fontId="3" fillId="0" borderId="0" xfId="4" applyNumberFormat="1"/>
    <xf numFmtId="172" fontId="0" fillId="18" borderId="0" xfId="0" applyNumberFormat="1" applyFill="1"/>
    <xf numFmtId="172" fontId="0" fillId="18" borderId="28" xfId="0" applyNumberFormat="1" applyFill="1" applyBorder="1"/>
    <xf numFmtId="172" fontId="0" fillId="18" borderId="1" xfId="0" applyNumberFormat="1" applyFill="1" applyBorder="1"/>
    <xf numFmtId="172" fontId="0" fillId="18" borderId="15" xfId="0" applyNumberFormat="1" applyFill="1" applyBorder="1"/>
    <xf numFmtId="37" fontId="11" fillId="14" borderId="0" xfId="3" applyNumberFormat="1" applyFont="1" applyFill="1" applyBorder="1" applyAlignment="1">
      <alignment vertical="center"/>
    </xf>
    <xf numFmtId="2" fontId="27" fillId="0" borderId="1" xfId="0" applyNumberFormat="1" applyFont="1" applyBorder="1" applyAlignment="1">
      <alignment vertical="center"/>
    </xf>
    <xf numFmtId="4" fontId="28" fillId="0" borderId="5" xfId="3" applyNumberFormat="1" applyFont="1" applyFill="1" applyBorder="1" applyAlignment="1" applyProtection="1">
      <alignment vertical="center"/>
    </xf>
    <xf numFmtId="4" fontId="0" fillId="18" borderId="1" xfId="0" applyNumberFormat="1" applyFill="1" applyBorder="1" applyAlignment="1">
      <alignment horizontal="right" vertical="center"/>
    </xf>
    <xf numFmtId="2" fontId="28" fillId="0" borderId="1" xfId="1" applyNumberFormat="1" applyFont="1" applyBorder="1" applyAlignment="1">
      <alignment vertical="center"/>
    </xf>
    <xf numFmtId="3" fontId="6" fillId="8" borderId="15" xfId="3" applyNumberFormat="1" applyFont="1" applyFill="1" applyBorder="1" applyProtection="1"/>
    <xf numFmtId="2" fontId="0" fillId="18" borderId="1" xfId="0" applyNumberFormat="1" applyFill="1" applyBorder="1" applyAlignment="1">
      <alignment horizontal="right" vertical="center"/>
    </xf>
    <xf numFmtId="37" fontId="24" fillId="0" borderId="1" xfId="15" applyNumberFormat="1" applyFont="1" applyFill="1" applyBorder="1" applyAlignment="1" applyProtection="1">
      <alignment horizontal="right" vertical="center"/>
      <protection locked="0"/>
    </xf>
    <xf numFmtId="169" fontId="6" fillId="0" borderId="12" xfId="3" applyNumberFormat="1" applyFont="1" applyFill="1" applyBorder="1" applyAlignment="1" applyProtection="1">
      <alignment vertical="center"/>
    </xf>
    <xf numFmtId="169" fontId="5" fillId="0" borderId="12" xfId="3" applyNumberFormat="1" applyFont="1" applyFill="1" applyBorder="1" applyAlignment="1" applyProtection="1">
      <alignment vertical="center"/>
    </xf>
    <xf numFmtId="169" fontId="28" fillId="0" borderId="1" xfId="3" applyNumberFormat="1" applyFont="1" applyFill="1" applyBorder="1" applyAlignment="1" applyProtection="1">
      <alignment vertical="center"/>
      <protection locked="0"/>
    </xf>
    <xf numFmtId="171" fontId="28" fillId="0" borderId="12" xfId="3" applyNumberFormat="1" applyFont="1" applyFill="1" applyBorder="1" applyAlignment="1" applyProtection="1">
      <alignment vertical="center"/>
    </xf>
    <xf numFmtId="169" fontId="24" fillId="0" borderId="1" xfId="3" applyNumberFormat="1" applyFont="1" applyFill="1" applyBorder="1" applyAlignment="1" applyProtection="1">
      <alignment vertical="center"/>
      <protection locked="0"/>
    </xf>
    <xf numFmtId="2" fontId="2" fillId="12" borderId="1" xfId="0" applyNumberFormat="1" applyFont="1" applyFill="1" applyBorder="1" applyAlignment="1">
      <alignment vertical="center"/>
    </xf>
    <xf numFmtId="2" fontId="24" fillId="0" borderId="12" xfId="3" applyNumberFormat="1" applyFont="1" applyFill="1" applyBorder="1" applyAlignment="1" applyProtection="1">
      <alignment vertical="center"/>
    </xf>
    <xf numFmtId="2" fontId="24" fillId="18" borderId="12" xfId="3" applyNumberFormat="1" applyFont="1" applyFill="1" applyBorder="1" applyAlignment="1" applyProtection="1">
      <alignment vertical="center"/>
    </xf>
    <xf numFmtId="39" fontId="24" fillId="14" borderId="1" xfId="3" applyNumberFormat="1" applyFont="1" applyFill="1" applyBorder="1" applyAlignment="1" applyProtection="1">
      <alignment vertical="center"/>
    </xf>
    <xf numFmtId="2" fontId="24" fillId="14" borderId="12" xfId="3" applyNumberFormat="1" applyFont="1" applyFill="1" applyBorder="1" applyAlignment="1" applyProtection="1">
      <alignment vertical="center"/>
    </xf>
    <xf numFmtId="0" fontId="0" fillId="0" borderId="1" xfId="0" applyBorder="1"/>
    <xf numFmtId="0" fontId="23" fillId="0" borderId="2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23" fillId="8" borderId="25" xfId="1" applyFont="1" applyFill="1" applyBorder="1" applyAlignment="1">
      <alignment horizontal="center" vertical="center" wrapText="1"/>
    </xf>
    <xf numFmtId="0" fontId="23" fillId="8" borderId="6" xfId="1" applyFont="1" applyFill="1" applyBorder="1" applyAlignment="1">
      <alignment horizontal="center" vertical="center" wrapText="1"/>
    </xf>
    <xf numFmtId="0" fontId="23" fillId="8" borderId="26" xfId="1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8">
    <cellStyle name="Comma" xfId="26" builtinId="3"/>
    <cellStyle name="Comma 2" xfId="3" xr:uid="{00000000-0005-0000-0000-000001000000}"/>
    <cellStyle name="Comma 2 2" xfId="15" xr:uid="{00000000-0005-0000-0000-000002000000}"/>
    <cellStyle name="Comma 2 3" xfId="12" xr:uid="{00000000-0005-0000-0000-000003000000}"/>
    <cellStyle name="Comma 2 4" xfId="9" xr:uid="{00000000-0005-0000-0000-000004000000}"/>
    <cellStyle name="Comma 2 5" xfId="6" xr:uid="{00000000-0005-0000-0000-000005000000}"/>
    <cellStyle name="Comma 3" xfId="2" xr:uid="{00000000-0005-0000-0000-000006000000}"/>
    <cellStyle name="Comma 3 2" xfId="14" xr:uid="{00000000-0005-0000-0000-000007000000}"/>
    <cellStyle name="Comma 3 3" xfId="11" xr:uid="{00000000-0005-0000-0000-000008000000}"/>
    <cellStyle name="Comma 3 4" xfId="8" xr:uid="{00000000-0005-0000-0000-000009000000}"/>
    <cellStyle name="Comma 3 5" xfId="5" xr:uid="{00000000-0005-0000-0000-00000A000000}"/>
    <cellStyle name="Currency" xfId="27" builtinId="4"/>
    <cellStyle name="Currency 2" xfId="18" xr:uid="{00000000-0005-0000-0000-00000C000000}"/>
    <cellStyle name="Normal" xfId="0" builtinId="0"/>
    <cellStyle name="Normal 2" xfId="1" xr:uid="{00000000-0005-0000-0000-00000E000000}"/>
    <cellStyle name="Normal 2 2" xfId="17" xr:uid="{00000000-0005-0000-0000-00000F000000}"/>
    <cellStyle name="Normal 3" xfId="4" xr:uid="{00000000-0005-0000-0000-000010000000}"/>
    <cellStyle name="Normal 3 2" xfId="19" xr:uid="{00000000-0005-0000-0000-000011000000}"/>
    <cellStyle name="Normal 3 3" xfId="16" xr:uid="{00000000-0005-0000-0000-000012000000}"/>
    <cellStyle name="Normal 3 4" xfId="13" xr:uid="{00000000-0005-0000-0000-000013000000}"/>
    <cellStyle name="Normal 3 5" xfId="10" xr:uid="{00000000-0005-0000-0000-000014000000}"/>
    <cellStyle name="Normal 3 6" xfId="7" xr:uid="{00000000-0005-0000-0000-000015000000}"/>
    <cellStyle name="Normal 4" xfId="20" xr:uid="{00000000-0005-0000-0000-000016000000}"/>
    <cellStyle name="Normal 5" xfId="21" xr:uid="{00000000-0005-0000-0000-000017000000}"/>
    <cellStyle name="Normal 6" xfId="22" xr:uid="{00000000-0005-0000-0000-000018000000}"/>
    <cellStyle name="Normal 7" xfId="23" xr:uid="{00000000-0005-0000-0000-000019000000}"/>
    <cellStyle name="Normal 8" xfId="24" xr:uid="{00000000-0005-0000-0000-00001A000000}"/>
    <cellStyle name="Normal 9" xfId="25" xr:uid="{00000000-0005-0000-0000-00001B000000}"/>
  </cellStyles>
  <dxfs count="5">
    <dxf>
      <numFmt numFmtId="166" formatCode="_(* #,##0_);_(* \(#,##0\);_(* &quot;-&quot;??_);_(@_)"/>
    </dxf>
    <dxf>
      <numFmt numFmtId="172" formatCode="0.000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20" totalsRowShown="0" headerRowDxfId="4" headerRowBorderDxfId="3" tableBorderDxfId="2">
  <tableColumns count="6">
    <tableColumn id="1" xr3:uid="{00000000-0010-0000-0000-000001000000}" name=" "/>
    <tableColumn id="2" xr3:uid="{00000000-0010-0000-0000-000002000000}" name="Estimated # Respondents"/>
    <tableColumn id="3" xr3:uid="{00000000-0010-0000-0000-000003000000}" name="Responses Per Respondent"/>
    <tableColumn id="4" xr3:uid="{00000000-0010-0000-0000-000004000000}" name="Total Annual Responses (Col. BxC)"/>
    <tableColumn id="5" xr3:uid="{00000000-0010-0000-0000-000005000000}" name="Estimated Avg. # of Hours Per Response" dataDxfId="1"/>
    <tableColumn id="6" xr3:uid="{00000000-0010-0000-0000-000006000000}" name="Estimated Total Hours (Col. DxE)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59"/>
  <sheetViews>
    <sheetView zoomScale="80" zoomScaleNormal="80" workbookViewId="0">
      <pane xSplit="13" ySplit="5" topLeftCell="N34" activePane="bottomRight" state="frozen"/>
      <selection pane="topRight" activeCell="R1" sqref="R1"/>
      <selection pane="bottomLeft" activeCell="A5" sqref="A5"/>
      <selection pane="bottomRight" activeCell="C12" sqref="C12"/>
    </sheetView>
  </sheetViews>
  <sheetFormatPr defaultRowHeight="14.5" outlineLevelCol="1" x14ac:dyDescent="0.35"/>
  <cols>
    <col min="1" max="1" width="11.81640625" customWidth="1"/>
    <col min="2" max="2" width="17.54296875" customWidth="1"/>
    <col min="3" max="3" width="42.1796875" customWidth="1"/>
    <col min="4" max="4" width="12.81640625" bestFit="1" customWidth="1"/>
    <col min="5" max="5" width="15.7265625" bestFit="1" customWidth="1"/>
    <col min="6" max="6" width="15" customWidth="1"/>
    <col min="7" max="7" width="16" customWidth="1"/>
    <col min="8" max="8" width="14.54296875" style="317" bestFit="1" customWidth="1"/>
    <col min="9" max="9" width="13.1796875" customWidth="1"/>
    <col min="10" max="10" width="16.54296875" customWidth="1"/>
    <col min="11" max="11" width="13.453125" style="306" customWidth="1" outlineLevel="1"/>
    <col min="12" max="12" width="18.7265625" style="259" customWidth="1"/>
    <col min="13" max="13" width="16.453125" hidden="1" customWidth="1" outlineLevel="1"/>
    <col min="14" max="14" width="9.1796875" collapsed="1"/>
    <col min="15" max="15" width="20.453125" hidden="1" customWidth="1" outlineLevel="1"/>
    <col min="16" max="16" width="9.1796875" collapsed="1"/>
    <col min="62" max="62" width="8.7265625" customWidth="1"/>
  </cols>
  <sheetData>
    <row r="1" spans="1:15" s="195" customFormat="1" ht="75.650000000000006" customHeight="1" thickBot="1" x14ac:dyDescent="0.55000000000000004">
      <c r="A1" s="399" t="s">
        <v>146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</row>
    <row r="2" spans="1:15" ht="30.75" customHeight="1" thickBot="1" x14ac:dyDescent="0.55000000000000004">
      <c r="A2" s="396" t="s">
        <v>30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8"/>
    </row>
    <row r="3" spans="1:15" ht="24" customHeight="1" thickBot="1" x14ac:dyDescent="0.4">
      <c r="A3" s="270"/>
      <c r="B3" s="14"/>
      <c r="C3" s="14"/>
      <c r="D3" s="15"/>
      <c r="E3" s="16" t="s">
        <v>13</v>
      </c>
      <c r="F3" s="16" t="s">
        <v>14</v>
      </c>
      <c r="G3" s="16" t="s">
        <v>15</v>
      </c>
      <c r="H3" s="308" t="s">
        <v>16</v>
      </c>
      <c r="I3" s="16" t="s">
        <v>17</v>
      </c>
      <c r="J3" s="16" t="s">
        <v>18</v>
      </c>
      <c r="K3" s="295"/>
      <c r="L3" s="255" t="s">
        <v>19</v>
      </c>
      <c r="M3" s="3"/>
      <c r="N3" s="2"/>
    </row>
    <row r="4" spans="1:15" ht="39.5" thickBot="1" x14ac:dyDescent="0.4">
      <c r="A4" s="193" t="s">
        <v>45</v>
      </c>
      <c r="B4" s="196" t="s">
        <v>0</v>
      </c>
      <c r="C4" s="196" t="s">
        <v>1</v>
      </c>
      <c r="D4" s="196" t="s">
        <v>2</v>
      </c>
      <c r="E4" s="196" t="s">
        <v>21</v>
      </c>
      <c r="F4" s="196" t="s">
        <v>27</v>
      </c>
      <c r="G4" s="196" t="s">
        <v>5</v>
      </c>
      <c r="H4" s="309" t="s">
        <v>24</v>
      </c>
      <c r="I4" s="196" t="s">
        <v>7</v>
      </c>
      <c r="J4" s="196" t="s">
        <v>37</v>
      </c>
      <c r="K4" s="296" t="s">
        <v>8</v>
      </c>
      <c r="L4" s="256" t="s">
        <v>9</v>
      </c>
      <c r="M4" s="197" t="s">
        <v>10</v>
      </c>
      <c r="N4" s="1"/>
      <c r="O4" s="198" t="s">
        <v>26</v>
      </c>
    </row>
    <row r="5" spans="1:15" ht="18.5" x14ac:dyDescent="0.35">
      <c r="A5" s="393" t="s">
        <v>87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5"/>
      <c r="M5" s="199"/>
      <c r="N5" s="1"/>
      <c r="O5" s="198"/>
    </row>
    <row r="6" spans="1:15" ht="112.5" customHeight="1" x14ac:dyDescent="0.35">
      <c r="A6" s="145" t="s">
        <v>130</v>
      </c>
      <c r="B6" s="143" t="s">
        <v>141</v>
      </c>
      <c r="C6" s="151" t="s">
        <v>135</v>
      </c>
      <c r="D6" s="143"/>
      <c r="E6" s="80">
        <v>54</v>
      </c>
      <c r="F6" s="80">
        <v>1</v>
      </c>
      <c r="G6" s="81">
        <f>+E6*F6</f>
        <v>54</v>
      </c>
      <c r="H6" s="310">
        <v>0.25</v>
      </c>
      <c r="I6" s="146">
        <f>+G6*H6</f>
        <v>13.5</v>
      </c>
      <c r="J6" s="147">
        <v>13.5</v>
      </c>
      <c r="K6" s="297">
        <f>L6</f>
        <v>0</v>
      </c>
      <c r="L6" s="257">
        <f>+I6-J6</f>
        <v>0</v>
      </c>
      <c r="O6" s="187" t="s">
        <v>53</v>
      </c>
    </row>
    <row r="7" spans="1:15" ht="73.5" customHeight="1" x14ac:dyDescent="0.35">
      <c r="A7" s="145" t="s">
        <v>130</v>
      </c>
      <c r="B7" s="143" t="s">
        <v>38</v>
      </c>
      <c r="C7" s="151" t="s">
        <v>136</v>
      </c>
      <c r="D7" s="143"/>
      <c r="E7" s="80">
        <v>54</v>
      </c>
      <c r="F7" s="80">
        <v>1</v>
      </c>
      <c r="G7" s="81">
        <f>+E7*F7</f>
        <v>54</v>
      </c>
      <c r="H7" s="310">
        <v>0.25</v>
      </c>
      <c r="I7" s="146">
        <f>+G7*H7</f>
        <v>13.5</v>
      </c>
      <c r="J7" s="147">
        <v>13.5</v>
      </c>
      <c r="K7" s="298">
        <f>L7</f>
        <v>0</v>
      </c>
      <c r="L7" s="257">
        <f>+I7-J7</f>
        <v>0</v>
      </c>
      <c r="O7" s="187" t="s">
        <v>63</v>
      </c>
    </row>
    <row r="8" spans="1:15" ht="61" customHeight="1" x14ac:dyDescent="0.35">
      <c r="A8" s="271" t="s">
        <v>96</v>
      </c>
      <c r="B8" s="188" t="s">
        <v>80</v>
      </c>
      <c r="C8" s="188" t="s">
        <v>139</v>
      </c>
      <c r="D8" s="143"/>
      <c r="E8" s="381">
        <v>55</v>
      </c>
      <c r="F8" s="189">
        <f>G8/E8</f>
        <v>158.74545454545455</v>
      </c>
      <c r="G8" s="190">
        <v>8731</v>
      </c>
      <c r="H8" s="311">
        <v>5.0099999999999999E-2</v>
      </c>
      <c r="I8" s="189">
        <f>G8*H8</f>
        <v>437.42309999999998</v>
      </c>
      <c r="J8" s="189">
        <v>436.45000000000005</v>
      </c>
      <c r="K8" s="299">
        <f>I8-J8</f>
        <v>0.97309999999993124</v>
      </c>
      <c r="L8" s="257">
        <f>K8</f>
        <v>0.97309999999993124</v>
      </c>
      <c r="O8" s="187"/>
    </row>
    <row r="9" spans="1:15" ht="72" customHeight="1" x14ac:dyDescent="0.35">
      <c r="A9" s="145" t="s">
        <v>46</v>
      </c>
      <c r="B9" s="148" t="s">
        <v>71</v>
      </c>
      <c r="C9" s="149" t="s">
        <v>91</v>
      </c>
      <c r="D9" s="143"/>
      <c r="E9" s="80">
        <v>54</v>
      </c>
      <c r="F9" s="80">
        <v>1</v>
      </c>
      <c r="G9" s="81">
        <f t="shared" ref="G9" si="0">+E9*F9</f>
        <v>54</v>
      </c>
      <c r="H9" s="310">
        <v>0.1002</v>
      </c>
      <c r="I9" s="150">
        <f>+G9*H9</f>
        <v>5.4108000000000001</v>
      </c>
      <c r="J9" s="147">
        <v>5.4</v>
      </c>
      <c r="K9" s="298">
        <f>L9</f>
        <v>1.0799999999999699E-2</v>
      </c>
      <c r="L9" s="257">
        <f>+I9-J9</f>
        <v>1.0799999999999699E-2</v>
      </c>
      <c r="O9" s="191"/>
    </row>
    <row r="10" spans="1:15" ht="68" customHeight="1" x14ac:dyDescent="0.35">
      <c r="A10" s="145" t="s">
        <v>46</v>
      </c>
      <c r="B10" s="143" t="s">
        <v>72</v>
      </c>
      <c r="C10" s="151" t="s">
        <v>137</v>
      </c>
      <c r="D10" s="143"/>
      <c r="E10" s="80">
        <v>35</v>
      </c>
      <c r="F10" s="80">
        <v>1</v>
      </c>
      <c r="G10" s="81">
        <f>+E10*F10</f>
        <v>35</v>
      </c>
      <c r="H10" s="310">
        <v>1.5</v>
      </c>
      <c r="I10" s="150">
        <f>+G10*H10</f>
        <v>52.5</v>
      </c>
      <c r="J10" s="147">
        <v>52.5</v>
      </c>
      <c r="K10" s="217">
        <v>0</v>
      </c>
      <c r="L10" s="257">
        <f>+I10-J10</f>
        <v>0</v>
      </c>
      <c r="O10" s="191"/>
    </row>
    <row r="11" spans="1:15" ht="59.5" customHeight="1" x14ac:dyDescent="0.35">
      <c r="A11" s="145" t="s">
        <v>63</v>
      </c>
      <c r="B11" s="180" t="s">
        <v>73</v>
      </c>
      <c r="C11" s="181" t="s">
        <v>145</v>
      </c>
      <c r="D11" s="143"/>
      <c r="E11" s="80">
        <v>16</v>
      </c>
      <c r="F11" s="80">
        <v>1</v>
      </c>
      <c r="G11" s="81">
        <v>16</v>
      </c>
      <c r="H11" s="310">
        <v>3</v>
      </c>
      <c r="I11" s="182">
        <f t="shared" ref="I11" si="1">+G11*H11</f>
        <v>48</v>
      </c>
      <c r="J11" s="183">
        <v>30</v>
      </c>
      <c r="K11" s="217">
        <f>I11-J11</f>
        <v>18</v>
      </c>
      <c r="L11" s="257">
        <f>+I11-J11</f>
        <v>18</v>
      </c>
      <c r="O11" s="191"/>
    </row>
    <row r="12" spans="1:15" ht="84.5" customHeight="1" x14ac:dyDescent="0.35">
      <c r="A12" s="145" t="s">
        <v>131</v>
      </c>
      <c r="B12" s="200" t="s">
        <v>119</v>
      </c>
      <c r="C12" s="201" t="s">
        <v>153</v>
      </c>
      <c r="D12" s="151"/>
      <c r="E12" s="80">
        <v>52</v>
      </c>
      <c r="F12" s="80">
        <v>1</v>
      </c>
      <c r="G12" s="81">
        <v>52</v>
      </c>
      <c r="H12" s="310">
        <v>0.20039999999999999</v>
      </c>
      <c r="I12" s="150">
        <f>G12*H12</f>
        <v>10.4208</v>
      </c>
      <c r="J12" s="147">
        <v>10.4</v>
      </c>
      <c r="K12" s="217">
        <v>0</v>
      </c>
      <c r="L12" s="257">
        <f>I12-J12</f>
        <v>2.0799999999999486E-2</v>
      </c>
      <c r="O12" s="191"/>
    </row>
    <row r="13" spans="1:15" ht="58" x14ac:dyDescent="0.35">
      <c r="A13" s="145"/>
      <c r="B13" s="152" t="s">
        <v>93</v>
      </c>
      <c r="C13" s="151" t="s">
        <v>147</v>
      </c>
      <c r="D13" s="151" t="s">
        <v>92</v>
      </c>
      <c r="E13" s="80"/>
      <c r="F13" s="80"/>
      <c r="G13" s="81"/>
      <c r="H13" s="310"/>
      <c r="I13" s="150"/>
      <c r="J13" s="147"/>
      <c r="K13" s="217"/>
      <c r="L13" s="257"/>
      <c r="O13" s="191"/>
    </row>
    <row r="14" spans="1:15" ht="15.5" x14ac:dyDescent="0.35">
      <c r="A14" s="145"/>
      <c r="B14" s="202"/>
      <c r="C14" s="203" t="s">
        <v>32</v>
      </c>
      <c r="D14" s="204"/>
      <c r="E14" s="205">
        <f>+MAX(E6:E13)</f>
        <v>55</v>
      </c>
      <c r="F14" s="122">
        <f>G14/E14</f>
        <v>163.56363636363636</v>
      </c>
      <c r="G14" s="205">
        <f>SUM(G6:G13)</f>
        <v>8996</v>
      </c>
      <c r="H14" s="206">
        <f>I14/G14</f>
        <v>6.4556991996442853E-2</v>
      </c>
      <c r="I14" s="205">
        <f>SUM(I6:I13)</f>
        <v>580.75469999999996</v>
      </c>
      <c r="J14" s="205">
        <f>SUM(J6:J13)</f>
        <v>561.75</v>
      </c>
      <c r="K14" s="300">
        <f>SUM(K6:K13)</f>
        <v>18.983899999999931</v>
      </c>
      <c r="L14" s="257">
        <f>SUM(L6:L13)</f>
        <v>19.004699999999929</v>
      </c>
      <c r="O14" s="191"/>
    </row>
    <row r="15" spans="1:15" ht="18.75" customHeight="1" x14ac:dyDescent="0.35">
      <c r="A15" s="393" t="s">
        <v>88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  <c r="L15" s="395"/>
      <c r="M15" s="199"/>
      <c r="N15" s="1"/>
      <c r="O15" s="191"/>
    </row>
    <row r="16" spans="1:15" ht="36" customHeight="1" x14ac:dyDescent="0.35">
      <c r="A16" s="145" t="s">
        <v>46</v>
      </c>
      <c r="B16" s="143" t="s">
        <v>83</v>
      </c>
      <c r="C16" s="151" t="s">
        <v>111</v>
      </c>
      <c r="D16" s="207"/>
      <c r="E16" s="183">
        <v>15340</v>
      </c>
      <c r="F16" s="208">
        <f t="shared" ref="F16:F21" si="2">G16/E16</f>
        <v>219.73109517601043</v>
      </c>
      <c r="G16" s="67">
        <v>3370675</v>
      </c>
      <c r="H16" s="210">
        <v>1.67E-2</v>
      </c>
      <c r="I16" s="209">
        <f>+G16*H16</f>
        <v>56290.272499999999</v>
      </c>
      <c r="J16" s="183">
        <v>67413.5</v>
      </c>
      <c r="K16" s="217">
        <f>I16-J16</f>
        <v>-11123.227500000001</v>
      </c>
      <c r="L16" s="70">
        <f>I16-J16</f>
        <v>-11123.227500000001</v>
      </c>
      <c r="M16" s="199"/>
      <c r="N16" s="1"/>
      <c r="O16" s="191"/>
    </row>
    <row r="17" spans="1:15" ht="72.5" customHeight="1" x14ac:dyDescent="0.35">
      <c r="A17" s="145" t="s">
        <v>131</v>
      </c>
      <c r="B17" s="143" t="s">
        <v>83</v>
      </c>
      <c r="C17" s="151" t="s">
        <v>112</v>
      </c>
      <c r="D17" s="207"/>
      <c r="E17" s="183">
        <v>446</v>
      </c>
      <c r="F17" s="69">
        <f t="shared" si="2"/>
        <v>8.5381165919282509</v>
      </c>
      <c r="G17" s="67">
        <v>3808</v>
      </c>
      <c r="H17" s="210">
        <v>1.67E-2</v>
      </c>
      <c r="I17" s="212">
        <f>G17*H17</f>
        <v>63.593599999999995</v>
      </c>
      <c r="J17" s="213">
        <v>76.16</v>
      </c>
      <c r="K17" s="229">
        <f>I17-J17</f>
        <v>-12.566400000000002</v>
      </c>
      <c r="L17" s="258">
        <f>I17-J17</f>
        <v>-12.566400000000002</v>
      </c>
      <c r="M17" s="199"/>
      <c r="N17" s="1"/>
      <c r="O17" s="191"/>
    </row>
    <row r="18" spans="1:15" ht="65.5" customHeight="1" x14ac:dyDescent="0.35">
      <c r="A18" s="153" t="s">
        <v>53</v>
      </c>
      <c r="B18" s="143" t="s">
        <v>84</v>
      </c>
      <c r="C18" s="151" t="s">
        <v>134</v>
      </c>
      <c r="D18" s="143"/>
      <c r="E18" s="183">
        <v>15340</v>
      </c>
      <c r="F18" s="210">
        <f t="shared" si="2"/>
        <v>332.18878748370275</v>
      </c>
      <c r="G18" s="211">
        <v>5095776</v>
      </c>
      <c r="H18" s="210">
        <v>1.67E-2</v>
      </c>
      <c r="I18" s="212">
        <f t="shared" ref="I18:I23" si="3">+G18*H18</f>
        <v>85099.459199999998</v>
      </c>
      <c r="J18" s="213">
        <v>101915.52</v>
      </c>
      <c r="K18" s="217">
        <f>L18</f>
        <v>-16816.060800000007</v>
      </c>
      <c r="L18" s="70">
        <f>+I18-J18</f>
        <v>-16816.060800000007</v>
      </c>
      <c r="O18" s="191"/>
    </row>
    <row r="19" spans="1:15" ht="70.5" customHeight="1" x14ac:dyDescent="0.35">
      <c r="A19" s="153" t="s">
        <v>131</v>
      </c>
      <c r="B19" s="143" t="s">
        <v>84</v>
      </c>
      <c r="C19" s="151" t="s">
        <v>128</v>
      </c>
      <c r="D19" s="143"/>
      <c r="E19" s="183">
        <v>446</v>
      </c>
      <c r="F19" s="69">
        <f t="shared" si="2"/>
        <v>20.04035874439462</v>
      </c>
      <c r="G19" s="211">
        <v>8938</v>
      </c>
      <c r="H19" s="210">
        <v>1.67E-2</v>
      </c>
      <c r="I19" s="212">
        <f>G19*H19</f>
        <v>149.2646</v>
      </c>
      <c r="J19" s="213">
        <v>178.76</v>
      </c>
      <c r="K19" s="301">
        <f>L19</f>
        <v>-29.495399999999989</v>
      </c>
      <c r="L19" s="382">
        <f>I19-J19</f>
        <v>-29.495399999999989</v>
      </c>
      <c r="O19" s="191"/>
    </row>
    <row r="20" spans="1:15" ht="58.5" customHeight="1" x14ac:dyDescent="0.35">
      <c r="A20" s="153" t="s">
        <v>46</v>
      </c>
      <c r="B20" s="214" t="s">
        <v>49</v>
      </c>
      <c r="C20" s="151" t="s">
        <v>114</v>
      </c>
      <c r="D20" s="143"/>
      <c r="E20" s="183">
        <v>15340</v>
      </c>
      <c r="F20" s="208">
        <f t="shared" si="2"/>
        <v>11.564797913950457</v>
      </c>
      <c r="G20" s="67">
        <v>177404</v>
      </c>
      <c r="H20" s="210">
        <v>1.67E-2</v>
      </c>
      <c r="I20" s="212">
        <f t="shared" si="3"/>
        <v>2962.6468</v>
      </c>
      <c r="J20" s="213">
        <v>3548.08</v>
      </c>
      <c r="K20" s="217">
        <f t="shared" ref="K20" si="4">L20</f>
        <v>-585.43319999999994</v>
      </c>
      <c r="L20" s="70">
        <f>+I20-J20</f>
        <v>-585.43319999999994</v>
      </c>
      <c r="O20" s="191"/>
    </row>
    <row r="21" spans="1:15" s="54" customFormat="1" ht="56" customHeight="1" x14ac:dyDescent="0.35">
      <c r="A21" s="153" t="s">
        <v>131</v>
      </c>
      <c r="B21" s="214" t="s">
        <v>49</v>
      </c>
      <c r="C21" s="151" t="s">
        <v>113</v>
      </c>
      <c r="D21" s="143"/>
      <c r="E21" s="183">
        <v>446</v>
      </c>
      <c r="F21" s="208">
        <f t="shared" si="2"/>
        <v>0.42690582959641254</v>
      </c>
      <c r="G21" s="67">
        <v>190.4</v>
      </c>
      <c r="H21" s="210">
        <v>1.67E-2</v>
      </c>
      <c r="I21" s="212">
        <f>G21*H21</f>
        <v>3.1796799999999998</v>
      </c>
      <c r="J21" s="213">
        <v>3.8079999999999998</v>
      </c>
      <c r="K21" s="68">
        <f>I21-J21</f>
        <v>-0.62831999999999999</v>
      </c>
      <c r="L21" s="70">
        <f>I21-J21</f>
        <v>-0.62831999999999999</v>
      </c>
      <c r="O21" s="215"/>
    </row>
    <row r="22" spans="1:15" s="54" customFormat="1" ht="67.5" customHeight="1" x14ac:dyDescent="0.35">
      <c r="A22" s="145" t="s">
        <v>130</v>
      </c>
      <c r="B22" s="143" t="s">
        <v>38</v>
      </c>
      <c r="C22" s="151" t="s">
        <v>140</v>
      </c>
      <c r="D22" s="207"/>
      <c r="E22" s="183">
        <v>19371.490000000002</v>
      </c>
      <c r="F22" s="65">
        <v>1</v>
      </c>
      <c r="G22" s="67">
        <v>19371.490000000002</v>
      </c>
      <c r="H22" s="210">
        <v>0.5</v>
      </c>
      <c r="I22" s="67">
        <f>G22*H22</f>
        <v>9685.7450000000008</v>
      </c>
      <c r="J22" s="213">
        <v>9685.7450000000008</v>
      </c>
      <c r="K22" s="217">
        <v>0</v>
      </c>
      <c r="L22" s="70">
        <f>+I22-J22</f>
        <v>0</v>
      </c>
      <c r="O22" s="215"/>
    </row>
    <row r="23" spans="1:15" ht="59" customHeight="1" x14ac:dyDescent="0.35">
      <c r="A23" s="145" t="s">
        <v>46</v>
      </c>
      <c r="B23" s="143" t="s">
        <v>47</v>
      </c>
      <c r="C23" s="151" t="s">
        <v>56</v>
      </c>
      <c r="D23" s="143"/>
      <c r="E23" s="183">
        <v>15340</v>
      </c>
      <c r="F23" s="216">
        <f>G23/E23</f>
        <v>6.5429595827900915</v>
      </c>
      <c r="G23" s="67">
        <v>100369</v>
      </c>
      <c r="H23" s="210">
        <v>0.25</v>
      </c>
      <c r="I23" s="67">
        <f t="shared" si="3"/>
        <v>25092.25</v>
      </c>
      <c r="J23" s="213">
        <v>25092.25</v>
      </c>
      <c r="K23" s="217">
        <v>0</v>
      </c>
      <c r="L23" s="70">
        <f>+I23-J23</f>
        <v>0</v>
      </c>
      <c r="O23" s="191"/>
    </row>
    <row r="24" spans="1:15" ht="63" customHeight="1" x14ac:dyDescent="0.35">
      <c r="A24" s="145" t="s">
        <v>46</v>
      </c>
      <c r="B24" s="143" t="s">
        <v>85</v>
      </c>
      <c r="C24" s="151" t="s">
        <v>115</v>
      </c>
      <c r="D24" s="143"/>
      <c r="E24" s="183">
        <v>15340</v>
      </c>
      <c r="F24" s="208">
        <f>G24/E24</f>
        <v>2.6536505867014339</v>
      </c>
      <c r="G24" s="67">
        <v>40707</v>
      </c>
      <c r="H24" s="210">
        <v>0.1002</v>
      </c>
      <c r="I24" s="209">
        <f t="shared" ref="I24:I26" si="5">+G24*H24</f>
        <v>4078.8413999999998</v>
      </c>
      <c r="J24" s="213">
        <v>4070.7000000000003</v>
      </c>
      <c r="K24" s="68">
        <f>I24-J24</f>
        <v>8.1413999999995212</v>
      </c>
      <c r="L24" s="70">
        <f>+I24-J24</f>
        <v>8.1413999999995212</v>
      </c>
      <c r="O24" s="191"/>
    </row>
    <row r="25" spans="1:15" s="54" customFormat="1" ht="63" customHeight="1" x14ac:dyDescent="0.35">
      <c r="A25" s="145" t="s">
        <v>131</v>
      </c>
      <c r="B25" s="143" t="s">
        <v>85</v>
      </c>
      <c r="C25" s="151" t="s">
        <v>116</v>
      </c>
      <c r="D25" s="143"/>
      <c r="E25" s="183">
        <v>446</v>
      </c>
      <c r="F25" s="273">
        <f>G25/E25</f>
        <v>4.708520179372197E-2</v>
      </c>
      <c r="G25" s="67">
        <v>21</v>
      </c>
      <c r="H25" s="210">
        <v>0.1002</v>
      </c>
      <c r="I25" s="209">
        <f>G25*H25</f>
        <v>2.1042000000000001</v>
      </c>
      <c r="J25" s="213">
        <v>2.1</v>
      </c>
      <c r="K25" s="217">
        <v>0</v>
      </c>
      <c r="L25" s="70">
        <f>I25-J25</f>
        <v>4.1999999999999815E-3</v>
      </c>
      <c r="O25" s="215"/>
    </row>
    <row r="26" spans="1:15" ht="69.5" customHeight="1" x14ac:dyDescent="0.35">
      <c r="A26" s="145" t="s">
        <v>46</v>
      </c>
      <c r="B26" s="143" t="s">
        <v>48</v>
      </c>
      <c r="C26" s="151" t="s">
        <v>57</v>
      </c>
      <c r="D26" s="143"/>
      <c r="E26" s="183">
        <v>472</v>
      </c>
      <c r="F26" s="69">
        <v>0.25</v>
      </c>
      <c r="G26" s="67">
        <v>118</v>
      </c>
      <c r="H26" s="210">
        <v>0.25</v>
      </c>
      <c r="I26" s="212">
        <f t="shared" si="5"/>
        <v>29.5</v>
      </c>
      <c r="J26" s="213">
        <v>29.5</v>
      </c>
      <c r="K26" s="217">
        <f t="shared" ref="K26" si="6">L26</f>
        <v>0</v>
      </c>
      <c r="L26" s="70">
        <f>+I26-J26</f>
        <v>0</v>
      </c>
      <c r="O26" s="191"/>
    </row>
    <row r="27" spans="1:15" ht="68.25" customHeight="1" x14ac:dyDescent="0.35">
      <c r="A27" s="194" t="s">
        <v>96</v>
      </c>
      <c r="B27" s="218" t="s">
        <v>81</v>
      </c>
      <c r="C27" s="218" t="s">
        <v>110</v>
      </c>
      <c r="D27" s="392"/>
      <c r="E27" s="219">
        <v>500</v>
      </c>
      <c r="F27" s="219">
        <v>1</v>
      </c>
      <c r="G27" s="219">
        <v>500</v>
      </c>
      <c r="H27" s="311">
        <v>0.25</v>
      </c>
      <c r="I27" s="220">
        <f>G27*H27</f>
        <v>125</v>
      </c>
      <c r="J27" s="220">
        <v>125</v>
      </c>
      <c r="K27" s="299">
        <v>0</v>
      </c>
      <c r="L27" s="70">
        <f>I27-J27</f>
        <v>0</v>
      </c>
      <c r="O27" s="191"/>
    </row>
    <row r="28" spans="1:15" ht="81" customHeight="1" x14ac:dyDescent="0.35">
      <c r="A28" s="194" t="s">
        <v>96</v>
      </c>
      <c r="B28" s="218" t="s">
        <v>82</v>
      </c>
      <c r="C28" s="218" t="s">
        <v>97</v>
      </c>
      <c r="E28" s="221">
        <v>8729</v>
      </c>
      <c r="F28" s="219">
        <v>1</v>
      </c>
      <c r="G28" s="222">
        <v>8729</v>
      </c>
      <c r="H28" s="311">
        <v>8.3500000000000005E-2</v>
      </c>
      <c r="I28" s="220">
        <f t="shared" ref="I28:I29" si="7">G28*H28</f>
        <v>728.87150000000008</v>
      </c>
      <c r="J28" s="220">
        <v>698.32</v>
      </c>
      <c r="K28" s="299">
        <f>I28-J28</f>
        <v>30.551500000000033</v>
      </c>
      <c r="L28" s="70">
        <f>I28-J28</f>
        <v>30.551500000000033</v>
      </c>
      <c r="O28" s="191"/>
    </row>
    <row r="29" spans="1:15" ht="47.5" customHeight="1" x14ac:dyDescent="0.35">
      <c r="A29" s="194" t="s">
        <v>96</v>
      </c>
      <c r="B29" s="218" t="s">
        <v>101</v>
      </c>
      <c r="C29" s="223" t="s">
        <v>98</v>
      </c>
      <c r="D29" s="143"/>
      <c r="E29" s="219">
        <v>500</v>
      </c>
      <c r="F29" s="219">
        <v>1</v>
      </c>
      <c r="G29" s="219">
        <v>500</v>
      </c>
      <c r="H29" s="311">
        <v>0.1002</v>
      </c>
      <c r="I29" s="220">
        <f t="shared" si="7"/>
        <v>50.1</v>
      </c>
      <c r="J29" s="220">
        <v>50</v>
      </c>
      <c r="K29" s="299">
        <f>I29-J29</f>
        <v>0.10000000000000142</v>
      </c>
      <c r="L29" s="383">
        <v>0.1</v>
      </c>
      <c r="O29" s="191"/>
    </row>
    <row r="30" spans="1:15" ht="66" customHeight="1" x14ac:dyDescent="0.35">
      <c r="A30" s="145" t="s">
        <v>46</v>
      </c>
      <c r="B30" s="143" t="s">
        <v>39</v>
      </c>
      <c r="C30" s="151" t="s">
        <v>50</v>
      </c>
      <c r="D30" s="151"/>
      <c r="E30" s="183">
        <v>472</v>
      </c>
      <c r="F30" s="224">
        <v>0.25</v>
      </c>
      <c r="G30" s="67">
        <v>118</v>
      </c>
      <c r="H30" s="210">
        <v>0.25</v>
      </c>
      <c r="I30" s="209">
        <v>29.5</v>
      </c>
      <c r="J30" s="213">
        <v>29.5</v>
      </c>
      <c r="K30" s="217">
        <f>L30</f>
        <v>0</v>
      </c>
      <c r="L30" s="70">
        <f>+I30-J30</f>
        <v>0</v>
      </c>
      <c r="O30" s="191"/>
    </row>
    <row r="31" spans="1:15" ht="54" customHeight="1" x14ac:dyDescent="0.35">
      <c r="A31" s="145" t="s">
        <v>46</v>
      </c>
      <c r="B31" s="143" t="s">
        <v>40</v>
      </c>
      <c r="C31" s="151" t="s">
        <v>58</v>
      </c>
      <c r="D31" s="143"/>
      <c r="E31" s="183">
        <v>18925</v>
      </c>
      <c r="F31" s="224">
        <v>0.25</v>
      </c>
      <c r="G31" s="212">
        <v>4731</v>
      </c>
      <c r="H31" s="210">
        <v>8.3500000000000005E-2</v>
      </c>
      <c r="I31" s="209">
        <f>+G31*H31</f>
        <v>395.0385</v>
      </c>
      <c r="J31" s="213">
        <v>378.48</v>
      </c>
      <c r="K31" s="217">
        <f>L31</f>
        <v>16.558499999999981</v>
      </c>
      <c r="L31" s="70">
        <f>+I31-J31</f>
        <v>16.558499999999981</v>
      </c>
      <c r="O31" s="191"/>
    </row>
    <row r="32" spans="1:15" ht="82" customHeight="1" x14ac:dyDescent="0.35">
      <c r="A32" s="145" t="s">
        <v>131</v>
      </c>
      <c r="B32" s="143" t="s">
        <v>129</v>
      </c>
      <c r="C32" s="151" t="s">
        <v>132</v>
      </c>
      <c r="D32" s="143"/>
      <c r="E32" s="183">
        <v>446</v>
      </c>
      <c r="F32" s="224">
        <v>0.2</v>
      </c>
      <c r="G32" s="212">
        <v>89.2</v>
      </c>
      <c r="H32" s="210">
        <v>0.5</v>
      </c>
      <c r="I32" s="209">
        <f>G32*H32</f>
        <v>44.6</v>
      </c>
      <c r="J32" s="213">
        <v>44.6</v>
      </c>
      <c r="K32" s="217">
        <v>0</v>
      </c>
      <c r="L32" s="70">
        <f>I32-J32</f>
        <v>0</v>
      </c>
      <c r="O32" s="191"/>
    </row>
    <row r="33" spans="1:15" ht="58" x14ac:dyDescent="0.35">
      <c r="A33" s="145" t="s">
        <v>131</v>
      </c>
      <c r="B33" s="143" t="s">
        <v>118</v>
      </c>
      <c r="C33" s="151" t="s">
        <v>117</v>
      </c>
      <c r="D33" s="143"/>
      <c r="E33" s="183">
        <v>446</v>
      </c>
      <c r="F33" s="224">
        <v>1</v>
      </c>
      <c r="G33" s="212">
        <v>446</v>
      </c>
      <c r="H33" s="210">
        <v>0.25</v>
      </c>
      <c r="I33" s="209">
        <f>G33*H33</f>
        <v>111.5</v>
      </c>
      <c r="J33" s="213">
        <v>111.5</v>
      </c>
      <c r="K33" s="217">
        <v>0</v>
      </c>
      <c r="L33" s="70">
        <f>I33-J33</f>
        <v>0</v>
      </c>
      <c r="O33" s="191"/>
    </row>
    <row r="34" spans="1:15" ht="30.75" customHeight="1" x14ac:dyDescent="0.35">
      <c r="A34" s="145"/>
      <c r="B34" s="202"/>
      <c r="C34" s="203" t="s">
        <v>60</v>
      </c>
      <c r="D34" s="225"/>
      <c r="E34" s="67">
        <f>+MAX(E16:E33)</f>
        <v>19371.490000000002</v>
      </c>
      <c r="F34" s="226">
        <f>G34/E34</f>
        <v>455.95310892450703</v>
      </c>
      <c r="G34" s="67">
        <f>SUM(G16:G33)</f>
        <v>8832491.0899999999</v>
      </c>
      <c r="H34" s="227">
        <f>I34/G34</f>
        <v>2.0938766322604916E-2</v>
      </c>
      <c r="I34" s="67">
        <f>SUM(I16:I33)</f>
        <v>184941.46698</v>
      </c>
      <c r="J34" s="212">
        <f t="shared" ref="J34:L34" si="8">SUM(J16:J33)</f>
        <v>213453.52300000002</v>
      </c>
      <c r="K34" s="217">
        <f t="shared" si="8"/>
        <v>-28512.060220000007</v>
      </c>
      <c r="L34" s="70">
        <f t="shared" si="8"/>
        <v>-28512.056020000007</v>
      </c>
      <c r="O34" s="191"/>
    </row>
    <row r="35" spans="1:15" ht="27" customHeight="1" x14ac:dyDescent="0.35">
      <c r="A35" s="393" t="s">
        <v>143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5"/>
      <c r="M35" s="199"/>
      <c r="N35" s="1"/>
      <c r="O35" s="191"/>
    </row>
    <row r="36" spans="1:15" s="54" customFormat="1" ht="62" customHeight="1" x14ac:dyDescent="0.35">
      <c r="A36" s="145" t="s">
        <v>131</v>
      </c>
      <c r="B36" s="143" t="s">
        <v>120</v>
      </c>
      <c r="C36" s="151" t="s">
        <v>122</v>
      </c>
      <c r="D36" s="143"/>
      <c r="E36" s="192">
        <v>3808</v>
      </c>
      <c r="F36" s="274">
        <v>1</v>
      </c>
      <c r="G36" s="275">
        <v>3808</v>
      </c>
      <c r="H36" s="210">
        <v>0.1169</v>
      </c>
      <c r="I36" s="212">
        <f>G36*H36</f>
        <v>445.15520000000004</v>
      </c>
      <c r="J36" s="228">
        <v>418.88</v>
      </c>
      <c r="K36" s="301">
        <f>I36-J36</f>
        <v>26.275200000000041</v>
      </c>
      <c r="L36" s="258">
        <f>I36-J36</f>
        <v>26.275200000000041</v>
      </c>
      <c r="O36" s="215"/>
    </row>
    <row r="37" spans="1:15" ht="50.25" customHeight="1" x14ac:dyDescent="0.35">
      <c r="A37" s="145" t="s">
        <v>46</v>
      </c>
      <c r="B37" s="230" t="s">
        <v>121</v>
      </c>
      <c r="C37" s="223" t="s">
        <v>54</v>
      </c>
      <c r="D37" s="230"/>
      <c r="E37" s="252">
        <v>3548078</v>
      </c>
      <c r="F37" s="253">
        <v>1</v>
      </c>
      <c r="G37" s="254">
        <f t="shared" ref="G37:G38" si="9">+E37*F37</f>
        <v>3548078</v>
      </c>
      <c r="H37" s="210">
        <v>0.1169</v>
      </c>
      <c r="I37" s="212">
        <f t="shared" ref="I37:I38" si="10">+G37*H37</f>
        <v>414770.31820000004</v>
      </c>
      <c r="J37" s="231">
        <v>390288.58</v>
      </c>
      <c r="K37" s="217">
        <f>I37-J37</f>
        <v>24481.738200000022</v>
      </c>
      <c r="L37" s="70">
        <f>+I37-J37</f>
        <v>24481.738200000022</v>
      </c>
      <c r="O37" s="191"/>
    </row>
    <row r="38" spans="1:15" ht="54.75" customHeight="1" x14ac:dyDescent="0.35">
      <c r="A38" s="145" t="s">
        <v>46</v>
      </c>
      <c r="B38" s="232" t="s">
        <v>43</v>
      </c>
      <c r="C38" s="223" t="s">
        <v>123</v>
      </c>
      <c r="D38" s="230"/>
      <c r="E38" s="231">
        <v>100369</v>
      </c>
      <c r="F38" s="253">
        <v>1</v>
      </c>
      <c r="G38" s="254">
        <f t="shared" si="9"/>
        <v>100369</v>
      </c>
      <c r="H38" s="210">
        <v>0.5</v>
      </c>
      <c r="I38" s="209">
        <f t="shared" si="10"/>
        <v>50184.5</v>
      </c>
      <c r="J38" s="231">
        <v>50184.5</v>
      </c>
      <c r="K38" s="217">
        <v>0</v>
      </c>
      <c r="L38" s="70">
        <f>+I38-J38</f>
        <v>0</v>
      </c>
      <c r="O38" s="191"/>
    </row>
    <row r="39" spans="1:15" ht="42.5" customHeight="1" x14ac:dyDescent="0.35">
      <c r="A39" s="145" t="s">
        <v>131</v>
      </c>
      <c r="B39" s="232" t="s">
        <v>124</v>
      </c>
      <c r="C39" s="201" t="s">
        <v>125</v>
      </c>
      <c r="D39" s="276"/>
      <c r="E39" s="277">
        <v>114.24</v>
      </c>
      <c r="F39" s="278">
        <v>1</v>
      </c>
      <c r="G39" s="279">
        <v>114.24</v>
      </c>
      <c r="H39" s="210">
        <v>0.5</v>
      </c>
      <c r="I39" s="212">
        <f>G39*H39</f>
        <v>57.12</v>
      </c>
      <c r="J39" s="280">
        <v>57.12</v>
      </c>
      <c r="K39" s="217">
        <v>0</v>
      </c>
      <c r="L39" s="258">
        <f>I39-J39</f>
        <v>0</v>
      </c>
      <c r="O39" s="191"/>
    </row>
    <row r="40" spans="1:15" ht="45.75" customHeight="1" x14ac:dyDescent="0.35">
      <c r="A40" s="145" t="s">
        <v>46</v>
      </c>
      <c r="B40" s="232" t="s">
        <v>44</v>
      </c>
      <c r="C40" s="223" t="s">
        <v>148</v>
      </c>
      <c r="D40" s="230"/>
      <c r="E40" s="231">
        <v>1004</v>
      </c>
      <c r="F40" s="253">
        <v>1</v>
      </c>
      <c r="G40" s="254">
        <f t="shared" ref="G40" si="11">+E40*F40</f>
        <v>1004</v>
      </c>
      <c r="H40" s="210">
        <v>0.1002</v>
      </c>
      <c r="I40" s="209">
        <f t="shared" ref="I40" si="12">+G40*H40</f>
        <v>100.60079999999999</v>
      </c>
      <c r="J40" s="231">
        <v>100.4</v>
      </c>
      <c r="K40" s="217">
        <v>0</v>
      </c>
      <c r="L40" s="70">
        <f>+I40-J40</f>
        <v>0.20079999999998677</v>
      </c>
      <c r="O40" s="191"/>
    </row>
    <row r="41" spans="1:15" ht="16" thickBot="1" x14ac:dyDescent="0.4">
      <c r="A41" s="145"/>
      <c r="B41" s="202"/>
      <c r="C41" s="203" t="s">
        <v>42</v>
      </c>
      <c r="D41" s="11"/>
      <c r="E41" s="4">
        <f>E36+E37</f>
        <v>3551886</v>
      </c>
      <c r="F41" s="233">
        <f>G41/E41</f>
        <v>1.0285727751397427</v>
      </c>
      <c r="G41" s="67">
        <f>SUM(G36:G40)</f>
        <v>3653373.24</v>
      </c>
      <c r="H41" s="227">
        <f>I41/G41</f>
        <v>0.12743228343129814</v>
      </c>
      <c r="I41" s="67">
        <f>SUM(I36:I40)</f>
        <v>465557.69420000003</v>
      </c>
      <c r="J41" s="67">
        <f>SUM(J36:J40)</f>
        <v>441049.48000000004</v>
      </c>
      <c r="K41" s="209">
        <f>SUM(K36:K40)</f>
        <v>24508.013400000022</v>
      </c>
      <c r="L41" s="70">
        <f>SUM(L36:L40)</f>
        <v>24508.21420000002</v>
      </c>
      <c r="O41" s="234"/>
    </row>
    <row r="42" spans="1:15" ht="25.5" customHeight="1" thickBot="1" x14ac:dyDescent="0.4">
      <c r="A42" s="272"/>
      <c r="B42" s="235"/>
      <c r="C42" s="236" t="s">
        <v>35</v>
      </c>
      <c r="D42" s="237"/>
      <c r="E42" s="238">
        <f>+E14+E34+E41</f>
        <v>3571312.49</v>
      </c>
      <c r="F42" s="239">
        <f>G42/E42</f>
        <v>3.498674609121085</v>
      </c>
      <c r="G42" s="240">
        <f>+G14+G34+G41</f>
        <v>12494860.33</v>
      </c>
      <c r="H42" s="312">
        <f>I42/G42</f>
        <v>5.210781862977415E-2</v>
      </c>
      <c r="I42" s="238">
        <f>+I14+I34+I41</f>
        <v>651079.91587999999</v>
      </c>
      <c r="J42" s="238">
        <f>+J14+J34+J41</f>
        <v>655064.75300000003</v>
      </c>
      <c r="K42" s="302">
        <f>+K14+K34+K41</f>
        <v>-3985.0629199999858</v>
      </c>
      <c r="L42" s="241">
        <f>+L14+L34+L41</f>
        <v>-3984.8371199999856</v>
      </c>
    </row>
    <row r="44" spans="1:15" ht="50.25" hidden="1" customHeight="1" x14ac:dyDescent="0.35">
      <c r="D44" s="242" t="str">
        <f>+A4</f>
        <v>Program Rule</v>
      </c>
      <c r="E44" s="243" t="str">
        <f t="shared" ref="E44:L44" si="13">+E4</f>
        <v>Estimated # Respondents</v>
      </c>
      <c r="F44" s="243" t="str">
        <f t="shared" si="13"/>
        <v>Responses per Respondents</v>
      </c>
      <c r="G44" s="243" t="str">
        <f t="shared" si="13"/>
        <v>Total Annual Records</v>
      </c>
      <c r="H44" s="313" t="str">
        <f t="shared" si="13"/>
        <v>Estimated Avg. # of Hours Per Response</v>
      </c>
      <c r="I44" s="243" t="str">
        <f t="shared" si="13"/>
        <v xml:space="preserve">Estimated Total Hours            </v>
      </c>
      <c r="J44" s="243" t="str">
        <f t="shared" si="13"/>
        <v>Current OMB Approved Burden Hrs</v>
      </c>
      <c r="K44" s="303" t="str">
        <f t="shared" si="13"/>
        <v>Due to an Adjustment</v>
      </c>
      <c r="L44" s="260" t="str">
        <f t="shared" si="13"/>
        <v>Total Difference</v>
      </c>
    </row>
    <row r="45" spans="1:15" hidden="1" x14ac:dyDescent="0.35">
      <c r="D45" s="244" t="e">
        <f>+#REF!</f>
        <v>#REF!</v>
      </c>
      <c r="E45" s="245" t="e">
        <f>+SUM($E$14+$E$34+#REF!+$E$41)</f>
        <v>#REF!</v>
      </c>
      <c r="F45" s="246" t="e">
        <f t="shared" ref="F45:F51" si="14">IF(E45&gt;0,G45/E45,0)</f>
        <v>#REF!</v>
      </c>
      <c r="G45" s="245">
        <f t="shared" ref="G45:G51" si="15">+SUMIF($A$6:$A$41,D45,($G$6:$G$41))</f>
        <v>0</v>
      </c>
      <c r="H45" s="314">
        <f t="shared" ref="H45:H51" si="16">IF(G45&gt;0,I45/G45,0)</f>
        <v>0</v>
      </c>
      <c r="I45" s="245">
        <f t="shared" ref="I45:I51" si="17">+SUMIF($A$6:$A$41,D45,($I$6:$I$41))</f>
        <v>0</v>
      </c>
      <c r="J45" s="247">
        <f t="shared" ref="J45:J51" si="18">+SUMIF($A$6:$A$41,D45,($J$6:$J$41))</f>
        <v>0</v>
      </c>
      <c r="K45" s="304">
        <f>+SUMIF($A$6:$A$41,$D$45,($K$6:$K$41))</f>
        <v>0</v>
      </c>
      <c r="L45" s="261">
        <f t="shared" ref="L45:L51" si="19">+SUMIF($A$6:$A$41,D45,($L$6:$L$41))</f>
        <v>0</v>
      </c>
    </row>
    <row r="46" spans="1:15" hidden="1" x14ac:dyDescent="0.35">
      <c r="D46" s="244" t="str">
        <f>+O6</f>
        <v>Direct Certification</v>
      </c>
      <c r="E46" s="248">
        <f t="shared" ref="E46:E51" si="20">+SUMIF($A$6:$A$41,D46,($E$6:$E$41))</f>
        <v>15340</v>
      </c>
      <c r="F46" s="248">
        <f t="shared" si="14"/>
        <v>332.18878748370275</v>
      </c>
      <c r="G46" s="248">
        <f t="shared" si="15"/>
        <v>5095776</v>
      </c>
      <c r="H46" s="314">
        <f t="shared" si="16"/>
        <v>1.67E-2</v>
      </c>
      <c r="I46" s="248">
        <f t="shared" si="17"/>
        <v>85099.459199999998</v>
      </c>
      <c r="J46" s="248">
        <f t="shared" si="18"/>
        <v>101915.52</v>
      </c>
      <c r="K46" s="304">
        <f>+SUMIF($A$6:$A$41,$D$46,($K$6:$K$41))</f>
        <v>-16816.060800000007</v>
      </c>
      <c r="L46" s="261">
        <f t="shared" si="19"/>
        <v>-16816.060800000007</v>
      </c>
    </row>
    <row r="47" spans="1:15" hidden="1" x14ac:dyDescent="0.35">
      <c r="D47" s="244" t="str">
        <f>+O7</f>
        <v>CIP</v>
      </c>
      <c r="E47" s="248">
        <f t="shared" si="20"/>
        <v>16</v>
      </c>
      <c r="F47" s="248">
        <f t="shared" si="14"/>
        <v>1</v>
      </c>
      <c r="G47" s="248">
        <f t="shared" si="15"/>
        <v>16</v>
      </c>
      <c r="H47" s="314">
        <f t="shared" si="16"/>
        <v>3</v>
      </c>
      <c r="I47" s="248">
        <f t="shared" si="17"/>
        <v>48</v>
      </c>
      <c r="J47" s="248">
        <f t="shared" si="18"/>
        <v>30</v>
      </c>
      <c r="K47" s="304"/>
      <c r="L47" s="261">
        <f t="shared" si="19"/>
        <v>18</v>
      </c>
    </row>
    <row r="48" spans="1:15" hidden="1" x14ac:dyDescent="0.35">
      <c r="D48" s="244" t="e">
        <f>+#REF!</f>
        <v>#REF!</v>
      </c>
      <c r="E48" s="248">
        <f t="shared" si="20"/>
        <v>0</v>
      </c>
      <c r="F48" s="248">
        <f t="shared" si="14"/>
        <v>0</v>
      </c>
      <c r="G48" s="248">
        <f t="shared" si="15"/>
        <v>0</v>
      </c>
      <c r="H48" s="314">
        <f t="shared" si="16"/>
        <v>0</v>
      </c>
      <c r="I48" s="248">
        <f t="shared" si="17"/>
        <v>0</v>
      </c>
      <c r="J48" s="248">
        <f t="shared" si="18"/>
        <v>0</v>
      </c>
      <c r="K48" s="304"/>
      <c r="L48" s="261">
        <f t="shared" si="19"/>
        <v>0</v>
      </c>
      <c r="N48" s="54"/>
    </row>
    <row r="49" spans="3:12" hidden="1" x14ac:dyDescent="0.35">
      <c r="D49" s="244" t="e">
        <f>+#REF!</f>
        <v>#REF!</v>
      </c>
      <c r="E49" s="248">
        <f t="shared" si="20"/>
        <v>0</v>
      </c>
      <c r="F49" s="248">
        <f t="shared" si="14"/>
        <v>0</v>
      </c>
      <c r="G49" s="248">
        <f t="shared" si="15"/>
        <v>0</v>
      </c>
      <c r="H49" s="314">
        <f t="shared" si="16"/>
        <v>0</v>
      </c>
      <c r="I49" s="248">
        <f t="shared" si="17"/>
        <v>0</v>
      </c>
      <c r="J49" s="248">
        <f t="shared" si="18"/>
        <v>0</v>
      </c>
      <c r="K49" s="304"/>
      <c r="L49" s="261">
        <f t="shared" si="19"/>
        <v>0</v>
      </c>
    </row>
    <row r="50" spans="3:12" hidden="1" x14ac:dyDescent="0.35">
      <c r="D50" s="244">
        <f>+O9</f>
        <v>0</v>
      </c>
      <c r="E50" s="248">
        <f t="shared" si="20"/>
        <v>0</v>
      </c>
      <c r="F50" s="248">
        <f t="shared" si="14"/>
        <v>0</v>
      </c>
      <c r="G50" s="248">
        <f t="shared" si="15"/>
        <v>0</v>
      </c>
      <c r="H50" s="314">
        <f t="shared" si="16"/>
        <v>0</v>
      </c>
      <c r="I50" s="248">
        <f t="shared" si="17"/>
        <v>0</v>
      </c>
      <c r="J50" s="248">
        <f t="shared" si="18"/>
        <v>0</v>
      </c>
      <c r="K50" s="304"/>
      <c r="L50" s="261">
        <f t="shared" si="19"/>
        <v>0</v>
      </c>
    </row>
    <row r="51" spans="3:12" hidden="1" x14ac:dyDescent="0.35">
      <c r="D51" s="244">
        <f>+O10</f>
        <v>0</v>
      </c>
      <c r="E51" s="248">
        <f t="shared" si="20"/>
        <v>0</v>
      </c>
      <c r="F51" s="248">
        <f t="shared" si="14"/>
        <v>0</v>
      </c>
      <c r="G51" s="248">
        <f t="shared" si="15"/>
        <v>0</v>
      </c>
      <c r="H51" s="314">
        <f t="shared" si="16"/>
        <v>0</v>
      </c>
      <c r="I51" s="248">
        <f t="shared" si="17"/>
        <v>0</v>
      </c>
      <c r="J51" s="248">
        <f t="shared" si="18"/>
        <v>0</v>
      </c>
      <c r="K51" s="304"/>
      <c r="L51" s="261">
        <f t="shared" si="19"/>
        <v>0</v>
      </c>
    </row>
    <row r="52" spans="3:12" hidden="1" x14ac:dyDescent="0.35">
      <c r="D52" s="58" t="s">
        <v>34</v>
      </c>
      <c r="E52" s="249" t="e">
        <f t="shared" ref="E52:L52" si="21">SUM(E45:E51)</f>
        <v>#REF!</v>
      </c>
      <c r="F52" s="250" t="e">
        <f t="shared" si="21"/>
        <v>#REF!</v>
      </c>
      <c r="G52" s="251">
        <f t="shared" si="21"/>
        <v>5095792</v>
      </c>
      <c r="H52" s="315">
        <f t="shared" si="21"/>
        <v>3.0167000000000002</v>
      </c>
      <c r="I52" s="251">
        <f t="shared" si="21"/>
        <v>85147.459199999998</v>
      </c>
      <c r="J52" s="251">
        <f t="shared" si="21"/>
        <v>101945.52</v>
      </c>
      <c r="K52" s="305">
        <f t="shared" si="21"/>
        <v>-16816.060800000007</v>
      </c>
      <c r="L52" s="251">
        <f t="shared" si="21"/>
        <v>-16798.060800000007</v>
      </c>
    </row>
    <row r="56" spans="3:12" ht="21" x14ac:dyDescent="0.5">
      <c r="C56" s="140"/>
      <c r="D56" s="140"/>
      <c r="E56" s="140"/>
      <c r="F56" s="140"/>
      <c r="G56" s="140"/>
      <c r="H56" s="316"/>
      <c r="I56" s="140"/>
    </row>
    <row r="57" spans="3:12" ht="21" x14ac:dyDescent="0.5">
      <c r="C57" s="140"/>
      <c r="D57" s="140"/>
      <c r="E57" s="140"/>
      <c r="F57" s="140"/>
      <c r="G57" s="140"/>
      <c r="H57" s="316"/>
      <c r="I57" s="140"/>
    </row>
    <row r="58" spans="3:12" ht="21" x14ac:dyDescent="0.5">
      <c r="C58" s="140"/>
      <c r="D58" s="140"/>
      <c r="E58" s="140"/>
      <c r="F58" s="140"/>
      <c r="G58" s="140"/>
      <c r="H58" s="316"/>
      <c r="I58" s="140"/>
    </row>
    <row r="59" spans="3:12" ht="21" x14ac:dyDescent="0.5">
      <c r="C59" s="140"/>
      <c r="D59" s="140"/>
      <c r="E59" s="140"/>
      <c r="F59" s="140"/>
      <c r="G59" s="140"/>
      <c r="H59" s="316"/>
      <c r="I59" s="140"/>
    </row>
  </sheetData>
  <sheetProtection selectLockedCells="1"/>
  <autoFilter ref="A4:L42" xr:uid="{00000000-0009-0000-0000-000000000000}"/>
  <dataConsolidate/>
  <mergeCells count="5">
    <mergeCell ref="A35:L35"/>
    <mergeCell ref="A2:L2"/>
    <mergeCell ref="A5:L5"/>
    <mergeCell ref="A15:L15"/>
    <mergeCell ref="A1:L1"/>
  </mergeCells>
  <dataValidations count="2">
    <dataValidation type="list" allowBlank="1" showInputMessage="1" showErrorMessage="1" sqref="A37:A38 A9:A11 A40:A41 A20 A14 A23 A34" xr:uid="{00000000-0002-0000-0000-000000000000}">
      <formula1>$O$6:$O$35</formula1>
    </dataValidation>
    <dataValidation type="list" allowBlank="1" showInputMessage="1" showErrorMessage="1" sqref="A8" xr:uid="{00000000-0002-0000-0000-000001000000}">
      <formula1>$N$7:$N$34</formula1>
    </dataValidation>
  </dataValidations>
  <printOptions horizontalCentered="1"/>
  <pageMargins left="0.7" right="0.7" top="0.75" bottom="0.75" header="0.3" footer="0.3"/>
  <pageSetup scale="42" fitToHeight="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39997558519241921"/>
    <pageSetUpPr fitToPage="1"/>
  </sheetPr>
  <dimension ref="A1:P35"/>
  <sheetViews>
    <sheetView zoomScale="80" zoomScaleNormal="80" workbookViewId="0">
      <pane xSplit="13" ySplit="4" topLeftCell="N12" activePane="bottomRight" state="frozen"/>
      <selection pane="topRight" activeCell="R1" sqref="R1"/>
      <selection pane="bottomLeft" activeCell="A5" sqref="A5"/>
      <selection pane="bottomRight" activeCell="G16" sqref="G16"/>
    </sheetView>
  </sheetViews>
  <sheetFormatPr defaultRowHeight="14.5" outlineLevelCol="1" x14ac:dyDescent="0.35"/>
  <cols>
    <col min="1" max="1" width="13.1796875" customWidth="1"/>
    <col min="2" max="2" width="12.26953125" customWidth="1"/>
    <col min="3" max="3" width="42.1796875" customWidth="1"/>
    <col min="4" max="4" width="12.81640625" bestFit="1" customWidth="1"/>
    <col min="5" max="5" width="15.7265625" bestFit="1" customWidth="1"/>
    <col min="6" max="6" width="17" bestFit="1" customWidth="1"/>
    <col min="7" max="7" width="13" bestFit="1" customWidth="1"/>
    <col min="8" max="8" width="14.54296875" style="317" bestFit="1" customWidth="1"/>
    <col min="9" max="9" width="13.1796875" customWidth="1"/>
    <col min="10" max="10" width="16.54296875" customWidth="1"/>
    <col min="11" max="11" width="10.7265625" style="259" customWidth="1" outlineLevel="1"/>
    <col min="12" max="12" width="13" style="341" customWidth="1"/>
    <col min="13" max="13" width="16.453125" hidden="1" customWidth="1" outlineLevel="1"/>
    <col min="14" max="14" width="9.1796875" collapsed="1"/>
    <col min="15" max="15" width="20.453125" hidden="1" customWidth="1" outlineLevel="1"/>
    <col min="16" max="16" width="9.1796875" collapsed="1"/>
    <col min="62" max="62" width="8.7265625" customWidth="1"/>
  </cols>
  <sheetData>
    <row r="1" spans="1:15" ht="30.75" customHeight="1" thickBot="1" x14ac:dyDescent="0.55000000000000004">
      <c r="A1" s="396" t="s">
        <v>12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8"/>
    </row>
    <row r="2" spans="1:15" ht="24" customHeight="1" thickBot="1" x14ac:dyDescent="0.4">
      <c r="A2" s="13"/>
      <c r="B2" s="14"/>
      <c r="C2" s="14"/>
      <c r="D2" s="15"/>
      <c r="E2" s="16" t="s">
        <v>13</v>
      </c>
      <c r="F2" s="16" t="s">
        <v>14</v>
      </c>
      <c r="G2" s="16" t="s">
        <v>15</v>
      </c>
      <c r="H2" s="308" t="s">
        <v>16</v>
      </c>
      <c r="I2" s="16" t="s">
        <v>17</v>
      </c>
      <c r="J2" s="16" t="s">
        <v>18</v>
      </c>
      <c r="K2" s="262"/>
      <c r="L2" s="333" t="s">
        <v>19</v>
      </c>
      <c r="M2" s="3"/>
      <c r="N2" s="2"/>
    </row>
    <row r="3" spans="1:15" ht="39.5" thickBot="1" x14ac:dyDescent="0.4">
      <c r="A3" s="18" t="s">
        <v>45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318" t="s">
        <v>6</v>
      </c>
      <c r="I3" s="19" t="s">
        <v>7</v>
      </c>
      <c r="J3" s="19" t="s">
        <v>37</v>
      </c>
      <c r="K3" s="263" t="s">
        <v>8</v>
      </c>
      <c r="L3" s="334" t="s">
        <v>9</v>
      </c>
      <c r="M3" s="12" t="s">
        <v>10</v>
      </c>
      <c r="N3" s="1"/>
      <c r="O3" s="37" t="s">
        <v>26</v>
      </c>
    </row>
    <row r="4" spans="1:15" ht="18.5" x14ac:dyDescent="0.35">
      <c r="A4" s="400" t="s">
        <v>33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2"/>
      <c r="M4" s="42"/>
      <c r="N4" s="1"/>
      <c r="O4" s="37"/>
    </row>
    <row r="5" spans="1:15" ht="29" x14ac:dyDescent="0.35">
      <c r="A5" s="153" t="s">
        <v>53</v>
      </c>
      <c r="B5" s="123" t="s">
        <v>51</v>
      </c>
      <c r="C5" s="123" t="s">
        <v>149</v>
      </c>
      <c r="D5" s="124"/>
      <c r="E5" s="125">
        <v>55</v>
      </c>
      <c r="F5" s="125">
        <v>1</v>
      </c>
      <c r="G5" s="82">
        <f t="shared" ref="G5" si="0">+E5*F5</f>
        <v>55</v>
      </c>
      <c r="H5" s="319">
        <v>0.1002</v>
      </c>
      <c r="I5" s="286">
        <f t="shared" ref="I5" si="1">+G5*H5</f>
        <v>5.5110000000000001</v>
      </c>
      <c r="J5" s="375">
        <v>5.2919999999999998</v>
      </c>
      <c r="K5" s="384">
        <f>I5-J5</f>
        <v>0.21900000000000031</v>
      </c>
      <c r="L5" s="385">
        <f>I5-J5</f>
        <v>0.21900000000000031</v>
      </c>
      <c r="O5" s="187" t="s">
        <v>53</v>
      </c>
    </row>
    <row r="6" spans="1:15" s="283" customFormat="1" ht="43" customHeight="1" x14ac:dyDescent="0.35">
      <c r="A6" s="281" t="s">
        <v>99</v>
      </c>
      <c r="B6" s="218" t="s">
        <v>65</v>
      </c>
      <c r="C6" s="188" t="s">
        <v>142</v>
      </c>
      <c r="D6" s="124"/>
      <c r="E6" s="219">
        <v>55</v>
      </c>
      <c r="F6" s="220">
        <f>G6/E6</f>
        <v>9.0909090909090917</v>
      </c>
      <c r="G6" s="219">
        <v>500</v>
      </c>
      <c r="H6" s="311">
        <v>8.3500000000000005E-2</v>
      </c>
      <c r="I6" s="220">
        <f>G6*H6</f>
        <v>41.75</v>
      </c>
      <c r="J6" s="189">
        <v>40</v>
      </c>
      <c r="K6" s="282">
        <f>I6-J6</f>
        <v>1.75</v>
      </c>
      <c r="L6" s="335">
        <f>I6-J6</f>
        <v>1.75</v>
      </c>
      <c r="O6" s="284"/>
    </row>
    <row r="7" spans="1:15" ht="43.5" x14ac:dyDescent="0.35">
      <c r="A7" s="153" t="s">
        <v>46</v>
      </c>
      <c r="B7" s="185" t="s">
        <v>72</v>
      </c>
      <c r="C7" s="285" t="s">
        <v>150</v>
      </c>
      <c r="D7" s="185"/>
      <c r="E7" s="60">
        <v>35</v>
      </c>
      <c r="F7" s="60">
        <v>1</v>
      </c>
      <c r="G7" s="82">
        <f>+E7*F7</f>
        <v>35</v>
      </c>
      <c r="H7" s="320">
        <v>1.5</v>
      </c>
      <c r="I7" s="286">
        <f>+G7*H7</f>
        <v>52.5</v>
      </c>
      <c r="J7" s="375">
        <v>52.5</v>
      </c>
      <c r="K7" s="126">
        <f>I7-J7</f>
        <v>0</v>
      </c>
      <c r="L7" s="335">
        <f>I7-J7</f>
        <v>0</v>
      </c>
      <c r="O7" s="187" t="s">
        <v>63</v>
      </c>
    </row>
    <row r="8" spans="1:15" ht="29" x14ac:dyDescent="0.35">
      <c r="A8" s="153" t="s">
        <v>46</v>
      </c>
      <c r="B8" s="124" t="s">
        <v>77</v>
      </c>
      <c r="C8" s="123" t="s">
        <v>89</v>
      </c>
      <c r="D8" s="185"/>
      <c r="E8" s="80">
        <v>54</v>
      </c>
      <c r="F8" s="60">
        <v>1</v>
      </c>
      <c r="G8" s="82">
        <f t="shared" ref="G8:G9" si="2">+E8*F8</f>
        <v>54</v>
      </c>
      <c r="H8" s="320">
        <v>0.20039999999999999</v>
      </c>
      <c r="I8" s="286">
        <f t="shared" ref="I8:I9" si="3">+G8*H8</f>
        <v>10.8216</v>
      </c>
      <c r="J8" s="375">
        <v>10.530000000000001</v>
      </c>
      <c r="K8" s="386">
        <f>I8-J8</f>
        <v>0.29159999999999897</v>
      </c>
      <c r="L8" s="385">
        <f>+I8-J8</f>
        <v>0.29159999999999897</v>
      </c>
      <c r="O8" s="187" t="s">
        <v>64</v>
      </c>
    </row>
    <row r="9" spans="1:15" ht="43.5" x14ac:dyDescent="0.35">
      <c r="A9" s="153" t="s">
        <v>63</v>
      </c>
      <c r="B9" s="184" t="s">
        <v>151</v>
      </c>
      <c r="C9" s="123" t="s">
        <v>62</v>
      </c>
      <c r="D9" s="185"/>
      <c r="E9" s="80">
        <v>16</v>
      </c>
      <c r="F9" s="60">
        <v>1</v>
      </c>
      <c r="G9" s="82">
        <f t="shared" si="2"/>
        <v>16</v>
      </c>
      <c r="H9" s="320">
        <v>0.5</v>
      </c>
      <c r="I9" s="286">
        <f t="shared" si="3"/>
        <v>8</v>
      </c>
      <c r="J9" s="375">
        <v>5</v>
      </c>
      <c r="K9" s="186">
        <f>I9-J9</f>
        <v>3</v>
      </c>
      <c r="L9" s="335">
        <f>I9-J9</f>
        <v>3</v>
      </c>
      <c r="O9" s="187" t="s">
        <v>66</v>
      </c>
    </row>
    <row r="10" spans="1:15" ht="15.5" x14ac:dyDescent="0.35">
      <c r="A10" s="43"/>
      <c r="B10" s="44"/>
      <c r="C10" s="47" t="s">
        <v>32</v>
      </c>
      <c r="D10" s="45"/>
      <c r="E10" s="46">
        <f>+MAX(E5:E9)</f>
        <v>55</v>
      </c>
      <c r="F10" s="83">
        <f>IF(E10=0,"",G10/E10)</f>
        <v>12</v>
      </c>
      <c r="G10" s="46">
        <f>SUM(G5:G9)</f>
        <v>660</v>
      </c>
      <c r="H10" s="321">
        <f>I10/G10</f>
        <v>0.17967060606060606</v>
      </c>
      <c r="I10" s="84">
        <f>SUM(I5:I9)</f>
        <v>118.5826</v>
      </c>
      <c r="J10" s="84">
        <f>SUM(J5:J9)</f>
        <v>113.322</v>
      </c>
      <c r="K10" s="84">
        <f>SUM(K5:K9)</f>
        <v>5.2605999999999993</v>
      </c>
      <c r="L10" s="336">
        <f>SUM(L5:L9)</f>
        <v>5.2605999999999993</v>
      </c>
      <c r="O10" s="38"/>
    </row>
    <row r="11" spans="1:15" ht="18.75" customHeight="1" x14ac:dyDescent="0.35">
      <c r="A11" s="400" t="s">
        <v>59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2"/>
      <c r="M11" s="42"/>
      <c r="N11" s="1"/>
      <c r="O11" s="38"/>
    </row>
    <row r="12" spans="1:15" ht="43.5" x14ac:dyDescent="0.35">
      <c r="A12" s="153" t="s">
        <v>46</v>
      </c>
      <c r="B12" s="201" t="s">
        <v>76</v>
      </c>
      <c r="C12" s="201" t="s">
        <v>61</v>
      </c>
      <c r="D12" s="201"/>
      <c r="E12" s="267">
        <v>15340</v>
      </c>
      <c r="F12" s="288">
        <v>1</v>
      </c>
      <c r="G12" s="67">
        <f t="shared" ref="G12" si="4">+E12*F12</f>
        <v>15340</v>
      </c>
      <c r="H12" s="322">
        <v>8.3500000000000005E-2</v>
      </c>
      <c r="I12" s="209">
        <f t="shared" ref="I12" si="5">+G12*H12</f>
        <v>1280.8900000000001</v>
      </c>
      <c r="J12" s="288">
        <v>1227.2</v>
      </c>
      <c r="K12" s="126">
        <f>I12-J12</f>
        <v>53.690000000000055</v>
      </c>
      <c r="L12" s="335">
        <f>I12-J12</f>
        <v>53.690000000000055</v>
      </c>
      <c r="O12" s="191"/>
    </row>
    <row r="13" spans="1:15" s="54" customFormat="1" ht="72.5" x14ac:dyDescent="0.35">
      <c r="A13" s="153" t="s">
        <v>131</v>
      </c>
      <c r="B13" s="201" t="s">
        <v>127</v>
      </c>
      <c r="C13" s="289" t="s">
        <v>133</v>
      </c>
      <c r="D13" s="276"/>
      <c r="E13" s="267">
        <v>446</v>
      </c>
      <c r="F13" s="288">
        <v>1</v>
      </c>
      <c r="G13" s="67">
        <f>E13*F13</f>
        <v>446</v>
      </c>
      <c r="H13" s="322">
        <v>2.5</v>
      </c>
      <c r="I13" s="209">
        <f>G13*H13</f>
        <v>1115</v>
      </c>
      <c r="J13" s="288">
        <v>1115</v>
      </c>
      <c r="K13" s="126">
        <v>0</v>
      </c>
      <c r="L13" s="335">
        <f>I13-J13</f>
        <v>0</v>
      </c>
      <c r="O13" s="215"/>
    </row>
    <row r="14" spans="1:15" ht="46.5" x14ac:dyDescent="0.35">
      <c r="A14" s="287" t="s">
        <v>99</v>
      </c>
      <c r="B14" s="290" t="s">
        <v>79</v>
      </c>
      <c r="C14" s="291" t="s">
        <v>100</v>
      </c>
      <c r="D14" s="292"/>
      <c r="E14" s="293">
        <v>500</v>
      </c>
      <c r="F14" s="294">
        <v>1</v>
      </c>
      <c r="G14" s="294">
        <f>E14*F14</f>
        <v>500</v>
      </c>
      <c r="H14" s="323">
        <v>0.90180000000000005</v>
      </c>
      <c r="I14" s="293">
        <f>G14*H14</f>
        <v>450.90000000000003</v>
      </c>
      <c r="J14" s="293">
        <v>455</v>
      </c>
      <c r="K14" s="293">
        <f>I14-J14</f>
        <v>-4.0999999999999659</v>
      </c>
      <c r="L14" s="335">
        <f>I14-J14</f>
        <v>-4.0999999999999659</v>
      </c>
      <c r="O14" s="191"/>
    </row>
    <row r="15" spans="1:15" ht="31" x14ac:dyDescent="0.35">
      <c r="A15" s="85"/>
      <c r="B15" s="86"/>
      <c r="C15" s="87" t="s">
        <v>60</v>
      </c>
      <c r="D15" s="88"/>
      <c r="E15" s="84">
        <f>E12+E13</f>
        <v>15786</v>
      </c>
      <c r="F15" s="94">
        <f>IF(E15=0,"",G15/E15)</f>
        <v>1.0316736348663373</v>
      </c>
      <c r="G15" s="84">
        <f>SUM(G12:G14)</f>
        <v>16286</v>
      </c>
      <c r="H15" s="321">
        <f>I15/G15</f>
        <v>0.17479982807319172</v>
      </c>
      <c r="I15" s="84">
        <f t="shared" ref="I15:L15" si="6">SUM(I12:I14)</f>
        <v>2846.7900000000004</v>
      </c>
      <c r="J15" s="84">
        <f t="shared" si="6"/>
        <v>2797.2</v>
      </c>
      <c r="K15" s="84">
        <f t="shared" si="6"/>
        <v>49.590000000000089</v>
      </c>
      <c r="L15" s="336">
        <f t="shared" si="6"/>
        <v>49.590000000000089</v>
      </c>
      <c r="O15" s="38"/>
    </row>
    <row r="16" spans="1:15" ht="25.5" customHeight="1" thickBot="1" x14ac:dyDescent="0.4">
      <c r="A16" s="48"/>
      <c r="B16" s="49"/>
      <c r="C16" s="50" t="s">
        <v>36</v>
      </c>
      <c r="D16" s="51"/>
      <c r="E16" s="76">
        <f>+E10+E15</f>
        <v>15841</v>
      </c>
      <c r="F16" s="71">
        <f>G16/E16</f>
        <v>1.0697556972413358</v>
      </c>
      <c r="G16" s="76">
        <f>+G10+G15</f>
        <v>16946</v>
      </c>
      <c r="H16" s="324">
        <f>I16/G16</f>
        <v>0.17498953145285026</v>
      </c>
      <c r="I16" s="76">
        <f>+I10+I15</f>
        <v>2965.3726000000006</v>
      </c>
      <c r="J16" s="76">
        <f>+J10+J15</f>
        <v>2910.5219999999999</v>
      </c>
      <c r="K16" s="379">
        <f>+K10+K15</f>
        <v>54.850600000000085</v>
      </c>
      <c r="L16" s="337">
        <f>+L10+L15</f>
        <v>54.850600000000085</v>
      </c>
    </row>
    <row r="18" spans="4:14" ht="46.5" hidden="1" x14ac:dyDescent="0.35">
      <c r="D18" s="55" t="str">
        <f>+A3</f>
        <v>Program Rule</v>
      </c>
      <c r="E18" s="56" t="str">
        <f t="shared" ref="E18:L18" si="7">+E3</f>
        <v>Estimated # Record-keepers</v>
      </c>
      <c r="F18" s="56" t="str">
        <f t="shared" si="7"/>
        <v>Records Per Recordkeeper</v>
      </c>
      <c r="G18" s="56" t="str">
        <f t="shared" si="7"/>
        <v>Total Annual Records</v>
      </c>
      <c r="H18" s="325" t="str">
        <f t="shared" si="7"/>
        <v>Estimated Avg. # of Hours Per Record</v>
      </c>
      <c r="I18" s="56" t="str">
        <f t="shared" si="7"/>
        <v xml:space="preserve">Estimated Total Hours            </v>
      </c>
      <c r="J18" s="56" t="str">
        <f t="shared" si="7"/>
        <v>Current OMB Approved Burden Hrs</v>
      </c>
      <c r="K18" s="264" t="str">
        <f t="shared" si="7"/>
        <v>Due to an Adjustment</v>
      </c>
      <c r="L18" s="338" t="str">
        <f t="shared" si="7"/>
        <v>Total Difference</v>
      </c>
    </row>
    <row r="19" spans="4:14" hidden="1" thickBot="1" x14ac:dyDescent="0.35">
      <c r="D19" s="57" t="e">
        <f>+#REF!</f>
        <v>#REF!</v>
      </c>
      <c r="E19" s="78" t="e">
        <f>+SUM($E$10+$E$15+#REF!)</f>
        <v>#REF!</v>
      </c>
      <c r="F19" s="89" t="e">
        <f>+G19/E19</f>
        <v>#REF!</v>
      </c>
      <c r="G19" s="78">
        <f t="shared" ref="G19:G27" si="8">+SUMIF($A$5:$A$15,D19,($G$5:$G$15))</f>
        <v>0</v>
      </c>
      <c r="H19" s="326">
        <f t="shared" ref="H19:H27" si="9">IF(G19&gt;0,I19/G19,0)</f>
        <v>0</v>
      </c>
      <c r="I19" s="78">
        <f t="shared" ref="I19:I27" si="10">+SUMIF($A$5:$A$15,D19,($I$5:$I$15))</f>
        <v>0</v>
      </c>
      <c r="J19" s="78">
        <f t="shared" ref="J19:J27" si="11">+SUMIF($A$5:$A$15,D19,($J$5:$J$15))</f>
        <v>0</v>
      </c>
      <c r="K19" s="79">
        <f>+SUMIF($A$5:$A$15,$D$19,($K$5:$K$15))</f>
        <v>0</v>
      </c>
      <c r="L19" s="339">
        <f t="shared" ref="L19:L27" si="12">+SUMIF($A$5:$A$15,D19,($L$5:$L$15))</f>
        <v>0</v>
      </c>
    </row>
    <row r="20" spans="4:14" hidden="1" x14ac:dyDescent="0.35">
      <c r="D20" s="57" t="str">
        <f>+O5</f>
        <v>Direct Certification</v>
      </c>
      <c r="E20" s="53">
        <f t="shared" ref="E20:E27" si="13">+SUMIF($A$5:$A$15,D20,($E$5:$E$15))</f>
        <v>55</v>
      </c>
      <c r="F20" s="89">
        <f>+G20/E20</f>
        <v>1</v>
      </c>
      <c r="G20" s="53">
        <f t="shared" si="8"/>
        <v>55</v>
      </c>
      <c r="H20" s="326">
        <f t="shared" si="9"/>
        <v>0.1002</v>
      </c>
      <c r="I20" s="53">
        <f t="shared" si="10"/>
        <v>5.5110000000000001</v>
      </c>
      <c r="J20" s="53">
        <f t="shared" si="11"/>
        <v>5.2919999999999998</v>
      </c>
      <c r="K20" s="79">
        <f>+SUMIF($A$5:$A$15,$D$20,($K$5:$K$15))</f>
        <v>0.21900000000000031</v>
      </c>
      <c r="L20" s="339">
        <f t="shared" si="12"/>
        <v>0.21900000000000031</v>
      </c>
    </row>
    <row r="21" spans="4:14" hidden="1" x14ac:dyDescent="0.35">
      <c r="D21" s="57" t="e">
        <f>+#REF!</f>
        <v>#REF!</v>
      </c>
      <c r="E21" s="53">
        <f t="shared" si="13"/>
        <v>0</v>
      </c>
      <c r="F21" s="89">
        <f t="shared" ref="F21:F27" si="14">IF(E21&gt;0,G21/E21,0)</f>
        <v>0</v>
      </c>
      <c r="G21" s="53">
        <f t="shared" si="8"/>
        <v>0</v>
      </c>
      <c r="H21" s="326">
        <f t="shared" si="9"/>
        <v>0</v>
      </c>
      <c r="I21" s="53">
        <f t="shared" si="10"/>
        <v>0</v>
      </c>
      <c r="J21" s="53">
        <f t="shared" si="11"/>
        <v>0</v>
      </c>
      <c r="K21" s="79">
        <f>+SUMIF($A$5:$A$15,$D$21,($K$5:$K$15))</f>
        <v>0</v>
      </c>
      <c r="L21" s="339">
        <f t="shared" si="12"/>
        <v>0</v>
      </c>
    </row>
    <row r="22" spans="4:14" hidden="1" x14ac:dyDescent="0.35">
      <c r="D22" s="57" t="str">
        <f t="shared" ref="D22:D27" si="15">+O7</f>
        <v>CIP</v>
      </c>
      <c r="E22" s="53">
        <f t="shared" si="13"/>
        <v>16</v>
      </c>
      <c r="F22" s="89">
        <f t="shared" si="14"/>
        <v>1</v>
      </c>
      <c r="G22" s="53">
        <f t="shared" si="8"/>
        <v>16</v>
      </c>
      <c r="H22" s="326">
        <f t="shared" si="9"/>
        <v>0.5</v>
      </c>
      <c r="I22" s="53">
        <f t="shared" si="10"/>
        <v>8</v>
      </c>
      <c r="J22" s="53">
        <f t="shared" si="11"/>
        <v>5</v>
      </c>
      <c r="K22" s="79">
        <f>+SUMIF($A$5:$A$15,$D$22,($K$5:$K$15))</f>
        <v>3</v>
      </c>
      <c r="L22" s="339">
        <f t="shared" si="12"/>
        <v>3</v>
      </c>
      <c r="N22" s="54"/>
    </row>
    <row r="23" spans="4:14" hidden="1" x14ac:dyDescent="0.35">
      <c r="D23" s="57" t="str">
        <f t="shared" si="15"/>
        <v>Ind. Review of Apps</v>
      </c>
      <c r="E23" s="53">
        <f t="shared" si="13"/>
        <v>0</v>
      </c>
      <c r="F23" s="89">
        <f t="shared" si="14"/>
        <v>0</v>
      </c>
      <c r="G23" s="53">
        <f t="shared" si="8"/>
        <v>0</v>
      </c>
      <c r="H23" s="326">
        <f t="shared" si="9"/>
        <v>0</v>
      </c>
      <c r="I23" s="53">
        <f t="shared" si="10"/>
        <v>0</v>
      </c>
      <c r="J23" s="53">
        <f t="shared" si="11"/>
        <v>0</v>
      </c>
      <c r="K23" s="79">
        <f>+SUMIF($A$5:$A$15,$D$23,($K$5:$K$15))</f>
        <v>0</v>
      </c>
      <c r="L23" s="339">
        <f t="shared" si="12"/>
        <v>0</v>
      </c>
    </row>
    <row r="24" spans="4:14" hidden="1" x14ac:dyDescent="0.35">
      <c r="D24" s="57" t="str">
        <f t="shared" si="15"/>
        <v>CEP</v>
      </c>
      <c r="E24" s="53">
        <f t="shared" si="13"/>
        <v>0</v>
      </c>
      <c r="F24" s="89">
        <f t="shared" si="14"/>
        <v>0</v>
      </c>
      <c r="G24" s="53">
        <f t="shared" si="8"/>
        <v>0</v>
      </c>
      <c r="H24" s="326">
        <f t="shared" si="9"/>
        <v>0</v>
      </c>
      <c r="I24" s="53">
        <f t="shared" si="10"/>
        <v>0</v>
      </c>
      <c r="J24" s="53">
        <f t="shared" si="11"/>
        <v>0</v>
      </c>
      <c r="K24" s="79">
        <f>+SUMIF($A$5:$A$15,$D$24,($K$5:$K$15))</f>
        <v>0</v>
      </c>
      <c r="L24" s="339">
        <f t="shared" si="12"/>
        <v>0</v>
      </c>
    </row>
    <row r="25" spans="4:14" hidden="1" x14ac:dyDescent="0.35">
      <c r="D25" s="57">
        <f t="shared" si="15"/>
        <v>0</v>
      </c>
      <c r="E25" s="53">
        <f t="shared" si="13"/>
        <v>0</v>
      </c>
      <c r="F25" s="89">
        <f t="shared" si="14"/>
        <v>0</v>
      </c>
      <c r="G25" s="53">
        <f t="shared" si="8"/>
        <v>0</v>
      </c>
      <c r="H25" s="326">
        <f t="shared" si="9"/>
        <v>0</v>
      </c>
      <c r="I25" s="53">
        <f t="shared" si="10"/>
        <v>0</v>
      </c>
      <c r="J25" s="53">
        <f t="shared" si="11"/>
        <v>0</v>
      </c>
      <c r="K25" s="79">
        <f>+SUMIF($A$5:$A$15,$D$25,($K$5:$K$15))</f>
        <v>0</v>
      </c>
      <c r="L25" s="339">
        <f t="shared" si="12"/>
        <v>0</v>
      </c>
    </row>
    <row r="26" spans="4:14" hidden="1" x14ac:dyDescent="0.35">
      <c r="D26" s="57">
        <f t="shared" si="15"/>
        <v>0</v>
      </c>
      <c r="E26" s="53">
        <f t="shared" si="13"/>
        <v>0</v>
      </c>
      <c r="F26" s="89">
        <f t="shared" si="14"/>
        <v>0</v>
      </c>
      <c r="G26" s="53">
        <f t="shared" si="8"/>
        <v>0</v>
      </c>
      <c r="H26" s="326">
        <f t="shared" si="9"/>
        <v>0</v>
      </c>
      <c r="I26" s="53">
        <f t="shared" si="10"/>
        <v>0</v>
      </c>
      <c r="J26" s="53">
        <f t="shared" si="11"/>
        <v>0</v>
      </c>
      <c r="K26" s="79">
        <f>+SUMIF($A$5:$A$15,$D$26,($K$5:$K$15))</f>
        <v>0</v>
      </c>
      <c r="L26" s="339">
        <f t="shared" si="12"/>
        <v>0</v>
      </c>
    </row>
    <row r="27" spans="4:14" hidden="1" x14ac:dyDescent="0.35">
      <c r="D27" s="57">
        <f t="shared" si="15"/>
        <v>0</v>
      </c>
      <c r="E27" s="53">
        <f t="shared" si="13"/>
        <v>0</v>
      </c>
      <c r="F27" s="89">
        <f t="shared" si="14"/>
        <v>0</v>
      </c>
      <c r="G27" s="53">
        <f t="shared" si="8"/>
        <v>0</v>
      </c>
      <c r="H27" s="326">
        <f t="shared" si="9"/>
        <v>0</v>
      </c>
      <c r="I27" s="53">
        <f t="shared" si="10"/>
        <v>0</v>
      </c>
      <c r="J27" s="53">
        <f t="shared" si="11"/>
        <v>0</v>
      </c>
      <c r="K27" s="79">
        <f>+SUMIF($A$5:$A$15,$D$27,($K$5:$K$15))</f>
        <v>0</v>
      </c>
      <c r="L27" s="339">
        <f t="shared" si="12"/>
        <v>0</v>
      </c>
    </row>
    <row r="28" spans="4:14" hidden="1" x14ac:dyDescent="0.35">
      <c r="D28" s="58" t="s">
        <v>34</v>
      </c>
      <c r="E28" s="90" t="e">
        <f t="shared" ref="E28:L28" si="16">SUM(E19:E27)</f>
        <v>#REF!</v>
      </c>
      <c r="F28" s="91" t="e">
        <f t="shared" si="16"/>
        <v>#REF!</v>
      </c>
      <c r="G28" s="92">
        <f t="shared" si="16"/>
        <v>71</v>
      </c>
      <c r="H28" s="327">
        <f t="shared" si="16"/>
        <v>0.60019999999999996</v>
      </c>
      <c r="I28" s="92">
        <f t="shared" si="16"/>
        <v>13.510999999999999</v>
      </c>
      <c r="J28" s="92">
        <f t="shared" si="16"/>
        <v>10.292</v>
      </c>
      <c r="K28" s="92">
        <f t="shared" si="16"/>
        <v>3.2190000000000003</v>
      </c>
      <c r="L28" s="340">
        <f t="shared" si="16"/>
        <v>3.2190000000000003</v>
      </c>
    </row>
    <row r="32" spans="4:14" x14ac:dyDescent="0.35">
      <c r="E32" s="142"/>
    </row>
    <row r="33" spans="3:16" ht="18" x14ac:dyDescent="0.4">
      <c r="C33" s="134"/>
    </row>
    <row r="35" spans="3:16" ht="18.5" x14ac:dyDescent="0.45">
      <c r="C35" s="133"/>
      <c r="D35" s="135"/>
      <c r="E35" s="135"/>
      <c r="F35" s="135"/>
      <c r="G35" s="135"/>
      <c r="H35" s="328"/>
      <c r="I35" s="135"/>
      <c r="J35" s="135"/>
      <c r="K35" s="265"/>
      <c r="L35" s="342"/>
      <c r="M35" s="132"/>
      <c r="N35" s="132"/>
      <c r="O35" s="132"/>
      <c r="P35" s="132"/>
    </row>
  </sheetData>
  <sheetProtection selectLockedCells="1"/>
  <autoFilter ref="A3:L16" xr:uid="{00000000-0009-0000-0000-000001000000}"/>
  <dataConsolidate/>
  <mergeCells count="3">
    <mergeCell ref="A1:L1"/>
    <mergeCell ref="A4:L4"/>
    <mergeCell ref="A11:L11"/>
  </mergeCells>
  <dataValidations count="2">
    <dataValidation type="list" allowBlank="1" showInputMessage="1" showErrorMessage="1" sqref="A14 A6" xr:uid="{00000000-0002-0000-0100-000001000000}">
      <formula1>$N$5:$N$15</formula1>
    </dataValidation>
    <dataValidation type="list" allowBlank="1" showInputMessage="1" showErrorMessage="1" sqref="A12 A15 A7:A10 A5" xr:uid="{00000000-0002-0000-0100-000000000000}">
      <formula1>$O$5:$O$15</formula1>
    </dataValidation>
  </dataValidations>
  <printOptions horizontalCentered="1"/>
  <pageMargins left="0.7" right="0.7" top="0.75" bottom="0.75" header="0.3" footer="0.3"/>
  <pageSetup scale="59" fitToHeight="0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19:G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P31"/>
  <sheetViews>
    <sheetView tabSelected="1" zoomScale="80" zoomScaleNormal="80" workbookViewId="0">
      <pane xSplit="13" ySplit="4" topLeftCell="N5" activePane="bottomRight" state="frozen"/>
      <selection pane="topRight" activeCell="R1" sqref="R1"/>
      <selection pane="bottomLeft" activeCell="A5" sqref="A5"/>
      <selection pane="bottomRight" activeCell="G14" sqref="G14"/>
    </sheetView>
  </sheetViews>
  <sheetFormatPr defaultColWidth="8.81640625" defaultRowHeight="14.5" outlineLevelCol="1" x14ac:dyDescent="0.35"/>
  <cols>
    <col min="1" max="1" width="11.81640625" customWidth="1"/>
    <col min="2" max="2" width="12.26953125" customWidth="1"/>
    <col min="3" max="3" width="32.08984375" customWidth="1"/>
    <col min="4" max="4" width="12.1796875" customWidth="1"/>
    <col min="5" max="5" width="15.7265625" bestFit="1" customWidth="1"/>
    <col min="6" max="6" width="15" customWidth="1"/>
    <col min="7" max="7" width="13.81640625" customWidth="1"/>
    <col min="8" max="8" width="14.54296875" style="317" bestFit="1" customWidth="1"/>
    <col min="9" max="9" width="13.1796875" style="341" customWidth="1"/>
    <col min="10" max="10" width="16.54296875" style="341" customWidth="1"/>
    <col min="11" max="11" width="11" customWidth="1" outlineLevel="1"/>
    <col min="12" max="12" width="12.08984375" style="341" customWidth="1"/>
    <col min="13" max="13" width="16.453125" hidden="1" customWidth="1" outlineLevel="1"/>
    <col min="14" max="14" width="8.81640625" collapsed="1"/>
    <col min="15" max="15" width="20.453125" hidden="1" customWidth="1" outlineLevel="1"/>
    <col min="16" max="16" width="8.81640625" collapsed="1"/>
    <col min="62" max="62" width="8.7265625" customWidth="1"/>
  </cols>
  <sheetData>
    <row r="1" spans="1:15" ht="30.75" customHeight="1" thickBot="1" x14ac:dyDescent="0.55000000000000004">
      <c r="A1" s="403" t="s">
        <v>70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5"/>
    </row>
    <row r="2" spans="1:15" ht="24" customHeight="1" thickBot="1" x14ac:dyDescent="0.4">
      <c r="A2" s="13"/>
      <c r="B2" s="14"/>
      <c r="C2" s="14"/>
      <c r="D2" s="15"/>
      <c r="E2" s="16" t="s">
        <v>13</v>
      </c>
      <c r="F2" s="16" t="s">
        <v>14</v>
      </c>
      <c r="G2" s="16" t="s">
        <v>15</v>
      </c>
      <c r="H2" s="308" t="s">
        <v>16</v>
      </c>
      <c r="I2" s="348" t="s">
        <v>17</v>
      </c>
      <c r="J2" s="348" t="s">
        <v>18</v>
      </c>
      <c r="K2" s="16"/>
      <c r="L2" s="333" t="s">
        <v>19</v>
      </c>
      <c r="M2" s="3"/>
      <c r="N2" s="2"/>
    </row>
    <row r="3" spans="1:15" ht="39.5" thickBot="1" x14ac:dyDescent="0.4">
      <c r="A3" s="101" t="s">
        <v>45</v>
      </c>
      <c r="B3" s="102" t="s">
        <v>0</v>
      </c>
      <c r="C3" s="102" t="s">
        <v>1</v>
      </c>
      <c r="D3" s="102" t="s">
        <v>2</v>
      </c>
      <c r="E3" s="102" t="s">
        <v>21</v>
      </c>
      <c r="F3" s="102" t="s">
        <v>27</v>
      </c>
      <c r="G3" s="102" t="s">
        <v>5</v>
      </c>
      <c r="H3" s="329" t="s">
        <v>24</v>
      </c>
      <c r="I3" s="349" t="s">
        <v>7</v>
      </c>
      <c r="J3" s="349" t="s">
        <v>37</v>
      </c>
      <c r="K3" s="102" t="s">
        <v>8</v>
      </c>
      <c r="L3" s="343" t="s">
        <v>9</v>
      </c>
      <c r="M3" s="12" t="s">
        <v>10</v>
      </c>
      <c r="N3" s="1"/>
      <c r="O3" s="37" t="s">
        <v>26</v>
      </c>
    </row>
    <row r="4" spans="1:15" ht="18.5" x14ac:dyDescent="0.35">
      <c r="A4" s="400" t="s">
        <v>33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2"/>
      <c r="M4" s="42"/>
      <c r="N4" s="1"/>
      <c r="O4" s="37"/>
    </row>
    <row r="5" spans="1:15" ht="88" customHeight="1" x14ac:dyDescent="0.35">
      <c r="A5" s="66" t="s">
        <v>46</v>
      </c>
      <c r="B5" s="63" t="s">
        <v>69</v>
      </c>
      <c r="C5" s="61" t="s">
        <v>152</v>
      </c>
      <c r="D5" s="62"/>
      <c r="E5" s="80">
        <v>54</v>
      </c>
      <c r="F5" s="65">
        <v>1</v>
      </c>
      <c r="G5" s="64">
        <f t="shared" ref="G5" si="0">+E5*F5</f>
        <v>54</v>
      </c>
      <c r="H5" s="310">
        <v>0.1002</v>
      </c>
      <c r="I5" s="376">
        <f>+G5*H5</f>
        <v>5.4108000000000001</v>
      </c>
      <c r="J5" s="378">
        <v>5.4</v>
      </c>
      <c r="K5" s="387">
        <f>I5-J5</f>
        <v>1.0799999999999699E-2</v>
      </c>
      <c r="L5" s="388">
        <f>I5-J5</f>
        <v>1.0799999999999699E-2</v>
      </c>
      <c r="O5" s="39" t="s">
        <v>46</v>
      </c>
    </row>
    <row r="6" spans="1:15" ht="43.5" x14ac:dyDescent="0.35">
      <c r="A6" s="175" t="s">
        <v>96</v>
      </c>
      <c r="B6" s="176" t="s">
        <v>78</v>
      </c>
      <c r="C6" s="176" t="s">
        <v>144</v>
      </c>
      <c r="D6" s="177"/>
      <c r="E6" s="178">
        <v>55</v>
      </c>
      <c r="F6" s="179">
        <v>1</v>
      </c>
      <c r="G6" s="178">
        <f>+E6*F6</f>
        <v>55</v>
      </c>
      <c r="H6" s="330">
        <v>0.16700000000000001</v>
      </c>
      <c r="I6" s="377">
        <f>G6*H6</f>
        <v>9.1850000000000005</v>
      </c>
      <c r="J6" s="380">
        <v>9.18</v>
      </c>
      <c r="K6" s="380">
        <f>I6-J6</f>
        <v>5.0000000000007816E-3</v>
      </c>
      <c r="L6" s="389">
        <f>K6</f>
        <v>5.0000000000007816E-3</v>
      </c>
      <c r="O6" s="39"/>
    </row>
    <row r="7" spans="1:15" ht="15.5" x14ac:dyDescent="0.35">
      <c r="A7" s="95"/>
      <c r="B7" s="96"/>
      <c r="C7" s="97" t="s">
        <v>32</v>
      </c>
      <c r="D7" s="98"/>
      <c r="E7" s="99">
        <f>+MAX(E5:E6)</f>
        <v>55</v>
      </c>
      <c r="F7" s="100">
        <f>IF(E7=0,"",G7/E7)</f>
        <v>1.9818181818181819</v>
      </c>
      <c r="G7" s="99">
        <f>SUM(G5:G6)</f>
        <v>109</v>
      </c>
      <c r="H7" s="331">
        <f>IF(G7=0,"",I7/G7)</f>
        <v>0.13390642201834863</v>
      </c>
      <c r="I7" s="99">
        <f t="shared" ref="I7:L7" si="1">SUM(I5:I6)</f>
        <v>14.595800000000001</v>
      </c>
      <c r="J7" s="99">
        <f t="shared" si="1"/>
        <v>14.58</v>
      </c>
      <c r="K7" s="390">
        <f t="shared" si="1"/>
        <v>1.580000000000048E-2</v>
      </c>
      <c r="L7" s="391">
        <f t="shared" si="1"/>
        <v>1.580000000000048E-2</v>
      </c>
      <c r="O7" s="39" t="s">
        <v>53</v>
      </c>
    </row>
    <row r="8" spans="1:15" ht="18.75" customHeight="1" x14ac:dyDescent="0.35">
      <c r="A8" s="400" t="s">
        <v>59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2"/>
      <c r="M8" s="42"/>
      <c r="N8" s="1"/>
      <c r="O8" s="39" t="s">
        <v>63</v>
      </c>
    </row>
    <row r="9" spans="1:15" ht="77.5" customHeight="1" x14ac:dyDescent="0.35">
      <c r="A9" s="66" t="s">
        <v>46</v>
      </c>
      <c r="B9" s="63" t="s">
        <v>75</v>
      </c>
      <c r="C9" s="63" t="s">
        <v>94</v>
      </c>
      <c r="D9" s="266"/>
      <c r="E9" s="267">
        <v>18925</v>
      </c>
      <c r="F9" s="65">
        <v>1</v>
      </c>
      <c r="G9" s="67">
        <f t="shared" ref="G9:G10" si="2">+E9*F9</f>
        <v>18925</v>
      </c>
      <c r="H9" s="210">
        <v>0.25</v>
      </c>
      <c r="I9" s="233">
        <f>+G9*H9</f>
        <v>4731.25</v>
      </c>
      <c r="J9" s="378">
        <v>4731.25</v>
      </c>
      <c r="K9" s="68">
        <f>I9-J9</f>
        <v>0</v>
      </c>
      <c r="L9" s="344">
        <f>SUM(K9:K9)</f>
        <v>0</v>
      </c>
      <c r="M9" s="199"/>
      <c r="N9" s="1"/>
      <c r="O9" s="187" t="s">
        <v>66</v>
      </c>
    </row>
    <row r="10" spans="1:15" ht="56" customHeight="1" x14ac:dyDescent="0.35">
      <c r="A10" s="17" t="s">
        <v>46</v>
      </c>
      <c r="B10" s="268" t="s">
        <v>67</v>
      </c>
      <c r="C10" s="63" t="s">
        <v>68</v>
      </c>
      <c r="D10" s="268"/>
      <c r="E10" s="267">
        <v>18925</v>
      </c>
      <c r="F10" s="65">
        <v>1</v>
      </c>
      <c r="G10" s="67">
        <f t="shared" si="2"/>
        <v>18925</v>
      </c>
      <c r="H10" s="210">
        <v>0.1002</v>
      </c>
      <c r="I10" s="233">
        <f t="shared" ref="I10" si="3">+G10*H10</f>
        <v>1896.2849999999999</v>
      </c>
      <c r="J10" s="378">
        <v>1892.5</v>
      </c>
      <c r="K10" s="217">
        <f>I10-J10</f>
        <v>3.7849999999998545</v>
      </c>
      <c r="L10" s="344">
        <f>SUM(K10:K10)</f>
        <v>3.7849999999998545</v>
      </c>
      <c r="O10" s="191"/>
    </row>
    <row r="11" spans="1:15" ht="66" customHeight="1" x14ac:dyDescent="0.35">
      <c r="A11" s="17" t="s">
        <v>131</v>
      </c>
      <c r="B11" s="269" t="s">
        <v>126</v>
      </c>
      <c r="C11" s="184" t="s">
        <v>138</v>
      </c>
      <c r="D11" s="268"/>
      <c r="E11" s="267">
        <v>446</v>
      </c>
      <c r="F11" s="65">
        <v>1</v>
      </c>
      <c r="G11" s="67">
        <f>E11*F11</f>
        <v>446</v>
      </c>
      <c r="H11" s="210">
        <v>0.25</v>
      </c>
      <c r="I11" s="233">
        <v>112</v>
      </c>
      <c r="J11" s="378">
        <v>112</v>
      </c>
      <c r="K11" s="229">
        <v>0</v>
      </c>
      <c r="L11" s="345">
        <f>I11-J11</f>
        <v>0</v>
      </c>
      <c r="O11" s="191"/>
    </row>
    <row r="12" spans="1:15" s="54" customFormat="1" ht="31" x14ac:dyDescent="0.35">
      <c r="A12" s="95"/>
      <c r="B12" s="96"/>
      <c r="C12" s="97" t="s">
        <v>60</v>
      </c>
      <c r="D12" s="105"/>
      <c r="E12" s="106">
        <f>+MAX(E9:E11)+E11</f>
        <v>19371</v>
      </c>
      <c r="F12" s="100">
        <f>G12/E12</f>
        <v>1.9769758917970162</v>
      </c>
      <c r="G12" s="106">
        <f>SUM(G9:G11)</f>
        <v>38296</v>
      </c>
      <c r="H12" s="331">
        <f>I12/G12</f>
        <v>0.17598535095049092</v>
      </c>
      <c r="I12" s="350">
        <f>SUM(I9:I11)</f>
        <v>6739.5349999999999</v>
      </c>
      <c r="J12" s="350">
        <f>SUM(J9:J11)</f>
        <v>6735.75</v>
      </c>
      <c r="K12" s="107">
        <f>K9+K10</f>
        <v>3.7849999999998545</v>
      </c>
      <c r="L12" s="346">
        <f>SUM(L9:L11)</f>
        <v>3.7849999999998545</v>
      </c>
      <c r="O12" s="144"/>
    </row>
    <row r="13" spans="1:15" ht="55.5" hidden="1" customHeight="1" x14ac:dyDescent="0.35">
      <c r="A13" s="400" t="s">
        <v>41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2"/>
      <c r="M13" s="42"/>
      <c r="N13" s="1"/>
      <c r="O13" s="38"/>
    </row>
    <row r="14" spans="1:15" ht="25.5" customHeight="1" thickBot="1" x14ac:dyDescent="0.4">
      <c r="A14" s="72"/>
      <c r="B14" s="73"/>
      <c r="C14" s="74" t="s">
        <v>95</v>
      </c>
      <c r="D14" s="75"/>
      <c r="E14" s="76">
        <f>E7+E12</f>
        <v>19426</v>
      </c>
      <c r="F14" s="77">
        <f>G14/E14</f>
        <v>1.9769896015649131</v>
      </c>
      <c r="G14" s="52">
        <f>G7+G12</f>
        <v>38405</v>
      </c>
      <c r="H14" s="324">
        <f>I14/G14</f>
        <v>0.17586592370785054</v>
      </c>
      <c r="I14" s="351">
        <f>SUM(I7+I12)</f>
        <v>6754.1307999999999</v>
      </c>
      <c r="J14" s="351">
        <f>J7+J12</f>
        <v>6750.33</v>
      </c>
      <c r="K14" s="307">
        <f>K7+K12</f>
        <v>3.800799999999855</v>
      </c>
      <c r="L14" s="337">
        <f>L7+L12</f>
        <v>3.800799999999855</v>
      </c>
    </row>
    <row r="15" spans="1:15" hidden="1" x14ac:dyDescent="0.35"/>
    <row r="16" spans="1:15" ht="42" hidden="1" customHeight="1" x14ac:dyDescent="0.35">
      <c r="D16" s="103" t="str">
        <f>+A3</f>
        <v>Program Rule</v>
      </c>
      <c r="E16" s="104" t="str">
        <f t="shared" ref="E16:L16" si="4">+E3</f>
        <v>Estimated # Respondents</v>
      </c>
      <c r="F16" s="104" t="str">
        <f t="shared" si="4"/>
        <v>Responses per Respondents</v>
      </c>
      <c r="G16" s="104" t="str">
        <f t="shared" si="4"/>
        <v>Total Annual Records</v>
      </c>
      <c r="H16" s="332" t="str">
        <f t="shared" si="4"/>
        <v>Estimated Avg. # of Hours Per Response</v>
      </c>
      <c r="I16" s="352" t="str">
        <f t="shared" si="4"/>
        <v xml:space="preserve">Estimated Total Hours            </v>
      </c>
      <c r="J16" s="352" t="str">
        <f t="shared" si="4"/>
        <v>Current OMB Approved Burden Hrs</v>
      </c>
      <c r="K16" s="104" t="str">
        <f t="shared" si="4"/>
        <v>Due to an Adjustment</v>
      </c>
      <c r="L16" s="347" t="str">
        <f t="shared" si="4"/>
        <v>Total Difference</v>
      </c>
    </row>
    <row r="17" spans="3:14" hidden="1" x14ac:dyDescent="0.35">
      <c r="D17" s="57" t="str">
        <f>+O5</f>
        <v>F/R Eligibility</v>
      </c>
      <c r="E17" s="53">
        <f t="shared" ref="E17:E22" si="5">+SUMIF($A$5:$A$13,D17,($E$5:$E$13))</f>
        <v>37904</v>
      </c>
      <c r="F17" s="53">
        <f t="shared" ref="F17:F22" si="6">IF(E17&gt;0,G17/E17,0)</f>
        <v>1</v>
      </c>
      <c r="G17" s="78">
        <f t="shared" ref="G17:G22" si="7">+SUMIF($A$5:$A$13,D17,($G$5:$G$13))</f>
        <v>37904</v>
      </c>
      <c r="H17" s="326">
        <f t="shared" ref="H17:H22" si="8">IF(G17&gt;0,I17/G17,0)</f>
        <v>0.17499329358379062</v>
      </c>
      <c r="I17" s="353">
        <f t="shared" ref="I17:I22" si="9">+SUMIF($A$5:$A$13,D17,($I$5:$I$13))</f>
        <v>6632.9457999999995</v>
      </c>
      <c r="J17" s="353">
        <f t="shared" ref="J17:J22" si="10">+SUMIF($A$5:$A$13,D17,($J$5:$J$13))</f>
        <v>6629.15</v>
      </c>
      <c r="K17" s="53" t="e">
        <f>+SUMIF($A$5:$A$13,$D$17,(#REF!))</f>
        <v>#REF!</v>
      </c>
      <c r="L17" s="339">
        <f t="shared" ref="L17:L22" si="11">+SUMIF($A$5:$A$13,D17,($L$5:$L$13))</f>
        <v>3.7957999999998542</v>
      </c>
    </row>
    <row r="18" spans="3:14" hidden="1" x14ac:dyDescent="0.35">
      <c r="D18" s="57" t="e">
        <f>+#REF!</f>
        <v>#REF!</v>
      </c>
      <c r="E18" s="53">
        <f t="shared" si="5"/>
        <v>0</v>
      </c>
      <c r="F18" s="53">
        <f t="shared" si="6"/>
        <v>0</v>
      </c>
      <c r="G18" s="53">
        <f t="shared" si="7"/>
        <v>0</v>
      </c>
      <c r="H18" s="326">
        <f t="shared" si="8"/>
        <v>0</v>
      </c>
      <c r="I18" s="353">
        <f t="shared" si="9"/>
        <v>0</v>
      </c>
      <c r="J18" s="353">
        <f t="shared" si="10"/>
        <v>0</v>
      </c>
      <c r="K18" s="53" t="e">
        <f>+SUMIF($A$5:$A$13,$D$18,(#REF!))</f>
        <v>#REF!</v>
      </c>
      <c r="L18" s="339">
        <f t="shared" si="11"/>
        <v>0</v>
      </c>
    </row>
    <row r="19" spans="3:14" hidden="1" x14ac:dyDescent="0.35">
      <c r="D19" s="57" t="str">
        <f>+O7</f>
        <v>Direct Certification</v>
      </c>
      <c r="E19" s="53">
        <f t="shared" si="5"/>
        <v>0</v>
      </c>
      <c r="F19" s="53">
        <f t="shared" si="6"/>
        <v>0</v>
      </c>
      <c r="G19" s="53">
        <f t="shared" si="7"/>
        <v>0</v>
      </c>
      <c r="H19" s="326">
        <f t="shared" si="8"/>
        <v>0</v>
      </c>
      <c r="I19" s="353">
        <f t="shared" si="9"/>
        <v>0</v>
      </c>
      <c r="J19" s="353">
        <f t="shared" si="10"/>
        <v>0</v>
      </c>
      <c r="K19" s="53" t="e">
        <f>+SUMIF($A$5:$A$13,$D$18,(#REF!))</f>
        <v>#REF!</v>
      </c>
      <c r="L19" s="339">
        <f t="shared" si="11"/>
        <v>0</v>
      </c>
    </row>
    <row r="20" spans="3:14" hidden="1" x14ac:dyDescent="0.35">
      <c r="D20" s="57" t="str">
        <f>+O8</f>
        <v>CIP</v>
      </c>
      <c r="E20" s="53">
        <f t="shared" si="5"/>
        <v>0</v>
      </c>
      <c r="F20" s="53">
        <f t="shared" si="6"/>
        <v>0</v>
      </c>
      <c r="G20" s="53">
        <f t="shared" si="7"/>
        <v>0</v>
      </c>
      <c r="H20" s="326">
        <f t="shared" si="8"/>
        <v>0</v>
      </c>
      <c r="I20" s="353">
        <f t="shared" si="9"/>
        <v>0</v>
      </c>
      <c r="J20" s="353">
        <f t="shared" si="10"/>
        <v>0</v>
      </c>
      <c r="K20" s="53" t="e">
        <f>+SUMIF($A$5:$A$13,$D$18,(#REF!))</f>
        <v>#REF!</v>
      </c>
      <c r="L20" s="339">
        <f t="shared" si="11"/>
        <v>0</v>
      </c>
      <c r="N20" s="54"/>
    </row>
    <row r="21" spans="3:14" hidden="1" x14ac:dyDescent="0.35">
      <c r="D21" s="57" t="str">
        <f>+O9</f>
        <v>CEP</v>
      </c>
      <c r="E21" s="53">
        <f t="shared" si="5"/>
        <v>0</v>
      </c>
      <c r="F21" s="53">
        <f t="shared" si="6"/>
        <v>0</v>
      </c>
      <c r="G21" s="53">
        <f t="shared" si="7"/>
        <v>0</v>
      </c>
      <c r="H21" s="326">
        <f t="shared" si="8"/>
        <v>0</v>
      </c>
      <c r="I21" s="353">
        <f t="shared" si="9"/>
        <v>0</v>
      </c>
      <c r="J21" s="353">
        <f t="shared" si="10"/>
        <v>0</v>
      </c>
      <c r="K21" s="53" t="e">
        <f>+SUMIF($A$5:$A$13,$D$18,(#REF!))</f>
        <v>#REF!</v>
      </c>
      <c r="L21" s="339">
        <f t="shared" si="11"/>
        <v>0</v>
      </c>
    </row>
    <row r="22" spans="3:14" hidden="1" x14ac:dyDescent="0.35">
      <c r="D22" s="57" t="str">
        <f>IF(O10="","-",+O10)</f>
        <v>-</v>
      </c>
      <c r="E22" s="53">
        <f t="shared" si="5"/>
        <v>0</v>
      </c>
      <c r="F22" s="53">
        <f t="shared" si="6"/>
        <v>0</v>
      </c>
      <c r="G22" s="53">
        <f t="shared" si="7"/>
        <v>0</v>
      </c>
      <c r="H22" s="326">
        <f t="shared" si="8"/>
        <v>0</v>
      </c>
      <c r="I22" s="353">
        <f t="shared" si="9"/>
        <v>0</v>
      </c>
      <c r="J22" s="353">
        <f t="shared" si="10"/>
        <v>0</v>
      </c>
      <c r="K22" s="53" t="e">
        <f>+SUMIF($A$5:$A$13,$D$18,(#REF!))</f>
        <v>#REF!</v>
      </c>
      <c r="L22" s="339">
        <f t="shared" si="11"/>
        <v>0</v>
      </c>
    </row>
    <row r="29" spans="3:14" ht="21" x14ac:dyDescent="0.5">
      <c r="C29" s="140"/>
    </row>
    <row r="31" spans="3:14" ht="21" x14ac:dyDescent="0.5">
      <c r="C31" s="140"/>
      <c r="D31" s="140"/>
      <c r="E31" s="140"/>
      <c r="F31" s="140"/>
    </row>
  </sheetData>
  <sheetProtection selectLockedCells="1"/>
  <autoFilter ref="A3:L14" xr:uid="{00000000-0009-0000-0000-000002000000}"/>
  <dataConsolidate/>
  <mergeCells count="4">
    <mergeCell ref="A1:L1"/>
    <mergeCell ref="A4:L4"/>
    <mergeCell ref="A8:L8"/>
    <mergeCell ref="A13:L13"/>
  </mergeCells>
  <dataValidations count="2">
    <dataValidation type="list" allowBlank="1" showInputMessage="1" showErrorMessage="1" sqref="A12 A9:A10 A5 A7" xr:uid="{00000000-0002-0000-0200-000000000000}">
      <formula1>$O$7:$O$13</formula1>
    </dataValidation>
    <dataValidation type="list" allowBlank="1" showInputMessage="1" showErrorMessage="1" sqref="A6" xr:uid="{00000000-0002-0000-0200-000001000000}">
      <formula1>$N$6:$N$30</formula1>
    </dataValidation>
  </dataValidations>
  <printOptions horizontalCentered="1"/>
  <pageMargins left="0.7" right="0.7" top="0.75" bottom="0.75" header="0.3" footer="0.3"/>
  <pageSetup scale="56" orientation="landscape" r:id="rId1"/>
  <headerFooter>
    <oddHeader>&amp;C&amp;"-,Bold"&amp;12OMB Control #0584-0026 
&amp;16 7 CFR Part 245, Determining Eligibility for Free &amp; Reduced Price Meals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31"/>
  <sheetViews>
    <sheetView topLeftCell="A3" workbookViewId="0">
      <selection activeCell="F19" sqref="F19"/>
    </sheetView>
  </sheetViews>
  <sheetFormatPr defaultRowHeight="14.5" x14ac:dyDescent="0.35"/>
  <cols>
    <col min="1" max="1" width="28.7265625" bestFit="1" customWidth="1"/>
    <col min="2" max="2" width="14.26953125" bestFit="1" customWidth="1"/>
    <col min="3" max="3" width="13.7265625" bestFit="1" customWidth="1"/>
    <col min="4" max="4" width="19" bestFit="1" customWidth="1"/>
    <col min="5" max="5" width="18.54296875" style="317" bestFit="1" customWidth="1"/>
    <col min="6" max="6" width="15.26953125" bestFit="1" customWidth="1"/>
  </cols>
  <sheetData>
    <row r="1" spans="1:7" ht="15" x14ac:dyDescent="0.35">
      <c r="A1" s="406" t="s">
        <v>52</v>
      </c>
      <c r="B1" s="407"/>
      <c r="C1" s="407"/>
      <c r="D1" s="407"/>
      <c r="E1" s="407"/>
      <c r="F1" s="408"/>
    </row>
    <row r="2" spans="1:7" ht="13.5" customHeight="1" x14ac:dyDescent="0.35">
      <c r="A2" s="20"/>
      <c r="B2" s="21"/>
      <c r="C2" s="21"/>
      <c r="D2" s="21"/>
      <c r="E2" s="354"/>
      <c r="F2" s="22"/>
    </row>
    <row r="3" spans="1:7" ht="48" customHeight="1" x14ac:dyDescent="0.35">
      <c r="A3" s="33" t="s">
        <v>20</v>
      </c>
      <c r="B3" s="33" t="s">
        <v>21</v>
      </c>
      <c r="C3" s="33" t="s">
        <v>22</v>
      </c>
      <c r="D3" s="33" t="s">
        <v>23</v>
      </c>
      <c r="E3" s="355" t="s">
        <v>24</v>
      </c>
      <c r="F3" s="33" t="s">
        <v>25</v>
      </c>
    </row>
    <row r="4" spans="1:7" ht="15" x14ac:dyDescent="0.35">
      <c r="A4" s="32" t="s">
        <v>12</v>
      </c>
      <c r="B4" s="31"/>
      <c r="C4" s="31"/>
      <c r="D4" s="31"/>
      <c r="E4" s="356"/>
      <c r="F4" s="31"/>
    </row>
    <row r="5" spans="1:7" ht="15.75" customHeight="1" x14ac:dyDescent="0.35">
      <c r="A5" s="23" t="s">
        <v>11</v>
      </c>
      <c r="B5" s="24">
        <f>+RecordKeeping!E10</f>
        <v>55</v>
      </c>
      <c r="C5" s="127">
        <f>+RecordKeeping!F10</f>
        <v>12</v>
      </c>
      <c r="D5" s="24">
        <f>+RecordKeeping!G10</f>
        <v>660</v>
      </c>
      <c r="E5" s="357">
        <f>+RecordKeeping!H10</f>
        <v>0.17967060606060606</v>
      </c>
      <c r="F5" s="24">
        <f>+RecordKeeping!I10</f>
        <v>118.5826</v>
      </c>
      <c r="G5" s="26"/>
    </row>
    <row r="6" spans="1:7" ht="19.5" customHeight="1" x14ac:dyDescent="0.35">
      <c r="A6" s="27" t="s">
        <v>90</v>
      </c>
      <c r="B6" s="25">
        <f>+RecordKeeping!E15</f>
        <v>15786</v>
      </c>
      <c r="C6" s="128">
        <f>+RecordKeeping!F15</f>
        <v>1.0316736348663373</v>
      </c>
      <c r="D6" s="24">
        <f>+RecordKeeping!G15</f>
        <v>16286</v>
      </c>
      <c r="E6" s="357">
        <f>+RecordKeeping!H15</f>
        <v>0.17479982807319172</v>
      </c>
      <c r="F6" s="24">
        <f>+RecordKeeping!I15</f>
        <v>2846.7900000000004</v>
      </c>
      <c r="G6" s="29"/>
    </row>
    <row r="7" spans="1:7" ht="19.5" hidden="1" customHeight="1" x14ac:dyDescent="0.35">
      <c r="A7" s="27" t="s">
        <v>28</v>
      </c>
      <c r="B7" s="6" t="e">
        <f>+RecordKeeping!#REF!</f>
        <v>#REF!</v>
      </c>
      <c r="C7" s="28" t="e">
        <f>+RecordKeeping!#REF!</f>
        <v>#REF!</v>
      </c>
      <c r="D7" s="7" t="e">
        <f>+RecordKeeping!#REF!</f>
        <v>#REF!</v>
      </c>
      <c r="E7" s="358" t="e">
        <f>+RecordKeeping!#REF!</f>
        <v>#REF!</v>
      </c>
      <c r="F7" s="7" t="e">
        <f>+RecordKeeping!#REF!</f>
        <v>#REF!</v>
      </c>
      <c r="G7" s="29"/>
    </row>
    <row r="8" spans="1:7" ht="19.5" customHeight="1" x14ac:dyDescent="0.35">
      <c r="A8" s="36" t="s">
        <v>29</v>
      </c>
      <c r="B8" s="25">
        <f>SUBTOTAL(109,B5:B7)</f>
        <v>15841</v>
      </c>
      <c r="C8" s="127">
        <f>+D8/B8</f>
        <v>1.0697556972413358</v>
      </c>
      <c r="D8" s="25">
        <f>SUBTOTAL(109,D5:D7)</f>
        <v>16946</v>
      </c>
      <c r="E8" s="359">
        <f>+F8/D8</f>
        <v>0.17498953145285026</v>
      </c>
      <c r="F8" s="25">
        <f>SUBTOTAL(109,F5:F7)</f>
        <v>2965.3726000000006</v>
      </c>
      <c r="G8" s="29"/>
    </row>
    <row r="9" spans="1:7" ht="15" x14ac:dyDescent="0.35">
      <c r="A9" s="35" t="s">
        <v>30</v>
      </c>
      <c r="B9" s="34"/>
      <c r="C9" s="34"/>
      <c r="D9" s="34"/>
      <c r="E9" s="360"/>
      <c r="F9" s="34"/>
    </row>
    <row r="10" spans="1:7" ht="19.5" customHeight="1" x14ac:dyDescent="0.35">
      <c r="A10" s="40" t="s">
        <v>11</v>
      </c>
      <c r="B10" s="41">
        <f>+Reporting!E14</f>
        <v>55</v>
      </c>
      <c r="C10" s="129">
        <f>+Reporting!F14</f>
        <v>163.56363636363636</v>
      </c>
      <c r="D10" s="41">
        <f>+Reporting!G14</f>
        <v>8996</v>
      </c>
      <c r="E10" s="361">
        <f>+Reporting!H14</f>
        <v>6.4556991996442853E-2</v>
      </c>
      <c r="F10" s="41">
        <f>+Reporting!I14</f>
        <v>580.75469999999996</v>
      </c>
      <c r="G10" s="29"/>
    </row>
    <row r="11" spans="1:7" ht="19.5" customHeight="1" x14ac:dyDescent="0.35">
      <c r="A11" s="114" t="s">
        <v>90</v>
      </c>
      <c r="B11" s="108">
        <f>+Reporting!E34</f>
        <v>19371.490000000002</v>
      </c>
      <c r="C11" s="109">
        <f>+Reporting!F34</f>
        <v>455.95310892450703</v>
      </c>
      <c r="D11" s="108">
        <f>+Reporting!G34</f>
        <v>8832491.0899999999</v>
      </c>
      <c r="E11" s="362">
        <f>+Reporting!H34</f>
        <v>2.0938766322604916E-2</v>
      </c>
      <c r="F11" s="108">
        <f>+Reporting!I34</f>
        <v>184941.46698</v>
      </c>
      <c r="G11" s="29"/>
    </row>
    <row r="12" spans="1:7" ht="15.75" customHeight="1" x14ac:dyDescent="0.35">
      <c r="A12" s="115" t="s">
        <v>86</v>
      </c>
      <c r="B12" s="116">
        <f>+Reporting!E41</f>
        <v>3551886</v>
      </c>
      <c r="C12" s="131">
        <f>+Reporting!F41</f>
        <v>1.0285727751397427</v>
      </c>
      <c r="D12" s="116">
        <f>+Reporting!G41</f>
        <v>3653373.24</v>
      </c>
      <c r="E12" s="363">
        <f>+Reporting!H41</f>
        <v>0.12743228343129814</v>
      </c>
      <c r="F12" s="116">
        <f>+Reporting!I41</f>
        <v>465557.69420000003</v>
      </c>
      <c r="G12" s="26"/>
    </row>
    <row r="13" spans="1:7" ht="19.5" customHeight="1" x14ac:dyDescent="0.35">
      <c r="A13" s="120" t="s">
        <v>31</v>
      </c>
      <c r="B13" s="108">
        <f>SUBTOTAL(109,B10:B12)</f>
        <v>3571312.49</v>
      </c>
      <c r="C13" s="130">
        <f>+D13/B13</f>
        <v>3.498674609121085</v>
      </c>
      <c r="D13" s="108">
        <f>SUBTOTAL(109,D10:D12)</f>
        <v>12494860.33</v>
      </c>
      <c r="E13" s="362">
        <f>+F13/D13</f>
        <v>5.210781862977415E-2</v>
      </c>
      <c r="F13" s="108">
        <f>SUBTOTAL(109,F10:F12)</f>
        <v>651079.91587999999</v>
      </c>
      <c r="G13" s="29"/>
    </row>
    <row r="14" spans="1:7" ht="19.5" customHeight="1" x14ac:dyDescent="0.35">
      <c r="A14" s="113" t="s">
        <v>70</v>
      </c>
      <c r="B14" s="111"/>
      <c r="C14" s="112"/>
      <c r="D14" s="111"/>
      <c r="E14" s="364"/>
      <c r="F14" s="111"/>
      <c r="G14" s="29"/>
    </row>
    <row r="15" spans="1:7" ht="19.5" customHeight="1" x14ac:dyDescent="0.35">
      <c r="A15" s="139" t="s">
        <v>11</v>
      </c>
      <c r="B15" s="137">
        <f>+PublicNotification!E7</f>
        <v>55</v>
      </c>
      <c r="C15" s="137">
        <f>+PublicNotification!F7</f>
        <v>1.9818181818181819</v>
      </c>
      <c r="D15" s="137">
        <f>+PublicNotification!G7</f>
        <v>109</v>
      </c>
      <c r="E15" s="365">
        <f>+PublicNotification!H7</f>
        <v>0.13390642201834863</v>
      </c>
      <c r="F15" s="137">
        <f>+PublicNotification!I7</f>
        <v>14.595800000000001</v>
      </c>
      <c r="G15" s="29"/>
    </row>
    <row r="16" spans="1:7" ht="19.5" customHeight="1" x14ac:dyDescent="0.35">
      <c r="A16" s="119" t="s">
        <v>90</v>
      </c>
      <c r="B16" s="110">
        <f>+PublicNotification!E12</f>
        <v>19371</v>
      </c>
      <c r="C16" s="110">
        <f>+PublicNotification!F12</f>
        <v>1.9769758917970162</v>
      </c>
      <c r="D16" s="110">
        <f>+PublicNotification!G12</f>
        <v>38296</v>
      </c>
      <c r="E16" s="366">
        <f>+PublicNotification!H12</f>
        <v>0.17598535095049092</v>
      </c>
      <c r="F16" s="374">
        <f>+PublicNotification!I12</f>
        <v>6739.5349999999999</v>
      </c>
      <c r="G16" s="29"/>
    </row>
    <row r="17" spans="1:7" ht="19.5" hidden="1" customHeight="1" x14ac:dyDescent="0.35">
      <c r="A17" s="118" t="s">
        <v>28</v>
      </c>
      <c r="B17" s="117" t="e">
        <f>+PublicNotification!#REF!</f>
        <v>#REF!</v>
      </c>
      <c r="C17" s="117" t="e">
        <f>+PublicNotification!#REF!</f>
        <v>#REF!</v>
      </c>
      <c r="D17" s="117" t="e">
        <f>+PublicNotification!#REF!</f>
        <v>#REF!</v>
      </c>
      <c r="E17" s="367" t="e">
        <f>+PublicNotification!#REF!</f>
        <v>#REF!</v>
      </c>
      <c r="F17" s="117" t="e">
        <f>+PublicNotification!#REF!</f>
        <v>#REF!</v>
      </c>
      <c r="G17" s="29"/>
    </row>
    <row r="18" spans="1:7" ht="19.5" customHeight="1" x14ac:dyDescent="0.35">
      <c r="A18" s="136" t="s">
        <v>74</v>
      </c>
      <c r="B18" s="137">
        <f>SUBTOTAL(109,B15:B17)</f>
        <v>19426</v>
      </c>
      <c r="C18" s="138">
        <f>+D18/B18</f>
        <v>1.9769896015649131</v>
      </c>
      <c r="D18" s="137">
        <f>SUBTOTAL(109,D15:D17)</f>
        <v>38405</v>
      </c>
      <c r="E18" s="365">
        <f>+F18/D18</f>
        <v>0.17586592370785054</v>
      </c>
      <c r="F18" s="137">
        <f>SUBTOTAL(109,F15:F17)</f>
        <v>6754.1307999999999</v>
      </c>
      <c r="G18" s="29"/>
    </row>
    <row r="19" spans="1:7" ht="17.25" customHeight="1" x14ac:dyDescent="0.35">
      <c r="A19" s="30" t="s">
        <v>55</v>
      </c>
      <c r="B19" s="8">
        <f>SUM('Burden Summary'!B12+B18)</f>
        <v>3571312</v>
      </c>
      <c r="C19" s="93">
        <f>+D19/B19</f>
        <v>3.5141738750352811</v>
      </c>
      <c r="D19" s="8">
        <f>+D8+D13+D18</f>
        <v>12550211.33</v>
      </c>
      <c r="E19" s="368">
        <f>+F19/D19</f>
        <v>5.2652453564700254E-2</v>
      </c>
      <c r="F19" s="8">
        <f>+F8+F13+F18</f>
        <v>660799.41928000003</v>
      </c>
      <c r="G19" s="26"/>
    </row>
    <row r="20" spans="1:7" x14ac:dyDescent="0.35">
      <c r="F20" s="121"/>
    </row>
    <row r="21" spans="1:7" x14ac:dyDescent="0.35">
      <c r="A21" s="5"/>
      <c r="B21" s="5"/>
      <c r="C21" s="9"/>
      <c r="D21" s="5"/>
      <c r="E21" s="369"/>
      <c r="F21" s="59"/>
      <c r="G21" s="5"/>
    </row>
    <row r="22" spans="1:7" x14ac:dyDescent="0.35">
      <c r="D22" s="10"/>
      <c r="F22" s="141"/>
    </row>
    <row r="23" spans="1:7" ht="15" thickBot="1" x14ac:dyDescent="0.4">
      <c r="A23" s="159"/>
      <c r="B23" s="159"/>
      <c r="C23" s="159"/>
      <c r="D23" s="159"/>
      <c r="E23" s="370"/>
      <c r="F23" s="159"/>
    </row>
    <row r="24" spans="1:7" x14ac:dyDescent="0.35">
      <c r="A24" s="166" t="s">
        <v>102</v>
      </c>
      <c r="B24" s="167">
        <f>+B18</f>
        <v>19426</v>
      </c>
      <c r="C24" s="168">
        <f>+D24/B24</f>
        <v>457.98610573458251</v>
      </c>
      <c r="D24" s="167">
        <f>+D8+D10+D11+D18</f>
        <v>8896838.0899999999</v>
      </c>
      <c r="E24" s="371">
        <f>+F24/D24</f>
        <v>2.1945068922795245E-2</v>
      </c>
      <c r="F24" s="169">
        <f>+F8+F10+F11+F18</f>
        <v>195241.72508</v>
      </c>
    </row>
    <row r="25" spans="1:7" x14ac:dyDescent="0.35">
      <c r="A25" s="163" t="s">
        <v>103</v>
      </c>
      <c r="B25" s="156">
        <f>+B12</f>
        <v>3551886</v>
      </c>
      <c r="C25" s="170">
        <f>+D25/B25</f>
        <v>1.0285727751397427</v>
      </c>
      <c r="D25" s="156">
        <f>+D12</f>
        <v>3653373.24</v>
      </c>
      <c r="E25" s="372">
        <f>+F25/D25</f>
        <v>0.12743228343129814</v>
      </c>
      <c r="F25" s="171">
        <f>+F12</f>
        <v>465557.69420000003</v>
      </c>
    </row>
    <row r="26" spans="1:7" ht="15" thickBot="1" x14ac:dyDescent="0.4">
      <c r="A26" s="165" t="s">
        <v>104</v>
      </c>
      <c r="B26" s="172">
        <f>+B25+B24</f>
        <v>3571312</v>
      </c>
      <c r="C26" s="173">
        <f>+D26/B26</f>
        <v>3.5141738750352811</v>
      </c>
      <c r="D26" s="172">
        <f>+D25+D24</f>
        <v>12550211.33</v>
      </c>
      <c r="E26" s="373">
        <f>+F26/D26</f>
        <v>5.2652453564700254E-2</v>
      </c>
      <c r="F26" s="174">
        <f>+F25+F24</f>
        <v>660799.41928000003</v>
      </c>
    </row>
    <row r="27" spans="1:7" ht="15" thickBot="1" x14ac:dyDescent="0.4">
      <c r="A27" s="159"/>
      <c r="B27" s="159"/>
      <c r="C27" s="159"/>
      <c r="D27" s="159"/>
      <c r="E27" s="370"/>
      <c r="F27" s="159"/>
    </row>
    <row r="28" spans="1:7" x14ac:dyDescent="0.35">
      <c r="A28" s="160"/>
      <c r="B28" s="161" t="s">
        <v>106</v>
      </c>
      <c r="C28" s="162" t="s">
        <v>107</v>
      </c>
      <c r="D28" s="159"/>
      <c r="E28" s="370"/>
      <c r="F28" s="159"/>
    </row>
    <row r="29" spans="1:7" x14ac:dyDescent="0.35">
      <c r="A29" s="163" t="s">
        <v>105</v>
      </c>
      <c r="B29" s="154">
        <v>12550195</v>
      </c>
      <c r="C29" s="155">
        <v>664726</v>
      </c>
      <c r="D29" s="164"/>
      <c r="E29" s="370"/>
      <c r="F29" s="159"/>
    </row>
    <row r="30" spans="1:7" x14ac:dyDescent="0.35">
      <c r="A30" s="163" t="s">
        <v>108</v>
      </c>
      <c r="B30" s="156">
        <f>+D19</f>
        <v>12550211.33</v>
      </c>
      <c r="C30" s="155">
        <f>+F19</f>
        <v>660799.41928000003</v>
      </c>
      <c r="D30" s="164"/>
      <c r="E30" s="370"/>
      <c r="F30" s="159"/>
    </row>
    <row r="31" spans="1:7" ht="15" thickBot="1" x14ac:dyDescent="0.4">
      <c r="A31" s="165" t="s">
        <v>109</v>
      </c>
      <c r="B31" s="157">
        <f>+B30-B29</f>
        <v>16.330000000074506</v>
      </c>
      <c r="C31" s="158">
        <f>+C30-C29</f>
        <v>-3926.580719999969</v>
      </c>
      <c r="D31" s="159"/>
      <c r="E31" s="370"/>
      <c r="F31" s="159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Reporting</vt:lpstr>
      <vt:lpstr>RecordKeeping</vt:lpstr>
      <vt:lpstr>PublicNotification</vt:lpstr>
      <vt:lpstr>Burden Summary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Sandberg, Christina - FNS</cp:lastModifiedBy>
  <cp:lastPrinted>2020-03-05T21:19:51Z</cp:lastPrinted>
  <dcterms:created xsi:type="dcterms:W3CDTF">2011-04-25T16:43:00Z</dcterms:created>
  <dcterms:modified xsi:type="dcterms:W3CDTF">2023-07-27T16:52:53Z</dcterms:modified>
</cp:coreProperties>
</file>